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46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42.xml" ContentType="application/vnd.openxmlformats-officedocument.spreadsheetml.worksheet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3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48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47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56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15.xml" ContentType="application/vnd.openxmlformats-officedocument.spreadsheetml.worksheet+xml"/>
  <Override PartName="/xl/worksheets/sheet80.xml" ContentType="application/vnd.openxmlformats-officedocument.spreadsheetml.worksheet+xml"/>
  <Override PartName="/xl/worksheets/sheet16.xml" ContentType="application/vnd.openxmlformats-officedocument.spreadsheetml.worksheet+xml"/>
  <Override PartName="/xl/worksheets/sheet81.xml" ContentType="application/vnd.openxmlformats-officedocument.spreadsheetml.worksheet+xml"/>
  <Override PartName="/xl/worksheets/sheet17.xml" ContentType="application/vnd.openxmlformats-officedocument.spreadsheetml.worksheet+xml"/>
  <Override PartName="/xl/worksheets/sheet82.xml" ContentType="application/vnd.openxmlformats-officedocument.spreadsheetml.worksheet+xml"/>
  <Override PartName="/xl/worksheets/sheet18.xml" ContentType="application/vnd.openxmlformats-officedocument.spreadsheetml.worksheet+xml"/>
  <Override PartName="/xl/worksheets/sheet83.xml" ContentType="application/vnd.openxmlformats-officedocument.spreadsheetml.worksheet+xml"/>
  <Override PartName="/xl/worksheets/sheet57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65.xml" ContentType="application/vnd.openxmlformats-officedocument.spreadsheetml.worksheet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6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4.xml.rels" ContentType="application/vnd.openxmlformats-package.relationships+xml"/>
  <Override PartName="/xl/worksheets/_rels/sheet4.xml.rels" ContentType="application/vnd.openxmlformats-package.relationships+xml"/>
  <Override PartName="/xl/worksheets/_rels/sheet1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20.xml.rels" ContentType="application/vnd.openxmlformats-package.relationships+xml"/>
  <Override PartName="/xl/worksheets/_rels/sheet2.xml.rels" ContentType="application/vnd.openxmlformats-package.relationships+xml"/>
  <Override PartName="/xl/worksheets/_rels/sheet70.xml.rels" ContentType="application/vnd.openxmlformats-package.relationships+xml"/>
  <Override PartName="/xl/worksheets/_rels/sheet15.xml.rels" ContentType="application/vnd.openxmlformats-package.relationships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100.xml" ContentType="application/vnd.openxmlformats-officedocument.spreadsheetml.worksheet+xml"/>
  <Override PartName="/xl/worksheets/sheet70.xml" ContentType="application/vnd.openxmlformats-officedocument.spreadsheetml.worksheet+xml"/>
  <Override PartName="/xl/worksheets/sheet6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110.xml" ContentType="application/vnd.openxmlformats-officedocument.spreadsheetml.worksheet+xml"/>
  <Override PartName="/xl/worksheets/sheet9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9.xml" ContentType="application/vnd.openxmlformats-officedocument.spreadsheetml.worksheet+xml"/>
  <Override PartName="/xl/worksheets/sheet62.xml" ContentType="application/vnd.openxmlformats-officedocument.spreadsheetml.worksheet+xml"/>
  <Override PartName="/xl/worksheets/sheet87.xml" ContentType="application/vnd.openxmlformats-officedocument.spreadsheetml.worksheet+xml"/>
  <Override PartName="/xl/worksheets/sheet63.xml" ContentType="application/vnd.openxmlformats-officedocument.spreadsheetml.worksheet+xml"/>
  <Override PartName="/xl/worksheets/sheet98.xml" ContentType="application/vnd.openxmlformats-officedocument.spreadsheetml.worksheet+xml"/>
  <Override PartName="/xl/worksheets/sheet61.xml" ContentType="application/vnd.openxmlformats-officedocument.spreadsheetml.worksheet+xml"/>
  <Override PartName="/xl/worksheets/sheet86.xml" ContentType="application/vnd.openxmlformats-officedocument.spreadsheetml.worksheet+xml"/>
  <Override PartName="/xl/worksheets/sheet9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5.xml" ContentType="application/vnd.openxmlformats-officedocument.spreadsheetml.worksheet+xml"/>
  <Override PartName="/xl/worksheets/sheet95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79.xml" ContentType="application/vnd.openxmlformats-officedocument.spreadsheetml.worksheet+xml"/>
  <Override PartName="/xl/worksheets/sheet29.xml" ContentType="application/vnd.openxmlformats-officedocument.spreadsheetml.worksheet+xml"/>
  <Override PartName="/xl/worksheets/sheet94.xml" ContentType="application/vnd.openxmlformats-officedocument.spreadsheetml.worksheet+xml"/>
  <Override PartName="/xl/worksheets/sheet2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8.xml" ContentType="application/vnd.openxmlformats-officedocument.spreadsheetml.worksheet+xml"/>
  <Override PartName="/xl/worksheets/sheet92.xml" ContentType="application/vnd.openxmlformats-officedocument.spreadsheetml.worksheet+xml"/>
  <Override PartName="/xl/worksheets/sheet27.xml" ContentType="application/vnd.openxmlformats-officedocument.spreadsheetml.worksheet+xml"/>
  <Override PartName="/xl/worksheets/sheet107.xml" ContentType="application/vnd.openxmlformats-officedocument.spreadsheetml.worksheet+xml"/>
  <Override PartName="/xl/worksheets/sheet91.xml" ContentType="application/vnd.openxmlformats-officedocument.spreadsheetml.worksheet+xml"/>
  <Override PartName="/xl/worksheets/sheet26.xml" ContentType="application/vnd.openxmlformats-officedocument.spreadsheetml.worksheet+xml"/>
  <Override PartName="/xl/worksheets/sheet106.xml" ContentType="application/vnd.openxmlformats-officedocument.spreadsheetml.worksheet+xml"/>
  <Override PartName="/xl/worksheets/sheet90.xml" ContentType="application/vnd.openxmlformats-officedocument.spreadsheetml.worksheet+xml"/>
  <Override PartName="/xl/worksheets/sheet25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04.xml" ContentType="application/vnd.openxmlformats-officedocument.spreadsheetml.worksheet+xml"/>
  <Override PartName="/xl/worksheets/sheet23.xml" ContentType="application/vnd.openxmlformats-officedocument.spreadsheetml.worksheet+xml"/>
  <Override PartName="/xl/worksheets/sheet103.xml" ContentType="application/vnd.openxmlformats-officedocument.spreadsheetml.worksheet+xml"/>
  <Override PartName="/xl/worksheets/sheet22.xml" ContentType="application/vnd.openxmlformats-officedocument.spreadsheetml.worksheet+xml"/>
  <Override PartName="/xl/worksheets/sheet4.xml" ContentType="application/vnd.openxmlformats-officedocument.spreadsheetml.worksheet+xml"/>
  <Override PartName="/xl/worksheets/sheet5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58.xml" ContentType="application/vnd.openxmlformats-officedocument.spreadsheetml.worksheet+xml"/>
  <Override PartName="/xl/worksheets/sheet19.xml" ContentType="application/vnd.openxmlformats-officedocument.spreadsheetml.worksheet+xml"/>
  <Override PartName="/xl/worksheets/sheet8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9.xml" ContentType="application/vnd.openxmlformats-officedocument.drawing+xml"/>
  <Override PartName="/xl/drawings/drawing14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8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全球" sheetId="1" state="visible" r:id="rId2"/>
    <sheet name="美国" sheetId="2" state="visible" r:id="rId3"/>
    <sheet name="西班牙" sheetId="3" state="visible" r:id="rId4"/>
    <sheet name="意大利" sheetId="4" state="visible" r:id="rId5"/>
    <sheet name="法国" sheetId="5" state="visible" r:id="rId6"/>
    <sheet name="德国" sheetId="6" state="visible" r:id="rId7"/>
    <sheet name="英国" sheetId="7" state="visible" r:id="rId8"/>
    <sheet name="中国" sheetId="8" state="visible" r:id="rId9"/>
    <sheet name="伊朗" sheetId="9" state="visible" r:id="rId10"/>
    <sheet name="土耳其" sheetId="10" state="visible" r:id="rId11"/>
    <sheet name="比利时" sheetId="11" state="visible" r:id="rId12"/>
    <sheet name="荷兰" sheetId="12" state="visible" r:id="rId13"/>
    <sheet name="加拿大" sheetId="13" state="visible" r:id="rId14"/>
    <sheet name="瑞士" sheetId="14" state="visible" r:id="rId15"/>
    <sheet name="巴西" sheetId="15" state="visible" r:id="rId16"/>
    <sheet name="俄罗斯" sheetId="16" state="visible" r:id="rId17"/>
    <sheet name="葡萄牙" sheetId="17" state="visible" r:id="rId18"/>
    <sheet name="奥地利" sheetId="18" state="visible" r:id="rId19"/>
    <sheet name="以色列" sheetId="19" state="visible" r:id="rId20"/>
    <sheet name="印度" sheetId="20" state="visible" r:id="rId21"/>
    <sheet name="爱尔兰" sheetId="21" state="visible" r:id="rId22"/>
    <sheet name="瑞典" sheetId="22" state="visible" r:id="rId23"/>
    <sheet name="韩国" sheetId="23" state="visible" r:id="rId24"/>
    <sheet name="秘鲁" sheetId="24" state="visible" r:id="rId25"/>
    <sheet name="智利" sheetId="25" state="visible" r:id="rId26"/>
    <sheet name="日本" sheetId="26" state="visible" r:id="rId27"/>
    <sheet name="厄瓜多尔" sheetId="27" state="visible" r:id="rId28"/>
    <sheet name="波兰" sheetId="28" state="visible" r:id="rId29"/>
    <sheet name="罗马尼亚" sheetId="29" state="visible" r:id="rId30"/>
    <sheet name="挪威" sheetId="30" state="visible" r:id="rId31"/>
    <sheet name="澳大利亚" sheetId="31" state="visible" r:id="rId32"/>
    <sheet name="丹麦" sheetId="32" state="visible" r:id="rId33"/>
    <sheet name="捷克" sheetId="33" state="visible" r:id="rId34"/>
    <sheet name="巴基斯坦" sheetId="34" state="visible" r:id="rId35"/>
    <sheet name="墨西哥" sheetId="35" state="visible" r:id="rId36"/>
    <sheet name="沙特阿拉伯" sheetId="36" state="visible" r:id="rId37"/>
    <sheet name="菲律宾" sheetId="37" state="visible" r:id="rId38"/>
    <sheet name="马来西亚" sheetId="38" state="visible" r:id="rId39"/>
    <sheet name="印度尼西亚" sheetId="39" state="visible" r:id="rId40"/>
    <sheet name="阿联酋" sheetId="40" state="visible" r:id="rId41"/>
    <sheet name="塞尔维亚" sheetId="41" state="visible" r:id="rId42"/>
    <sheet name="巴拿马" sheetId="42" state="visible" r:id="rId43"/>
    <sheet name="卢森堡" sheetId="43" state="visible" r:id="rId44"/>
    <sheet name="卡塔尔" sheetId="44" state="visible" r:id="rId45"/>
    <sheet name="多米尼加" sheetId="45" state="visible" r:id="rId46"/>
    <sheet name="乌克兰" sheetId="46" state="visible" r:id="rId47"/>
    <sheet name="芬兰" sheetId="47" state="visible" r:id="rId48"/>
    <sheet name="白俄罗斯" sheetId="48" state="visible" r:id="rId49"/>
    <sheet name="新加坡" sheetId="49" state="visible" r:id="rId50"/>
    <sheet name="哥伦比亚" sheetId="50" state="visible" r:id="rId51"/>
    <sheet name="泰国" sheetId="51" state="visible" r:id="rId52"/>
    <sheet name="阿根廷" sheetId="52" state="visible" r:id="rId53"/>
    <sheet name="南非" sheetId="53" state="visible" r:id="rId54"/>
    <sheet name="埃及" sheetId="54" state="visible" r:id="rId55"/>
    <sheet name="希腊" sheetId="55" state="visible" r:id="rId56"/>
    <sheet name="孟加拉" sheetId="56" state="visible" r:id="rId57"/>
    <sheet name="摩洛哥" sheetId="57" state="visible" r:id="rId58"/>
    <sheet name="阿尔及利亚" sheetId="58" state="visible" r:id="rId59"/>
    <sheet name="摩尔多瓦" sheetId="59" state="visible" r:id="rId60"/>
    <sheet name="科威特" sheetId="60" state="visible" r:id="rId61"/>
    <sheet name="匈牙利" sheetId="61" state="visible" r:id="rId62"/>
    <sheet name="哈萨克斯坦" sheetId="62" state="visible" r:id="rId63"/>
    <sheet name="巴林" sheetId="63" state="visible" r:id="rId64"/>
    <sheet name="克罗地亚" sheetId="64" state="visible" r:id="rId65"/>
    <sheet name="阿曼" sheetId="65" state="visible" r:id="rId66"/>
    <sheet name="伊拉克" sheetId="66" state="visible" r:id="rId67"/>
    <sheet name="乌兹别克斯坦" sheetId="67" state="visible" r:id="rId68"/>
    <sheet name="阿富汗" sheetId="68" state="visible" r:id="rId69"/>
    <sheet name="亚美尼亚" sheetId="69" state="visible" r:id="rId70"/>
    <sheet name="尼日利亚" sheetId="70" state="visible" r:id="rId71"/>
    <sheet name="喀麦隆" sheetId="71" state="visible" r:id="rId72"/>
    <sheet name="加纳" sheetId="72" state="visible" r:id="rId73"/>
    <sheet name="阿塞拜疆" sheetId="73" state="visible" r:id="rId74"/>
    <sheet name="波黑" sheetId="74" state="visible" r:id="rId75"/>
    <sheet name="几内亚" sheetId="75" state="visible" r:id="rId76"/>
    <sheet name="玻利维亚" sheetId="76" state="visible" r:id="rId77"/>
    <sheet name="保加利亚" sheetId="77" state="visible" r:id="rId78"/>
    <sheet name="洪都拉斯" sheetId="78" state="visible" r:id="rId79"/>
    <sheet name="塞内加尔" sheetId="79" state="visible" r:id="rId80"/>
    <sheet name="科特迪瓦" sheetId="80" state="visible" r:id="rId81"/>
    <sheet name="苏丹" sheetId="81" state="visible" r:id="rId82"/>
    <sheet name="危地马拉" sheetId="82" state="visible" r:id="rId83"/>
    <sheet name="塔吉克斯坦" sheetId="83" state="visible" r:id="rId84"/>
    <sheet name="吉布提" sheetId="84" state="visible" r:id="rId85"/>
    <sheet name="刚果" sheetId="85" state="visible" r:id="rId86"/>
    <sheet name="北马其顿" sheetId="86" state="visible" r:id="rId87"/>
    <sheet name="加蓬" sheetId="87" state="visible" r:id="rId88"/>
    <sheet name="萨尔瓦多" sheetId="88" state="visible" r:id="rId89"/>
    <sheet name="古巴" sheetId="89" state="visible" r:id="rId90"/>
    <sheet name="海地" sheetId="90" state="visible" r:id="rId91"/>
    <sheet name="索马里" sheetId="91" state="visible" r:id="rId92"/>
    <sheet name="肯尼亚" sheetId="92" state="visible" r:id="rId93"/>
    <sheet name="马约特" sheetId="93" state="visible" r:id="rId94"/>
    <sheet name="尼泊尔" sheetId="94" state="visible" r:id="rId95"/>
    <sheet name="吉尔吉斯斯坦" sheetId="95" state="visible" r:id="rId96"/>
    <sheet name="委内瑞拉" sheetId="96" state="visible" r:id="rId97"/>
    <sheet name="埃塞俄比亚" sheetId="97" state="visible" r:id="rId98"/>
    <sheet name="中非" sheetId="98" state="visible" r:id="rId99"/>
    <sheet name="马尔代夫" sheetId="99" state="visible" r:id="rId100"/>
    <sheet name="毛里塔尼亚" sheetId="100" state="visible" r:id="rId101"/>
    <sheet name="哥斯达黎加" sheetId="101" state="visible" r:id="rId102"/>
    <sheet name="法属圭亚那" sheetId="102" state="visible" r:id="rId103"/>
    <sheet name="爱沙尼亚" sheetId="103" state="visible" r:id="rId104"/>
    <sheet name="阿尔巴尼亚" sheetId="104" state="visible" r:id="rId105"/>
    <sheet name="尼加拉瓜" sheetId="105" state="visible" r:id="rId106"/>
    <sheet name="马里" sheetId="106" state="visible" r:id="rId107"/>
    <sheet name="斯里兰卡" sheetId="107" state="visible" r:id="rId108"/>
    <sheet name="赤道几内亚" sheetId="108" state="visible" r:id="rId109"/>
    <sheet name="马达加斯加" sheetId="109" state="visible" r:id="rId110"/>
    <sheet name="中国大陆" sheetId="110" state="visible" r:id="rId111"/>
    <sheet name="香港" sheetId="111" state="visible" r:id="rId112"/>
    <sheet name="澳门" sheetId="112" state="visible" r:id="rId113"/>
    <sheet name="台湾" sheetId="113" state="visible" r:id="rId11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<sst xmlns="http://schemas.openxmlformats.org/spreadsheetml/2006/main" count="22548" uniqueCount="127">
  <si>
    <t xml:space="preserve">国家地区</t>
  </si>
  <si>
    <t xml:space="preserve">日期</t>
  </si>
  <si>
    <t xml:space="preserve">累计确诊</t>
  </si>
  <si>
    <t xml:space="preserve">新增确诊</t>
  </si>
  <si>
    <t xml:space="preserve">累计死亡</t>
  </si>
  <si>
    <t xml:space="preserve">新增死亡</t>
  </si>
  <si>
    <t xml:space="preserve">累计治愈</t>
  </si>
  <si>
    <t xml:space="preserve">仍在治疗</t>
  </si>
  <si>
    <t xml:space="preserve">重症病例</t>
  </si>
  <si>
    <t xml:space="preserve">百万人口确诊率</t>
  </si>
  <si>
    <t xml:space="preserve">百万人口死亡率</t>
  </si>
  <si>
    <t xml:space="preserve">总检测数</t>
  </si>
  <si>
    <t xml:space="preserve">百万人口检测率</t>
  </si>
  <si>
    <t xml:space="preserve">全球</t>
  </si>
  <si>
    <t xml:space="preserve">美国</t>
  </si>
  <si>
    <t xml:space="preserve">西班牙</t>
  </si>
  <si>
    <t xml:space="preserve">意大利</t>
  </si>
  <si>
    <t xml:space="preserve">法国CDC</t>
  </si>
  <si>
    <t xml:space="preserve">德国</t>
  </si>
  <si>
    <t xml:space="preserve">英国</t>
  </si>
  <si>
    <t xml:space="preserve">N/A</t>
  </si>
  <si>
    <t xml:space="preserve">中国</t>
  </si>
  <si>
    <t xml:space="preserve">伊朗</t>
  </si>
  <si>
    <t xml:space="preserve">土耳其</t>
  </si>
  <si>
    <t xml:space="preserve">比利时</t>
  </si>
  <si>
    <t xml:space="preserve">荷兰</t>
  </si>
  <si>
    <t xml:space="preserve">加拿大</t>
  </si>
  <si>
    <t xml:space="preserve">瑞士</t>
  </si>
  <si>
    <t xml:space="preserve">巴西</t>
  </si>
  <si>
    <t xml:space="preserve">俄罗斯</t>
  </si>
  <si>
    <t xml:space="preserve">葡萄牙</t>
  </si>
  <si>
    <t xml:space="preserve">奥地利</t>
  </si>
  <si>
    <t xml:space="preserve">以色列</t>
  </si>
  <si>
    <t xml:space="preserve">印度</t>
  </si>
  <si>
    <t xml:space="preserve">爱尔兰</t>
  </si>
  <si>
    <t xml:space="preserve">瑞典</t>
  </si>
  <si>
    <t xml:space="preserve">韩国</t>
  </si>
  <si>
    <t xml:space="preserve">秘鲁</t>
  </si>
  <si>
    <t xml:space="preserve">智利</t>
  </si>
  <si>
    <t xml:space="preserve">日本</t>
  </si>
  <si>
    <t xml:space="preserve">厄瓜多尔</t>
  </si>
  <si>
    <t xml:space="preserve">波兰</t>
  </si>
  <si>
    <t xml:space="preserve">罗马尼亚</t>
  </si>
  <si>
    <t xml:space="preserve">挪威</t>
  </si>
  <si>
    <t xml:space="preserve">澳大利亚</t>
  </si>
  <si>
    <t xml:space="preserve">丹麦</t>
  </si>
  <si>
    <t xml:space="preserve">捷克</t>
  </si>
  <si>
    <t xml:space="preserve">巴基斯坦</t>
  </si>
  <si>
    <t xml:space="preserve">墨西哥</t>
  </si>
  <si>
    <t xml:space="preserve">沙特阿拉伯</t>
  </si>
  <si>
    <t xml:space="preserve">菲律宾</t>
  </si>
  <si>
    <t xml:space="preserve">马来西亚</t>
  </si>
  <si>
    <t xml:space="preserve">印度尼西亚</t>
  </si>
  <si>
    <t xml:space="preserve">阿联酋</t>
  </si>
  <si>
    <t xml:space="preserve">塞尔维亚</t>
  </si>
  <si>
    <t xml:space="preserve">巴拿马</t>
  </si>
  <si>
    <t xml:space="preserve">卢森堡</t>
  </si>
  <si>
    <t xml:space="preserve">卡塔尔</t>
  </si>
  <si>
    <t xml:space="preserve">多米尼加</t>
  </si>
  <si>
    <t xml:space="preserve">乌克兰</t>
  </si>
  <si>
    <t xml:space="preserve">芬兰</t>
  </si>
  <si>
    <t xml:space="preserve">白俄罗斯</t>
  </si>
  <si>
    <t xml:space="preserve">新加坡</t>
  </si>
  <si>
    <t xml:space="preserve">哥伦比亚</t>
  </si>
  <si>
    <t xml:space="preserve">泰国</t>
  </si>
  <si>
    <t xml:space="preserve">阿根廷</t>
  </si>
  <si>
    <t xml:space="preserve">南非</t>
  </si>
  <si>
    <t xml:space="preserve">埃及</t>
  </si>
  <si>
    <t xml:space="preserve">希腊</t>
  </si>
  <si>
    <t xml:space="preserve">孟加拉</t>
  </si>
  <si>
    <t xml:space="preserve">摩洛哥</t>
  </si>
  <si>
    <t xml:space="preserve">阿尔及利亚</t>
  </si>
  <si>
    <t xml:space="preserve">摩尔多瓦</t>
  </si>
  <si>
    <t xml:space="preserve">科威特</t>
  </si>
  <si>
    <t xml:space="preserve">匈牙利</t>
  </si>
  <si>
    <t xml:space="preserve">哈萨克斯坦</t>
  </si>
  <si>
    <t xml:space="preserve">巴林</t>
  </si>
  <si>
    <t xml:space="preserve">克罗地亚</t>
  </si>
  <si>
    <t xml:space="preserve">阿曼</t>
  </si>
  <si>
    <t xml:space="preserve">伊拉克</t>
  </si>
  <si>
    <t xml:space="preserve">乌兹别克斯坦</t>
  </si>
  <si>
    <t xml:space="preserve">阿富汗</t>
  </si>
  <si>
    <t xml:space="preserve">亚美尼亚</t>
  </si>
  <si>
    <t xml:space="preserve">尼日利亚</t>
  </si>
  <si>
    <t xml:space="preserve">喀麦隆</t>
  </si>
  <si>
    <t xml:space="preserve">加纳</t>
  </si>
  <si>
    <t xml:space="preserve">阿塞拜疆</t>
  </si>
  <si>
    <t xml:space="preserve">波黑</t>
  </si>
  <si>
    <t xml:space="preserve">几内亚</t>
  </si>
  <si>
    <t xml:space="preserve">玻利维亚</t>
  </si>
  <si>
    <t xml:space="preserve">保加利亚</t>
  </si>
  <si>
    <t xml:space="preserve">洪都拉斯</t>
  </si>
  <si>
    <t xml:space="preserve">塞内加尔</t>
  </si>
  <si>
    <t xml:space="preserve">科特迪瓦</t>
  </si>
  <si>
    <t xml:space="preserve">苏丹</t>
  </si>
  <si>
    <t xml:space="preserve">危地马拉</t>
  </si>
  <si>
    <t xml:space="preserve">塔吉克斯坦</t>
  </si>
  <si>
    <t xml:space="preserve">吉布提</t>
  </si>
  <si>
    <t xml:space="preserve">刚果</t>
  </si>
  <si>
    <t xml:space="preserve">北马其顿</t>
  </si>
  <si>
    <t xml:space="preserve">加蓬</t>
  </si>
  <si>
    <t xml:space="preserve">萨尔瓦多</t>
  </si>
  <si>
    <t xml:space="preserve">古巴</t>
  </si>
  <si>
    <t xml:space="preserve">海地</t>
  </si>
  <si>
    <t xml:space="preserve">索马里</t>
  </si>
  <si>
    <t xml:space="preserve">肯尼亚</t>
  </si>
  <si>
    <t xml:space="preserve">马约特</t>
  </si>
  <si>
    <t xml:space="preserve">尼泊尔</t>
  </si>
  <si>
    <t xml:space="preserve">吉尔吉斯斯坦</t>
  </si>
  <si>
    <t xml:space="preserve">委内瑞拉</t>
  </si>
  <si>
    <t xml:space="preserve">埃塞俄比亚</t>
  </si>
  <si>
    <t xml:space="preserve">中非</t>
  </si>
  <si>
    <t xml:space="preserve">马尔代夫</t>
  </si>
  <si>
    <t xml:space="preserve">毛里塔尼亚</t>
  </si>
  <si>
    <t xml:space="preserve">哥斯达黎加</t>
  </si>
  <si>
    <t xml:space="preserve">法属圭亚那</t>
  </si>
  <si>
    <t xml:space="preserve">爱沙尼亚</t>
  </si>
  <si>
    <t xml:space="preserve">阿尔巴尼亚</t>
  </si>
  <si>
    <t xml:space="preserve">尼加拉瓜</t>
  </si>
  <si>
    <t xml:space="preserve">马里</t>
  </si>
  <si>
    <t xml:space="preserve">斯里兰卡</t>
  </si>
  <si>
    <t xml:space="preserve">赤道几内亚</t>
  </si>
  <si>
    <t xml:space="preserve">马达加斯加</t>
  </si>
  <si>
    <t xml:space="preserve">中国大陆</t>
  </si>
  <si>
    <t xml:space="preserve">香港</t>
  </si>
  <si>
    <t xml:space="preserve">澳门</t>
  </si>
  <si>
    <t xml:space="preserve">台湾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</si>
</sst>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m/d;@"/>
    <numFmt numFmtId="166" formatCode="#,##0"/>
    <numFmt numFmtId="167" formatCode="0.0_ "/>
    <numFmt numFmtId="168" formatCode="#,##0.0_ "/>
    <numFmt numFmtId="169" formatCode="0_ "/>
    <numFmt numFmtId="170" formatCode="#,##0.00_ "/>
    <numFmt numFmtId="171" formatCode="#,##0.0"/>
    <numFmt numFmtId="172" formatCode="#,##0.00"/>
    <numFmt numFmtId="173" formatCode="0.00_ "/>
    <numFmt numFmtId="174" formatCode="m/d/yyyy"/>
  </numFmts>
  <fonts count="19">
    <font>
      <sz val="11"/>
      <color rgb="FF000000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imes New Roman"/>
      <family val="0"/>
      <charset val="204"/>
    </font>
    <font>
      <b val="true"/>
      <sz val="12"/>
      <color rgb="FF666666"/>
      <name val="宋体"/>
      <family val="0"/>
      <charset val="204"/>
    </font>
    <font>
      <b val="true"/>
      <sz val="8"/>
      <color rgb="FF666666"/>
      <name val="宋体"/>
      <family val="0"/>
      <charset val="204"/>
    </font>
    <font>
      <b val="true"/>
      <sz val="11.6"/>
      <color rgb="FF363945"/>
      <name val="Arial"/>
      <family val="0"/>
      <charset val="204"/>
    </font>
    <font>
      <b val="true"/>
      <sz val="11.6"/>
      <color rgb="FF363945"/>
      <name val="Arial"/>
      <family val="0"/>
      <charset val="134"/>
    </font>
    <font>
      <b val="true"/>
      <sz val="10.5"/>
      <color rgb="FF666666"/>
      <name val="Arial"/>
      <family val="0"/>
      <charset val="204"/>
    </font>
    <font>
      <sz val="12"/>
      <color rgb="FF000000"/>
      <name val="Times New Roman"/>
      <family val="0"/>
      <charset val="204"/>
    </font>
    <font>
      <sz val="12"/>
      <color rgb="FFFF0000"/>
      <name val="Times New Roman"/>
      <family val="0"/>
      <charset val="204"/>
    </font>
    <font>
      <b val="true"/>
      <sz val="10"/>
      <color rgb="FFFF0000"/>
      <name val="Times New Roman"/>
      <family val="0"/>
      <charset val="204"/>
    </font>
    <font>
      <sz val="10"/>
      <color rgb="FF00B050"/>
      <name val="Times New Roman"/>
      <family val="0"/>
      <charset val="204"/>
    </font>
    <font>
      <b val="true"/>
      <sz val="11.6"/>
      <color rgb="FFFFFFFF"/>
      <name val="Arial"/>
      <family val="0"/>
      <charset val="204"/>
    </font>
    <font>
      <b val="true"/>
      <sz val="11.6"/>
      <color rgb="FF222222"/>
      <name val="Arial"/>
      <family val="0"/>
      <charset val="204"/>
    </font>
    <font>
      <sz val="11.6"/>
      <color rgb="FF222222"/>
      <name val="Arial"/>
      <family val="0"/>
      <charset val="204"/>
    </font>
    <font>
      <b val="true"/>
      <sz val="10.5"/>
      <color rgb="FF222222"/>
      <name val="Arial"/>
      <family val="0"/>
      <charset val="204"/>
    </font>
    <font>
      <b val="true"/>
      <sz val="10"/>
      <color rgb="FF000000"/>
      <name val="Times New Roman"/>
      <family val="0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5F5F5"/>
      </patternFill>
    </fill>
    <fill>
      <patternFill patternType="solid">
        <fgColor rgb="FFF5F5F5"/>
        <bgColor rgb="FFFFFFFF"/>
      </patternFill>
    </fill>
    <fill>
      <patternFill patternType="solid">
        <fgColor rgb="FFEAF7D5"/>
        <bgColor rgb="FFF5F5F5"/>
      </patternFill>
    </fill>
    <fill>
      <patternFill patternType="solid">
        <fgColor rgb="FFFFEEAA"/>
        <bgColor rgb="FFEAF7D5"/>
      </patternFill>
    </fill>
    <fill>
      <patternFill patternType="solid">
        <fgColor rgb="FFFF0000"/>
        <bgColor rgb="FF993300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 diagonalUp="false" diagonalDown="false"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 diagonalUp="false" diagonalDown="false">
      <left style="medium">
        <color rgb="FFDDDDDD"/>
      </left>
      <right/>
      <top style="medium">
        <color rgb="FFDDDDDD"/>
      </top>
      <bottom/>
      <diagonal/>
    </border>
    <border diagonalUp="false" diagonalDown="false"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3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4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8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7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4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7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6" fontId="8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0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8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69" fontId="7" fillId="2" borderId="3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9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73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3" fontId="6" fillId="2" borderId="1" xfId="0" applyFont="true" applyBorder="true" applyAlignment="true" applyProtection="false">
      <alignment horizontal="justify" vertical="bottom" textRotation="0" wrapText="true" indent="0" shrinkToFit="false"/>
      <protection locked="true" hidden="false"/>
    </xf>
    <xf numFmtId="173" fontId="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4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5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6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7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0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18" fillId="0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8" fillId="3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4" borderId="4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8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6" fontId="8" fillId="2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AF7D5"/>
      <rgbColor rgb="FFF5F5F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EAA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69696"/>
      <rgbColor rgb="FF003366"/>
      <rgbColor rgb="FF00B050"/>
      <rgbColor rgb="FF003300"/>
      <rgbColor rgb="FF222222"/>
      <rgbColor rgb="FF993300"/>
      <rgbColor rgb="FF993366"/>
      <rgbColor rgb="FF333399"/>
      <rgbColor rgb="FF36394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90</xdr:row>
      <xdr:rowOff>182520</xdr:rowOff>
    </xdr:to>
    <xdr:sp>
      <xdr:nvSpPr>
        <xdr:cNvPr id="0" name="CustomShape 1"/>
        <xdr:cNvSpPr/>
      </xdr:nvSpPr>
      <xdr:spPr>
        <a:xfrm>
          <a:off x="3085200" y="182433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53640</xdr:rowOff>
    </xdr:to>
    <xdr:sp>
      <xdr:nvSpPr>
        <xdr:cNvPr id="1" name="CustomShape 1"/>
        <xdr:cNvSpPr/>
      </xdr:nvSpPr>
      <xdr:spPr>
        <a:xfrm>
          <a:off x="3085200" y="18234000"/>
          <a:ext cx="123264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90</xdr:row>
      <xdr:rowOff>193320</xdr:rowOff>
    </xdr:to>
    <xdr:sp>
      <xdr:nvSpPr>
        <xdr:cNvPr id="2" name="CustomShape 1"/>
        <xdr:cNvSpPr/>
      </xdr:nvSpPr>
      <xdr:spPr>
        <a:xfrm>
          <a:off x="2354400" y="182340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3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4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5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53640</xdr:rowOff>
    </xdr:to>
    <xdr:sp>
      <xdr:nvSpPr>
        <xdr:cNvPr id="6" name="CustomShape 1"/>
        <xdr:cNvSpPr/>
      </xdr:nvSpPr>
      <xdr:spPr>
        <a:xfrm>
          <a:off x="3816000" y="18234000"/>
          <a:ext cx="1227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7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8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9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10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11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12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13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14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90</xdr:row>
      <xdr:rowOff>193320</xdr:rowOff>
    </xdr:to>
    <xdr:sp>
      <xdr:nvSpPr>
        <xdr:cNvPr id="15" name="CustomShape 1"/>
        <xdr:cNvSpPr/>
      </xdr:nvSpPr>
      <xdr:spPr>
        <a:xfrm>
          <a:off x="1449000" y="182340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214920</xdr:colOff>
      <xdr:row>91</xdr:row>
      <xdr:rowOff>43920</xdr:rowOff>
    </xdr:to>
    <xdr:sp>
      <xdr:nvSpPr>
        <xdr:cNvPr id="16" name="CustomShape 1"/>
        <xdr:cNvSpPr/>
      </xdr:nvSpPr>
      <xdr:spPr>
        <a:xfrm>
          <a:off x="1449000" y="18234000"/>
          <a:ext cx="112032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90</xdr:row>
      <xdr:rowOff>182520</xdr:rowOff>
    </xdr:to>
    <xdr:sp>
      <xdr:nvSpPr>
        <xdr:cNvPr id="17" name="CustomShape 1"/>
        <xdr:cNvSpPr/>
      </xdr:nvSpPr>
      <xdr:spPr>
        <a:xfrm>
          <a:off x="3085200" y="182433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53640</xdr:rowOff>
    </xdr:to>
    <xdr:sp>
      <xdr:nvSpPr>
        <xdr:cNvPr id="18" name="CustomShape 1"/>
        <xdr:cNvSpPr/>
      </xdr:nvSpPr>
      <xdr:spPr>
        <a:xfrm>
          <a:off x="3085200" y="18234000"/>
          <a:ext cx="123264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90</xdr:row>
      <xdr:rowOff>193320</xdr:rowOff>
    </xdr:to>
    <xdr:sp>
      <xdr:nvSpPr>
        <xdr:cNvPr id="19" name="CustomShape 1"/>
        <xdr:cNvSpPr/>
      </xdr:nvSpPr>
      <xdr:spPr>
        <a:xfrm>
          <a:off x="2354400" y="182340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0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1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2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53640</xdr:rowOff>
    </xdr:to>
    <xdr:sp>
      <xdr:nvSpPr>
        <xdr:cNvPr id="23" name="CustomShape 1"/>
        <xdr:cNvSpPr/>
      </xdr:nvSpPr>
      <xdr:spPr>
        <a:xfrm>
          <a:off x="3816000" y="18234000"/>
          <a:ext cx="1227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24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5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6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27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8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9" name="CustomShape 1"/>
        <xdr:cNvSpPr/>
      </xdr:nvSpPr>
      <xdr:spPr>
        <a:xfrm>
          <a:off x="30852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30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2880</xdr:rowOff>
    </xdr:to>
    <xdr:sp>
      <xdr:nvSpPr>
        <xdr:cNvPr id="31" name="CustomShape 1"/>
        <xdr:cNvSpPr/>
      </xdr:nvSpPr>
      <xdr:spPr>
        <a:xfrm>
          <a:off x="30852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90</xdr:row>
      <xdr:rowOff>193320</xdr:rowOff>
    </xdr:to>
    <xdr:sp>
      <xdr:nvSpPr>
        <xdr:cNvPr id="32" name="CustomShape 1"/>
        <xdr:cNvSpPr/>
      </xdr:nvSpPr>
      <xdr:spPr>
        <a:xfrm>
          <a:off x="1449000" y="182340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214920</xdr:colOff>
      <xdr:row>91</xdr:row>
      <xdr:rowOff>43920</xdr:rowOff>
    </xdr:to>
    <xdr:sp>
      <xdr:nvSpPr>
        <xdr:cNvPr id="33" name="CustomShape 1"/>
        <xdr:cNvSpPr/>
      </xdr:nvSpPr>
      <xdr:spPr>
        <a:xfrm>
          <a:off x="1449000" y="18234000"/>
          <a:ext cx="112032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9360</xdr:rowOff>
    </xdr:from>
    <xdr:to>
      <xdr:col>4</xdr:col>
      <xdr:colOff>259200</xdr:colOff>
      <xdr:row>91</xdr:row>
      <xdr:rowOff>182520</xdr:rowOff>
    </xdr:to>
    <xdr:sp>
      <xdr:nvSpPr>
        <xdr:cNvPr id="34" name="CustomShape 1"/>
        <xdr:cNvSpPr/>
      </xdr:nvSpPr>
      <xdr:spPr>
        <a:xfrm>
          <a:off x="3085200" y="18443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35" name="CustomShape 1"/>
        <xdr:cNvSpPr/>
      </xdr:nvSpPr>
      <xdr:spPr>
        <a:xfrm>
          <a:off x="30852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36" name="CustomShape 1"/>
        <xdr:cNvSpPr/>
      </xdr:nvSpPr>
      <xdr:spPr>
        <a:xfrm>
          <a:off x="23544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37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38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39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40" name="CustomShape 1"/>
        <xdr:cNvSpPr/>
      </xdr:nvSpPr>
      <xdr:spPr>
        <a:xfrm>
          <a:off x="38160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1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2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3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4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5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46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7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48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49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214920</xdr:colOff>
      <xdr:row>92</xdr:row>
      <xdr:rowOff>43920</xdr:rowOff>
    </xdr:to>
    <xdr:sp>
      <xdr:nvSpPr>
        <xdr:cNvPr id="50" name="CustomShape 1"/>
        <xdr:cNvSpPr/>
      </xdr:nvSpPr>
      <xdr:spPr>
        <a:xfrm>
          <a:off x="1449000" y="18433800"/>
          <a:ext cx="11203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9360</xdr:rowOff>
    </xdr:from>
    <xdr:to>
      <xdr:col>4</xdr:col>
      <xdr:colOff>259200</xdr:colOff>
      <xdr:row>91</xdr:row>
      <xdr:rowOff>182520</xdr:rowOff>
    </xdr:to>
    <xdr:sp>
      <xdr:nvSpPr>
        <xdr:cNvPr id="51" name="CustomShape 1"/>
        <xdr:cNvSpPr/>
      </xdr:nvSpPr>
      <xdr:spPr>
        <a:xfrm>
          <a:off x="3085200" y="1844316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52" name="CustomShape 1"/>
        <xdr:cNvSpPr/>
      </xdr:nvSpPr>
      <xdr:spPr>
        <a:xfrm>
          <a:off x="30852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53" name="CustomShape 1"/>
        <xdr:cNvSpPr/>
      </xdr:nvSpPr>
      <xdr:spPr>
        <a:xfrm>
          <a:off x="23544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4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5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6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57" name="CustomShape 1"/>
        <xdr:cNvSpPr/>
      </xdr:nvSpPr>
      <xdr:spPr>
        <a:xfrm>
          <a:off x="38160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58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59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60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61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62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63" name="CustomShape 1"/>
        <xdr:cNvSpPr/>
      </xdr:nvSpPr>
      <xdr:spPr>
        <a:xfrm>
          <a:off x="30852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64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65" name="CustomShape 1"/>
        <xdr:cNvSpPr/>
      </xdr:nvSpPr>
      <xdr:spPr>
        <a:xfrm>
          <a:off x="30852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66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214920</xdr:colOff>
      <xdr:row>92</xdr:row>
      <xdr:rowOff>43920</xdr:rowOff>
    </xdr:to>
    <xdr:sp>
      <xdr:nvSpPr>
        <xdr:cNvPr id="67" name="CustomShape 1"/>
        <xdr:cNvSpPr/>
      </xdr:nvSpPr>
      <xdr:spPr>
        <a:xfrm>
          <a:off x="1449000" y="18433800"/>
          <a:ext cx="11203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9360</xdr:rowOff>
    </xdr:from>
    <xdr:to>
      <xdr:col>4</xdr:col>
      <xdr:colOff>259200</xdr:colOff>
      <xdr:row>93</xdr:row>
      <xdr:rowOff>182520</xdr:rowOff>
    </xdr:to>
    <xdr:sp>
      <xdr:nvSpPr>
        <xdr:cNvPr id="68" name="CustomShape 1"/>
        <xdr:cNvSpPr/>
      </xdr:nvSpPr>
      <xdr:spPr>
        <a:xfrm>
          <a:off x="3085200" y="1884312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501840</xdr:colOff>
      <xdr:row>94</xdr:row>
      <xdr:rowOff>53640</xdr:rowOff>
    </xdr:to>
    <xdr:sp>
      <xdr:nvSpPr>
        <xdr:cNvPr id="69" name="CustomShape 1"/>
        <xdr:cNvSpPr/>
      </xdr:nvSpPr>
      <xdr:spPr>
        <a:xfrm>
          <a:off x="3085200" y="1883376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360</xdr:colOff>
      <xdr:row>93</xdr:row>
      <xdr:rowOff>193320</xdr:rowOff>
    </xdr:to>
    <xdr:sp>
      <xdr:nvSpPr>
        <xdr:cNvPr id="70" name="CustomShape 1"/>
        <xdr:cNvSpPr/>
      </xdr:nvSpPr>
      <xdr:spPr>
        <a:xfrm>
          <a:off x="2354400" y="1883376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1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2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3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496800</xdr:colOff>
      <xdr:row>94</xdr:row>
      <xdr:rowOff>53640</xdr:rowOff>
    </xdr:to>
    <xdr:sp>
      <xdr:nvSpPr>
        <xdr:cNvPr id="74" name="CustomShape 1"/>
        <xdr:cNvSpPr/>
      </xdr:nvSpPr>
      <xdr:spPr>
        <a:xfrm>
          <a:off x="3816000" y="1883376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75" name="CustomShape 1"/>
        <xdr:cNvSpPr/>
      </xdr:nvSpPr>
      <xdr:spPr>
        <a:xfrm>
          <a:off x="3085200" y="1883376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6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7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78" name="CustomShape 1"/>
        <xdr:cNvSpPr/>
      </xdr:nvSpPr>
      <xdr:spPr>
        <a:xfrm>
          <a:off x="3085200" y="1883376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79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239040</xdr:colOff>
      <xdr:row>94</xdr:row>
      <xdr:rowOff>2880</xdr:rowOff>
    </xdr:to>
    <xdr:sp>
      <xdr:nvSpPr>
        <xdr:cNvPr id="80" name="CustomShape 1"/>
        <xdr:cNvSpPr/>
      </xdr:nvSpPr>
      <xdr:spPr>
        <a:xfrm>
          <a:off x="3085200" y="1883376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81" name="CustomShape 1"/>
        <xdr:cNvSpPr/>
      </xdr:nvSpPr>
      <xdr:spPr>
        <a:xfrm>
          <a:off x="3085200" y="1883376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360</xdr:colOff>
      <xdr:row>94</xdr:row>
      <xdr:rowOff>2880</xdr:rowOff>
    </xdr:to>
    <xdr:sp>
      <xdr:nvSpPr>
        <xdr:cNvPr id="82" name="CustomShape 1"/>
        <xdr:cNvSpPr/>
      </xdr:nvSpPr>
      <xdr:spPr>
        <a:xfrm>
          <a:off x="3085200" y="1883376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571320</xdr:colOff>
      <xdr:row>93</xdr:row>
      <xdr:rowOff>193320</xdr:rowOff>
    </xdr:to>
    <xdr:sp>
      <xdr:nvSpPr>
        <xdr:cNvPr id="83" name="CustomShape 1"/>
        <xdr:cNvSpPr/>
      </xdr:nvSpPr>
      <xdr:spPr>
        <a:xfrm>
          <a:off x="1449000" y="1883376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214920</xdr:colOff>
      <xdr:row>94</xdr:row>
      <xdr:rowOff>43920</xdr:rowOff>
    </xdr:to>
    <xdr:sp>
      <xdr:nvSpPr>
        <xdr:cNvPr id="84" name="CustomShape 1"/>
        <xdr:cNvSpPr/>
      </xdr:nvSpPr>
      <xdr:spPr>
        <a:xfrm>
          <a:off x="1449000" y="18833760"/>
          <a:ext cx="11203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79</xdr:row>
      <xdr:rowOff>9360</xdr:rowOff>
    </xdr:from>
    <xdr:to>
      <xdr:col>4</xdr:col>
      <xdr:colOff>259200</xdr:colOff>
      <xdr:row>79</xdr:row>
      <xdr:rowOff>182520</xdr:rowOff>
    </xdr:to>
    <xdr:sp>
      <xdr:nvSpPr>
        <xdr:cNvPr id="85" name="CustomShape 1"/>
        <xdr:cNvSpPr/>
      </xdr:nvSpPr>
      <xdr:spPr>
        <a:xfrm>
          <a:off x="2910600" y="160430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501840</xdr:colOff>
      <xdr:row>80</xdr:row>
      <xdr:rowOff>53640</xdr:rowOff>
    </xdr:to>
    <xdr:sp>
      <xdr:nvSpPr>
        <xdr:cNvPr id="86" name="CustomShape 1"/>
        <xdr:cNvSpPr/>
      </xdr:nvSpPr>
      <xdr:spPr>
        <a:xfrm>
          <a:off x="2910600" y="16033680"/>
          <a:ext cx="123264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360</xdr:colOff>
      <xdr:row>79</xdr:row>
      <xdr:rowOff>199440</xdr:rowOff>
    </xdr:to>
    <xdr:sp>
      <xdr:nvSpPr>
        <xdr:cNvPr id="87" name="CustomShape 1"/>
        <xdr:cNvSpPr/>
      </xdr:nvSpPr>
      <xdr:spPr>
        <a:xfrm>
          <a:off x="2179800" y="16033680"/>
          <a:ext cx="360" cy="199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88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89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0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496800</xdr:colOff>
      <xdr:row>80</xdr:row>
      <xdr:rowOff>53640</xdr:rowOff>
    </xdr:to>
    <xdr:sp>
      <xdr:nvSpPr>
        <xdr:cNvPr id="91" name="CustomShape 1"/>
        <xdr:cNvSpPr/>
      </xdr:nvSpPr>
      <xdr:spPr>
        <a:xfrm>
          <a:off x="3641400" y="16033680"/>
          <a:ext cx="1227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2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3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4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5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6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97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8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99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571320</xdr:colOff>
      <xdr:row>79</xdr:row>
      <xdr:rowOff>199440</xdr:rowOff>
    </xdr:to>
    <xdr:sp>
      <xdr:nvSpPr>
        <xdr:cNvPr id="100" name="CustomShape 1"/>
        <xdr:cNvSpPr/>
      </xdr:nvSpPr>
      <xdr:spPr>
        <a:xfrm>
          <a:off x="1449000" y="16033680"/>
          <a:ext cx="571320" cy="199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01" name="CustomShape 1"/>
        <xdr:cNvSpPr/>
      </xdr:nvSpPr>
      <xdr:spPr>
        <a:xfrm>
          <a:off x="79560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02" name="CustomShape 1"/>
        <xdr:cNvSpPr/>
      </xdr:nvSpPr>
      <xdr:spPr>
        <a:xfrm>
          <a:off x="79560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392760</xdr:colOff>
      <xdr:row>80</xdr:row>
      <xdr:rowOff>43920</xdr:rowOff>
    </xdr:to>
    <xdr:sp>
      <xdr:nvSpPr>
        <xdr:cNvPr id="103" name="CustomShape 1"/>
        <xdr:cNvSpPr/>
      </xdr:nvSpPr>
      <xdr:spPr>
        <a:xfrm>
          <a:off x="1449000" y="16033680"/>
          <a:ext cx="112356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37800</xdr:rowOff>
    </xdr:to>
    <xdr:sp>
      <xdr:nvSpPr>
        <xdr:cNvPr id="104" name="CustomShape 1"/>
        <xdr:cNvSpPr/>
      </xdr:nvSpPr>
      <xdr:spPr>
        <a:xfrm>
          <a:off x="795600" y="16033680"/>
          <a:ext cx="144468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05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06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07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41040</xdr:rowOff>
    </xdr:to>
    <xdr:sp>
      <xdr:nvSpPr>
        <xdr:cNvPr id="108" name="CustomShape 1"/>
        <xdr:cNvSpPr/>
      </xdr:nvSpPr>
      <xdr:spPr>
        <a:xfrm>
          <a:off x="795600" y="1603368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34560</xdr:rowOff>
    </xdr:to>
    <xdr:sp>
      <xdr:nvSpPr>
        <xdr:cNvPr id="109" name="CustomShape 1"/>
        <xdr:cNvSpPr/>
      </xdr:nvSpPr>
      <xdr:spPr>
        <a:xfrm>
          <a:off x="795600" y="1603368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63000</xdr:rowOff>
    </xdr:to>
    <xdr:sp>
      <xdr:nvSpPr>
        <xdr:cNvPr id="110" name="CustomShape 1"/>
        <xdr:cNvSpPr/>
      </xdr:nvSpPr>
      <xdr:spPr>
        <a:xfrm>
          <a:off x="795600" y="16033680"/>
          <a:ext cx="144468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79</xdr:row>
      <xdr:rowOff>0</xdr:rowOff>
    </xdr:from>
    <xdr:to>
      <xdr:col>3</xdr:col>
      <xdr:colOff>488520</xdr:colOff>
      <xdr:row>80</xdr:row>
      <xdr:rowOff>43920</xdr:rowOff>
    </xdr:to>
    <xdr:sp>
      <xdr:nvSpPr>
        <xdr:cNvPr id="111" name="CustomShape 1"/>
        <xdr:cNvSpPr/>
      </xdr:nvSpPr>
      <xdr:spPr>
        <a:xfrm>
          <a:off x="122364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2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3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4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5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6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7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18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19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0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1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2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3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4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5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6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7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28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29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0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1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2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3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4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5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6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7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38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39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9360</xdr:rowOff>
    </xdr:from>
    <xdr:to>
      <xdr:col>4</xdr:col>
      <xdr:colOff>259200</xdr:colOff>
      <xdr:row>79</xdr:row>
      <xdr:rowOff>182520</xdr:rowOff>
    </xdr:to>
    <xdr:sp>
      <xdr:nvSpPr>
        <xdr:cNvPr id="140" name="CustomShape 1"/>
        <xdr:cNvSpPr/>
      </xdr:nvSpPr>
      <xdr:spPr>
        <a:xfrm>
          <a:off x="2910600" y="160430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501840</xdr:colOff>
      <xdr:row>80</xdr:row>
      <xdr:rowOff>53640</xdr:rowOff>
    </xdr:to>
    <xdr:sp>
      <xdr:nvSpPr>
        <xdr:cNvPr id="141" name="CustomShape 1"/>
        <xdr:cNvSpPr/>
      </xdr:nvSpPr>
      <xdr:spPr>
        <a:xfrm>
          <a:off x="2910600" y="16033680"/>
          <a:ext cx="123264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360</xdr:colOff>
      <xdr:row>79</xdr:row>
      <xdr:rowOff>199440</xdr:rowOff>
    </xdr:to>
    <xdr:sp>
      <xdr:nvSpPr>
        <xdr:cNvPr id="142" name="CustomShape 1"/>
        <xdr:cNvSpPr/>
      </xdr:nvSpPr>
      <xdr:spPr>
        <a:xfrm>
          <a:off x="2179800" y="16033680"/>
          <a:ext cx="360" cy="199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3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4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5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496800</xdr:colOff>
      <xdr:row>80</xdr:row>
      <xdr:rowOff>53640</xdr:rowOff>
    </xdr:to>
    <xdr:sp>
      <xdr:nvSpPr>
        <xdr:cNvPr id="146" name="CustomShape 1"/>
        <xdr:cNvSpPr/>
      </xdr:nvSpPr>
      <xdr:spPr>
        <a:xfrm>
          <a:off x="3641400" y="16033680"/>
          <a:ext cx="12279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47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8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49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50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51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239040</xdr:colOff>
      <xdr:row>80</xdr:row>
      <xdr:rowOff>2880</xdr:rowOff>
    </xdr:to>
    <xdr:sp>
      <xdr:nvSpPr>
        <xdr:cNvPr id="152" name="CustomShape 1"/>
        <xdr:cNvSpPr/>
      </xdr:nvSpPr>
      <xdr:spPr>
        <a:xfrm>
          <a:off x="2910600" y="1603368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53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360</xdr:colOff>
      <xdr:row>80</xdr:row>
      <xdr:rowOff>2880</xdr:rowOff>
    </xdr:to>
    <xdr:sp>
      <xdr:nvSpPr>
        <xdr:cNvPr id="154" name="CustomShape 1"/>
        <xdr:cNvSpPr/>
      </xdr:nvSpPr>
      <xdr:spPr>
        <a:xfrm>
          <a:off x="2910600" y="1603368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571320</xdr:colOff>
      <xdr:row>79</xdr:row>
      <xdr:rowOff>199440</xdr:rowOff>
    </xdr:to>
    <xdr:sp>
      <xdr:nvSpPr>
        <xdr:cNvPr id="155" name="CustomShape 1"/>
        <xdr:cNvSpPr/>
      </xdr:nvSpPr>
      <xdr:spPr>
        <a:xfrm>
          <a:off x="1449000" y="16033680"/>
          <a:ext cx="571320" cy="199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56" name="CustomShape 1"/>
        <xdr:cNvSpPr/>
      </xdr:nvSpPr>
      <xdr:spPr>
        <a:xfrm>
          <a:off x="79560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43920</xdr:rowOff>
    </xdr:to>
    <xdr:sp>
      <xdr:nvSpPr>
        <xdr:cNvPr id="157" name="CustomShape 1"/>
        <xdr:cNvSpPr/>
      </xdr:nvSpPr>
      <xdr:spPr>
        <a:xfrm>
          <a:off x="79560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392760</xdr:colOff>
      <xdr:row>80</xdr:row>
      <xdr:rowOff>43920</xdr:rowOff>
    </xdr:to>
    <xdr:sp>
      <xdr:nvSpPr>
        <xdr:cNvPr id="158" name="CustomShape 1"/>
        <xdr:cNvSpPr/>
      </xdr:nvSpPr>
      <xdr:spPr>
        <a:xfrm>
          <a:off x="1449000" y="16033680"/>
          <a:ext cx="112356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37800</xdr:rowOff>
    </xdr:to>
    <xdr:sp>
      <xdr:nvSpPr>
        <xdr:cNvPr id="159" name="CustomShape 1"/>
        <xdr:cNvSpPr/>
      </xdr:nvSpPr>
      <xdr:spPr>
        <a:xfrm>
          <a:off x="795600" y="16033680"/>
          <a:ext cx="1444680" cy="237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60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61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62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41040</xdr:rowOff>
    </xdr:to>
    <xdr:sp>
      <xdr:nvSpPr>
        <xdr:cNvPr id="163" name="CustomShape 1"/>
        <xdr:cNvSpPr/>
      </xdr:nvSpPr>
      <xdr:spPr>
        <a:xfrm>
          <a:off x="795600" y="1603368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34560</xdr:rowOff>
    </xdr:to>
    <xdr:sp>
      <xdr:nvSpPr>
        <xdr:cNvPr id="164" name="CustomShape 1"/>
        <xdr:cNvSpPr/>
      </xdr:nvSpPr>
      <xdr:spPr>
        <a:xfrm>
          <a:off x="795600" y="1603368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63000</xdr:rowOff>
    </xdr:to>
    <xdr:sp>
      <xdr:nvSpPr>
        <xdr:cNvPr id="165" name="CustomShape 1"/>
        <xdr:cNvSpPr/>
      </xdr:nvSpPr>
      <xdr:spPr>
        <a:xfrm>
          <a:off x="795600" y="16033680"/>
          <a:ext cx="144468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79</xdr:row>
      <xdr:rowOff>0</xdr:rowOff>
    </xdr:from>
    <xdr:to>
      <xdr:col>3</xdr:col>
      <xdr:colOff>488520</xdr:colOff>
      <xdr:row>80</xdr:row>
      <xdr:rowOff>43920</xdr:rowOff>
    </xdr:to>
    <xdr:sp>
      <xdr:nvSpPr>
        <xdr:cNvPr id="166" name="CustomShape 1"/>
        <xdr:cNvSpPr/>
      </xdr:nvSpPr>
      <xdr:spPr>
        <a:xfrm>
          <a:off x="1223640" y="1603368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67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68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69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0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1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2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3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4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5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6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7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78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79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0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1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2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3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4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5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6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7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88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89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90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31320</xdr:rowOff>
    </xdr:to>
    <xdr:sp>
      <xdr:nvSpPr>
        <xdr:cNvPr id="191" name="CustomShape 1"/>
        <xdr:cNvSpPr/>
      </xdr:nvSpPr>
      <xdr:spPr>
        <a:xfrm>
          <a:off x="795600" y="16033680"/>
          <a:ext cx="1444680" cy="2311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60480</xdr:colOff>
      <xdr:row>80</xdr:row>
      <xdr:rowOff>25200</xdr:rowOff>
    </xdr:to>
    <xdr:sp>
      <xdr:nvSpPr>
        <xdr:cNvPr id="192" name="CustomShape 1"/>
        <xdr:cNvSpPr/>
      </xdr:nvSpPr>
      <xdr:spPr>
        <a:xfrm>
          <a:off x="795600" y="16033680"/>
          <a:ext cx="1444680" cy="225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89</xdr:row>
      <xdr:rowOff>193320</xdr:rowOff>
    </xdr:to>
    <xdr:sp>
      <xdr:nvSpPr>
        <xdr:cNvPr id="193" name="CustomShape 1"/>
        <xdr:cNvSpPr/>
      </xdr:nvSpPr>
      <xdr:spPr>
        <a:xfrm>
          <a:off x="2910600" y="1803384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94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95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9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9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9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99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0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0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0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0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0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0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0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0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208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209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210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211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212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1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1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1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1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1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1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1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2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2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2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2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224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25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226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227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228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229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230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34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35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38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3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4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4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242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4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244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245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246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247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248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4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52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5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5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5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59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260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6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262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263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89</xdr:row>
      <xdr:rowOff>193320</xdr:rowOff>
    </xdr:to>
    <xdr:sp>
      <xdr:nvSpPr>
        <xdr:cNvPr id="264" name="CustomShape 1"/>
        <xdr:cNvSpPr/>
      </xdr:nvSpPr>
      <xdr:spPr>
        <a:xfrm>
          <a:off x="2910600" y="1803384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265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266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6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6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6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270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71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72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7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7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275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7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7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7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7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8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281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82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8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89</xdr:row>
      <xdr:rowOff>0</xdr:rowOff>
    </xdr:from>
    <xdr:to>
      <xdr:col>5</xdr:col>
      <xdr:colOff>258120</xdr:colOff>
      <xdr:row>89</xdr:row>
      <xdr:rowOff>196560</xdr:rowOff>
    </xdr:to>
    <xdr:sp>
      <xdr:nvSpPr>
        <xdr:cNvPr id="284" name="CustomShape 1"/>
        <xdr:cNvSpPr/>
      </xdr:nvSpPr>
      <xdr:spPr>
        <a:xfrm>
          <a:off x="2929680" y="18033840"/>
          <a:ext cx="96984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285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8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8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81720</xdr:colOff>
      <xdr:row>90</xdr:row>
      <xdr:rowOff>43920</xdr:rowOff>
    </xdr:to>
    <xdr:sp>
      <xdr:nvSpPr>
        <xdr:cNvPr id="288" name="CustomShape 1"/>
        <xdr:cNvSpPr/>
      </xdr:nvSpPr>
      <xdr:spPr>
        <a:xfrm>
          <a:off x="2179800" y="18033840"/>
          <a:ext cx="8125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289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290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291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292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293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9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9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9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297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298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29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0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0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0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0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0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305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0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307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308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309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310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311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1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1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1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315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1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1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1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19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2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2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22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323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2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325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326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327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328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329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333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3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3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33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4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341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342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343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344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9360</xdr:rowOff>
    </xdr:from>
    <xdr:to>
      <xdr:col>4</xdr:col>
      <xdr:colOff>259200</xdr:colOff>
      <xdr:row>88</xdr:row>
      <xdr:rowOff>182520</xdr:rowOff>
    </xdr:to>
    <xdr:sp>
      <xdr:nvSpPr>
        <xdr:cNvPr id="345" name="CustomShape 1"/>
        <xdr:cNvSpPr/>
      </xdr:nvSpPr>
      <xdr:spPr>
        <a:xfrm>
          <a:off x="2910600" y="178430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346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347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48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4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351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5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55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35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5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359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360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361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362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363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364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365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6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6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6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369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370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371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372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7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7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7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7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8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8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39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39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0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9360</xdr:rowOff>
    </xdr:from>
    <xdr:to>
      <xdr:col>4</xdr:col>
      <xdr:colOff>259200</xdr:colOff>
      <xdr:row>88</xdr:row>
      <xdr:rowOff>182520</xdr:rowOff>
    </xdr:to>
    <xdr:sp>
      <xdr:nvSpPr>
        <xdr:cNvPr id="401" name="CustomShape 1"/>
        <xdr:cNvSpPr/>
      </xdr:nvSpPr>
      <xdr:spPr>
        <a:xfrm>
          <a:off x="2910600" y="178430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402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403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407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0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0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1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11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1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41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14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415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416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417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418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419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420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421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2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2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2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425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426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427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428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2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3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3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4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4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5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5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5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45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45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455" name="CustomShape 1"/>
        <xdr:cNvSpPr/>
      </xdr:nvSpPr>
      <xdr:spPr>
        <a:xfrm>
          <a:off x="29106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456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457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5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5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6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461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6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6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6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6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6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6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6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68040</xdr:rowOff>
    </xdr:from>
    <xdr:to>
      <xdr:col>11</xdr:col>
      <xdr:colOff>342000</xdr:colOff>
      <xdr:row>91</xdr:row>
      <xdr:rowOff>70920</xdr:rowOff>
    </xdr:to>
    <xdr:sp>
      <xdr:nvSpPr>
        <xdr:cNvPr id="469" name="CustomShape 1"/>
        <xdr:cNvSpPr/>
      </xdr:nvSpPr>
      <xdr:spPr>
        <a:xfrm>
          <a:off x="7414200" y="1830204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7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471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472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473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474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475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7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7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7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47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8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8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8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8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8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8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8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487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8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489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490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491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492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493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9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9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9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497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49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49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0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01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0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0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0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505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0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507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508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509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510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511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1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1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1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15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1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1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1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1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2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2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2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523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2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525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526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527" name="CustomShape 1"/>
        <xdr:cNvSpPr/>
      </xdr:nvSpPr>
      <xdr:spPr>
        <a:xfrm>
          <a:off x="29106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528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529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3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3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3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533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34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3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3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3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538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3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4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4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4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4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544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45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4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90</xdr:row>
      <xdr:rowOff>0</xdr:rowOff>
    </xdr:from>
    <xdr:to>
      <xdr:col>5</xdr:col>
      <xdr:colOff>258120</xdr:colOff>
      <xdr:row>91</xdr:row>
      <xdr:rowOff>6120</xdr:rowOff>
    </xdr:to>
    <xdr:sp>
      <xdr:nvSpPr>
        <xdr:cNvPr id="547" name="CustomShape 1"/>
        <xdr:cNvSpPr/>
      </xdr:nvSpPr>
      <xdr:spPr>
        <a:xfrm>
          <a:off x="2929680" y="18234000"/>
          <a:ext cx="969840" cy="205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548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4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5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81720</xdr:colOff>
      <xdr:row>91</xdr:row>
      <xdr:rowOff>53640</xdr:rowOff>
    </xdr:to>
    <xdr:sp>
      <xdr:nvSpPr>
        <xdr:cNvPr id="551" name="CustomShape 1"/>
        <xdr:cNvSpPr/>
      </xdr:nvSpPr>
      <xdr:spPr>
        <a:xfrm>
          <a:off x="2179800" y="18234000"/>
          <a:ext cx="81252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552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553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554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555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556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5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5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5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60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61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6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6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6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6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6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6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568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6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570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571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572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573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574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7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7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7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78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7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8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8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8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8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8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8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586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8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588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589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590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591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592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9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9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9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596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59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9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59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60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60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60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60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604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60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606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607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9360</xdr:rowOff>
    </xdr:from>
    <xdr:to>
      <xdr:col>4</xdr:col>
      <xdr:colOff>259200</xdr:colOff>
      <xdr:row>89</xdr:row>
      <xdr:rowOff>182520</xdr:rowOff>
    </xdr:to>
    <xdr:sp>
      <xdr:nvSpPr>
        <xdr:cNvPr id="608" name="CustomShape 1"/>
        <xdr:cNvSpPr/>
      </xdr:nvSpPr>
      <xdr:spPr>
        <a:xfrm>
          <a:off x="2910600" y="180432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609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610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614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15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18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1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2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2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622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2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624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625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626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627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628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2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3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3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632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633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634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635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3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3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3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3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4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4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4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4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4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4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4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4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4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4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5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5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5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5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5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5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5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5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5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5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6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6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6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6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9360</xdr:rowOff>
    </xdr:from>
    <xdr:to>
      <xdr:col>4</xdr:col>
      <xdr:colOff>259200</xdr:colOff>
      <xdr:row>89</xdr:row>
      <xdr:rowOff>182520</xdr:rowOff>
    </xdr:to>
    <xdr:sp>
      <xdr:nvSpPr>
        <xdr:cNvPr id="664" name="CustomShape 1"/>
        <xdr:cNvSpPr/>
      </xdr:nvSpPr>
      <xdr:spPr>
        <a:xfrm>
          <a:off x="2910600" y="180432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665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666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6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6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6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670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7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7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7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7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7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67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7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678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679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680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681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682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683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684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8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8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8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688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689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690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691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9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9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9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9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9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9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69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69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0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0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0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0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0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0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0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0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0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0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1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1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1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1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1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1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71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71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91</xdr:row>
      <xdr:rowOff>193320</xdr:rowOff>
    </xdr:to>
    <xdr:sp>
      <xdr:nvSpPr>
        <xdr:cNvPr id="718" name="CustomShape 1"/>
        <xdr:cNvSpPr/>
      </xdr:nvSpPr>
      <xdr:spPr>
        <a:xfrm>
          <a:off x="2910600" y="1843380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19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20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1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2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3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24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25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28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2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3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31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32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33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34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35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736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37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38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3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1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42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43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46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48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49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50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51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52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53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754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55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56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5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58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5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60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1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2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3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4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6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7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68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69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70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71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772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73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74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7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7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7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78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79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1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82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3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8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85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786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87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788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789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91</xdr:row>
      <xdr:rowOff>193320</xdr:rowOff>
    </xdr:to>
    <xdr:sp>
      <xdr:nvSpPr>
        <xdr:cNvPr id="790" name="CustomShape 1"/>
        <xdr:cNvSpPr/>
      </xdr:nvSpPr>
      <xdr:spPr>
        <a:xfrm>
          <a:off x="2910600" y="1843380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791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792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3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796" name="CustomShape 1"/>
        <xdr:cNvSpPr/>
      </xdr:nvSpPr>
      <xdr:spPr>
        <a:xfrm>
          <a:off x="3641400" y="1843380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797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798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79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801" name="CustomShape 1"/>
        <xdr:cNvSpPr/>
      </xdr:nvSpPr>
      <xdr:spPr>
        <a:xfrm>
          <a:off x="3641400" y="1843380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02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03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0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807" name="CustomShape 1"/>
        <xdr:cNvSpPr/>
      </xdr:nvSpPr>
      <xdr:spPr>
        <a:xfrm>
          <a:off x="3641400" y="1843380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08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09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91</xdr:row>
      <xdr:rowOff>0</xdr:rowOff>
    </xdr:from>
    <xdr:to>
      <xdr:col>5</xdr:col>
      <xdr:colOff>258120</xdr:colOff>
      <xdr:row>91</xdr:row>
      <xdr:rowOff>196560</xdr:rowOff>
    </xdr:to>
    <xdr:sp>
      <xdr:nvSpPr>
        <xdr:cNvPr id="810" name="CustomShape 1"/>
        <xdr:cNvSpPr/>
      </xdr:nvSpPr>
      <xdr:spPr>
        <a:xfrm>
          <a:off x="2929680" y="18433800"/>
          <a:ext cx="96984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223920</xdr:colOff>
      <xdr:row>91</xdr:row>
      <xdr:rowOff>193320</xdr:rowOff>
    </xdr:to>
    <xdr:sp>
      <xdr:nvSpPr>
        <xdr:cNvPr id="811" name="CustomShape 1"/>
        <xdr:cNvSpPr/>
      </xdr:nvSpPr>
      <xdr:spPr>
        <a:xfrm>
          <a:off x="3641400" y="1843380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12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13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81720</xdr:colOff>
      <xdr:row>92</xdr:row>
      <xdr:rowOff>43920</xdr:rowOff>
    </xdr:to>
    <xdr:sp>
      <xdr:nvSpPr>
        <xdr:cNvPr id="814" name="CustomShape 1"/>
        <xdr:cNvSpPr/>
      </xdr:nvSpPr>
      <xdr:spPr>
        <a:xfrm>
          <a:off x="2179800" y="18433800"/>
          <a:ext cx="8125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15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16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817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818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819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1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2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23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24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27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8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2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30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31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32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33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34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835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836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837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38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39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0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41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42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3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45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4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48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49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50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51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52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259200</xdr:colOff>
      <xdr:row>91</xdr:row>
      <xdr:rowOff>173160</xdr:rowOff>
    </xdr:to>
    <xdr:sp>
      <xdr:nvSpPr>
        <xdr:cNvPr id="853" name="CustomShape 1"/>
        <xdr:cNvSpPr/>
      </xdr:nvSpPr>
      <xdr:spPr>
        <a:xfrm>
          <a:off x="2910600" y="1843380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501840</xdr:colOff>
      <xdr:row>92</xdr:row>
      <xdr:rowOff>53640</xdr:rowOff>
    </xdr:to>
    <xdr:sp>
      <xdr:nvSpPr>
        <xdr:cNvPr id="854" name="CustomShape 1"/>
        <xdr:cNvSpPr/>
      </xdr:nvSpPr>
      <xdr:spPr>
        <a:xfrm>
          <a:off x="2910600" y="1843380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360</xdr:colOff>
      <xdr:row>91</xdr:row>
      <xdr:rowOff>193320</xdr:rowOff>
    </xdr:to>
    <xdr:sp>
      <xdr:nvSpPr>
        <xdr:cNvPr id="855" name="CustomShape 1"/>
        <xdr:cNvSpPr/>
      </xdr:nvSpPr>
      <xdr:spPr>
        <a:xfrm>
          <a:off x="2179800" y="1843380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56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57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58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496800</xdr:colOff>
      <xdr:row>92</xdr:row>
      <xdr:rowOff>53640</xdr:rowOff>
    </xdr:to>
    <xdr:sp>
      <xdr:nvSpPr>
        <xdr:cNvPr id="859" name="CustomShape 1"/>
        <xdr:cNvSpPr/>
      </xdr:nvSpPr>
      <xdr:spPr>
        <a:xfrm>
          <a:off x="3641400" y="1843380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0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1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2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3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4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239040</xdr:colOff>
      <xdr:row>92</xdr:row>
      <xdr:rowOff>2880</xdr:rowOff>
    </xdr:to>
    <xdr:sp>
      <xdr:nvSpPr>
        <xdr:cNvPr id="865" name="CustomShape 1"/>
        <xdr:cNvSpPr/>
      </xdr:nvSpPr>
      <xdr:spPr>
        <a:xfrm>
          <a:off x="2910600" y="1843380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6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67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360</xdr:colOff>
      <xdr:row>92</xdr:row>
      <xdr:rowOff>2880</xdr:rowOff>
    </xdr:to>
    <xdr:sp>
      <xdr:nvSpPr>
        <xdr:cNvPr id="868" name="CustomShape 1"/>
        <xdr:cNvSpPr/>
      </xdr:nvSpPr>
      <xdr:spPr>
        <a:xfrm>
          <a:off x="2910600" y="1843380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571320</xdr:colOff>
      <xdr:row>91</xdr:row>
      <xdr:rowOff>193320</xdr:rowOff>
    </xdr:to>
    <xdr:sp>
      <xdr:nvSpPr>
        <xdr:cNvPr id="869" name="CustomShape 1"/>
        <xdr:cNvSpPr/>
      </xdr:nvSpPr>
      <xdr:spPr>
        <a:xfrm>
          <a:off x="1449000" y="1843380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392760</xdr:colOff>
      <xdr:row>92</xdr:row>
      <xdr:rowOff>43920</xdr:rowOff>
    </xdr:to>
    <xdr:sp>
      <xdr:nvSpPr>
        <xdr:cNvPr id="870" name="CustomShape 1"/>
        <xdr:cNvSpPr/>
      </xdr:nvSpPr>
      <xdr:spPr>
        <a:xfrm>
          <a:off x="1449000" y="1843380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90</xdr:row>
      <xdr:rowOff>191880</xdr:rowOff>
    </xdr:to>
    <xdr:sp>
      <xdr:nvSpPr>
        <xdr:cNvPr id="871" name="CustomShape 1"/>
        <xdr:cNvSpPr/>
      </xdr:nvSpPr>
      <xdr:spPr>
        <a:xfrm>
          <a:off x="2910600" y="1824336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872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873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7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7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7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877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87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7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8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881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8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88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88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885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88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887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888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889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890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891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89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89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89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895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896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897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898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89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0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0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0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0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0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0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0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0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0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0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1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1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1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1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1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1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1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1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1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1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2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2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2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2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2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2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2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9360</xdr:rowOff>
    </xdr:from>
    <xdr:to>
      <xdr:col>4</xdr:col>
      <xdr:colOff>259200</xdr:colOff>
      <xdr:row>90</xdr:row>
      <xdr:rowOff>191880</xdr:rowOff>
    </xdr:to>
    <xdr:sp>
      <xdr:nvSpPr>
        <xdr:cNvPr id="927" name="CustomShape 1"/>
        <xdr:cNvSpPr/>
      </xdr:nvSpPr>
      <xdr:spPr>
        <a:xfrm>
          <a:off x="2910600" y="1824336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928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929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933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93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93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93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94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91</xdr:row>
      <xdr:rowOff>0</xdr:rowOff>
    </xdr:from>
    <xdr:to>
      <xdr:col>11</xdr:col>
      <xdr:colOff>342000</xdr:colOff>
      <xdr:row>91</xdr:row>
      <xdr:rowOff>193320</xdr:rowOff>
    </xdr:to>
    <xdr:sp>
      <xdr:nvSpPr>
        <xdr:cNvPr id="941" name="CustomShape 1"/>
        <xdr:cNvSpPr/>
      </xdr:nvSpPr>
      <xdr:spPr>
        <a:xfrm>
          <a:off x="7414200" y="1843380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94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943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44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945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946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947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4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4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5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951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952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953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954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5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5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5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5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5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6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6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6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6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6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6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6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6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6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6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7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7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7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7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7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7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7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7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7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97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98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88</xdr:row>
      <xdr:rowOff>193320</xdr:rowOff>
    </xdr:to>
    <xdr:sp>
      <xdr:nvSpPr>
        <xdr:cNvPr id="981" name="CustomShape 1"/>
        <xdr:cNvSpPr/>
      </xdr:nvSpPr>
      <xdr:spPr>
        <a:xfrm>
          <a:off x="2910600" y="1783368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982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983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987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8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8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9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91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9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99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94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68040</xdr:rowOff>
    </xdr:from>
    <xdr:to>
      <xdr:col>11</xdr:col>
      <xdr:colOff>342000</xdr:colOff>
      <xdr:row>90</xdr:row>
      <xdr:rowOff>61200</xdr:rowOff>
    </xdr:to>
    <xdr:sp>
      <xdr:nvSpPr>
        <xdr:cNvPr id="995" name="CustomShape 1"/>
        <xdr:cNvSpPr/>
      </xdr:nvSpPr>
      <xdr:spPr>
        <a:xfrm>
          <a:off x="7414200" y="181018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996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997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998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999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000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001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0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0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0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005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006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007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008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0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1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1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2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2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3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3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3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3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3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035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036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037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38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3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041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4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45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4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4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049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50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051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052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053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054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055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5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5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5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059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060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061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062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6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6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6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6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7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7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8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08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09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091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092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093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097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09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09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0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01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0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0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04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105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06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107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08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09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110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111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1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1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1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115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116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117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118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1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2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2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3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3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4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4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4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4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4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145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146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147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48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4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151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5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55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15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5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159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160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161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62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163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164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165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6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6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6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169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170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171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172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7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7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7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7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8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89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0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1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2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3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4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5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6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197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198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88</xdr:row>
      <xdr:rowOff>193320</xdr:rowOff>
    </xdr:to>
    <xdr:sp>
      <xdr:nvSpPr>
        <xdr:cNvPr id="1199" name="CustomShape 1"/>
        <xdr:cNvSpPr/>
      </xdr:nvSpPr>
      <xdr:spPr>
        <a:xfrm>
          <a:off x="2910600" y="1783368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200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201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05" name="CustomShape 1"/>
        <xdr:cNvSpPr/>
      </xdr:nvSpPr>
      <xdr:spPr>
        <a:xfrm>
          <a:off x="3641400" y="1783368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06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07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8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0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10" name="CustomShape 1"/>
        <xdr:cNvSpPr/>
      </xdr:nvSpPr>
      <xdr:spPr>
        <a:xfrm>
          <a:off x="3641400" y="1783368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11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1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1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1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1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16" name="CustomShape 1"/>
        <xdr:cNvSpPr/>
      </xdr:nvSpPr>
      <xdr:spPr>
        <a:xfrm>
          <a:off x="3641400" y="1783368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17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1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88</xdr:row>
      <xdr:rowOff>0</xdr:rowOff>
    </xdr:from>
    <xdr:to>
      <xdr:col>5</xdr:col>
      <xdr:colOff>258120</xdr:colOff>
      <xdr:row>88</xdr:row>
      <xdr:rowOff>196560</xdr:rowOff>
    </xdr:to>
    <xdr:sp>
      <xdr:nvSpPr>
        <xdr:cNvPr id="1219" name="CustomShape 1"/>
        <xdr:cNvSpPr/>
      </xdr:nvSpPr>
      <xdr:spPr>
        <a:xfrm>
          <a:off x="2929680" y="17833680"/>
          <a:ext cx="96984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223920</xdr:colOff>
      <xdr:row>88</xdr:row>
      <xdr:rowOff>193320</xdr:rowOff>
    </xdr:to>
    <xdr:sp>
      <xdr:nvSpPr>
        <xdr:cNvPr id="1220" name="CustomShape 1"/>
        <xdr:cNvSpPr/>
      </xdr:nvSpPr>
      <xdr:spPr>
        <a:xfrm>
          <a:off x="3641400" y="1783368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21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2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81720</xdr:colOff>
      <xdr:row>89</xdr:row>
      <xdr:rowOff>43920</xdr:rowOff>
    </xdr:to>
    <xdr:sp>
      <xdr:nvSpPr>
        <xdr:cNvPr id="1223" name="CustomShape 1"/>
        <xdr:cNvSpPr/>
      </xdr:nvSpPr>
      <xdr:spPr>
        <a:xfrm>
          <a:off x="2179800" y="17833680"/>
          <a:ext cx="8125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224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25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26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227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228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2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3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3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232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233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234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3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3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3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38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39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1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42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44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45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246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47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248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49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250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251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252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5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5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5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256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257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258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259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6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6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7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7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28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28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288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289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290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1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294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95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298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29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00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01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02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03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304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05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06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307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308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0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1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1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312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313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314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315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1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1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1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1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2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2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3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3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4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4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4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4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259200</xdr:colOff>
      <xdr:row>88</xdr:row>
      <xdr:rowOff>173160</xdr:rowOff>
    </xdr:to>
    <xdr:sp>
      <xdr:nvSpPr>
        <xdr:cNvPr id="1344" name="CustomShape 1"/>
        <xdr:cNvSpPr/>
      </xdr:nvSpPr>
      <xdr:spPr>
        <a:xfrm>
          <a:off x="2910600" y="1783368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501840</xdr:colOff>
      <xdr:row>89</xdr:row>
      <xdr:rowOff>53640</xdr:rowOff>
    </xdr:to>
    <xdr:sp>
      <xdr:nvSpPr>
        <xdr:cNvPr id="1345" name="CustomShape 1"/>
        <xdr:cNvSpPr/>
      </xdr:nvSpPr>
      <xdr:spPr>
        <a:xfrm>
          <a:off x="2910600" y="1783368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360</xdr:colOff>
      <xdr:row>88</xdr:row>
      <xdr:rowOff>193320</xdr:rowOff>
    </xdr:to>
    <xdr:sp>
      <xdr:nvSpPr>
        <xdr:cNvPr id="1346" name="CustomShape 1"/>
        <xdr:cNvSpPr/>
      </xdr:nvSpPr>
      <xdr:spPr>
        <a:xfrm>
          <a:off x="2179800" y="1783368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47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48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49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496800</xdr:colOff>
      <xdr:row>89</xdr:row>
      <xdr:rowOff>53640</xdr:rowOff>
    </xdr:to>
    <xdr:sp>
      <xdr:nvSpPr>
        <xdr:cNvPr id="1350" name="CustomShape 1"/>
        <xdr:cNvSpPr/>
      </xdr:nvSpPr>
      <xdr:spPr>
        <a:xfrm>
          <a:off x="3641400" y="1783368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1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2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3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4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5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239040</xdr:colOff>
      <xdr:row>89</xdr:row>
      <xdr:rowOff>2880</xdr:rowOff>
    </xdr:to>
    <xdr:sp>
      <xdr:nvSpPr>
        <xdr:cNvPr id="1356" name="CustomShape 1"/>
        <xdr:cNvSpPr/>
      </xdr:nvSpPr>
      <xdr:spPr>
        <a:xfrm>
          <a:off x="2910600" y="1783368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7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58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360</xdr:colOff>
      <xdr:row>89</xdr:row>
      <xdr:rowOff>2880</xdr:rowOff>
    </xdr:to>
    <xdr:sp>
      <xdr:nvSpPr>
        <xdr:cNvPr id="1359" name="CustomShape 1"/>
        <xdr:cNvSpPr/>
      </xdr:nvSpPr>
      <xdr:spPr>
        <a:xfrm>
          <a:off x="2910600" y="1783368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571320</xdr:colOff>
      <xdr:row>88</xdr:row>
      <xdr:rowOff>193320</xdr:rowOff>
    </xdr:to>
    <xdr:sp>
      <xdr:nvSpPr>
        <xdr:cNvPr id="1360" name="CustomShape 1"/>
        <xdr:cNvSpPr/>
      </xdr:nvSpPr>
      <xdr:spPr>
        <a:xfrm>
          <a:off x="1449000" y="1783368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61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43920</xdr:rowOff>
    </xdr:to>
    <xdr:sp>
      <xdr:nvSpPr>
        <xdr:cNvPr id="1362" name="CustomShape 1"/>
        <xdr:cNvSpPr/>
      </xdr:nvSpPr>
      <xdr:spPr>
        <a:xfrm>
          <a:off x="79560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392760</xdr:colOff>
      <xdr:row>89</xdr:row>
      <xdr:rowOff>43920</xdr:rowOff>
    </xdr:to>
    <xdr:sp>
      <xdr:nvSpPr>
        <xdr:cNvPr id="1363" name="CustomShape 1"/>
        <xdr:cNvSpPr/>
      </xdr:nvSpPr>
      <xdr:spPr>
        <a:xfrm>
          <a:off x="1449000" y="1783368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37800</xdr:rowOff>
    </xdr:to>
    <xdr:sp>
      <xdr:nvSpPr>
        <xdr:cNvPr id="1364" name="CustomShape 1"/>
        <xdr:cNvSpPr/>
      </xdr:nvSpPr>
      <xdr:spPr>
        <a:xfrm>
          <a:off x="795600" y="1783368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6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6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6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41040</xdr:rowOff>
    </xdr:to>
    <xdr:sp>
      <xdr:nvSpPr>
        <xdr:cNvPr id="1368" name="CustomShape 1"/>
        <xdr:cNvSpPr/>
      </xdr:nvSpPr>
      <xdr:spPr>
        <a:xfrm>
          <a:off x="795600" y="1783368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34560</xdr:rowOff>
    </xdr:to>
    <xdr:sp>
      <xdr:nvSpPr>
        <xdr:cNvPr id="1369" name="CustomShape 1"/>
        <xdr:cNvSpPr/>
      </xdr:nvSpPr>
      <xdr:spPr>
        <a:xfrm>
          <a:off x="795600" y="1783368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63000</xdr:rowOff>
    </xdr:to>
    <xdr:sp>
      <xdr:nvSpPr>
        <xdr:cNvPr id="1370" name="CustomShape 1"/>
        <xdr:cNvSpPr/>
      </xdr:nvSpPr>
      <xdr:spPr>
        <a:xfrm>
          <a:off x="795600" y="1783368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88</xdr:row>
      <xdr:rowOff>0</xdr:rowOff>
    </xdr:from>
    <xdr:to>
      <xdr:col>3</xdr:col>
      <xdr:colOff>488520</xdr:colOff>
      <xdr:row>89</xdr:row>
      <xdr:rowOff>43920</xdr:rowOff>
    </xdr:to>
    <xdr:sp>
      <xdr:nvSpPr>
        <xdr:cNvPr id="1371" name="CustomShape 1"/>
        <xdr:cNvSpPr/>
      </xdr:nvSpPr>
      <xdr:spPr>
        <a:xfrm>
          <a:off x="1223640" y="1783368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7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7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88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89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0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1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2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3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4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5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31320</xdr:rowOff>
    </xdr:to>
    <xdr:sp>
      <xdr:nvSpPr>
        <xdr:cNvPr id="1396" name="CustomShape 1"/>
        <xdr:cNvSpPr/>
      </xdr:nvSpPr>
      <xdr:spPr>
        <a:xfrm>
          <a:off x="795600" y="1783368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60480</xdr:colOff>
      <xdr:row>89</xdr:row>
      <xdr:rowOff>25200</xdr:rowOff>
    </xdr:to>
    <xdr:sp>
      <xdr:nvSpPr>
        <xdr:cNvPr id="1397" name="CustomShape 1"/>
        <xdr:cNvSpPr/>
      </xdr:nvSpPr>
      <xdr:spPr>
        <a:xfrm>
          <a:off x="795600" y="1783368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98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88</xdr:row>
      <xdr:rowOff>0</xdr:rowOff>
    </xdr:from>
    <xdr:to>
      <xdr:col>11</xdr:col>
      <xdr:colOff>342000</xdr:colOff>
      <xdr:row>88</xdr:row>
      <xdr:rowOff>193320</xdr:rowOff>
    </xdr:to>
    <xdr:sp>
      <xdr:nvSpPr>
        <xdr:cNvPr id="1399" name="CustomShape 1"/>
        <xdr:cNvSpPr/>
      </xdr:nvSpPr>
      <xdr:spPr>
        <a:xfrm>
          <a:off x="7414200" y="178336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89</xdr:row>
      <xdr:rowOff>193320</xdr:rowOff>
    </xdr:to>
    <xdr:sp>
      <xdr:nvSpPr>
        <xdr:cNvPr id="1400" name="CustomShape 1"/>
        <xdr:cNvSpPr/>
      </xdr:nvSpPr>
      <xdr:spPr>
        <a:xfrm>
          <a:off x="2910600" y="1803384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401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402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0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0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0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40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0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0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0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1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1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1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1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68040</xdr:rowOff>
    </xdr:from>
    <xdr:to>
      <xdr:col>11</xdr:col>
      <xdr:colOff>342000</xdr:colOff>
      <xdr:row>90</xdr:row>
      <xdr:rowOff>61200</xdr:rowOff>
    </xdr:to>
    <xdr:sp>
      <xdr:nvSpPr>
        <xdr:cNvPr id="1414" name="CustomShape 1"/>
        <xdr:cNvSpPr/>
      </xdr:nvSpPr>
      <xdr:spPr>
        <a:xfrm>
          <a:off x="7414200" y="1810188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15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416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417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418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419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420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2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2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2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424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425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426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427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2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2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3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3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3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3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3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3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3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3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3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3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4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4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4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4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4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4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4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4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4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4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5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5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5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5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454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455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456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5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5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5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460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6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6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6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6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6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46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6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468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469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470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471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472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473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474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7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7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7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478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479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480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481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8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8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8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8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8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8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8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8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9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9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9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9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9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9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9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9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49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49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0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0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0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0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0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0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0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0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0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0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510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511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512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1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1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1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51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1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1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1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2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2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2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2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524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25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526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527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528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529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530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3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3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3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534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535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536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537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3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3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4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4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4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4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4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4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4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4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4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4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5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5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5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5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5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5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5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5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5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5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6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6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6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6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564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565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566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6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6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6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570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7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7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7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7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7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57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7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578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579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580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581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582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583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584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8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8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8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588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589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590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591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9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9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9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9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9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9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59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59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0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0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0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0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0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0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0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0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08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09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10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11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12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13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14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15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16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17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89</xdr:row>
      <xdr:rowOff>193320</xdr:rowOff>
    </xdr:to>
    <xdr:sp>
      <xdr:nvSpPr>
        <xdr:cNvPr id="1618" name="CustomShape 1"/>
        <xdr:cNvSpPr/>
      </xdr:nvSpPr>
      <xdr:spPr>
        <a:xfrm>
          <a:off x="2910600" y="18033840"/>
          <a:ext cx="96984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619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620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2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2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2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1624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625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2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2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2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1629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630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3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3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3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3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1635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636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3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89</xdr:row>
      <xdr:rowOff>0</xdr:rowOff>
    </xdr:from>
    <xdr:to>
      <xdr:col>5</xdr:col>
      <xdr:colOff>258120</xdr:colOff>
      <xdr:row>89</xdr:row>
      <xdr:rowOff>196560</xdr:rowOff>
    </xdr:to>
    <xdr:sp>
      <xdr:nvSpPr>
        <xdr:cNvPr id="1638" name="CustomShape 1"/>
        <xdr:cNvSpPr/>
      </xdr:nvSpPr>
      <xdr:spPr>
        <a:xfrm>
          <a:off x="2929680" y="18033840"/>
          <a:ext cx="969840" cy="1965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223920</xdr:colOff>
      <xdr:row>89</xdr:row>
      <xdr:rowOff>193320</xdr:rowOff>
    </xdr:to>
    <xdr:sp>
      <xdr:nvSpPr>
        <xdr:cNvPr id="1639" name="CustomShape 1"/>
        <xdr:cNvSpPr/>
      </xdr:nvSpPr>
      <xdr:spPr>
        <a:xfrm>
          <a:off x="3641400" y="18033840"/>
          <a:ext cx="95508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640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4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81720</xdr:colOff>
      <xdr:row>90</xdr:row>
      <xdr:rowOff>43920</xdr:rowOff>
    </xdr:to>
    <xdr:sp>
      <xdr:nvSpPr>
        <xdr:cNvPr id="1642" name="CustomShape 1"/>
        <xdr:cNvSpPr/>
      </xdr:nvSpPr>
      <xdr:spPr>
        <a:xfrm>
          <a:off x="2179800" y="18033840"/>
          <a:ext cx="81252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643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644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645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646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647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4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4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5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651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652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653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5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5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5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657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58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5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6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61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6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663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6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665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66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667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668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669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670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671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7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7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7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675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676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677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678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7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8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8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8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8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8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8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8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8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8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8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9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9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9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9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9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9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9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9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69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69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0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0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0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0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0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0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0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707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708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709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0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713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14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17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19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2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721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22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723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724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725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726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727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2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2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3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731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732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733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734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3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3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3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3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3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4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4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4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4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4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4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4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4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4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4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5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5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5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5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5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5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5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5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5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5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6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6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6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259200</xdr:colOff>
      <xdr:row>89</xdr:row>
      <xdr:rowOff>173160</xdr:rowOff>
    </xdr:to>
    <xdr:sp>
      <xdr:nvSpPr>
        <xdr:cNvPr id="1763" name="CustomShape 1"/>
        <xdr:cNvSpPr/>
      </xdr:nvSpPr>
      <xdr:spPr>
        <a:xfrm>
          <a:off x="2910600" y="18033840"/>
          <a:ext cx="259200" cy="17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501840</xdr:colOff>
      <xdr:row>90</xdr:row>
      <xdr:rowOff>53640</xdr:rowOff>
    </xdr:to>
    <xdr:sp>
      <xdr:nvSpPr>
        <xdr:cNvPr id="1764" name="CustomShape 1"/>
        <xdr:cNvSpPr/>
      </xdr:nvSpPr>
      <xdr:spPr>
        <a:xfrm>
          <a:off x="2910600" y="18033840"/>
          <a:ext cx="123264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360</xdr:colOff>
      <xdr:row>89</xdr:row>
      <xdr:rowOff>193320</xdr:rowOff>
    </xdr:to>
    <xdr:sp>
      <xdr:nvSpPr>
        <xdr:cNvPr id="1765" name="CustomShape 1"/>
        <xdr:cNvSpPr/>
      </xdr:nvSpPr>
      <xdr:spPr>
        <a:xfrm>
          <a:off x="2179800" y="18033840"/>
          <a:ext cx="36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66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67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68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496800</xdr:colOff>
      <xdr:row>90</xdr:row>
      <xdr:rowOff>53640</xdr:rowOff>
    </xdr:to>
    <xdr:sp>
      <xdr:nvSpPr>
        <xdr:cNvPr id="1769" name="CustomShape 1"/>
        <xdr:cNvSpPr/>
      </xdr:nvSpPr>
      <xdr:spPr>
        <a:xfrm>
          <a:off x="3641400" y="18033840"/>
          <a:ext cx="1227960" cy="253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70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71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72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73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74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239040</xdr:colOff>
      <xdr:row>90</xdr:row>
      <xdr:rowOff>2880</xdr:rowOff>
    </xdr:to>
    <xdr:sp>
      <xdr:nvSpPr>
        <xdr:cNvPr id="1775" name="CustomShape 1"/>
        <xdr:cNvSpPr/>
      </xdr:nvSpPr>
      <xdr:spPr>
        <a:xfrm>
          <a:off x="2910600" y="18033840"/>
          <a:ext cx="96984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76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777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360</xdr:colOff>
      <xdr:row>90</xdr:row>
      <xdr:rowOff>2880</xdr:rowOff>
    </xdr:to>
    <xdr:sp>
      <xdr:nvSpPr>
        <xdr:cNvPr id="1778" name="CustomShape 1"/>
        <xdr:cNvSpPr/>
      </xdr:nvSpPr>
      <xdr:spPr>
        <a:xfrm>
          <a:off x="2910600" y="18033840"/>
          <a:ext cx="360" cy="203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571320</xdr:colOff>
      <xdr:row>89</xdr:row>
      <xdr:rowOff>193320</xdr:rowOff>
    </xdr:to>
    <xdr:sp>
      <xdr:nvSpPr>
        <xdr:cNvPr id="1779" name="CustomShape 1"/>
        <xdr:cNvSpPr/>
      </xdr:nvSpPr>
      <xdr:spPr>
        <a:xfrm>
          <a:off x="1449000" y="18033840"/>
          <a:ext cx="5713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780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43920</xdr:rowOff>
    </xdr:to>
    <xdr:sp>
      <xdr:nvSpPr>
        <xdr:cNvPr id="1781" name="CustomShape 1"/>
        <xdr:cNvSpPr/>
      </xdr:nvSpPr>
      <xdr:spPr>
        <a:xfrm>
          <a:off x="79560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392760</xdr:colOff>
      <xdr:row>90</xdr:row>
      <xdr:rowOff>43920</xdr:rowOff>
    </xdr:to>
    <xdr:sp>
      <xdr:nvSpPr>
        <xdr:cNvPr id="1782" name="CustomShape 1"/>
        <xdr:cNvSpPr/>
      </xdr:nvSpPr>
      <xdr:spPr>
        <a:xfrm>
          <a:off x="1449000" y="18033840"/>
          <a:ext cx="112356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37800</xdr:rowOff>
    </xdr:to>
    <xdr:sp>
      <xdr:nvSpPr>
        <xdr:cNvPr id="1783" name="CustomShape 1"/>
        <xdr:cNvSpPr/>
      </xdr:nvSpPr>
      <xdr:spPr>
        <a:xfrm>
          <a:off x="795600" y="18033840"/>
          <a:ext cx="1444680" cy="237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8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8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8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41040</xdr:rowOff>
    </xdr:to>
    <xdr:sp>
      <xdr:nvSpPr>
        <xdr:cNvPr id="1787" name="CustomShape 1"/>
        <xdr:cNvSpPr/>
      </xdr:nvSpPr>
      <xdr:spPr>
        <a:xfrm>
          <a:off x="795600" y="18033840"/>
          <a:ext cx="1444680" cy="241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34560</xdr:rowOff>
    </xdr:to>
    <xdr:sp>
      <xdr:nvSpPr>
        <xdr:cNvPr id="1788" name="CustomShape 1"/>
        <xdr:cNvSpPr/>
      </xdr:nvSpPr>
      <xdr:spPr>
        <a:xfrm>
          <a:off x="795600" y="18033840"/>
          <a:ext cx="1444680" cy="234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63000</xdr:rowOff>
    </xdr:to>
    <xdr:sp>
      <xdr:nvSpPr>
        <xdr:cNvPr id="1789" name="CustomShape 1"/>
        <xdr:cNvSpPr/>
      </xdr:nvSpPr>
      <xdr:spPr>
        <a:xfrm>
          <a:off x="795600" y="18033840"/>
          <a:ext cx="1444680" cy="263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89</xdr:row>
      <xdr:rowOff>0</xdr:rowOff>
    </xdr:from>
    <xdr:to>
      <xdr:col>3</xdr:col>
      <xdr:colOff>488520</xdr:colOff>
      <xdr:row>90</xdr:row>
      <xdr:rowOff>43920</xdr:rowOff>
    </xdr:to>
    <xdr:sp>
      <xdr:nvSpPr>
        <xdr:cNvPr id="1790" name="CustomShape 1"/>
        <xdr:cNvSpPr/>
      </xdr:nvSpPr>
      <xdr:spPr>
        <a:xfrm>
          <a:off x="1223640" y="18033840"/>
          <a:ext cx="1444680" cy="2440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9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9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9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9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9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9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9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79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79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0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0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0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0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0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0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0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07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08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09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10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11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12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13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14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31320</xdr:rowOff>
    </xdr:to>
    <xdr:sp>
      <xdr:nvSpPr>
        <xdr:cNvPr id="1815" name="CustomShape 1"/>
        <xdr:cNvSpPr/>
      </xdr:nvSpPr>
      <xdr:spPr>
        <a:xfrm>
          <a:off x="795600" y="18033840"/>
          <a:ext cx="1444680" cy="2314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60480</xdr:colOff>
      <xdr:row>90</xdr:row>
      <xdr:rowOff>25200</xdr:rowOff>
    </xdr:to>
    <xdr:sp>
      <xdr:nvSpPr>
        <xdr:cNvPr id="1816" name="CustomShape 1"/>
        <xdr:cNvSpPr/>
      </xdr:nvSpPr>
      <xdr:spPr>
        <a:xfrm>
          <a:off x="795600" y="18033840"/>
          <a:ext cx="1444680" cy="225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817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89</xdr:row>
      <xdr:rowOff>0</xdr:rowOff>
    </xdr:from>
    <xdr:to>
      <xdr:col>11</xdr:col>
      <xdr:colOff>342000</xdr:colOff>
      <xdr:row>89</xdr:row>
      <xdr:rowOff>193320</xdr:rowOff>
    </xdr:to>
    <xdr:sp>
      <xdr:nvSpPr>
        <xdr:cNvPr id="1818" name="CustomShape 1"/>
        <xdr:cNvSpPr/>
      </xdr:nvSpPr>
      <xdr:spPr>
        <a:xfrm>
          <a:off x="7414200" y="1803384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1819" name="CustomShape 1"/>
        <xdr:cNvSpPr/>
      </xdr:nvSpPr>
      <xdr:spPr>
        <a:xfrm>
          <a:off x="29106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1820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1821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2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2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2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1825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2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2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2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2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3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3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3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1833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3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1835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36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37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1838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1839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4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4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4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1843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1844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845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1846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4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4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4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5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5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5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5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5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5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5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5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5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5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6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6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6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6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6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6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6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6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6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6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7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7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7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1873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1874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1875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7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7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7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187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8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8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8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8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8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88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8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1887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88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1889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90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891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1892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1893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9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89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89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1897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1898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899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1900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0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0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0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0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0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0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0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0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0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1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1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1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1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1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1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1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1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1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1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2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2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2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2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2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2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2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2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2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1929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1930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1931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3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3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3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1935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3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3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3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3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4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4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4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1943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44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1945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46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1947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1948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1949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5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5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5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1953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1954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1955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1956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5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5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5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6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6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6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6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6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6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6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6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6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6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7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7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7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7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7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7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7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7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7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7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8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198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198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1983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1984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1985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8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8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8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198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9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9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9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9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9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199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9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1997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1998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1999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00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01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2002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2003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0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0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0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2007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2008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009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2010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1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1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1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1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1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1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1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1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1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2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2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2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2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2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2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2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27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28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29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30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31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32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33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34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35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36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2880</xdr:rowOff>
    </xdr:to>
    <xdr:sp>
      <xdr:nvSpPr>
        <xdr:cNvPr id="2037" name="CustomShape 1"/>
        <xdr:cNvSpPr/>
      </xdr:nvSpPr>
      <xdr:spPr>
        <a:xfrm>
          <a:off x="2910600" y="18234000"/>
          <a:ext cx="96984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2038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2039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4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4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4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2043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044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4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4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4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2048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04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5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5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5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5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2054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055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5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19080</xdr:colOff>
      <xdr:row>90</xdr:row>
      <xdr:rowOff>0</xdr:rowOff>
    </xdr:from>
    <xdr:to>
      <xdr:col>5</xdr:col>
      <xdr:colOff>258120</xdr:colOff>
      <xdr:row>91</xdr:row>
      <xdr:rowOff>6120</xdr:rowOff>
    </xdr:to>
    <xdr:sp>
      <xdr:nvSpPr>
        <xdr:cNvPr id="2057" name="CustomShape 1"/>
        <xdr:cNvSpPr/>
      </xdr:nvSpPr>
      <xdr:spPr>
        <a:xfrm>
          <a:off x="2929680" y="18234000"/>
          <a:ext cx="969840" cy="2059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223920</xdr:colOff>
      <xdr:row>91</xdr:row>
      <xdr:rowOff>2880</xdr:rowOff>
    </xdr:to>
    <xdr:sp>
      <xdr:nvSpPr>
        <xdr:cNvPr id="2058" name="CustomShape 1"/>
        <xdr:cNvSpPr/>
      </xdr:nvSpPr>
      <xdr:spPr>
        <a:xfrm>
          <a:off x="3641400" y="18234000"/>
          <a:ext cx="95508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059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6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81720</xdr:colOff>
      <xdr:row>91</xdr:row>
      <xdr:rowOff>53640</xdr:rowOff>
    </xdr:to>
    <xdr:sp>
      <xdr:nvSpPr>
        <xdr:cNvPr id="2061" name="CustomShape 1"/>
        <xdr:cNvSpPr/>
      </xdr:nvSpPr>
      <xdr:spPr>
        <a:xfrm>
          <a:off x="2179800" y="18234000"/>
          <a:ext cx="81252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2062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63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64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2065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2066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6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6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6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2070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2071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2072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7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7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7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076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7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7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7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80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8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082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8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2084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08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2086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87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088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2089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2090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9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9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9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2094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2095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096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2097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09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09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0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0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0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0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0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0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0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0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0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0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1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1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1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1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1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1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1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1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1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1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2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2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2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2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2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2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2126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2127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2128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29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132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33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36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38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3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2140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41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2142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43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44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2145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2146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4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4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4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2150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2151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152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2153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5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5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5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5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5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5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6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6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6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6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6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6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6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6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6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6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7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7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7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7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7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7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7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7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7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7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18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18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259200</xdr:colOff>
      <xdr:row>90</xdr:row>
      <xdr:rowOff>182520</xdr:rowOff>
    </xdr:to>
    <xdr:sp>
      <xdr:nvSpPr>
        <xdr:cNvPr id="2182" name="CustomShape 1"/>
        <xdr:cNvSpPr/>
      </xdr:nvSpPr>
      <xdr:spPr>
        <a:xfrm>
          <a:off x="2910600" y="18234000"/>
          <a:ext cx="259200" cy="18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501840</xdr:colOff>
      <xdr:row>91</xdr:row>
      <xdr:rowOff>63000</xdr:rowOff>
    </xdr:to>
    <xdr:sp>
      <xdr:nvSpPr>
        <xdr:cNvPr id="2183" name="CustomShape 1"/>
        <xdr:cNvSpPr/>
      </xdr:nvSpPr>
      <xdr:spPr>
        <a:xfrm>
          <a:off x="2910600" y="18234000"/>
          <a:ext cx="123264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360</xdr:colOff>
      <xdr:row>91</xdr:row>
      <xdr:rowOff>2880</xdr:rowOff>
    </xdr:to>
    <xdr:sp>
      <xdr:nvSpPr>
        <xdr:cNvPr id="2184" name="CustomShape 1"/>
        <xdr:cNvSpPr/>
      </xdr:nvSpPr>
      <xdr:spPr>
        <a:xfrm>
          <a:off x="2179800" y="18234000"/>
          <a:ext cx="36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85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86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87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496800</xdr:colOff>
      <xdr:row>91</xdr:row>
      <xdr:rowOff>63000</xdr:rowOff>
    </xdr:to>
    <xdr:sp>
      <xdr:nvSpPr>
        <xdr:cNvPr id="2188" name="CustomShape 1"/>
        <xdr:cNvSpPr/>
      </xdr:nvSpPr>
      <xdr:spPr>
        <a:xfrm>
          <a:off x="3641400" y="18234000"/>
          <a:ext cx="1227960" cy="262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89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90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91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92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93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239040</xdr:colOff>
      <xdr:row>91</xdr:row>
      <xdr:rowOff>12240</xdr:rowOff>
    </xdr:to>
    <xdr:sp>
      <xdr:nvSpPr>
        <xdr:cNvPr id="2194" name="CustomShape 1"/>
        <xdr:cNvSpPr/>
      </xdr:nvSpPr>
      <xdr:spPr>
        <a:xfrm>
          <a:off x="2910600" y="18234000"/>
          <a:ext cx="96984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95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2196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360</xdr:colOff>
      <xdr:row>91</xdr:row>
      <xdr:rowOff>12240</xdr:rowOff>
    </xdr:to>
    <xdr:sp>
      <xdr:nvSpPr>
        <xdr:cNvPr id="2197" name="CustomShape 1"/>
        <xdr:cNvSpPr/>
      </xdr:nvSpPr>
      <xdr:spPr>
        <a:xfrm>
          <a:off x="2910600" y="18234000"/>
          <a:ext cx="360" cy="2120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571320</xdr:colOff>
      <xdr:row>91</xdr:row>
      <xdr:rowOff>2880</xdr:rowOff>
    </xdr:to>
    <xdr:sp>
      <xdr:nvSpPr>
        <xdr:cNvPr id="2198" name="CustomShape 1"/>
        <xdr:cNvSpPr/>
      </xdr:nvSpPr>
      <xdr:spPr>
        <a:xfrm>
          <a:off x="1449000" y="18234000"/>
          <a:ext cx="5713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199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53640</xdr:rowOff>
    </xdr:to>
    <xdr:sp>
      <xdr:nvSpPr>
        <xdr:cNvPr id="2200" name="CustomShape 1"/>
        <xdr:cNvSpPr/>
      </xdr:nvSpPr>
      <xdr:spPr>
        <a:xfrm>
          <a:off x="79560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392760</xdr:colOff>
      <xdr:row>91</xdr:row>
      <xdr:rowOff>53640</xdr:rowOff>
    </xdr:to>
    <xdr:sp>
      <xdr:nvSpPr>
        <xdr:cNvPr id="2201" name="CustomShape 1"/>
        <xdr:cNvSpPr/>
      </xdr:nvSpPr>
      <xdr:spPr>
        <a:xfrm>
          <a:off x="1449000" y="18234000"/>
          <a:ext cx="112356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47160</xdr:rowOff>
    </xdr:to>
    <xdr:sp>
      <xdr:nvSpPr>
        <xdr:cNvPr id="2202" name="CustomShape 1"/>
        <xdr:cNvSpPr/>
      </xdr:nvSpPr>
      <xdr:spPr>
        <a:xfrm>
          <a:off x="795600" y="18234000"/>
          <a:ext cx="1444680" cy="246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0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0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0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50400</xdr:rowOff>
    </xdr:to>
    <xdr:sp>
      <xdr:nvSpPr>
        <xdr:cNvPr id="2206" name="CustomShape 1"/>
        <xdr:cNvSpPr/>
      </xdr:nvSpPr>
      <xdr:spPr>
        <a:xfrm>
          <a:off x="795600" y="18234000"/>
          <a:ext cx="1444680" cy="250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43920</xdr:rowOff>
    </xdr:to>
    <xdr:sp>
      <xdr:nvSpPr>
        <xdr:cNvPr id="2207" name="CustomShape 1"/>
        <xdr:cNvSpPr/>
      </xdr:nvSpPr>
      <xdr:spPr>
        <a:xfrm>
          <a:off x="795600" y="18234000"/>
          <a:ext cx="1444680" cy="2437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72720</xdr:rowOff>
    </xdr:to>
    <xdr:sp>
      <xdr:nvSpPr>
        <xdr:cNvPr id="2208" name="CustomShape 1"/>
        <xdr:cNvSpPr/>
      </xdr:nvSpPr>
      <xdr:spPr>
        <a:xfrm>
          <a:off x="795600" y="18234000"/>
          <a:ext cx="1444680" cy="272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428040</xdr:colOff>
      <xdr:row>90</xdr:row>
      <xdr:rowOff>0</xdr:rowOff>
    </xdr:from>
    <xdr:to>
      <xdr:col>3</xdr:col>
      <xdr:colOff>488520</xdr:colOff>
      <xdr:row>91</xdr:row>
      <xdr:rowOff>53640</xdr:rowOff>
    </xdr:to>
    <xdr:sp>
      <xdr:nvSpPr>
        <xdr:cNvPr id="2209" name="CustomShape 1"/>
        <xdr:cNvSpPr/>
      </xdr:nvSpPr>
      <xdr:spPr>
        <a:xfrm>
          <a:off x="1223640" y="18234000"/>
          <a:ext cx="1444680" cy="2534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1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1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1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1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1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1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1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1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1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1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2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2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2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2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2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2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26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27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28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29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30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31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32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33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41040</xdr:rowOff>
    </xdr:to>
    <xdr:sp>
      <xdr:nvSpPr>
        <xdr:cNvPr id="2234" name="CustomShape 1"/>
        <xdr:cNvSpPr/>
      </xdr:nvSpPr>
      <xdr:spPr>
        <a:xfrm>
          <a:off x="795600" y="18234000"/>
          <a:ext cx="1444680" cy="2408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60480</xdr:colOff>
      <xdr:row>91</xdr:row>
      <xdr:rowOff>34560</xdr:rowOff>
    </xdr:to>
    <xdr:sp>
      <xdr:nvSpPr>
        <xdr:cNvPr id="2235" name="CustomShape 1"/>
        <xdr:cNvSpPr/>
      </xdr:nvSpPr>
      <xdr:spPr>
        <a:xfrm>
          <a:off x="795600" y="18234000"/>
          <a:ext cx="1444680" cy="2343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2236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10</xdr:col>
      <xdr:colOff>118080</xdr:colOff>
      <xdr:row>90</xdr:row>
      <xdr:rowOff>0</xdr:rowOff>
    </xdr:from>
    <xdr:to>
      <xdr:col>11</xdr:col>
      <xdr:colOff>342000</xdr:colOff>
      <xdr:row>91</xdr:row>
      <xdr:rowOff>2880</xdr:rowOff>
    </xdr:to>
    <xdr:sp>
      <xdr:nvSpPr>
        <xdr:cNvPr id="2237" name="CustomShape 1"/>
        <xdr:cNvSpPr/>
      </xdr:nvSpPr>
      <xdr:spPr>
        <a:xfrm>
          <a:off x="7414200" y="18234000"/>
          <a:ext cx="954720" cy="202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118080</xdr:colOff>
      <xdr:row>88</xdr:row>
      <xdr:rowOff>68040</xdr:rowOff>
    </xdr:from>
    <xdr:to>
      <xdr:col>11</xdr:col>
      <xdr:colOff>342000</xdr:colOff>
      <xdr:row>89</xdr:row>
      <xdr:rowOff>61200</xdr:rowOff>
    </xdr:to>
    <xdr:sp>
      <xdr:nvSpPr>
        <xdr:cNvPr id="2238" name="CustomShape 1"/>
        <xdr:cNvSpPr/>
      </xdr:nvSpPr>
      <xdr:spPr>
        <a:xfrm>
          <a:off x="7414200" y="17901720"/>
          <a:ext cx="954720" cy="193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47160</xdr:rowOff>
    </xdr:to>
    <xdr:sp>
      <xdr:nvSpPr>
        <xdr:cNvPr id="2239" name="CustomShape 1"/>
        <xdr:cNvSpPr/>
      </xdr:nvSpPr>
      <xdr:spPr>
        <a:xfrm>
          <a:off x="8859960" y="1855944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47160</xdr:rowOff>
    </xdr:to>
    <xdr:sp>
      <xdr:nvSpPr>
        <xdr:cNvPr id="2240" name="CustomShape 1"/>
        <xdr:cNvSpPr/>
      </xdr:nvSpPr>
      <xdr:spPr>
        <a:xfrm>
          <a:off x="8859960" y="1855944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41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42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43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44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5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6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7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48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49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0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51" name="CustomShape 1"/>
        <xdr:cNvSpPr/>
      </xdr:nvSpPr>
      <xdr:spPr>
        <a:xfrm>
          <a:off x="8859960" y="1830240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52" name="CustomShape 1"/>
        <xdr:cNvSpPr/>
      </xdr:nvSpPr>
      <xdr:spPr>
        <a:xfrm>
          <a:off x="8859960" y="1830240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3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4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55" name="CustomShape 1"/>
        <xdr:cNvSpPr/>
      </xdr:nvSpPr>
      <xdr:spPr>
        <a:xfrm>
          <a:off x="8859960" y="1847376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6" name="CustomShape 1"/>
        <xdr:cNvSpPr/>
      </xdr:nvSpPr>
      <xdr:spPr>
        <a:xfrm>
          <a:off x="8859960" y="1815948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57" name="CustomShape 1"/>
        <xdr:cNvSpPr/>
      </xdr:nvSpPr>
      <xdr:spPr>
        <a:xfrm>
          <a:off x="8859960" y="1815948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58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59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60" name="CustomShape 1"/>
        <xdr:cNvSpPr/>
      </xdr:nvSpPr>
      <xdr:spPr>
        <a:xfrm>
          <a:off x="8859960" y="1815948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61" name="CustomShape 1"/>
        <xdr:cNvSpPr/>
      </xdr:nvSpPr>
      <xdr:spPr>
        <a:xfrm>
          <a:off x="8859960" y="1815948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262" name="CustomShape 1"/>
        <xdr:cNvSpPr/>
      </xdr:nvSpPr>
      <xdr:spPr>
        <a:xfrm>
          <a:off x="8859960" y="183308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63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64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65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66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67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68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69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70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71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111600</xdr:colOff>
      <xdr:row>89</xdr:row>
      <xdr:rowOff>125640</xdr:rowOff>
    </xdr:from>
    <xdr:to>
      <xdr:col>12</xdr:col>
      <xdr:colOff>596880</xdr:colOff>
      <xdr:row>90</xdr:row>
      <xdr:rowOff>37800</xdr:rowOff>
    </xdr:to>
    <xdr:sp>
      <xdr:nvSpPr>
        <xdr:cNvPr id="2272" name="CustomShape 1"/>
        <xdr:cNvSpPr/>
      </xdr:nvSpPr>
      <xdr:spPr>
        <a:xfrm>
          <a:off x="886932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73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74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75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76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77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78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79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37800</xdr:rowOff>
    </xdr:to>
    <xdr:sp>
      <xdr:nvSpPr>
        <xdr:cNvPr id="2280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81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82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83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84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85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37800</xdr:rowOff>
    </xdr:to>
    <xdr:sp>
      <xdr:nvSpPr>
        <xdr:cNvPr id="2286" name="CustomShape 1"/>
        <xdr:cNvSpPr/>
      </xdr:nvSpPr>
      <xdr:spPr>
        <a:xfrm>
          <a:off x="8859960" y="1815948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87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37800</xdr:rowOff>
    </xdr:to>
    <xdr:sp>
      <xdr:nvSpPr>
        <xdr:cNvPr id="2288" name="CustomShape 1"/>
        <xdr:cNvSpPr/>
      </xdr:nvSpPr>
      <xdr:spPr>
        <a:xfrm>
          <a:off x="8859960" y="183596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47160</xdr:rowOff>
    </xdr:to>
    <xdr:sp>
      <xdr:nvSpPr>
        <xdr:cNvPr id="2289" name="CustomShape 1"/>
        <xdr:cNvSpPr/>
      </xdr:nvSpPr>
      <xdr:spPr>
        <a:xfrm>
          <a:off x="8859960" y="1855944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47160</xdr:rowOff>
    </xdr:to>
    <xdr:sp>
      <xdr:nvSpPr>
        <xdr:cNvPr id="2290" name="CustomShape 1"/>
        <xdr:cNvSpPr/>
      </xdr:nvSpPr>
      <xdr:spPr>
        <a:xfrm>
          <a:off x="8859960" y="1855944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91" name="CustomShape 1"/>
        <xdr:cNvSpPr/>
      </xdr:nvSpPr>
      <xdr:spPr>
        <a:xfrm>
          <a:off x="8859960" y="1847376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91</xdr:row>
      <xdr:rowOff>125640</xdr:rowOff>
    </xdr:from>
    <xdr:to>
      <xdr:col>12</xdr:col>
      <xdr:colOff>587520</xdr:colOff>
      <xdr:row>92</xdr:row>
      <xdr:rowOff>66240</xdr:rowOff>
    </xdr:to>
    <xdr:sp>
      <xdr:nvSpPr>
        <xdr:cNvPr id="2292" name="CustomShape 1"/>
        <xdr:cNvSpPr/>
      </xdr:nvSpPr>
      <xdr:spPr>
        <a:xfrm>
          <a:off x="8859960" y="18473760"/>
          <a:ext cx="485280" cy="1216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93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94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95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88</xdr:row>
      <xdr:rowOff>125640</xdr:rowOff>
    </xdr:from>
    <xdr:to>
      <xdr:col>12</xdr:col>
      <xdr:colOff>587520</xdr:colOff>
      <xdr:row>89</xdr:row>
      <xdr:rowOff>66240</xdr:rowOff>
    </xdr:to>
    <xdr:sp>
      <xdr:nvSpPr>
        <xdr:cNvPr id="2296" name="CustomShape 1"/>
        <xdr:cNvSpPr/>
      </xdr:nvSpPr>
      <xdr:spPr>
        <a:xfrm>
          <a:off x="8859960" y="1795932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97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87</xdr:row>
      <xdr:rowOff>125640</xdr:rowOff>
    </xdr:from>
    <xdr:to>
      <xdr:col>12</xdr:col>
      <xdr:colOff>587520</xdr:colOff>
      <xdr:row>88</xdr:row>
      <xdr:rowOff>37800</xdr:rowOff>
    </xdr:to>
    <xdr:sp>
      <xdr:nvSpPr>
        <xdr:cNvPr id="2298" name="CustomShape 1"/>
        <xdr:cNvSpPr/>
      </xdr:nvSpPr>
      <xdr:spPr>
        <a:xfrm>
          <a:off x="8859960" y="1775952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89</xdr:row>
      <xdr:rowOff>125640</xdr:rowOff>
    </xdr:from>
    <xdr:to>
      <xdr:col>12</xdr:col>
      <xdr:colOff>587520</xdr:colOff>
      <xdr:row>90</xdr:row>
      <xdr:rowOff>66240</xdr:rowOff>
    </xdr:to>
    <xdr:sp>
      <xdr:nvSpPr>
        <xdr:cNvPr id="2299" name="CustomShape 1"/>
        <xdr:cNvSpPr/>
      </xdr:nvSpPr>
      <xdr:spPr>
        <a:xfrm>
          <a:off x="8859960" y="1813104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300" name="CustomShape 1"/>
        <xdr:cNvSpPr/>
      </xdr:nvSpPr>
      <xdr:spPr>
        <a:xfrm>
          <a:off x="8859960" y="18302400"/>
          <a:ext cx="485280" cy="1119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301" name="CustomShape 1"/>
        <xdr:cNvSpPr/>
      </xdr:nvSpPr>
      <xdr:spPr>
        <a:xfrm>
          <a:off x="8166600" y="1690200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102240</xdr:colOff>
      <xdr:row>90</xdr:row>
      <xdr:rowOff>125640</xdr:rowOff>
    </xdr:from>
    <xdr:to>
      <xdr:col>12</xdr:col>
      <xdr:colOff>587520</xdr:colOff>
      <xdr:row>91</xdr:row>
      <xdr:rowOff>66240</xdr:rowOff>
    </xdr:to>
    <xdr:sp>
      <xdr:nvSpPr>
        <xdr:cNvPr id="2302" name="CustomShape 1"/>
        <xdr:cNvSpPr/>
      </xdr:nvSpPr>
      <xdr:spPr>
        <a:xfrm>
          <a:off x="8166600" y="16902000"/>
          <a:ext cx="485280" cy="1123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70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9" colorId="64" zoomScale="100" zoomScaleNormal="100" zoomScalePageLayoutView="100" workbookViewId="0">
      <selection pane="topLeft" activeCell="C151" activeCellId="0" sqref="C151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3" min="3" style="2" width="12.09"/>
    <col collapsed="false" customWidth="true" hidden="false" outlineLevel="0" max="13" min="4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13</v>
      </c>
      <c r="B2" s="1" t="n">
        <v>43862</v>
      </c>
      <c r="C2" s="6" t="n">
        <v>14543</v>
      </c>
      <c r="D2" s="6" t="e">
        <f aca="false">#REF!</f>
        <v>#REF!</v>
      </c>
      <c r="E2" s="6" t="n">
        <v>304</v>
      </c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13</v>
      </c>
      <c r="B3" s="1" t="n">
        <v>43863</v>
      </c>
      <c r="C3" s="6" t="n">
        <v>17384</v>
      </c>
      <c r="D3" s="7" t="n">
        <v>2841</v>
      </c>
      <c r="E3" s="6" t="n">
        <v>362</v>
      </c>
      <c r="F3" s="6" t="n">
        <v>58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13</v>
      </c>
      <c r="B4" s="1" t="n">
        <v>43864</v>
      </c>
      <c r="C4" s="6" t="n">
        <v>20624</v>
      </c>
      <c r="D4" s="7" t="n">
        <v>3240</v>
      </c>
      <c r="E4" s="6" t="n">
        <v>426</v>
      </c>
      <c r="F4" s="6" t="n">
        <v>64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13</v>
      </c>
      <c r="B5" s="1" t="n">
        <v>43865</v>
      </c>
      <c r="C5" s="6" t="n">
        <v>24522</v>
      </c>
      <c r="D5" s="7" t="n">
        <v>3898</v>
      </c>
      <c r="E5" s="6" t="n">
        <v>492</v>
      </c>
      <c r="F5" s="6" t="n">
        <v>66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13</v>
      </c>
      <c r="B6" s="1" t="n">
        <v>43866</v>
      </c>
      <c r="C6" s="6" t="n">
        <v>28251</v>
      </c>
      <c r="D6" s="7" t="n">
        <v>3729</v>
      </c>
      <c r="E6" s="6" t="n">
        <v>565</v>
      </c>
      <c r="F6" s="6" t="n">
        <v>73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13</v>
      </c>
      <c r="B7" s="1" t="n">
        <v>43867</v>
      </c>
      <c r="C7" s="6" t="n">
        <v>31427</v>
      </c>
      <c r="D7" s="7" t="n">
        <v>3176</v>
      </c>
      <c r="E7" s="6" t="n">
        <v>638</v>
      </c>
      <c r="F7" s="6" t="n">
        <v>73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13</v>
      </c>
      <c r="B8" s="1" t="n">
        <v>43868</v>
      </c>
      <c r="C8" s="6" t="n">
        <v>34868</v>
      </c>
      <c r="D8" s="7" t="n">
        <v>3441</v>
      </c>
      <c r="E8" s="6" t="n">
        <v>724</v>
      </c>
      <c r="F8" s="6" t="n">
        <v>86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13</v>
      </c>
      <c r="B9" s="1" t="n">
        <v>43869</v>
      </c>
      <c r="C9" s="6" t="n">
        <v>37544</v>
      </c>
      <c r="D9" s="7" t="n">
        <v>2676</v>
      </c>
      <c r="E9" s="6" t="n">
        <v>813</v>
      </c>
      <c r="F9" s="6" t="n">
        <v>89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13</v>
      </c>
      <c r="B10" s="1" t="n">
        <v>43870</v>
      </c>
      <c r="C10" s="6" t="n">
        <v>40542</v>
      </c>
      <c r="D10" s="7" t="n">
        <v>2998</v>
      </c>
      <c r="E10" s="6" t="n">
        <v>910</v>
      </c>
      <c r="F10" s="6" t="n">
        <v>97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13</v>
      </c>
      <c r="B11" s="1" t="n">
        <v>43871</v>
      </c>
      <c r="C11" s="6" t="n">
        <v>43027</v>
      </c>
      <c r="D11" s="7" t="n">
        <v>2485</v>
      </c>
      <c r="E11" s="7" t="n">
        <v>1018</v>
      </c>
      <c r="F11" s="6" t="n">
        <v>108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13</v>
      </c>
      <c r="B12" s="1" t="n">
        <v>43872</v>
      </c>
      <c r="C12" s="6" t="n">
        <v>45125</v>
      </c>
      <c r="D12" s="7" t="n">
        <v>2098</v>
      </c>
      <c r="E12" s="7" t="n">
        <v>1115</v>
      </c>
      <c r="F12" s="6" t="n">
        <v>97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13</v>
      </c>
      <c r="B13" s="1" t="n">
        <v>43873</v>
      </c>
      <c r="C13" s="6" t="n">
        <v>60323</v>
      </c>
      <c r="D13" s="7" t="n">
        <v>15198</v>
      </c>
      <c r="E13" s="7" t="n">
        <v>1261</v>
      </c>
      <c r="F13" s="6" t="n">
        <v>146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13</v>
      </c>
      <c r="B14" s="1" t="n">
        <v>43874</v>
      </c>
      <c r="C14" s="6" t="n">
        <v>64379</v>
      </c>
      <c r="D14" s="7" t="n">
        <v>4056</v>
      </c>
      <c r="E14" s="7" t="n">
        <v>1382</v>
      </c>
      <c r="F14" s="6" t="n">
        <v>121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13</v>
      </c>
      <c r="B15" s="1" t="n">
        <v>43875</v>
      </c>
      <c r="C15" s="6" t="n">
        <v>67081</v>
      </c>
      <c r="D15" s="7" t="n">
        <v>2702</v>
      </c>
      <c r="E15" s="7" t="n">
        <v>1526</v>
      </c>
      <c r="F15" s="6" t="n">
        <v>144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13</v>
      </c>
      <c r="B16" s="1" t="n">
        <v>43876</v>
      </c>
      <c r="C16" s="6" t="n">
        <v>69110</v>
      </c>
      <c r="D16" s="7" t="n">
        <v>2029</v>
      </c>
      <c r="E16" s="7" t="n">
        <v>1669</v>
      </c>
      <c r="F16" s="6" t="n">
        <v>143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13</v>
      </c>
      <c r="B17" s="1" t="n">
        <v>43877</v>
      </c>
      <c r="C17" s="6" t="n">
        <v>71317</v>
      </c>
      <c r="D17" s="7" t="n">
        <v>2207</v>
      </c>
      <c r="E17" s="7" t="n">
        <v>1775</v>
      </c>
      <c r="F17" s="6" t="n">
        <v>106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13</v>
      </c>
      <c r="B18" s="1" t="n">
        <v>43878</v>
      </c>
      <c r="C18" s="6" t="n">
        <v>73322</v>
      </c>
      <c r="D18" s="7" t="n">
        <v>2005</v>
      </c>
      <c r="E18" s="7" t="n">
        <v>1873</v>
      </c>
      <c r="F18" s="6" t="n">
        <v>98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13</v>
      </c>
      <c r="B19" s="1" t="n">
        <v>43879</v>
      </c>
      <c r="C19" s="6" t="n">
        <v>75083</v>
      </c>
      <c r="D19" s="7" t="n">
        <v>1761</v>
      </c>
      <c r="E19" s="7" t="n">
        <v>2009</v>
      </c>
      <c r="F19" s="6" t="n">
        <v>136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13</v>
      </c>
      <c r="B20" s="1" t="n">
        <v>43880</v>
      </c>
      <c r="C20" s="6" t="n">
        <v>75599</v>
      </c>
      <c r="D20" s="6" t="n">
        <v>516</v>
      </c>
      <c r="E20" s="7" t="n">
        <v>2124</v>
      </c>
      <c r="F20" s="6" t="n">
        <v>115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13</v>
      </c>
      <c r="B21" s="1" t="n">
        <v>43881</v>
      </c>
      <c r="C21" s="6" t="n">
        <v>77086</v>
      </c>
      <c r="D21" s="7" t="n">
        <v>1487</v>
      </c>
      <c r="E21" s="7" t="n">
        <v>2247</v>
      </c>
      <c r="F21" s="6" t="n">
        <v>123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13</v>
      </c>
      <c r="B22" s="1" t="n">
        <v>43882</v>
      </c>
      <c r="C22" s="6" t="n">
        <v>77592</v>
      </c>
      <c r="D22" s="6" t="n">
        <v>506</v>
      </c>
      <c r="E22" s="7" t="n">
        <v>2356</v>
      </c>
      <c r="F22" s="6" t="n">
        <v>109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13</v>
      </c>
      <c r="B23" s="1" t="n">
        <v>43883</v>
      </c>
      <c r="C23" s="6" t="n">
        <v>78248</v>
      </c>
      <c r="D23" s="6" t="n">
        <v>656</v>
      </c>
      <c r="E23" s="7" t="n">
        <v>2456</v>
      </c>
      <c r="F23" s="6" t="n">
        <v>100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13</v>
      </c>
      <c r="B24" s="1" t="n">
        <v>43884</v>
      </c>
      <c r="C24" s="6" t="n">
        <v>79031</v>
      </c>
      <c r="D24" s="6" t="n">
        <v>783</v>
      </c>
      <c r="E24" s="7" t="n">
        <v>2612</v>
      </c>
      <c r="F24" s="6" t="n">
        <v>156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13</v>
      </c>
      <c r="B25" s="1" t="n">
        <v>43885</v>
      </c>
      <c r="C25" s="6" t="n">
        <v>79848</v>
      </c>
      <c r="D25" s="6" t="n">
        <v>817</v>
      </c>
      <c r="E25" s="7" t="n">
        <v>2689</v>
      </c>
      <c r="F25" s="6" t="n">
        <v>77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13</v>
      </c>
      <c r="B26" s="1" t="n">
        <v>43886</v>
      </c>
      <c r="C26" s="6" t="n">
        <v>80649</v>
      </c>
      <c r="D26" s="6" t="n">
        <v>801</v>
      </c>
      <c r="E26" s="7" t="n">
        <v>2752</v>
      </c>
      <c r="F26" s="6" t="n">
        <v>63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13</v>
      </c>
      <c r="B27" s="1" t="n">
        <v>43887</v>
      </c>
      <c r="C27" s="6" t="n">
        <v>81550</v>
      </c>
      <c r="D27" s="6" t="n">
        <v>901</v>
      </c>
      <c r="E27" s="7" t="n">
        <v>2791</v>
      </c>
      <c r="F27" s="6" t="n">
        <v>39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13</v>
      </c>
      <c r="B28" s="1" t="n">
        <v>43888</v>
      </c>
      <c r="C28" s="6" t="n">
        <v>82622</v>
      </c>
      <c r="D28" s="7" t="n">
        <v>1072</v>
      </c>
      <c r="E28" s="7" t="n">
        <v>2848</v>
      </c>
      <c r="F28" s="6" t="n">
        <v>57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13</v>
      </c>
      <c r="B29" s="1" t="n">
        <v>43889</v>
      </c>
      <c r="C29" s="6" t="n">
        <v>84080</v>
      </c>
      <c r="D29" s="7" t="n">
        <v>1458</v>
      </c>
      <c r="E29" s="7" t="n">
        <v>2905</v>
      </c>
      <c r="F29" s="6" t="n">
        <v>57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13</v>
      </c>
      <c r="B30" s="1" t="n">
        <v>43890</v>
      </c>
      <c r="C30" s="6" t="n">
        <v>85977</v>
      </c>
      <c r="D30" s="7" t="n">
        <v>1897</v>
      </c>
      <c r="E30" s="7" t="n">
        <v>2959</v>
      </c>
      <c r="F30" s="6" t="n">
        <v>54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13</v>
      </c>
      <c r="B31" s="1" t="n">
        <v>43891</v>
      </c>
      <c r="C31" s="6" t="n">
        <v>87343</v>
      </c>
      <c r="D31" s="7" t="n">
        <v>1366</v>
      </c>
      <c r="E31" s="7" t="n">
        <v>3019</v>
      </c>
      <c r="F31" s="6" t="n">
        <v>60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13</v>
      </c>
      <c r="B32" s="1" t="n">
        <v>43892</v>
      </c>
      <c r="C32" s="6" t="n">
        <v>89106</v>
      </c>
      <c r="D32" s="7" t="n">
        <v>1763</v>
      </c>
      <c r="E32" s="7" t="n">
        <v>3074</v>
      </c>
      <c r="F32" s="6" t="n">
        <v>55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13</v>
      </c>
      <c r="B33" s="1" t="n">
        <v>43893</v>
      </c>
      <c r="C33" s="6" t="n">
        <v>90975</v>
      </c>
      <c r="D33" s="7" t="n">
        <v>1869</v>
      </c>
      <c r="E33" s="7" t="n">
        <v>3150</v>
      </c>
      <c r="F33" s="6" t="n">
        <v>76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13</v>
      </c>
      <c r="B34" s="1" t="n">
        <v>43894</v>
      </c>
      <c r="C34" s="6" t="n">
        <v>93233</v>
      </c>
      <c r="D34" s="7" t="n">
        <v>2258</v>
      </c>
      <c r="E34" s="7" t="n">
        <v>3229</v>
      </c>
      <c r="F34" s="6" t="n">
        <v>79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13</v>
      </c>
      <c r="B35" s="1" t="n">
        <v>43895</v>
      </c>
      <c r="C35" s="6" t="n">
        <v>95481</v>
      </c>
      <c r="D35" s="7" t="n">
        <v>2248</v>
      </c>
      <c r="E35" s="7" t="n">
        <v>3312</v>
      </c>
      <c r="F35" s="6" t="n">
        <v>83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13</v>
      </c>
      <c r="B36" s="1" t="n">
        <v>43896</v>
      </c>
      <c r="C36" s="6" t="n">
        <v>98297</v>
      </c>
      <c r="D36" s="7" t="n">
        <v>2816</v>
      </c>
      <c r="E36" s="7" t="n">
        <v>3409</v>
      </c>
      <c r="F36" s="6" t="n">
        <v>97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13</v>
      </c>
      <c r="B37" s="1" t="n">
        <v>43897</v>
      </c>
      <c r="C37" s="8" t="n">
        <v>102050</v>
      </c>
      <c r="D37" s="7" t="n">
        <v>3753</v>
      </c>
      <c r="E37" s="8" t="n">
        <v>3521</v>
      </c>
      <c r="F37" s="6" t="n">
        <v>112</v>
      </c>
      <c r="G37" s="8" t="n">
        <v>55932</v>
      </c>
      <c r="H37" s="8" t="n">
        <v>42597</v>
      </c>
      <c r="I37" s="8" t="n">
        <v>6395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13</v>
      </c>
      <c r="B38" s="1" t="n">
        <v>43898</v>
      </c>
      <c r="C38" s="6" t="n">
        <v>105873</v>
      </c>
      <c r="D38" s="7" t="n">
        <v>3823</v>
      </c>
      <c r="E38" s="7" t="n">
        <v>3615</v>
      </c>
      <c r="F38" s="6" t="n">
        <v>94</v>
      </c>
      <c r="G38" s="6" t="n">
        <v>58519</v>
      </c>
      <c r="H38" s="8" t="n">
        <v>43739</v>
      </c>
      <c r="I38" s="6" t="n">
        <v>6253</v>
      </c>
      <c r="J38" s="6"/>
      <c r="K38" s="6"/>
      <c r="L38" s="6"/>
      <c r="M38" s="6"/>
    </row>
    <row r="39" customFormat="false" ht="15.75" hidden="false" customHeight="false" outlineLevel="0" collapsed="false">
      <c r="A39" s="0" t="s">
        <v>13</v>
      </c>
      <c r="B39" s="1" t="n">
        <v>43899</v>
      </c>
      <c r="C39" s="6" t="n">
        <v>110074</v>
      </c>
      <c r="D39" s="7" t="n">
        <v>4201</v>
      </c>
      <c r="E39" s="7" t="n">
        <v>3848</v>
      </c>
      <c r="F39" s="6" t="n">
        <v>233</v>
      </c>
      <c r="G39" s="6" t="n">
        <v>60789</v>
      </c>
      <c r="H39" s="8" t="n">
        <v>45437</v>
      </c>
      <c r="I39" s="6" t="n">
        <v>6135</v>
      </c>
      <c r="J39" s="6"/>
      <c r="K39" s="6"/>
      <c r="L39" s="6"/>
      <c r="M39" s="6"/>
    </row>
    <row r="40" customFormat="false" ht="15.75" hidden="false" customHeight="false" outlineLevel="0" collapsed="false">
      <c r="A40" s="0" t="s">
        <v>13</v>
      </c>
      <c r="B40" s="1" t="n">
        <v>43900</v>
      </c>
      <c r="C40" s="6" t="n">
        <v>114501</v>
      </c>
      <c r="D40" s="7" t="n">
        <v>4427</v>
      </c>
      <c r="E40" s="7" t="n">
        <v>4051</v>
      </c>
      <c r="F40" s="6" t="n">
        <v>203</v>
      </c>
      <c r="G40" s="6" t="n">
        <v>62776</v>
      </c>
      <c r="H40" s="8" t="n">
        <v>47674</v>
      </c>
      <c r="I40" s="6" t="n">
        <v>6094</v>
      </c>
      <c r="J40" s="6"/>
      <c r="K40" s="6"/>
      <c r="L40" s="6"/>
      <c r="M40" s="6"/>
    </row>
    <row r="41" customFormat="false" ht="15.75" hidden="false" customHeight="false" outlineLevel="0" collapsed="false">
      <c r="A41" s="0" t="s">
        <v>13</v>
      </c>
      <c r="B41" s="1" t="n">
        <v>43901</v>
      </c>
      <c r="C41" s="6" t="n">
        <v>118946</v>
      </c>
      <c r="D41" s="7" t="n">
        <v>4445</v>
      </c>
      <c r="E41" s="7" t="n">
        <v>4303</v>
      </c>
      <c r="F41" s="6" t="n">
        <v>252</v>
      </c>
      <c r="G41" s="6" t="n">
        <v>65114</v>
      </c>
      <c r="H41" s="8" t="n">
        <v>49529</v>
      </c>
      <c r="I41" s="6" t="n">
        <v>6046</v>
      </c>
      <c r="J41" s="6"/>
      <c r="K41" s="6"/>
      <c r="L41" s="6"/>
      <c r="M41" s="6"/>
    </row>
    <row r="42" customFormat="false" ht="15.75" hidden="false" customHeight="false" outlineLevel="0" collapsed="false">
      <c r="A42" s="0" t="s">
        <v>13</v>
      </c>
      <c r="B42" s="1" t="n">
        <v>43902</v>
      </c>
      <c r="C42" s="6" t="n">
        <v>126090</v>
      </c>
      <c r="D42" s="7" t="n">
        <v>7144</v>
      </c>
      <c r="E42" s="7" t="n">
        <v>4634</v>
      </c>
      <c r="F42" s="6" t="n">
        <v>331</v>
      </c>
      <c r="G42" s="6" t="n">
        <v>67057</v>
      </c>
      <c r="H42" s="8" t="n">
        <v>54399</v>
      </c>
      <c r="I42" s="6" t="n">
        <v>5944</v>
      </c>
      <c r="J42" s="6"/>
      <c r="K42" s="6"/>
      <c r="L42" s="6"/>
      <c r="M42" s="6"/>
    </row>
    <row r="43" customFormat="false" ht="15.75" hidden="false" customHeight="false" outlineLevel="0" collapsed="false">
      <c r="A43" s="0" t="s">
        <v>13</v>
      </c>
      <c r="B43" s="1" t="n">
        <v>43903</v>
      </c>
      <c r="C43" s="6" t="n">
        <v>134576</v>
      </c>
      <c r="D43" s="7" t="n">
        <v>8486</v>
      </c>
      <c r="E43" s="7" t="n">
        <v>4992</v>
      </c>
      <c r="F43" s="6" t="n">
        <v>358</v>
      </c>
      <c r="G43" s="6" t="n">
        <v>68932</v>
      </c>
      <c r="H43" s="8" t="n">
        <v>60652</v>
      </c>
      <c r="I43" s="6" t="n">
        <v>5994</v>
      </c>
      <c r="J43" s="6"/>
      <c r="K43" s="6"/>
      <c r="L43" s="6"/>
      <c r="M43" s="6"/>
    </row>
    <row r="44" customFormat="false" ht="15.75" hidden="false" customHeight="false" outlineLevel="0" collapsed="false">
      <c r="A44" s="0" t="s">
        <v>13</v>
      </c>
      <c r="B44" s="1" t="n">
        <v>43904</v>
      </c>
      <c r="C44" s="6" t="n">
        <v>145380</v>
      </c>
      <c r="D44" s="7" t="n">
        <v>10804</v>
      </c>
      <c r="E44" s="7" t="n">
        <v>5438</v>
      </c>
      <c r="F44" s="6" t="n">
        <v>446</v>
      </c>
      <c r="G44" s="6" t="n">
        <v>70931</v>
      </c>
      <c r="H44" s="8" t="n">
        <v>69011</v>
      </c>
      <c r="I44" s="6" t="n">
        <v>5990</v>
      </c>
      <c r="J44" s="6" t="n">
        <v>18.6</v>
      </c>
      <c r="K44" s="6"/>
      <c r="L44" s="6"/>
      <c r="M44" s="6"/>
    </row>
    <row r="45" customFormat="false" ht="15.75" hidden="false" customHeight="false" outlineLevel="0" collapsed="false">
      <c r="A45" s="0" t="s">
        <v>13</v>
      </c>
      <c r="B45" s="1" t="n">
        <v>43905</v>
      </c>
      <c r="C45" s="6" t="n">
        <v>156511</v>
      </c>
      <c r="D45" s="7" t="n">
        <v>11131</v>
      </c>
      <c r="E45" s="7" t="n">
        <v>5841</v>
      </c>
      <c r="F45" s="6" t="n">
        <v>403</v>
      </c>
      <c r="G45" s="6" t="n">
        <v>74466</v>
      </c>
      <c r="H45" s="8" t="n">
        <v>76204</v>
      </c>
      <c r="I45" s="6" t="n">
        <v>5909</v>
      </c>
      <c r="J45" s="6" t="n">
        <v>20.1</v>
      </c>
      <c r="K45" s="6"/>
      <c r="L45" s="6"/>
      <c r="M45" s="6"/>
    </row>
    <row r="46" customFormat="false" ht="15.75" hidden="false" customHeight="false" outlineLevel="0" collapsed="false">
      <c r="A46" s="0" t="s">
        <v>13</v>
      </c>
      <c r="B46" s="1" t="n">
        <v>43906</v>
      </c>
      <c r="C46" s="6" t="n">
        <v>169627</v>
      </c>
      <c r="D46" s="7" t="n">
        <v>13116</v>
      </c>
      <c r="E46" s="7" t="n">
        <v>6533</v>
      </c>
      <c r="F46" s="6" t="n">
        <v>692</v>
      </c>
      <c r="G46" s="6" t="n">
        <v>76618</v>
      </c>
      <c r="H46" s="8" t="n">
        <v>86476</v>
      </c>
      <c r="I46" s="6" t="n">
        <v>5921</v>
      </c>
      <c r="J46" s="6" t="n">
        <v>21.7</v>
      </c>
      <c r="K46" s="6"/>
      <c r="L46" s="6"/>
      <c r="M46" s="6"/>
    </row>
    <row r="47" customFormat="false" ht="15.75" hidden="false" customHeight="false" outlineLevel="0" collapsed="false">
      <c r="A47" s="0" t="s">
        <v>13</v>
      </c>
      <c r="B47" s="1" t="n">
        <v>43907</v>
      </c>
      <c r="C47" s="6" t="n">
        <v>181955</v>
      </c>
      <c r="D47" s="7" t="n">
        <v>12328</v>
      </c>
      <c r="E47" s="7" t="n">
        <v>7163</v>
      </c>
      <c r="F47" s="6" t="n">
        <v>630</v>
      </c>
      <c r="G47" s="6" t="n">
        <v>78340</v>
      </c>
      <c r="H47" s="8" t="n">
        <v>96452</v>
      </c>
      <c r="I47" s="6" t="n">
        <v>6162</v>
      </c>
      <c r="J47" s="6" t="n">
        <v>23.3</v>
      </c>
      <c r="K47" s="6"/>
      <c r="L47" s="6"/>
      <c r="M47" s="6"/>
    </row>
    <row r="48" customFormat="false" ht="15.75" hidden="false" customHeight="false" outlineLevel="0" collapsed="false">
      <c r="A48" s="0" t="s">
        <v>13</v>
      </c>
      <c r="B48" s="1" t="n">
        <v>43908</v>
      </c>
      <c r="C48" s="6" t="n">
        <v>198308</v>
      </c>
      <c r="D48" s="7" t="n">
        <v>16353</v>
      </c>
      <c r="E48" s="7" t="n">
        <v>7984</v>
      </c>
      <c r="F48" s="6" t="n">
        <v>821</v>
      </c>
      <c r="G48" s="6" t="n">
        <v>81734</v>
      </c>
      <c r="H48" s="8" t="n">
        <v>108590</v>
      </c>
      <c r="I48" s="6" t="n">
        <v>7020</v>
      </c>
      <c r="J48" s="6" t="n">
        <v>25.4</v>
      </c>
      <c r="K48" s="6"/>
      <c r="L48" s="6"/>
      <c r="M48" s="6"/>
    </row>
    <row r="49" customFormat="false" ht="15.75" hidden="false" customHeight="false" outlineLevel="0" collapsed="false">
      <c r="A49" s="0" t="s">
        <v>13</v>
      </c>
      <c r="B49" s="1" t="n">
        <v>43909</v>
      </c>
      <c r="C49" s="6" t="n">
        <v>218850</v>
      </c>
      <c r="D49" s="7" t="n">
        <v>20542</v>
      </c>
      <c r="E49" s="7" t="n">
        <v>8934</v>
      </c>
      <c r="F49" s="6" t="n">
        <v>950</v>
      </c>
      <c r="G49" s="6" t="n">
        <v>84386</v>
      </c>
      <c r="H49" s="8" t="n">
        <v>125530</v>
      </c>
      <c r="I49" s="6" t="n">
        <v>7158</v>
      </c>
      <c r="J49" s="6" t="n">
        <v>28.1</v>
      </c>
      <c r="K49" s="6"/>
      <c r="L49" s="6"/>
      <c r="M49" s="6"/>
    </row>
    <row r="50" customFormat="false" ht="15.75" hidden="false" customHeight="false" outlineLevel="0" collapsed="false">
      <c r="A50" s="0" t="s">
        <v>13</v>
      </c>
      <c r="B50" s="1" t="n">
        <v>43910</v>
      </c>
      <c r="C50" s="6" t="n">
        <v>245043</v>
      </c>
      <c r="D50" s="7" t="n">
        <v>26193</v>
      </c>
      <c r="E50" s="7" t="n">
        <v>10034</v>
      </c>
      <c r="F50" s="7" t="n">
        <v>1100</v>
      </c>
      <c r="G50" s="6" t="n">
        <v>87408</v>
      </c>
      <c r="H50" s="8" t="n">
        <v>147601</v>
      </c>
      <c r="I50" s="6" t="n">
        <v>7516</v>
      </c>
      <c r="J50" s="6" t="n">
        <v>31.4</v>
      </c>
      <c r="K50" s="6"/>
      <c r="L50" s="6"/>
      <c r="M50" s="6"/>
    </row>
    <row r="51" customFormat="false" ht="15.75" hidden="false" customHeight="false" outlineLevel="0" collapsed="false">
      <c r="A51" s="0" t="s">
        <v>13</v>
      </c>
      <c r="B51" s="1" t="n">
        <v>43911</v>
      </c>
      <c r="C51" s="6" t="n">
        <v>282906</v>
      </c>
      <c r="D51" s="7" t="n">
        <v>37863</v>
      </c>
      <c r="E51" s="7" t="n">
        <v>11821</v>
      </c>
      <c r="F51" s="7" t="n">
        <v>1787</v>
      </c>
      <c r="G51" s="6" t="n">
        <v>93510</v>
      </c>
      <c r="H51" s="8" t="n">
        <v>177575</v>
      </c>
      <c r="I51" s="6" t="n">
        <v>8094</v>
      </c>
      <c r="J51" s="6" t="n">
        <v>36.3</v>
      </c>
      <c r="K51" s="6"/>
      <c r="L51" s="6"/>
      <c r="M51" s="6"/>
    </row>
    <row r="52" customFormat="false" ht="15.75" hidden="false" customHeight="false" outlineLevel="0" collapsed="false">
      <c r="A52" s="0" t="s">
        <v>13</v>
      </c>
      <c r="B52" s="1" t="n">
        <v>43912</v>
      </c>
      <c r="C52" s="6" t="n">
        <v>307030</v>
      </c>
      <c r="D52" s="7" t="n">
        <v>24124</v>
      </c>
      <c r="E52" s="7" t="n">
        <v>13029</v>
      </c>
      <c r="F52" s="7" t="n">
        <v>1208</v>
      </c>
      <c r="G52" s="6" t="n">
        <v>94798</v>
      </c>
      <c r="H52" s="8" t="n">
        <v>199203</v>
      </c>
      <c r="I52" s="6" t="n">
        <v>9382</v>
      </c>
      <c r="J52" s="6" t="n">
        <v>39.4</v>
      </c>
      <c r="K52" s="6"/>
      <c r="L52" s="6"/>
      <c r="M52" s="6"/>
    </row>
    <row r="53" customFormat="false" ht="15.75" hidden="false" customHeight="false" outlineLevel="0" collapsed="false">
      <c r="A53" s="0" t="s">
        <v>13</v>
      </c>
      <c r="B53" s="1" t="n">
        <v>43913</v>
      </c>
      <c r="C53" s="6" t="n">
        <v>335542</v>
      </c>
      <c r="D53" s="7" t="n">
        <v>28512</v>
      </c>
      <c r="E53" s="7" t="n">
        <v>14611</v>
      </c>
      <c r="F53" s="7" t="n">
        <v>1582</v>
      </c>
      <c r="G53" s="6" t="n">
        <v>97636</v>
      </c>
      <c r="H53" s="8" t="n">
        <v>223295</v>
      </c>
      <c r="I53" s="6" t="n">
        <v>10640</v>
      </c>
      <c r="J53" s="6" t="n">
        <v>43</v>
      </c>
      <c r="K53" s="6"/>
      <c r="L53" s="6"/>
      <c r="M53" s="6"/>
    </row>
    <row r="54" customFormat="false" ht="15.75" hidden="false" customHeight="false" outlineLevel="0" collapsed="false">
      <c r="A54" s="0" t="s">
        <v>13</v>
      </c>
      <c r="B54" s="1" t="n">
        <v>43914</v>
      </c>
      <c r="C54" s="6" t="n">
        <v>378524</v>
      </c>
      <c r="D54" s="7" t="n">
        <v>42982</v>
      </c>
      <c r="E54" s="7" t="n">
        <v>16491</v>
      </c>
      <c r="F54" s="7" t="n">
        <v>1880</v>
      </c>
      <c r="G54" s="6" t="n">
        <v>101584</v>
      </c>
      <c r="H54" s="8" t="n">
        <v>260449</v>
      </c>
      <c r="I54" s="6" t="n">
        <v>12211</v>
      </c>
      <c r="J54" s="6" t="n">
        <v>48.5</v>
      </c>
      <c r="K54" s="6"/>
      <c r="L54" s="6"/>
      <c r="M54" s="6"/>
    </row>
    <row r="55" customFormat="false" ht="15.75" hidden="false" customHeight="false" outlineLevel="0" collapsed="false">
      <c r="A55" s="0" t="s">
        <v>13</v>
      </c>
      <c r="B55" s="1" t="n">
        <v>43915</v>
      </c>
      <c r="C55" s="7" t="n">
        <v>420835</v>
      </c>
      <c r="D55" s="7" t="n">
        <v>42311</v>
      </c>
      <c r="E55" s="7" t="n">
        <v>18800</v>
      </c>
      <c r="F55" s="7" t="n">
        <v>2309</v>
      </c>
      <c r="G55" s="7" t="n">
        <v>108323</v>
      </c>
      <c r="H55" s="8" t="n">
        <v>293712</v>
      </c>
      <c r="I55" s="7" t="n">
        <v>13262</v>
      </c>
      <c r="J55" s="7" t="n">
        <v>54</v>
      </c>
      <c r="K55" s="9" t="n">
        <v>2.4</v>
      </c>
      <c r="L55" s="7"/>
      <c r="M55" s="7"/>
    </row>
    <row r="56" customFormat="false" ht="15.75" hidden="false" customHeight="false" outlineLevel="0" collapsed="false">
      <c r="A56" s="0" t="s">
        <v>13</v>
      </c>
      <c r="B56" s="1" t="n">
        <v>43916</v>
      </c>
      <c r="C56" s="7" t="n">
        <v>467397</v>
      </c>
      <c r="D56" s="7" t="n">
        <v>46562</v>
      </c>
      <c r="E56" s="7" t="n">
        <v>21160</v>
      </c>
      <c r="F56" s="7" t="n">
        <v>2360</v>
      </c>
      <c r="G56" s="7" t="n">
        <v>113808</v>
      </c>
      <c r="H56" s="8" t="n">
        <v>332429</v>
      </c>
      <c r="I56" s="7" t="n">
        <v>14909</v>
      </c>
      <c r="J56" s="10" t="n">
        <v>59.9</v>
      </c>
      <c r="K56" s="9" t="n">
        <v>2.7</v>
      </c>
      <c r="L56" s="7"/>
      <c r="M56" s="7"/>
    </row>
    <row r="57" customFormat="false" ht="15.75" hidden="false" customHeight="false" outlineLevel="0" collapsed="false">
      <c r="A57" s="0" t="s">
        <v>13</v>
      </c>
      <c r="B57" s="1" t="n">
        <v>43917</v>
      </c>
      <c r="C57" s="7" t="n">
        <v>526071</v>
      </c>
      <c r="D57" s="7" t="n">
        <v>58674</v>
      </c>
      <c r="E57" s="7" t="n">
        <v>23721</v>
      </c>
      <c r="F57" s="7" t="n">
        <v>2561</v>
      </c>
      <c r="G57" s="7" t="n">
        <v>123337</v>
      </c>
      <c r="H57" s="8" t="n">
        <v>379013</v>
      </c>
      <c r="I57" s="7" t="n">
        <v>19430</v>
      </c>
      <c r="J57" s="10" t="n">
        <v>67.5</v>
      </c>
      <c r="K57" s="11" t="n">
        <v>3</v>
      </c>
      <c r="L57" s="7"/>
      <c r="M57" s="7"/>
    </row>
    <row r="58" customFormat="false" ht="15.75" hidden="false" customHeight="false" outlineLevel="0" collapsed="false">
      <c r="A58" s="0" t="s">
        <v>13</v>
      </c>
      <c r="B58" s="1" t="n">
        <v>43918</v>
      </c>
      <c r="C58" s="7" t="n">
        <v>590658</v>
      </c>
      <c r="D58" s="7" t="n">
        <v>64587</v>
      </c>
      <c r="E58" s="7" t="n">
        <v>26966</v>
      </c>
      <c r="F58" s="7" t="n">
        <v>3245</v>
      </c>
      <c r="G58" s="7" t="n">
        <v>132490</v>
      </c>
      <c r="H58" s="8" t="n">
        <v>431202</v>
      </c>
      <c r="I58" s="7" t="n">
        <v>22086</v>
      </c>
      <c r="J58" s="10" t="n">
        <v>75.8</v>
      </c>
      <c r="K58" s="9" t="n">
        <v>3.5</v>
      </c>
      <c r="L58" s="7"/>
      <c r="M58" s="7"/>
    </row>
    <row r="59" customFormat="false" ht="15.75" hidden="false" customHeight="false" outlineLevel="0" collapsed="false">
      <c r="A59" s="0" t="s">
        <v>13</v>
      </c>
      <c r="B59" s="1" t="n">
        <v>43919</v>
      </c>
      <c r="C59" s="7" t="n">
        <v>658672</v>
      </c>
      <c r="D59" s="7" t="n">
        <v>68014</v>
      </c>
      <c r="E59" s="7" t="n">
        <v>30471</v>
      </c>
      <c r="F59" s="7" t="n">
        <v>3505</v>
      </c>
      <c r="G59" s="7" t="n">
        <v>141420</v>
      </c>
      <c r="H59" s="8" t="n">
        <v>486781</v>
      </c>
      <c r="I59" s="7" t="n">
        <v>25248</v>
      </c>
      <c r="J59" s="10" t="n">
        <v>84.5</v>
      </c>
      <c r="K59" s="9" t="n">
        <v>3.9</v>
      </c>
      <c r="L59" s="7"/>
      <c r="M59" s="7"/>
    </row>
    <row r="60" customFormat="false" ht="15.75" hidden="false" customHeight="false" outlineLevel="0" collapsed="false">
      <c r="A60" s="0" t="s">
        <v>13</v>
      </c>
      <c r="B60" s="1" t="n">
        <v>43920</v>
      </c>
      <c r="C60" s="7" t="n">
        <v>718897</v>
      </c>
      <c r="D60" s="7" t="n">
        <v>60225</v>
      </c>
      <c r="E60" s="7" t="n">
        <v>33897</v>
      </c>
      <c r="F60" s="7" t="n">
        <v>3426</v>
      </c>
      <c r="G60" s="7" t="n">
        <v>150918</v>
      </c>
      <c r="H60" s="8" t="n">
        <v>534082</v>
      </c>
      <c r="I60" s="7" t="n">
        <v>26743</v>
      </c>
      <c r="J60" s="10" t="n">
        <v>92.2</v>
      </c>
      <c r="K60" s="9" t="n">
        <v>4.3</v>
      </c>
      <c r="L60" s="7"/>
      <c r="M60" s="7"/>
    </row>
    <row r="61" customFormat="false" ht="15.75" hidden="false" customHeight="false" outlineLevel="0" collapsed="false">
      <c r="A61" s="0" t="s">
        <v>13</v>
      </c>
      <c r="B61" s="1" t="n">
        <v>43921</v>
      </c>
      <c r="C61" s="7" t="n">
        <v>780506</v>
      </c>
      <c r="D61" s="7" t="n">
        <v>61609</v>
      </c>
      <c r="E61" s="7" t="n">
        <v>37551</v>
      </c>
      <c r="F61" s="7" t="n">
        <v>3654</v>
      </c>
      <c r="G61" s="7" t="n">
        <v>164631</v>
      </c>
      <c r="H61" s="8" t="n">
        <v>578324</v>
      </c>
      <c r="I61" s="7" t="n">
        <v>29467</v>
      </c>
      <c r="J61" s="10" t="n">
        <v>100.1</v>
      </c>
      <c r="K61" s="9" t="n">
        <v>4.8</v>
      </c>
      <c r="L61" s="7"/>
      <c r="M61" s="7"/>
    </row>
    <row r="62" customFormat="false" ht="15.75" hidden="false" customHeight="false" outlineLevel="0" collapsed="false">
      <c r="A62" s="0" t="s">
        <v>13</v>
      </c>
      <c r="B62" s="1" t="n">
        <v>43922</v>
      </c>
      <c r="C62" s="7" t="n">
        <v>854039</v>
      </c>
      <c r="D62" s="7" t="n">
        <v>73533</v>
      </c>
      <c r="E62" s="7" t="n">
        <v>42014</v>
      </c>
      <c r="F62" s="7" t="n">
        <v>4463</v>
      </c>
      <c r="G62" s="7" t="n">
        <v>176906</v>
      </c>
      <c r="H62" s="8" t="n">
        <v>635119</v>
      </c>
      <c r="I62" s="7" t="n">
        <v>32280</v>
      </c>
      <c r="J62" s="10" t="n">
        <v>109.6</v>
      </c>
      <c r="K62" s="9" t="n">
        <v>5.4</v>
      </c>
      <c r="L62" s="7"/>
      <c r="M62" s="7"/>
    </row>
    <row r="63" customFormat="false" ht="15.75" hidden="false" customHeight="false" outlineLevel="0" collapsed="false">
      <c r="A63" s="0" t="s">
        <v>13</v>
      </c>
      <c r="B63" s="1" t="n">
        <v>43923</v>
      </c>
      <c r="C63" s="7" t="n">
        <v>930819</v>
      </c>
      <c r="D63" s="7" t="n">
        <v>76780</v>
      </c>
      <c r="E63" s="7" t="n">
        <v>46781</v>
      </c>
      <c r="F63" s="7" t="n">
        <v>4767</v>
      </c>
      <c r="G63" s="7" t="n">
        <v>193750</v>
      </c>
      <c r="H63" s="8" t="n">
        <v>690288</v>
      </c>
      <c r="I63" s="7" t="n">
        <v>35475</v>
      </c>
      <c r="J63" s="10" t="n">
        <v>119.4</v>
      </c>
      <c r="K63" s="11" t="n">
        <v>6</v>
      </c>
      <c r="L63" s="7"/>
      <c r="M63" s="7"/>
    </row>
    <row r="64" customFormat="false" ht="15.75" hidden="false" customHeight="false" outlineLevel="0" collapsed="false">
      <c r="A64" s="0" t="s">
        <v>13</v>
      </c>
      <c r="B64" s="1" t="n">
        <v>43924</v>
      </c>
      <c r="C64" s="7" t="n">
        <v>1009727</v>
      </c>
      <c r="D64" s="7" t="n">
        <v>78908</v>
      </c>
      <c r="E64" s="7" t="n">
        <v>51971</v>
      </c>
      <c r="F64" s="7" t="n">
        <v>5190</v>
      </c>
      <c r="G64" s="7" t="n">
        <v>211907</v>
      </c>
      <c r="H64" s="8" t="n">
        <v>745849</v>
      </c>
      <c r="I64" s="7" t="n">
        <v>37712</v>
      </c>
      <c r="J64" s="10" t="n">
        <v>129.5</v>
      </c>
      <c r="K64" s="9" t="n">
        <v>6.8</v>
      </c>
      <c r="L64" s="7"/>
      <c r="M64" s="7"/>
    </row>
    <row r="65" customFormat="false" ht="15.75" hidden="false" customHeight="false" outlineLevel="0" collapsed="false">
      <c r="A65" s="0" t="s">
        <v>13</v>
      </c>
      <c r="B65" s="1" t="n">
        <v>43925</v>
      </c>
      <c r="C65" s="7" t="n">
        <v>1082202</v>
      </c>
      <c r="D65" s="7" t="n">
        <v>72475</v>
      </c>
      <c r="E65" s="7" t="n">
        <v>58779</v>
      </c>
      <c r="F65" s="12" t="n">
        <v>6808</v>
      </c>
      <c r="G65" s="7" t="n">
        <v>228109</v>
      </c>
      <c r="H65" s="8" t="n">
        <v>795314</v>
      </c>
      <c r="I65" s="7" t="n">
        <v>39403</v>
      </c>
      <c r="J65" s="10" t="n">
        <v>140.4</v>
      </c>
      <c r="K65" s="9" t="n">
        <v>7.5</v>
      </c>
      <c r="L65" s="7"/>
      <c r="M65" s="7"/>
    </row>
    <row r="66" customFormat="false" ht="15.75" hidden="false" customHeight="false" outlineLevel="0" collapsed="false">
      <c r="A66" s="0" t="s">
        <v>13</v>
      </c>
      <c r="B66" s="1" t="n">
        <v>43926</v>
      </c>
      <c r="C66" s="7" t="n">
        <v>1182530</v>
      </c>
      <c r="D66" s="7" t="n">
        <v>100328</v>
      </c>
      <c r="E66" s="7" t="n">
        <v>64577</v>
      </c>
      <c r="F66" s="12" t="n">
        <v>5798</v>
      </c>
      <c r="G66" s="7" t="n">
        <v>246110</v>
      </c>
      <c r="H66" s="8" t="n">
        <v>871843</v>
      </c>
      <c r="I66" s="7" t="n">
        <v>42110</v>
      </c>
      <c r="J66" s="10" t="n">
        <v>153.6</v>
      </c>
      <c r="K66" s="9" t="n">
        <v>8.3</v>
      </c>
      <c r="L66" s="7"/>
      <c r="M66" s="7"/>
    </row>
    <row r="67" customFormat="false" ht="15.75" hidden="false" customHeight="false" outlineLevel="0" collapsed="false">
      <c r="A67" s="0" t="s">
        <v>13</v>
      </c>
      <c r="B67" s="1" t="n">
        <v>43927</v>
      </c>
      <c r="C67" s="7" t="n">
        <v>1251288</v>
      </c>
      <c r="D67" s="7" t="n">
        <v>68758</v>
      </c>
      <c r="E67" s="7" t="n">
        <v>69321</v>
      </c>
      <c r="F67" s="12" t="n">
        <v>4744</v>
      </c>
      <c r="G67" s="7" t="n">
        <v>261134</v>
      </c>
      <c r="H67" s="8" t="n">
        <v>920833</v>
      </c>
      <c r="I67" s="7" t="n">
        <v>45532</v>
      </c>
      <c r="J67" s="10" t="n">
        <v>162.7</v>
      </c>
      <c r="K67" s="9" t="n">
        <v>8.9</v>
      </c>
      <c r="L67" s="7"/>
      <c r="M67" s="7"/>
    </row>
    <row r="68" customFormat="false" ht="15.75" hidden="false" customHeight="false" outlineLevel="0" collapsed="false">
      <c r="A68" s="0" t="s">
        <v>13</v>
      </c>
      <c r="B68" s="1" t="n">
        <v>43928</v>
      </c>
      <c r="C68" s="12" t="n">
        <v>1324393</v>
      </c>
      <c r="D68" s="7" t="n">
        <v>73105</v>
      </c>
      <c r="E68" s="12" t="n">
        <v>74442</v>
      </c>
      <c r="F68" s="12" t="n">
        <v>5121</v>
      </c>
      <c r="G68" s="12" t="n">
        <v>278156</v>
      </c>
      <c r="H68" s="8" t="n">
        <v>971795</v>
      </c>
      <c r="I68" s="12" t="n">
        <v>47498</v>
      </c>
      <c r="J68" s="12" t="n">
        <v>172</v>
      </c>
      <c r="K68" s="13" t="n">
        <v>9.6</v>
      </c>
      <c r="L68" s="12"/>
      <c r="M68" s="12"/>
    </row>
    <row r="69" customFormat="false" ht="15.75" hidden="false" customHeight="false" outlineLevel="0" collapsed="false">
      <c r="A69" s="0" t="s">
        <v>13</v>
      </c>
      <c r="B69" s="1" t="n">
        <v>43929</v>
      </c>
      <c r="C69" s="7" t="n">
        <v>1402629</v>
      </c>
      <c r="D69" s="7" t="n">
        <v>78236</v>
      </c>
      <c r="E69" s="7" t="n">
        <v>81857</v>
      </c>
      <c r="F69" s="12" t="n">
        <v>7415</v>
      </c>
      <c r="G69" s="7" t="n">
        <v>301623</v>
      </c>
      <c r="H69" s="8" t="n">
        <v>1019149</v>
      </c>
      <c r="I69" s="7" t="n">
        <v>47911</v>
      </c>
      <c r="J69" s="10" t="n">
        <v>182.6</v>
      </c>
      <c r="K69" s="9" t="n">
        <v>10.5</v>
      </c>
      <c r="L69" s="14"/>
      <c r="M69" s="14"/>
    </row>
    <row r="70" customFormat="false" ht="15.75" hidden="false" customHeight="false" outlineLevel="0" collapsed="false">
      <c r="A70" s="0" t="s">
        <v>13</v>
      </c>
      <c r="B70" s="1" t="n">
        <v>43930</v>
      </c>
      <c r="C70" s="7" t="n">
        <v>1485407</v>
      </c>
      <c r="D70" s="7" t="n">
        <v>82778</v>
      </c>
      <c r="E70" s="7" t="n">
        <v>88100</v>
      </c>
      <c r="F70" s="12" t="n">
        <v>6243</v>
      </c>
      <c r="G70" s="7" t="n">
        <v>319292</v>
      </c>
      <c r="H70" s="8" t="n">
        <v>1078015</v>
      </c>
      <c r="I70" s="7" t="n">
        <v>48018</v>
      </c>
      <c r="J70" s="10" t="n">
        <v>193.3</v>
      </c>
      <c r="K70" s="9" t="n">
        <v>11.3</v>
      </c>
      <c r="L70" s="14"/>
      <c r="M70" s="14"/>
    </row>
    <row r="71" customFormat="false" ht="15.75" hidden="false" customHeight="false" outlineLevel="0" collapsed="false">
      <c r="A71" s="0" t="s">
        <v>13</v>
      </c>
      <c r="B71" s="1" t="n">
        <v>43931</v>
      </c>
      <c r="C71" s="7" t="n">
        <v>1573971</v>
      </c>
      <c r="D71" s="7" t="n">
        <v>88564</v>
      </c>
      <c r="E71" s="7" t="n">
        <v>95385</v>
      </c>
      <c r="F71" s="12" t="n">
        <v>7285</v>
      </c>
      <c r="G71" s="7" t="n">
        <v>355392</v>
      </c>
      <c r="H71" s="8" t="n">
        <v>1123194</v>
      </c>
      <c r="I71" s="7" t="n">
        <v>48953</v>
      </c>
      <c r="J71" s="10" t="n">
        <v>204.7</v>
      </c>
      <c r="K71" s="9" t="n">
        <v>12.2</v>
      </c>
      <c r="L71" s="14"/>
      <c r="M71" s="14"/>
    </row>
    <row r="72" customFormat="false" ht="15.75" hidden="false" customHeight="false" outlineLevel="0" collapsed="false">
      <c r="A72" s="0" t="s">
        <v>13</v>
      </c>
      <c r="B72" s="1" t="n">
        <v>43932</v>
      </c>
      <c r="C72" s="7" t="n">
        <v>1667246</v>
      </c>
      <c r="D72" s="7" t="n">
        <v>93275</v>
      </c>
      <c r="E72" s="7" t="n">
        <v>102399</v>
      </c>
      <c r="F72" s="12" t="n">
        <v>7014</v>
      </c>
      <c r="G72" s="7" t="n">
        <v>375321</v>
      </c>
      <c r="H72" s="8" t="n">
        <v>1189526</v>
      </c>
      <c r="I72" s="7" t="n">
        <v>49823</v>
      </c>
      <c r="J72" s="10" t="n">
        <v>216.9</v>
      </c>
      <c r="K72" s="9" t="n">
        <v>13.1</v>
      </c>
      <c r="L72" s="14"/>
      <c r="M72" s="14"/>
    </row>
    <row r="73" customFormat="false" ht="15.75" hidden="false" customHeight="false" outlineLevel="0" collapsed="false">
      <c r="A73" s="0" t="s">
        <v>13</v>
      </c>
      <c r="B73" s="1" t="n">
        <v>43933</v>
      </c>
      <c r="C73" s="7" t="n">
        <v>1748913</v>
      </c>
      <c r="D73" s="7" t="n">
        <v>81667</v>
      </c>
      <c r="E73" s="7" t="n">
        <v>108477</v>
      </c>
      <c r="F73" s="12" t="n">
        <v>6078</v>
      </c>
      <c r="G73" s="7" t="n">
        <v>401498</v>
      </c>
      <c r="H73" s="8" t="n">
        <v>1238938</v>
      </c>
      <c r="I73" s="7" t="n">
        <v>50134</v>
      </c>
      <c r="J73" s="10" t="n">
        <v>227.5</v>
      </c>
      <c r="K73" s="9" t="n">
        <v>13.9</v>
      </c>
      <c r="L73" s="14"/>
      <c r="M73" s="14"/>
    </row>
    <row r="74" customFormat="false" ht="15.75" hidden="false" customHeight="false" outlineLevel="0" collapsed="false">
      <c r="A74" s="0" t="s">
        <v>13</v>
      </c>
      <c r="B74" s="1" t="n">
        <v>43934</v>
      </c>
      <c r="C74" s="7" t="n">
        <v>1821865</v>
      </c>
      <c r="D74" s="12" t="n">
        <v>72952</v>
      </c>
      <c r="E74" s="7" t="n">
        <v>113902</v>
      </c>
      <c r="F74" s="12" t="n">
        <v>5425</v>
      </c>
      <c r="G74" s="7" t="n">
        <v>422488</v>
      </c>
      <c r="H74" s="8" t="n">
        <v>1285475</v>
      </c>
      <c r="I74" s="7" t="n">
        <v>50761</v>
      </c>
      <c r="J74" s="7" t="n">
        <v>237</v>
      </c>
      <c r="K74" s="15" t="n">
        <v>14.6</v>
      </c>
      <c r="L74" s="14"/>
      <c r="M74" s="14"/>
    </row>
    <row r="75" customFormat="false" ht="15.75" hidden="false" customHeight="false" outlineLevel="0" collapsed="false">
      <c r="A75" s="0" t="s">
        <v>13</v>
      </c>
      <c r="B75" s="1" t="n">
        <v>43935</v>
      </c>
      <c r="C75" s="14" t="n">
        <v>1890452</v>
      </c>
      <c r="D75" s="12" t="n">
        <v>68587</v>
      </c>
      <c r="E75" s="12" t="n">
        <v>119212</v>
      </c>
      <c r="F75" s="12" t="n">
        <v>5310</v>
      </c>
      <c r="G75" s="14" t="n">
        <v>443192</v>
      </c>
      <c r="H75" s="8" t="n">
        <v>1328048</v>
      </c>
      <c r="I75" s="14" t="n">
        <v>51719</v>
      </c>
      <c r="J75" s="14" t="n">
        <v>246.1</v>
      </c>
      <c r="K75" s="13" t="n">
        <v>15.3</v>
      </c>
      <c r="L75" s="14"/>
      <c r="M75" s="14"/>
    </row>
    <row r="76" customFormat="false" ht="15.75" hidden="false" customHeight="false" outlineLevel="0" collapsed="false">
      <c r="A76" s="0" t="s">
        <v>13</v>
      </c>
      <c r="B76" s="1" t="n">
        <v>43936</v>
      </c>
      <c r="C76" s="14" t="n">
        <v>1959595</v>
      </c>
      <c r="D76" s="12" t="n">
        <v>69143</v>
      </c>
      <c r="E76" s="12" t="n">
        <v>125951</v>
      </c>
      <c r="F76" s="12" t="n">
        <v>6739</v>
      </c>
      <c r="G76" s="14" t="n">
        <v>467074</v>
      </c>
      <c r="H76" s="8" t="n">
        <v>1366570</v>
      </c>
      <c r="I76" s="14" t="n">
        <v>51561</v>
      </c>
      <c r="J76" s="14" t="n">
        <v>255.5</v>
      </c>
      <c r="K76" s="13" t="n">
        <v>16.2</v>
      </c>
      <c r="L76" s="14"/>
      <c r="M76" s="14"/>
    </row>
    <row r="77" customFormat="false" ht="15.75" hidden="false" customHeight="false" outlineLevel="0" collapsed="false">
      <c r="A77" s="0" t="s">
        <v>13</v>
      </c>
      <c r="B77" s="1" t="n">
        <v>43937</v>
      </c>
      <c r="C77" s="6" t="n">
        <v>2040130</v>
      </c>
      <c r="D77" s="12" t="n">
        <v>80535</v>
      </c>
      <c r="E77" s="7" t="n">
        <v>134020</v>
      </c>
      <c r="F77" s="12" t="n">
        <v>8069</v>
      </c>
      <c r="G77" s="6" t="n">
        <v>509067</v>
      </c>
      <c r="H77" s="6" t="n">
        <v>1397043</v>
      </c>
      <c r="I77" s="6" t="n">
        <v>51134</v>
      </c>
      <c r="J77" s="6" t="n">
        <v>266</v>
      </c>
      <c r="K77" s="9" t="n">
        <v>17.2</v>
      </c>
      <c r="L77" s="6"/>
      <c r="M77" s="14"/>
    </row>
    <row r="78" customFormat="false" ht="15.75" hidden="false" customHeight="false" outlineLevel="0" collapsed="false">
      <c r="A78" s="0" t="s">
        <v>13</v>
      </c>
      <c r="B78" s="1" t="n">
        <v>43938</v>
      </c>
      <c r="C78" s="14" t="n">
        <v>2127583</v>
      </c>
      <c r="D78" s="12" t="n">
        <v>87453</v>
      </c>
      <c r="E78" s="12" t="n">
        <v>145417</v>
      </c>
      <c r="F78" s="12" t="n">
        <v>11397</v>
      </c>
      <c r="G78" s="14" t="n">
        <v>546743</v>
      </c>
      <c r="H78" s="14" t="n">
        <v>1435423</v>
      </c>
      <c r="I78" s="14" t="n">
        <v>56577</v>
      </c>
      <c r="J78" s="14" t="n">
        <v>279.7</v>
      </c>
      <c r="K78" s="13" t="n">
        <v>18.7</v>
      </c>
      <c r="L78" s="14"/>
      <c r="M78" s="14"/>
    </row>
    <row r="79" customFormat="false" ht="15.75" hidden="false" customHeight="false" outlineLevel="0" collapsed="false">
      <c r="A79" s="0" t="s">
        <v>13</v>
      </c>
      <c r="B79" s="1" t="n">
        <v>43939</v>
      </c>
      <c r="C79" s="14" t="n">
        <v>2201506</v>
      </c>
      <c r="D79" s="12" t="n">
        <v>73923</v>
      </c>
      <c r="E79" s="12" t="n">
        <v>153818</v>
      </c>
      <c r="F79" s="12" t="n">
        <v>8401</v>
      </c>
      <c r="G79" s="14" t="n">
        <v>569937</v>
      </c>
      <c r="H79" s="14" t="n">
        <v>1477751</v>
      </c>
      <c r="I79" s="14" t="n">
        <v>56924</v>
      </c>
      <c r="J79" s="14" t="n">
        <v>286.8</v>
      </c>
      <c r="K79" s="13" t="n">
        <v>19.7</v>
      </c>
      <c r="L79" s="14"/>
      <c r="M79" s="14"/>
    </row>
    <row r="80" customFormat="false" ht="15.75" hidden="false" customHeight="false" outlineLevel="0" collapsed="false">
      <c r="A80" s="0" t="s">
        <v>13</v>
      </c>
      <c r="B80" s="1" t="n">
        <v>43940</v>
      </c>
      <c r="C80" s="14" t="n">
        <v>2288798</v>
      </c>
      <c r="D80" s="12" t="n">
        <v>87292</v>
      </c>
      <c r="E80" s="12" t="n">
        <v>159747</v>
      </c>
      <c r="F80" s="12" t="n">
        <v>5929</v>
      </c>
      <c r="G80" s="14" t="n">
        <v>595381</v>
      </c>
      <c r="H80" s="14" t="n">
        <v>1533670</v>
      </c>
      <c r="I80" s="14" t="n">
        <v>55218</v>
      </c>
      <c r="J80" s="14" t="n">
        <v>298</v>
      </c>
      <c r="K80" s="13" t="n">
        <v>20.5</v>
      </c>
    </row>
    <row r="81" customFormat="false" ht="15.75" hidden="false" customHeight="false" outlineLevel="0" collapsed="false">
      <c r="A81" s="0" t="s">
        <v>13</v>
      </c>
      <c r="B81" s="1" t="n">
        <v>43941</v>
      </c>
      <c r="C81" s="14" t="n">
        <v>2367742</v>
      </c>
      <c r="D81" s="12" t="n">
        <v>78944</v>
      </c>
      <c r="E81" s="12" t="n">
        <v>164856</v>
      </c>
      <c r="F81" s="12" t="n">
        <v>5109</v>
      </c>
      <c r="G81" s="14" t="n">
        <v>615703</v>
      </c>
      <c r="H81" s="14" t="n">
        <v>1587183</v>
      </c>
      <c r="I81" s="14" t="n">
        <v>54215</v>
      </c>
      <c r="J81" s="14" t="n">
        <v>308</v>
      </c>
      <c r="K81" s="13" t="n">
        <v>21.3</v>
      </c>
    </row>
    <row r="82" customFormat="false" ht="15.75" hidden="false" customHeight="false" outlineLevel="0" collapsed="false">
      <c r="A82" s="0" t="s">
        <v>13</v>
      </c>
      <c r="B82" s="1" t="n">
        <v>43942</v>
      </c>
      <c r="C82" s="14" t="n">
        <v>2438771</v>
      </c>
      <c r="D82" s="12" t="n">
        <v>71029</v>
      </c>
      <c r="E82" s="12" t="n">
        <v>169948</v>
      </c>
      <c r="F82" s="12" t="n">
        <v>5092</v>
      </c>
      <c r="G82" s="14" t="n">
        <v>645019</v>
      </c>
      <c r="H82" s="14" t="n">
        <v>1623804</v>
      </c>
      <c r="I82" s="14" t="n">
        <v>56444</v>
      </c>
      <c r="J82" s="14" t="n">
        <v>317</v>
      </c>
      <c r="K82" s="13" t="n">
        <v>21.8</v>
      </c>
      <c r="L82" s="6"/>
      <c r="M82" s="6"/>
    </row>
    <row r="83" customFormat="false" ht="15.75" hidden="false" customHeight="false" outlineLevel="0" collapsed="false">
      <c r="A83" s="0" t="s">
        <v>13</v>
      </c>
      <c r="B83" s="1" t="n">
        <v>43943</v>
      </c>
      <c r="C83" s="6" t="n">
        <v>2515331</v>
      </c>
      <c r="D83" s="7" t="n">
        <v>76560</v>
      </c>
      <c r="E83" s="7" t="n">
        <v>177177</v>
      </c>
      <c r="F83" s="7" t="n">
        <v>7229</v>
      </c>
      <c r="G83" s="6" t="n">
        <v>688356</v>
      </c>
      <c r="H83" s="6" t="n">
        <v>1649798</v>
      </c>
      <c r="I83" s="6" t="n">
        <v>57254</v>
      </c>
      <c r="J83" s="6" t="n">
        <v>327</v>
      </c>
      <c r="K83" s="9" t="n">
        <v>22.7</v>
      </c>
      <c r="L83" s="6"/>
      <c r="M83" s="6"/>
    </row>
    <row r="84" customFormat="false" ht="15.75" hidden="false" customHeight="false" outlineLevel="0" collapsed="false">
      <c r="A84" s="0" t="s">
        <v>13</v>
      </c>
      <c r="B84" s="1" t="n">
        <v>43944</v>
      </c>
      <c r="C84" s="6" t="n">
        <v>2593158</v>
      </c>
      <c r="D84" s="7" t="n">
        <v>77827</v>
      </c>
      <c r="E84" s="7" t="n">
        <v>183723</v>
      </c>
      <c r="F84" s="7" t="n">
        <v>6546</v>
      </c>
      <c r="G84" s="6" t="n">
        <v>716731</v>
      </c>
      <c r="H84" s="6" t="n">
        <v>1692704</v>
      </c>
      <c r="I84" s="6" t="n">
        <v>56678</v>
      </c>
      <c r="J84" s="6" t="n">
        <v>337.4</v>
      </c>
      <c r="K84" s="9" t="n">
        <v>23.6</v>
      </c>
      <c r="L84" s="6"/>
      <c r="M84" s="6"/>
    </row>
    <row r="85" customFormat="false" ht="15.75" hidden="false" customHeight="false" outlineLevel="0" collapsed="false">
      <c r="A85" s="0" t="s">
        <v>13</v>
      </c>
      <c r="B85" s="1" t="n">
        <v>43945</v>
      </c>
      <c r="C85" s="6" t="n">
        <v>2672915</v>
      </c>
      <c r="D85" s="7" t="n">
        <v>79757</v>
      </c>
      <c r="E85" s="7" t="n">
        <v>190110</v>
      </c>
      <c r="F85" s="7" t="n">
        <v>6387</v>
      </c>
      <c r="G85" s="6" t="n">
        <v>743567</v>
      </c>
      <c r="H85" s="6" t="n">
        <v>1739238</v>
      </c>
      <c r="I85" s="6" t="n">
        <v>58675</v>
      </c>
      <c r="J85" s="6" t="n">
        <v>348</v>
      </c>
      <c r="K85" s="9" t="n">
        <v>24.4</v>
      </c>
    </row>
    <row r="86" customFormat="false" ht="15.75" hidden="false" customHeight="false" outlineLevel="0" collapsed="false">
      <c r="A86" s="0" t="s">
        <v>13</v>
      </c>
      <c r="B86" s="1" t="n">
        <v>43946</v>
      </c>
      <c r="C86" s="6" t="n">
        <v>2780925</v>
      </c>
      <c r="D86" s="7" t="n">
        <v>108010</v>
      </c>
      <c r="E86" s="7" t="n">
        <v>196575</v>
      </c>
      <c r="F86" s="7" t="n">
        <v>6465</v>
      </c>
      <c r="G86" s="6" t="n">
        <v>779766</v>
      </c>
      <c r="H86" s="6" t="n">
        <v>1804584</v>
      </c>
      <c r="I86" s="6" t="n">
        <v>58347</v>
      </c>
      <c r="J86" s="6" t="n">
        <v>362</v>
      </c>
      <c r="K86" s="9" t="n">
        <v>25.2</v>
      </c>
    </row>
    <row r="87" customFormat="false" ht="15.75" hidden="false" customHeight="false" outlineLevel="0" collapsed="false">
      <c r="A87" s="0" t="s">
        <v>13</v>
      </c>
      <c r="B87" s="1" t="n">
        <v>43947</v>
      </c>
      <c r="C87" s="6" t="n">
        <v>2870677</v>
      </c>
      <c r="D87" s="7" t="n">
        <v>89752</v>
      </c>
      <c r="E87" s="7" t="n">
        <v>202558</v>
      </c>
      <c r="F87" s="7" t="n">
        <v>5983</v>
      </c>
      <c r="G87" s="6" t="n">
        <v>832702</v>
      </c>
      <c r="H87" s="6" t="n">
        <v>1835417</v>
      </c>
      <c r="I87" s="6" t="n">
        <v>58178</v>
      </c>
      <c r="J87" s="6" t="n">
        <v>374</v>
      </c>
      <c r="K87" s="9" t="n">
        <v>26</v>
      </c>
    </row>
    <row r="88" customFormat="false" ht="15.75" hidden="false" customHeight="false" outlineLevel="0" collapsed="false">
      <c r="A88" s="0" t="s">
        <v>13</v>
      </c>
      <c r="B88" s="1" t="n">
        <v>43948</v>
      </c>
      <c r="C88" s="6" t="n">
        <v>2932425</v>
      </c>
      <c r="D88" s="7" t="n">
        <v>61748</v>
      </c>
      <c r="E88" s="7" t="n">
        <v>206728</v>
      </c>
      <c r="F88" s="7" t="n">
        <v>4170</v>
      </c>
      <c r="G88" s="6" t="n">
        <v>876488</v>
      </c>
      <c r="H88" s="6" t="n">
        <v>1849209</v>
      </c>
      <c r="I88" s="6" t="n">
        <v>57583</v>
      </c>
      <c r="J88" s="6" t="n">
        <v>383</v>
      </c>
      <c r="K88" s="9" t="n">
        <v>26.5</v>
      </c>
    </row>
    <row r="89" customFormat="false" ht="15.75" hidden="false" customHeight="false" outlineLevel="0" collapsed="false">
      <c r="A89" s="0" t="s">
        <v>13</v>
      </c>
      <c r="B89" s="1" t="n">
        <v>43949</v>
      </c>
      <c r="C89" s="6" t="n">
        <v>3000760</v>
      </c>
      <c r="D89" s="7" t="n">
        <v>68335</v>
      </c>
      <c r="E89" s="7" t="n">
        <v>211065</v>
      </c>
      <c r="F89" s="7" t="n">
        <v>4337</v>
      </c>
      <c r="G89" s="6" t="n">
        <v>919366</v>
      </c>
      <c r="H89" s="6" t="n">
        <v>1870329</v>
      </c>
      <c r="I89" s="6" t="n">
        <v>56446</v>
      </c>
      <c r="J89" s="6" t="n">
        <v>392</v>
      </c>
      <c r="K89" s="6" t="n">
        <v>27.1</v>
      </c>
      <c r="L89" s="6"/>
      <c r="M89" s="6"/>
    </row>
    <row r="90" customFormat="false" ht="15.75" hidden="false" customHeight="false" outlineLevel="0" collapsed="false">
      <c r="A90" s="0" t="s">
        <v>13</v>
      </c>
      <c r="B90" s="1" t="n">
        <v>43950</v>
      </c>
      <c r="C90" s="6" t="n">
        <v>3070544</v>
      </c>
      <c r="D90" s="7" t="n">
        <v>69784</v>
      </c>
      <c r="E90" s="7" t="n">
        <v>216987</v>
      </c>
      <c r="F90" s="7" t="n">
        <v>5922</v>
      </c>
      <c r="G90" s="6" t="n">
        <v>950878</v>
      </c>
      <c r="H90" s="6" t="n">
        <v>1902679</v>
      </c>
      <c r="I90" s="6" t="n">
        <v>56542</v>
      </c>
      <c r="J90" s="6" t="n">
        <v>401</v>
      </c>
      <c r="K90" s="6" t="n">
        <v>27.8</v>
      </c>
      <c r="L90" s="6"/>
      <c r="M90" s="6"/>
    </row>
    <row r="91" customFormat="false" ht="15.75" hidden="false" customHeight="false" outlineLevel="0" collapsed="false">
      <c r="A91" s="0" t="s">
        <v>13</v>
      </c>
      <c r="B91" s="1" t="n">
        <v>43951</v>
      </c>
      <c r="C91" s="6" t="n">
        <v>3145204</v>
      </c>
      <c r="D91" s="7" t="n">
        <v>74660</v>
      </c>
      <c r="E91" s="7" t="n">
        <v>227368</v>
      </c>
      <c r="F91" s="7" t="n">
        <v>10381</v>
      </c>
      <c r="G91" s="6" t="n">
        <v>996827</v>
      </c>
      <c r="H91" s="6" t="n">
        <v>1921009</v>
      </c>
      <c r="I91" s="6" t="n">
        <v>59807</v>
      </c>
      <c r="J91" s="6" t="n">
        <v>411</v>
      </c>
      <c r="K91" s="6" t="n">
        <v>29.2</v>
      </c>
      <c r="L91" s="6"/>
    </row>
    <row r="92" customFormat="false" ht="15.75" hidden="false" customHeight="false" outlineLevel="0" collapsed="false">
      <c r="A92" s="0" t="s">
        <v>13</v>
      </c>
      <c r="B92" s="1" t="n">
        <v>43952</v>
      </c>
      <c r="C92" s="6" t="n">
        <v>3236425</v>
      </c>
      <c r="D92" s="7" t="n">
        <v>91221</v>
      </c>
      <c r="E92" s="7" t="n">
        <v>233641</v>
      </c>
      <c r="F92" s="7" t="n">
        <v>6273</v>
      </c>
      <c r="G92" s="6" t="n">
        <v>1037913</v>
      </c>
      <c r="H92" s="6" t="n">
        <v>1964871</v>
      </c>
      <c r="I92" s="6" t="n">
        <v>50958</v>
      </c>
      <c r="J92" s="6" t="n">
        <v>423</v>
      </c>
      <c r="K92" s="6" t="n">
        <v>30</v>
      </c>
      <c r="L92" s="6"/>
    </row>
    <row r="93" customFormat="false" ht="15.75" hidden="false" customHeight="false" outlineLevel="0" collapsed="false">
      <c r="A93" s="0" t="s">
        <v>13</v>
      </c>
      <c r="B93" s="1" t="n">
        <v>43953</v>
      </c>
      <c r="C93" s="6" t="n">
        <v>3326409</v>
      </c>
      <c r="D93" s="7" t="n">
        <v>89984</v>
      </c>
      <c r="E93" s="7" t="n">
        <v>239110</v>
      </c>
      <c r="F93" s="7" t="n">
        <v>5469</v>
      </c>
      <c r="G93" s="6" t="n">
        <v>1077834</v>
      </c>
      <c r="H93" s="6" t="n">
        <v>2009465</v>
      </c>
      <c r="I93" s="6" t="n">
        <v>51332</v>
      </c>
      <c r="J93" s="6" t="n">
        <v>435</v>
      </c>
      <c r="K93" s="6" t="n">
        <v>30.7</v>
      </c>
    </row>
    <row r="94" customFormat="false" ht="15.75" hidden="false" customHeight="false" outlineLevel="0" collapsed="false">
      <c r="A94" s="0" t="s">
        <v>13</v>
      </c>
      <c r="B94" s="1" t="n">
        <v>43954</v>
      </c>
      <c r="C94" s="6" t="n">
        <v>3405673</v>
      </c>
      <c r="D94" s="7" t="n">
        <v>79264</v>
      </c>
      <c r="E94" s="7" t="n">
        <v>244105</v>
      </c>
      <c r="F94" s="7" t="n">
        <v>4995</v>
      </c>
      <c r="G94" s="6" t="n">
        <v>1114868</v>
      </c>
      <c r="H94" s="6" t="n">
        <v>2046700</v>
      </c>
      <c r="I94" s="6" t="n">
        <v>50844</v>
      </c>
      <c r="J94" s="6" t="n">
        <v>445</v>
      </c>
      <c r="K94" s="6" t="n">
        <v>31.3</v>
      </c>
      <c r="L94" s="6"/>
    </row>
    <row r="95" customFormat="false" ht="15.75" hidden="false" customHeight="false" outlineLevel="0" collapsed="false">
      <c r="A95" s="0" t="s">
        <v>13</v>
      </c>
      <c r="B95" s="1" t="n">
        <v>43955</v>
      </c>
      <c r="C95" s="6" t="n">
        <v>3492413</v>
      </c>
      <c r="D95" s="7" t="n">
        <v>86740</v>
      </c>
      <c r="E95" s="7" t="n">
        <v>247982</v>
      </c>
      <c r="F95" s="7" t="n">
        <v>3877</v>
      </c>
      <c r="G95" s="6" t="n">
        <v>1152914</v>
      </c>
      <c r="H95" s="6" t="n">
        <v>2091517</v>
      </c>
      <c r="I95" s="6" t="n">
        <v>50041</v>
      </c>
      <c r="J95" s="6" t="n">
        <v>457</v>
      </c>
      <c r="K95" s="6" t="n">
        <v>31.8</v>
      </c>
      <c r="L95" s="6"/>
    </row>
    <row r="96" customFormat="false" ht="15.75" hidden="false" customHeight="false" outlineLevel="0" collapsed="false">
      <c r="A96" s="0" t="s">
        <v>13</v>
      </c>
      <c r="B96" s="1" t="n">
        <v>43956</v>
      </c>
      <c r="C96" s="6" t="n">
        <v>3568045</v>
      </c>
      <c r="D96" s="7" t="n">
        <v>75632</v>
      </c>
      <c r="E96" s="7" t="n">
        <v>251612</v>
      </c>
      <c r="F96" s="7" t="n">
        <v>3630</v>
      </c>
      <c r="G96" s="6" t="n">
        <v>1187420</v>
      </c>
      <c r="H96" s="6" t="n">
        <v>2129013</v>
      </c>
      <c r="I96" s="6" t="n">
        <v>49626</v>
      </c>
      <c r="J96" s="6" t="n">
        <v>466</v>
      </c>
      <c r="K96" s="6" t="n">
        <v>32.3</v>
      </c>
      <c r="L96" s="6"/>
    </row>
    <row r="97" customFormat="false" ht="15.75" hidden="false" customHeight="false" outlineLevel="0" collapsed="false">
      <c r="A97" s="0" t="s">
        <v>13</v>
      </c>
      <c r="B97" s="1" t="n">
        <v>43957</v>
      </c>
      <c r="C97" s="6" t="n">
        <v>3646219</v>
      </c>
      <c r="D97" s="7" t="n">
        <v>78174</v>
      </c>
      <c r="E97" s="7" t="n">
        <v>257310</v>
      </c>
      <c r="F97" s="7" t="n">
        <v>5698</v>
      </c>
      <c r="G97" s="6" t="n">
        <v>1235728</v>
      </c>
      <c r="H97" s="6" t="n">
        <v>2153181</v>
      </c>
      <c r="I97" s="6" t="n">
        <v>49329</v>
      </c>
      <c r="J97" s="6" t="n">
        <v>477</v>
      </c>
      <c r="K97" s="6" t="n">
        <v>33</v>
      </c>
      <c r="L97" s="6"/>
      <c r="M97" s="6"/>
    </row>
    <row r="98" customFormat="false" ht="15.75" hidden="false" customHeight="false" outlineLevel="0" collapsed="false">
      <c r="A98" s="0" t="s">
        <v>13</v>
      </c>
      <c r="B98" s="1" t="n">
        <v>43958</v>
      </c>
      <c r="C98" s="6" t="n">
        <v>3740311</v>
      </c>
      <c r="D98" s="7" t="n">
        <v>94092</v>
      </c>
      <c r="E98" s="7" t="n">
        <v>264020</v>
      </c>
      <c r="F98" s="7" t="n">
        <v>6710</v>
      </c>
      <c r="G98" s="6" t="n">
        <v>1287636</v>
      </c>
      <c r="H98" s="6" t="n">
        <v>2188655</v>
      </c>
      <c r="I98" s="6" t="n">
        <v>48073</v>
      </c>
      <c r="J98" s="6" t="n">
        <v>489</v>
      </c>
      <c r="K98" s="6" t="n">
        <v>33.9</v>
      </c>
      <c r="L98" s="6"/>
      <c r="M98" s="6"/>
    </row>
    <row r="99" customFormat="false" ht="15.75" hidden="false" customHeight="false" outlineLevel="0" collapsed="false">
      <c r="A99" s="0" t="s">
        <v>13</v>
      </c>
      <c r="B99" s="1" t="n">
        <v>43959</v>
      </c>
      <c r="C99" s="6" t="n">
        <v>3832056</v>
      </c>
      <c r="D99" s="7" t="n">
        <v>91745</v>
      </c>
      <c r="E99" s="7" t="n">
        <v>270061</v>
      </c>
      <c r="F99" s="7" t="n">
        <v>6041</v>
      </c>
      <c r="G99" s="6" t="n">
        <v>1334586</v>
      </c>
      <c r="H99" s="6" t="n">
        <v>2227409</v>
      </c>
      <c r="I99" s="6" t="n">
        <v>48973</v>
      </c>
      <c r="J99" s="6" t="n">
        <v>501</v>
      </c>
      <c r="K99" s="6" t="n">
        <v>34.6</v>
      </c>
      <c r="L99" s="6"/>
      <c r="M99" s="6"/>
    </row>
    <row r="100" customFormat="false" ht="15.75" hidden="false" customHeight="false" outlineLevel="0" collapsed="false">
      <c r="A100" s="0" t="s">
        <v>13</v>
      </c>
      <c r="B100" s="1" t="n">
        <v>43960</v>
      </c>
      <c r="C100" s="6" t="n">
        <v>3926218</v>
      </c>
      <c r="D100" s="7" t="n">
        <v>94162</v>
      </c>
      <c r="E100" s="7" t="n">
        <v>275399</v>
      </c>
      <c r="F100" s="7" t="n">
        <v>5338</v>
      </c>
      <c r="G100" s="6" t="n">
        <v>1375984</v>
      </c>
      <c r="H100" s="6" t="n">
        <v>2274835</v>
      </c>
      <c r="I100" s="6" t="n">
        <v>48648</v>
      </c>
      <c r="J100" s="6" t="n">
        <v>513</v>
      </c>
      <c r="K100" s="6" t="n">
        <v>35.3</v>
      </c>
      <c r="L100" s="6"/>
      <c r="M100" s="6"/>
    </row>
    <row r="101" customFormat="false" ht="15.75" hidden="false" customHeight="false" outlineLevel="0" collapsed="false">
      <c r="A101" s="0" t="s">
        <v>13</v>
      </c>
      <c r="B101" s="1" t="n">
        <v>43961</v>
      </c>
      <c r="C101" s="6" t="n">
        <v>4008604</v>
      </c>
      <c r="D101" s="7" t="n">
        <v>82386</v>
      </c>
      <c r="E101" s="7" t="n">
        <v>279511</v>
      </c>
      <c r="F101" s="7" t="n">
        <v>4112</v>
      </c>
      <c r="G101" s="6" t="n">
        <v>1427069</v>
      </c>
      <c r="H101" s="6" t="n">
        <v>2302024</v>
      </c>
      <c r="I101" s="6" t="n">
        <v>47687</v>
      </c>
      <c r="J101" s="6" t="n">
        <v>524</v>
      </c>
      <c r="K101" s="6" t="n">
        <v>35.9</v>
      </c>
      <c r="L101" s="6"/>
      <c r="M101" s="6"/>
    </row>
    <row r="102" customFormat="false" ht="15.75" hidden="false" customHeight="false" outlineLevel="0" collapsed="false">
      <c r="A102" s="0" t="s">
        <v>13</v>
      </c>
      <c r="B102" s="1" t="n">
        <v>43962</v>
      </c>
      <c r="C102" s="6" t="n">
        <v>4095895</v>
      </c>
      <c r="D102" s="7" t="n">
        <v>87291</v>
      </c>
      <c r="E102" s="7" t="n">
        <v>283584</v>
      </c>
      <c r="F102" s="7" t="n">
        <v>4073</v>
      </c>
      <c r="G102" s="6" t="n">
        <v>1468789</v>
      </c>
      <c r="H102" s="6" t="n">
        <v>2343522</v>
      </c>
      <c r="I102" s="6" t="n">
        <v>47015</v>
      </c>
      <c r="J102" s="6" t="n">
        <v>535</v>
      </c>
      <c r="K102" s="6" t="n">
        <v>36.4</v>
      </c>
      <c r="L102" s="6"/>
    </row>
    <row r="103" customFormat="false" ht="15.75" hidden="false" customHeight="false" outlineLevel="0" collapsed="false">
      <c r="A103" s="0" t="s">
        <v>13</v>
      </c>
      <c r="B103" s="1" t="n">
        <v>43963</v>
      </c>
      <c r="C103" s="6" t="n">
        <v>4165015</v>
      </c>
      <c r="D103" s="7" t="n">
        <v>69120</v>
      </c>
      <c r="E103" s="7" t="n">
        <v>286563</v>
      </c>
      <c r="F103" s="7" t="n">
        <v>2979</v>
      </c>
      <c r="G103" s="6" t="n">
        <v>1521397</v>
      </c>
      <c r="H103" s="6" t="n">
        <v>2357055</v>
      </c>
      <c r="I103" s="6" t="n">
        <v>46920</v>
      </c>
      <c r="J103" s="6" t="n">
        <v>544</v>
      </c>
      <c r="K103" s="6" t="n">
        <v>36.8</v>
      </c>
      <c r="L103" s="6"/>
    </row>
    <row r="104" customFormat="false" ht="15.75" hidden="false" customHeight="false" outlineLevel="0" collapsed="false">
      <c r="A104" s="0" t="s">
        <v>13</v>
      </c>
      <c r="B104" s="1" t="n">
        <v>43964</v>
      </c>
      <c r="C104" s="6" t="n">
        <v>4250593</v>
      </c>
      <c r="D104" s="7" t="n">
        <v>85578</v>
      </c>
      <c r="E104" s="7" t="n">
        <v>291818</v>
      </c>
      <c r="F104" s="7" t="n">
        <v>5255</v>
      </c>
      <c r="G104" s="6" t="n">
        <v>1575554</v>
      </c>
      <c r="H104" s="6" t="n">
        <v>2383221</v>
      </c>
      <c r="I104" s="6" t="n">
        <v>46357</v>
      </c>
      <c r="J104" s="6" t="n">
        <v>555</v>
      </c>
      <c r="K104" s="6" t="n">
        <v>37.4</v>
      </c>
      <c r="L104" s="6"/>
    </row>
    <row r="105" customFormat="false" ht="15.75" hidden="false" customHeight="false" outlineLevel="0" collapsed="false">
      <c r="A105" s="0" t="s">
        <v>13</v>
      </c>
      <c r="B105" s="1" t="n">
        <v>43965</v>
      </c>
      <c r="C105" s="6" t="n">
        <v>4337489</v>
      </c>
      <c r="D105" s="7" t="n">
        <v>86896</v>
      </c>
      <c r="E105" s="7" t="n">
        <v>297054</v>
      </c>
      <c r="F105" s="7" t="n">
        <v>5236</v>
      </c>
      <c r="G105" s="6" t="n">
        <v>1648397</v>
      </c>
      <c r="H105" s="6" t="n">
        <v>2392038</v>
      </c>
      <c r="I105" s="6" t="n">
        <v>45932</v>
      </c>
      <c r="J105" s="6" t="n">
        <v>567</v>
      </c>
      <c r="K105" s="6" t="n">
        <v>38.1</v>
      </c>
      <c r="L105" s="6"/>
    </row>
    <row r="106" customFormat="false" ht="15.75" hidden="false" customHeight="false" outlineLevel="0" collapsed="false">
      <c r="A106" s="0" t="s">
        <v>13</v>
      </c>
      <c r="B106" s="1" t="n">
        <v>43966</v>
      </c>
      <c r="C106" s="6" t="n">
        <v>4430343</v>
      </c>
      <c r="D106" s="7" t="n">
        <v>92854</v>
      </c>
      <c r="E106" s="7" t="n">
        <v>302017</v>
      </c>
      <c r="F106" s="7" t="n">
        <v>4963</v>
      </c>
      <c r="G106" s="6" t="n">
        <v>1697595</v>
      </c>
      <c r="H106" s="6" t="n">
        <v>2430731</v>
      </c>
      <c r="I106" s="6" t="n">
        <v>45555</v>
      </c>
      <c r="J106" s="6" t="n">
        <v>579</v>
      </c>
      <c r="K106" s="6" t="n">
        <v>38.8</v>
      </c>
      <c r="L106" s="6"/>
    </row>
    <row r="107" customFormat="false" ht="15.75" hidden="false" customHeight="false" outlineLevel="0" collapsed="false">
      <c r="A107" s="0" t="s">
        <v>13</v>
      </c>
      <c r="B107" s="1" t="n">
        <v>43967</v>
      </c>
      <c r="C107" s="6" t="n">
        <v>4528167</v>
      </c>
      <c r="D107" s="7" t="n">
        <v>97824</v>
      </c>
      <c r="E107" s="7" t="n">
        <v>306908</v>
      </c>
      <c r="F107" s="7" t="n">
        <v>4891</v>
      </c>
      <c r="G107" s="6" t="n">
        <v>1742819</v>
      </c>
      <c r="H107" s="6" t="n">
        <v>2478440</v>
      </c>
      <c r="I107" s="6" t="n">
        <v>45021</v>
      </c>
      <c r="J107" s="6" t="n">
        <v>591</v>
      </c>
      <c r="K107" s="6" t="n">
        <v>39.5</v>
      </c>
      <c r="L107" s="6"/>
    </row>
    <row r="108" customFormat="false" ht="15.75" hidden="false" customHeight="false" outlineLevel="0" collapsed="false">
      <c r="A108" s="0" t="s">
        <v>13</v>
      </c>
      <c r="B108" s="1" t="n">
        <v>43968</v>
      </c>
      <c r="C108" s="6" t="n">
        <v>4624307</v>
      </c>
      <c r="D108" s="7" t="n">
        <v>96140</v>
      </c>
      <c r="E108" s="7" t="n">
        <v>311203</v>
      </c>
      <c r="F108" s="7" t="n">
        <v>4295</v>
      </c>
      <c r="G108" s="6" t="n">
        <v>1803101</v>
      </c>
      <c r="H108" s="6" t="n">
        <v>2510003</v>
      </c>
      <c r="I108" s="6" t="n">
        <v>44631</v>
      </c>
      <c r="J108" s="6" t="n">
        <v>604</v>
      </c>
      <c r="K108" s="6" t="n">
        <v>40</v>
      </c>
      <c r="L108" s="6"/>
    </row>
    <row r="109" customFormat="false" ht="15.75" hidden="false" customHeight="false" outlineLevel="0" collapsed="false">
      <c r="A109" s="0" t="s">
        <v>13</v>
      </c>
      <c r="B109" s="1" t="n">
        <v>43969</v>
      </c>
      <c r="C109" s="6" t="n">
        <v>4710596</v>
      </c>
      <c r="D109" s="7" t="n">
        <v>86289</v>
      </c>
      <c r="E109" s="7" t="n">
        <v>315525</v>
      </c>
      <c r="F109" s="7" t="n">
        <v>4322</v>
      </c>
      <c r="G109" s="6" t="n">
        <v>1847793</v>
      </c>
      <c r="H109" s="6" t="n">
        <v>2547278</v>
      </c>
      <c r="I109" s="6" t="n">
        <v>44834</v>
      </c>
      <c r="J109" s="6" t="n">
        <v>615</v>
      </c>
      <c r="K109" s="6" t="n">
        <v>40.6</v>
      </c>
      <c r="L109" s="6"/>
    </row>
    <row r="110" customFormat="false" ht="15.75" hidden="false" customHeight="false" outlineLevel="0" collapsed="false">
      <c r="A110" s="0" t="s">
        <v>13</v>
      </c>
      <c r="B110" s="1" t="n">
        <v>43970</v>
      </c>
      <c r="C110" s="6" t="n">
        <v>4787067</v>
      </c>
      <c r="D110" s="7" t="n">
        <v>76471</v>
      </c>
      <c r="E110" s="7" t="n">
        <v>318312</v>
      </c>
      <c r="F110" s="7" t="n">
        <v>2787</v>
      </c>
      <c r="G110" s="6" t="n">
        <v>1893657</v>
      </c>
      <c r="H110" s="6" t="n">
        <v>2575098</v>
      </c>
      <c r="I110" s="6" t="n">
        <v>43871</v>
      </c>
      <c r="J110" s="6" t="n">
        <v>625</v>
      </c>
      <c r="K110" s="6" t="n">
        <v>40.9</v>
      </c>
      <c r="L110" s="6"/>
    </row>
    <row r="111" customFormat="false" ht="15.75" hidden="false" customHeight="false" outlineLevel="0" collapsed="false">
      <c r="A111" s="0" t="s">
        <v>13</v>
      </c>
      <c r="B111" s="1" t="n">
        <v>43971</v>
      </c>
      <c r="C111" s="6" t="n">
        <v>4887352</v>
      </c>
      <c r="D111" s="7" t="n">
        <v>100285</v>
      </c>
      <c r="E111" s="7" t="n">
        <v>323211</v>
      </c>
      <c r="F111" s="7" t="n">
        <v>4899</v>
      </c>
      <c r="G111" s="6" t="n">
        <v>1950673</v>
      </c>
      <c r="H111" s="6" t="n">
        <v>2613468</v>
      </c>
      <c r="I111" s="6" t="n">
        <v>45079</v>
      </c>
      <c r="J111" s="6" t="n">
        <v>638</v>
      </c>
      <c r="K111" s="6" t="n">
        <v>41.6</v>
      </c>
      <c r="L111" s="6"/>
    </row>
    <row r="112" customFormat="false" ht="15.75" hidden="false" customHeight="false" outlineLevel="0" collapsed="false">
      <c r="A112" s="0" t="s">
        <v>13</v>
      </c>
      <c r="B112" s="1" t="n">
        <v>43972</v>
      </c>
      <c r="C112" s="6" t="n">
        <v>4984372</v>
      </c>
      <c r="D112" s="7" t="n">
        <v>97020</v>
      </c>
      <c r="E112" s="7" t="n">
        <v>327695</v>
      </c>
      <c r="F112" s="7" t="n">
        <v>4484</v>
      </c>
      <c r="G112" s="6" t="n">
        <v>2001689</v>
      </c>
      <c r="H112" s="6" t="n">
        <v>2654988</v>
      </c>
      <c r="I112" s="6" t="n">
        <v>45769</v>
      </c>
      <c r="J112" s="6" t="n">
        <v>650</v>
      </c>
      <c r="K112" s="6" t="n">
        <v>42.2</v>
      </c>
      <c r="L112" s="6"/>
    </row>
    <row r="113" customFormat="false" ht="15.75" hidden="false" customHeight="false" outlineLevel="0" collapsed="false">
      <c r="A113" s="0" t="s">
        <v>13</v>
      </c>
      <c r="B113" s="1" t="n">
        <v>43973</v>
      </c>
      <c r="C113" s="6" t="n">
        <v>5088459</v>
      </c>
      <c r="D113" s="7" t="n">
        <v>104087</v>
      </c>
      <c r="E113" s="7" t="n">
        <v>332036</v>
      </c>
      <c r="F113" s="7" t="n">
        <v>4341</v>
      </c>
      <c r="G113" s="6" t="n">
        <v>2068425</v>
      </c>
      <c r="H113" s="6" t="n">
        <v>2687998</v>
      </c>
      <c r="I113" s="6" t="n">
        <v>45574</v>
      </c>
      <c r="J113" s="6" t="n">
        <v>664</v>
      </c>
      <c r="K113" s="6" t="n">
        <v>42.7</v>
      </c>
      <c r="L113" s="6"/>
    </row>
    <row r="114" customFormat="false" ht="15.75" hidden="false" customHeight="false" outlineLevel="0" collapsed="false">
      <c r="A114" s="0" t="s">
        <v>13</v>
      </c>
      <c r="B114" s="1" t="n">
        <v>43974</v>
      </c>
      <c r="C114" s="6" t="n">
        <v>5197845</v>
      </c>
      <c r="D114" s="7" t="n">
        <v>109386</v>
      </c>
      <c r="E114" s="7" t="n">
        <v>336962</v>
      </c>
      <c r="F114" s="7" t="n">
        <v>4926</v>
      </c>
      <c r="G114" s="6" t="n">
        <v>2139160</v>
      </c>
      <c r="H114" s="6" t="n">
        <v>2721723</v>
      </c>
      <c r="I114" s="6" t="n">
        <v>44693</v>
      </c>
      <c r="J114" s="6" t="n">
        <v>678</v>
      </c>
      <c r="K114" s="6" t="n">
        <v>43.5</v>
      </c>
      <c r="L114" s="6"/>
    </row>
    <row r="115" customFormat="false" ht="15.75" hidden="false" customHeight="false" outlineLevel="0" collapsed="false">
      <c r="A115" s="0" t="s">
        <v>13</v>
      </c>
      <c r="B115" s="1" t="n">
        <v>43975</v>
      </c>
      <c r="C115" s="6" t="n">
        <v>5303599</v>
      </c>
      <c r="D115" s="7" t="n">
        <v>105754</v>
      </c>
      <c r="E115" s="7" t="n">
        <v>341601</v>
      </c>
      <c r="F115" s="7" t="n">
        <v>4639</v>
      </c>
      <c r="G115" s="6" t="n">
        <v>2235279</v>
      </c>
      <c r="H115" s="6" t="n">
        <v>2726719</v>
      </c>
      <c r="I115" s="6" t="n">
        <v>53536</v>
      </c>
      <c r="J115" s="6" t="n">
        <v>691</v>
      </c>
      <c r="K115" s="6" t="n">
        <v>44.1</v>
      </c>
      <c r="L115" s="6"/>
    </row>
    <row r="116" customFormat="false" ht="15.75" hidden="false" customHeight="false" outlineLevel="0" collapsed="false">
      <c r="A116" s="0" t="s">
        <v>13</v>
      </c>
      <c r="B116" s="1" t="n">
        <v>43976</v>
      </c>
      <c r="C116" s="6" t="n">
        <v>5401158</v>
      </c>
      <c r="D116" s="7" t="n">
        <v>97559</v>
      </c>
      <c r="E116" s="7" t="n">
        <v>344307</v>
      </c>
      <c r="F116" s="7" t="n">
        <v>2706</v>
      </c>
      <c r="G116" s="6" t="n">
        <v>2291144</v>
      </c>
      <c r="H116" s="6" t="n">
        <v>2765707</v>
      </c>
      <c r="I116" s="6" t="n">
        <v>53197</v>
      </c>
      <c r="J116" s="6" t="n">
        <v>704</v>
      </c>
      <c r="K116" s="6" t="n">
        <v>44.4</v>
      </c>
      <c r="L116" s="6"/>
    </row>
    <row r="117" customFormat="false" ht="15.75" hidden="false" customHeight="false" outlineLevel="0" collapsed="false">
      <c r="A117" s="0" t="s">
        <v>13</v>
      </c>
      <c r="B117" s="1" t="n">
        <v>43977</v>
      </c>
      <c r="C117" s="6" t="n">
        <v>5485167</v>
      </c>
      <c r="D117" s="7" t="n">
        <v>84009</v>
      </c>
      <c r="E117" s="7" t="n">
        <v>346952</v>
      </c>
      <c r="F117" s="7" t="n">
        <v>2645</v>
      </c>
      <c r="G117" s="6" t="n">
        <v>2353734</v>
      </c>
      <c r="H117" s="6" t="n">
        <v>2784481</v>
      </c>
      <c r="I117" s="6" t="n">
        <v>53157</v>
      </c>
      <c r="J117" s="6" t="n">
        <v>715</v>
      </c>
      <c r="K117" s="6" t="n">
        <v>44.5</v>
      </c>
      <c r="L117" s="6"/>
    </row>
    <row r="118" customFormat="false" ht="15.75" hidden="false" customHeight="false" outlineLevel="0" collapsed="false">
      <c r="A118" s="0" t="s">
        <v>13</v>
      </c>
      <c r="B118" s="1" t="n">
        <v>43978</v>
      </c>
      <c r="C118" s="6" t="n">
        <v>5568287</v>
      </c>
      <c r="D118" s="7" t="n">
        <v>83120</v>
      </c>
      <c r="E118" s="7" t="n">
        <v>350403</v>
      </c>
      <c r="F118" s="7" t="n">
        <v>3451</v>
      </c>
      <c r="G118" s="6" t="n">
        <v>2417799</v>
      </c>
      <c r="H118" s="6" t="n">
        <v>2800085</v>
      </c>
      <c r="I118" s="6" t="n">
        <v>53036</v>
      </c>
      <c r="J118" s="6" t="n">
        <v>725</v>
      </c>
      <c r="K118" s="6" t="n">
        <v>45</v>
      </c>
      <c r="L118" s="6"/>
    </row>
    <row r="119" customFormat="false" ht="15.75" hidden="false" customHeight="false" outlineLevel="0" collapsed="false">
      <c r="A119" s="0" t="s">
        <v>13</v>
      </c>
      <c r="B119" s="1" t="n">
        <v>43979</v>
      </c>
      <c r="C119" s="6" t="n">
        <v>5679037</v>
      </c>
      <c r="D119" s="7" t="n">
        <v>110750</v>
      </c>
      <c r="E119" s="7" t="n">
        <v>355951</v>
      </c>
      <c r="F119" s="7" t="n">
        <v>5548</v>
      </c>
      <c r="G119" s="6" t="n">
        <v>2477342</v>
      </c>
      <c r="H119" s="6" t="n">
        <v>2845744</v>
      </c>
      <c r="I119" s="6" t="n">
        <v>52966</v>
      </c>
      <c r="J119" s="6" t="n">
        <v>739</v>
      </c>
      <c r="K119" s="6" t="n">
        <v>45.7</v>
      </c>
      <c r="L119" s="6"/>
    </row>
    <row r="120" customFormat="false" ht="15.75" hidden="false" customHeight="false" outlineLevel="0" collapsed="false">
      <c r="A120" s="0" t="s">
        <v>13</v>
      </c>
      <c r="B120" s="1" t="n">
        <v>43980</v>
      </c>
      <c r="C120" s="6" t="n">
        <v>5784591</v>
      </c>
      <c r="D120" s="7" t="n">
        <v>105554</v>
      </c>
      <c r="E120" s="7" t="n">
        <v>360474</v>
      </c>
      <c r="F120" s="7" t="n">
        <v>4523</v>
      </c>
      <c r="G120" s="6" t="n">
        <v>2570469</v>
      </c>
      <c r="H120" s="6" t="n">
        <v>2853648</v>
      </c>
      <c r="I120" s="6" t="n">
        <v>52864</v>
      </c>
      <c r="J120" s="6" t="n">
        <v>753</v>
      </c>
      <c r="K120" s="6" t="n">
        <v>46.2</v>
      </c>
      <c r="L120" s="6"/>
    </row>
    <row r="121" customFormat="false" ht="15.75" hidden="false" customHeight="false" outlineLevel="0" collapsed="false">
      <c r="A121" s="0" t="s">
        <v>13</v>
      </c>
      <c r="B121" s="1" t="n">
        <v>43981</v>
      </c>
      <c r="C121" s="6" t="n">
        <v>5909201</v>
      </c>
      <c r="D121" s="7" t="n">
        <v>124610</v>
      </c>
      <c r="E121" s="7" t="n">
        <v>365406</v>
      </c>
      <c r="F121" s="7" t="n">
        <v>4932</v>
      </c>
      <c r="G121" s="6" t="n">
        <v>2650522</v>
      </c>
      <c r="H121" s="6" t="n">
        <v>2893273</v>
      </c>
      <c r="I121" s="6" t="n">
        <v>53727</v>
      </c>
      <c r="J121" s="6" t="n">
        <v>769</v>
      </c>
      <c r="K121" s="6" t="n">
        <v>46.9</v>
      </c>
      <c r="L121" s="6"/>
    </row>
    <row r="122" customFormat="false" ht="15.75" hidden="false" customHeight="false" outlineLevel="0" collapsed="false">
      <c r="A122" s="0" t="s">
        <v>13</v>
      </c>
      <c r="B122" s="1" t="n">
        <v>43982</v>
      </c>
      <c r="C122" s="6" t="n">
        <v>6030923</v>
      </c>
      <c r="D122" s="7" t="n">
        <v>121722</v>
      </c>
      <c r="E122" s="7" t="n">
        <v>369567</v>
      </c>
      <c r="F122" s="7" t="n">
        <v>4161</v>
      </c>
      <c r="G122" s="6" t="n">
        <v>2712832</v>
      </c>
      <c r="H122" s="6" t="n">
        <v>2948524</v>
      </c>
      <c r="I122" s="6" t="n">
        <v>53301</v>
      </c>
      <c r="J122" s="6" t="n">
        <v>785</v>
      </c>
      <c r="K122" s="6" t="n">
        <v>47.4</v>
      </c>
      <c r="L122" s="6"/>
      <c r="M122" s="6"/>
    </row>
    <row r="123" customFormat="false" ht="15.75" hidden="false" customHeight="false" outlineLevel="0" collapsed="false">
      <c r="A123" s="0" t="s">
        <v>13</v>
      </c>
      <c r="B123" s="1" t="n">
        <v>43983</v>
      </c>
      <c r="C123" s="6" t="n">
        <v>6161061</v>
      </c>
      <c r="D123" s="7" t="n">
        <v>130138</v>
      </c>
      <c r="E123" s="7" t="n">
        <v>373346</v>
      </c>
      <c r="F123" s="7" t="n">
        <v>3779</v>
      </c>
      <c r="G123" s="6" t="n">
        <v>2781931</v>
      </c>
      <c r="H123" s="6" t="n">
        <v>3005784</v>
      </c>
      <c r="I123" s="6" t="n">
        <v>53416</v>
      </c>
      <c r="J123" s="6" t="n">
        <v>801</v>
      </c>
      <c r="K123" s="6" t="n">
        <v>47.9</v>
      </c>
      <c r="L123" s="6"/>
      <c r="M123" s="6"/>
    </row>
    <row r="124" customFormat="false" ht="15.75" hidden="false" customHeight="false" outlineLevel="0" collapsed="false">
      <c r="A124" s="0" t="s">
        <v>13</v>
      </c>
      <c r="B124" s="1" t="n">
        <v>43984</v>
      </c>
      <c r="C124" s="6" t="n">
        <v>6262308</v>
      </c>
      <c r="D124" s="7" t="n">
        <v>101247</v>
      </c>
      <c r="E124" s="7" t="n">
        <v>376497</v>
      </c>
      <c r="F124" s="7" t="n">
        <v>3151</v>
      </c>
      <c r="G124" s="6" t="n">
        <v>2886826</v>
      </c>
      <c r="H124" s="6" t="n">
        <v>2998985</v>
      </c>
      <c r="I124" s="6" t="n">
        <v>53378</v>
      </c>
      <c r="J124" s="6" t="n">
        <v>814</v>
      </c>
      <c r="K124" s="6" t="n">
        <v>48.3</v>
      </c>
      <c r="L124" s="6"/>
      <c r="M124" s="6"/>
    </row>
    <row r="125" customFormat="false" ht="15.75" hidden="false" customHeight="false" outlineLevel="0" collapsed="false">
      <c r="A125" s="0" t="s">
        <v>13</v>
      </c>
      <c r="B125" s="1" t="n">
        <v>43985</v>
      </c>
      <c r="C125" s="6" t="n">
        <f aca="false">6403386-37895</f>
        <v>6365491</v>
      </c>
      <c r="D125" s="6" t="n">
        <f aca="false">C125-C124</f>
        <v>103183</v>
      </c>
      <c r="E125" s="6" t="n">
        <v>380732</v>
      </c>
      <c r="F125" s="6" t="n">
        <v>4235</v>
      </c>
      <c r="G125" s="6" t="n">
        <v>2951362</v>
      </c>
      <c r="H125" s="6" t="n">
        <v>3118372</v>
      </c>
      <c r="I125" s="6" t="n">
        <v>54331</v>
      </c>
      <c r="J125" s="6" t="n">
        <v>828</v>
      </c>
      <c r="K125" s="6" t="n">
        <v>48.8</v>
      </c>
      <c r="L125" s="6"/>
      <c r="M125" s="6"/>
    </row>
    <row r="126" customFormat="false" ht="15.75" hidden="false" customHeight="false" outlineLevel="0" collapsed="false">
      <c r="A126" s="0" t="s">
        <v>13</v>
      </c>
      <c r="B126" s="1" t="n">
        <v>43986</v>
      </c>
      <c r="C126" s="6" t="n">
        <v>6484820</v>
      </c>
      <c r="D126" s="6" t="n">
        <v>119329</v>
      </c>
      <c r="E126" s="6" t="n">
        <v>385394</v>
      </c>
      <c r="F126" s="6" t="n">
        <v>4662</v>
      </c>
      <c r="G126" s="6" t="n">
        <v>3110630</v>
      </c>
      <c r="H126" s="6" t="n">
        <v>3035876</v>
      </c>
      <c r="I126" s="6" t="n">
        <v>54186</v>
      </c>
      <c r="J126" s="6" t="n">
        <v>838</v>
      </c>
      <c r="K126" s="6" t="n">
        <v>49.4</v>
      </c>
      <c r="L126" s="6"/>
      <c r="M126" s="6"/>
    </row>
    <row r="127" customFormat="false" ht="15.75" hidden="false" customHeight="false" outlineLevel="0" collapsed="false">
      <c r="A127" s="0" t="s">
        <v>13</v>
      </c>
      <c r="B127" s="1" t="n">
        <v>43987</v>
      </c>
      <c r="C127" s="6" t="n">
        <v>6629979</v>
      </c>
      <c r="D127" s="6" t="n">
        <v>145159</v>
      </c>
      <c r="E127" s="6" t="n">
        <v>391550</v>
      </c>
      <c r="F127" s="6" t="n">
        <v>6156</v>
      </c>
      <c r="G127" s="6" t="n">
        <v>3225836</v>
      </c>
      <c r="H127" s="6" t="n">
        <v>3059667</v>
      </c>
      <c r="I127" s="6" t="n">
        <v>55394</v>
      </c>
      <c r="J127" s="6" t="n">
        <v>857</v>
      </c>
      <c r="K127" s="6" t="n">
        <v>50.2</v>
      </c>
      <c r="L127" s="6"/>
      <c r="M127" s="6"/>
    </row>
    <row r="128" customFormat="false" ht="15.75" hidden="false" customHeight="false" outlineLevel="0" collapsed="false">
      <c r="A128" s="0" t="s">
        <v>13</v>
      </c>
      <c r="B128" s="1" t="n">
        <v>43988</v>
      </c>
      <c r="C128" s="6" t="n">
        <v>6758937</v>
      </c>
      <c r="D128" s="6" t="n">
        <v>128958</v>
      </c>
      <c r="E128" s="6" t="n">
        <v>396798</v>
      </c>
      <c r="F128" s="6" t="n">
        <v>5248</v>
      </c>
      <c r="G128" s="6" t="n">
        <v>3310410</v>
      </c>
      <c r="H128" s="6" t="n">
        <v>3098809</v>
      </c>
      <c r="I128" s="6" t="n">
        <v>53498</v>
      </c>
      <c r="J128" s="6" t="n">
        <v>873</v>
      </c>
      <c r="K128" s="6" t="n">
        <v>50.9</v>
      </c>
      <c r="L128" s="6"/>
      <c r="M128" s="6"/>
    </row>
    <row r="129" customFormat="false" ht="15.75" hidden="false" customHeight="false" outlineLevel="0" collapsed="false">
      <c r="A129" s="0" t="s">
        <v>13</v>
      </c>
      <c r="B129" s="1" t="n">
        <v>43989</v>
      </c>
      <c r="C129" s="6" t="n">
        <v>6899189</v>
      </c>
      <c r="D129" s="6" t="n">
        <v>140252</v>
      </c>
      <c r="E129" s="6" t="n">
        <v>400962</v>
      </c>
      <c r="F129" s="6" t="n">
        <v>4164</v>
      </c>
      <c r="G129" s="6" t="n">
        <v>3401558</v>
      </c>
      <c r="H129" s="6" t="n">
        <v>3143749</v>
      </c>
      <c r="I129" s="6" t="n">
        <v>53591</v>
      </c>
      <c r="J129" s="6" t="n">
        <v>891</v>
      </c>
      <c r="K129" s="6" t="n">
        <v>51.4</v>
      </c>
      <c r="L129" s="6"/>
      <c r="M129" s="6"/>
    </row>
    <row r="130" customFormat="false" ht="15.75" hidden="false" customHeight="false" outlineLevel="0" collapsed="false">
      <c r="A130" s="0" t="s">
        <v>13</v>
      </c>
      <c r="B130" s="1" t="n">
        <v>43990</v>
      </c>
      <c r="C130" s="6" t="n">
        <v>7017118</v>
      </c>
      <c r="D130" s="6" t="n">
        <v>117929</v>
      </c>
      <c r="E130" s="6" t="n">
        <v>404585</v>
      </c>
      <c r="F130" s="6" t="n">
        <v>3623</v>
      </c>
      <c r="G130" s="6" t="n">
        <v>3450985</v>
      </c>
      <c r="H130" s="6" t="n">
        <v>3208628</v>
      </c>
      <c r="I130" s="6" t="n">
        <v>53665</v>
      </c>
      <c r="J130" s="6" t="n">
        <v>906</v>
      </c>
      <c r="K130" s="6" t="n">
        <v>51.9</v>
      </c>
      <c r="L130" s="6"/>
      <c r="M130" s="6"/>
    </row>
    <row r="131" customFormat="false" ht="15.75" hidden="false" customHeight="false" outlineLevel="0" collapsed="false">
      <c r="A131" s="0" t="s">
        <v>13</v>
      </c>
      <c r="B131" s="1" t="n">
        <v>43991</v>
      </c>
      <c r="C131" s="6" t="n">
        <v>7120328</v>
      </c>
      <c r="D131" s="6" t="n">
        <v>103210</v>
      </c>
      <c r="E131" s="6" t="n">
        <v>407406</v>
      </c>
      <c r="F131" s="6" t="n">
        <v>2821</v>
      </c>
      <c r="G131" s="6" t="n">
        <v>3504300</v>
      </c>
      <c r="H131" s="6" t="n">
        <v>3255702</v>
      </c>
      <c r="I131" s="6" t="n">
        <v>53787</v>
      </c>
      <c r="J131" s="6" t="n">
        <v>920</v>
      </c>
      <c r="K131" s="6" t="n">
        <v>52.3</v>
      </c>
      <c r="L131" s="6"/>
      <c r="M131" s="6"/>
    </row>
    <row r="132" customFormat="false" ht="15.75" hidden="false" customHeight="false" outlineLevel="0" collapsed="false">
      <c r="A132" s="0" t="s">
        <v>13</v>
      </c>
      <c r="B132" s="1" t="n">
        <v>43992</v>
      </c>
      <c r="C132" s="6" t="n">
        <v>7256106</v>
      </c>
      <c r="D132" s="6" t="n">
        <v>135778</v>
      </c>
      <c r="E132" s="6" t="n">
        <v>412766</v>
      </c>
      <c r="F132" s="6" t="n">
        <v>5360</v>
      </c>
      <c r="G132" s="6" t="n">
        <v>3592208</v>
      </c>
      <c r="H132" s="6" t="n">
        <v>3298212</v>
      </c>
      <c r="I132" s="6" t="n">
        <v>53933</v>
      </c>
      <c r="J132" s="6" t="n">
        <v>937</v>
      </c>
      <c r="K132" s="6" t="n">
        <v>53</v>
      </c>
      <c r="L132" s="6"/>
      <c r="M132" s="6"/>
    </row>
    <row r="133" customFormat="false" ht="15.75" hidden="false" customHeight="false" outlineLevel="0" collapsed="false">
      <c r="A133" s="0" t="s">
        <v>13</v>
      </c>
      <c r="B133" s="1" t="n">
        <v>43993</v>
      </c>
      <c r="C133" s="6" t="n">
        <v>7389880</v>
      </c>
      <c r="D133" s="6" t="n">
        <v>133774</v>
      </c>
      <c r="E133" s="6" t="n">
        <v>417861</v>
      </c>
      <c r="F133" s="6" t="n">
        <v>5095</v>
      </c>
      <c r="G133" s="6" t="n">
        <v>3720526</v>
      </c>
      <c r="H133" s="6" t="n">
        <v>3298571</v>
      </c>
      <c r="I133" s="6" t="n">
        <v>53816</v>
      </c>
      <c r="J133" s="6" t="n">
        <v>954</v>
      </c>
      <c r="K133" s="6" t="n">
        <v>53.6</v>
      </c>
      <c r="L133" s="6"/>
      <c r="M133" s="6"/>
    </row>
    <row r="134" customFormat="false" ht="15.75" hidden="false" customHeight="false" outlineLevel="0" collapsed="false">
      <c r="A134" s="0" t="s">
        <v>13</v>
      </c>
      <c r="B134" s="1" t="n">
        <v>43994</v>
      </c>
      <c r="C134" s="6" t="n">
        <v>7527431</v>
      </c>
      <c r="D134" s="6" t="n">
        <v>137551</v>
      </c>
      <c r="E134" s="6" t="n">
        <v>422812</v>
      </c>
      <c r="F134" s="6" t="n">
        <v>4951</v>
      </c>
      <c r="G134" s="6" t="n">
        <v>3831700</v>
      </c>
      <c r="H134" s="6" t="n">
        <v>3319999</v>
      </c>
      <c r="I134" s="6" t="n">
        <v>53849</v>
      </c>
      <c r="J134" s="6" t="n">
        <v>972</v>
      </c>
      <c r="K134" s="6" t="n">
        <v>54.2</v>
      </c>
      <c r="L134" s="6"/>
      <c r="M134" s="6"/>
    </row>
    <row r="135" customFormat="false" ht="15.75" hidden="false" customHeight="false" outlineLevel="0" collapsed="false">
      <c r="A135" s="0" t="s">
        <v>13</v>
      </c>
      <c r="B135" s="1" t="n">
        <v>43995</v>
      </c>
      <c r="C135" s="6" t="n">
        <v>7665096</v>
      </c>
      <c r="D135" s="6" t="n">
        <v>137665</v>
      </c>
      <c r="E135" s="6" t="n">
        <v>427256</v>
      </c>
      <c r="F135" s="6" t="n">
        <v>4444</v>
      </c>
      <c r="G135" s="6" t="n">
        <v>3907775</v>
      </c>
      <c r="H135" s="6" t="n">
        <v>3377145</v>
      </c>
      <c r="I135" s="6" t="n">
        <v>53835</v>
      </c>
      <c r="J135" s="6" t="n">
        <v>989</v>
      </c>
      <c r="K135" s="6" t="n">
        <v>54.8</v>
      </c>
      <c r="L135" s="6"/>
      <c r="M135" s="6"/>
    </row>
    <row r="136" customFormat="false" ht="15.75" hidden="false" customHeight="false" outlineLevel="0" collapsed="false">
      <c r="A136" s="0" t="s">
        <v>13</v>
      </c>
      <c r="B136" s="1" t="n">
        <v>43996</v>
      </c>
      <c r="C136" s="6" t="n">
        <v>7801746</v>
      </c>
      <c r="D136" s="6" t="n">
        <v>136650</v>
      </c>
      <c r="E136" s="6" t="n">
        <v>431537</v>
      </c>
      <c r="F136" s="6" t="n">
        <v>4281</v>
      </c>
      <c r="G136" s="6" t="n">
        <v>4016178</v>
      </c>
      <c r="H136" s="6" t="n">
        <v>3401111</v>
      </c>
      <c r="I136" s="6" t="n">
        <v>295807</v>
      </c>
      <c r="J136" s="6" t="n">
        <v>1007</v>
      </c>
      <c r="K136" s="6" t="n">
        <v>55.4</v>
      </c>
      <c r="L136" s="6"/>
      <c r="M136" s="6"/>
    </row>
    <row r="137" customFormat="false" ht="15.75" hidden="false" customHeight="false" outlineLevel="0" collapsed="false">
      <c r="A137" s="0" t="s">
        <v>13</v>
      </c>
      <c r="B137" s="1" t="n">
        <v>43997</v>
      </c>
      <c r="C137" s="6" t="n">
        <v>7929355</v>
      </c>
      <c r="D137" s="6" t="n">
        <v>127609</v>
      </c>
      <c r="E137" s="6" t="n">
        <v>434974</v>
      </c>
      <c r="F137" s="6" t="n">
        <v>3437</v>
      </c>
      <c r="G137" s="6" t="n">
        <v>4095462</v>
      </c>
      <c r="H137" s="6" t="n">
        <v>3445999</v>
      </c>
      <c r="I137" s="6" t="n">
        <v>54099</v>
      </c>
      <c r="J137" s="6" t="n">
        <v>1023</v>
      </c>
      <c r="K137" s="6" t="n">
        <v>55.8</v>
      </c>
      <c r="L137" s="6"/>
      <c r="M137" s="6"/>
    </row>
    <row r="138" customFormat="false" ht="15.75" hidden="false" customHeight="false" outlineLevel="0" collapsed="false">
      <c r="A138" s="0" t="s">
        <v>13</v>
      </c>
      <c r="B138" s="1" t="n">
        <v>43998</v>
      </c>
      <c r="C138" s="6" t="n">
        <v>8065497</v>
      </c>
      <c r="D138" s="6" t="n">
        <v>136142</v>
      </c>
      <c r="E138" s="6" t="n">
        <v>439050</v>
      </c>
      <c r="F138" s="6" t="n">
        <v>4076</v>
      </c>
      <c r="G138" s="6" t="n">
        <v>4213182</v>
      </c>
      <c r="H138" s="6" t="n">
        <v>3460345</v>
      </c>
      <c r="I138" s="6" t="n">
        <v>54570</v>
      </c>
      <c r="J138" s="6" t="n">
        <v>1041</v>
      </c>
      <c r="K138" s="6" t="n">
        <v>56.3</v>
      </c>
      <c r="L138" s="6"/>
      <c r="M138" s="6"/>
    </row>
    <row r="139" customFormat="false" ht="15.75" hidden="false" customHeight="false" outlineLevel="0" collapsed="false">
      <c r="A139" s="0" t="s">
        <v>13</v>
      </c>
      <c r="B139" s="1" t="n">
        <v>43999</v>
      </c>
      <c r="C139" s="6" t="n">
        <v>8181382</v>
      </c>
      <c r="D139" s="6" t="n">
        <v>115885</v>
      </c>
      <c r="E139" s="6" t="n">
        <v>444461</v>
      </c>
      <c r="F139" s="6" t="n">
        <v>5411</v>
      </c>
      <c r="G139" s="6" t="n">
        <v>4289098</v>
      </c>
      <c r="H139" s="6" t="n">
        <v>3494903</v>
      </c>
      <c r="I139" s="6" t="n">
        <v>54308</v>
      </c>
      <c r="J139" s="6" t="n">
        <v>1056</v>
      </c>
      <c r="K139" s="6" t="n">
        <v>57</v>
      </c>
      <c r="L139" s="6"/>
      <c r="M139" s="6"/>
    </row>
    <row r="140" customFormat="false" ht="15.75" hidden="false" customHeight="false" outlineLevel="0" collapsed="false">
      <c r="A140" s="0" t="s">
        <v>13</v>
      </c>
      <c r="B140" s="1" t="n">
        <v>44000</v>
      </c>
      <c r="C140" s="6" t="n">
        <v>8332195</v>
      </c>
      <c r="D140" s="6" t="n">
        <v>150813</v>
      </c>
      <c r="E140" s="6" t="n">
        <v>450109</v>
      </c>
      <c r="F140" s="6" t="n">
        <v>5648</v>
      </c>
      <c r="G140" s="6" t="n">
        <v>4375596</v>
      </c>
      <c r="H140" s="6" t="n">
        <v>3553570</v>
      </c>
      <c r="I140" s="6" t="n">
        <v>54480</v>
      </c>
      <c r="J140" s="6" t="n">
        <v>1075</v>
      </c>
      <c r="K140" s="6" t="n">
        <v>57.7</v>
      </c>
      <c r="L140" s="6"/>
      <c r="M140" s="6"/>
    </row>
    <row r="141" customFormat="false" ht="15.75" hidden="false" customHeight="false" outlineLevel="0" collapsed="false">
      <c r="A141" s="0" t="s">
        <v>13</v>
      </c>
      <c r="B141" s="1" t="n">
        <v>44001</v>
      </c>
      <c r="C141" s="16" t="n">
        <v>8504776</v>
      </c>
      <c r="D141" s="16" t="n">
        <v>172581</v>
      </c>
      <c r="E141" s="16" t="n">
        <v>455175</v>
      </c>
      <c r="F141" s="16" t="n">
        <v>5066</v>
      </c>
      <c r="G141" s="16" t="n">
        <v>4501293</v>
      </c>
      <c r="H141" s="16" t="n">
        <v>3595388</v>
      </c>
      <c r="I141" s="16" t="n">
        <v>54620</v>
      </c>
      <c r="J141" s="16" t="n">
        <v>1097</v>
      </c>
      <c r="K141" s="16" t="n">
        <v>58.4</v>
      </c>
      <c r="L141" s="16"/>
      <c r="M141" s="16"/>
    </row>
    <row r="142" customFormat="false" ht="15.75" hidden="false" customHeight="false" outlineLevel="0" collapsed="false">
      <c r="A142" s="0" t="s">
        <v>13</v>
      </c>
      <c r="B142" s="1" t="n">
        <v>44002</v>
      </c>
      <c r="C142" s="6" t="n">
        <v>8687145</v>
      </c>
      <c r="D142" s="6" t="n">
        <v>182369</v>
      </c>
      <c r="E142" s="6" t="n">
        <v>461492</v>
      </c>
      <c r="F142" s="6" t="n">
        <v>6317</v>
      </c>
      <c r="G142" s="6" t="n">
        <v>4615325</v>
      </c>
      <c r="H142" s="6" t="n">
        <v>3657408</v>
      </c>
      <c r="I142" s="6" t="n">
        <v>54800</v>
      </c>
      <c r="J142" s="6" t="n">
        <v>1121</v>
      </c>
      <c r="K142" s="6" t="n">
        <v>59.2</v>
      </c>
      <c r="L142" s="6"/>
      <c r="M142" s="6"/>
    </row>
    <row r="143" customFormat="false" ht="15.75" hidden="false" customHeight="false" outlineLevel="0" collapsed="false">
      <c r="A143" s="0" t="s">
        <v>13</v>
      </c>
      <c r="B143" s="1" t="n">
        <v>44003</v>
      </c>
      <c r="C143" s="6" t="n">
        <v>8847605</v>
      </c>
      <c r="D143" s="6" t="n">
        <v>160460</v>
      </c>
      <c r="E143" s="6" t="n">
        <v>465941</v>
      </c>
      <c r="F143" s="6" t="n">
        <v>4449</v>
      </c>
      <c r="G143" s="6" t="n">
        <v>4724625</v>
      </c>
      <c r="H143" s="6" t="n">
        <v>3704119</v>
      </c>
      <c r="I143" s="6" t="n">
        <v>54492</v>
      </c>
      <c r="J143" s="6" t="n">
        <v>1141</v>
      </c>
      <c r="K143" s="6" t="n">
        <v>59.8</v>
      </c>
      <c r="L143" s="6"/>
      <c r="M143" s="6"/>
    </row>
    <row r="144" customFormat="false" ht="15.75" hidden="false" customHeight="false" outlineLevel="0" collapsed="false">
      <c r="A144" s="0" t="s">
        <v>13</v>
      </c>
      <c r="B144" s="1" t="n">
        <v>44004</v>
      </c>
      <c r="C144" s="16" t="n">
        <v>8979521</v>
      </c>
      <c r="D144" s="16" t="n">
        <v>131916</v>
      </c>
      <c r="E144" s="16" t="n">
        <v>469399</v>
      </c>
      <c r="F144" s="16" t="n">
        <v>3458</v>
      </c>
      <c r="G144" s="16" t="n">
        <v>4793295</v>
      </c>
      <c r="H144" s="16" t="n">
        <v>3763907</v>
      </c>
      <c r="I144" s="16" t="n">
        <v>54729</v>
      </c>
      <c r="J144" s="16" t="n">
        <v>1158</v>
      </c>
      <c r="K144" s="16" t="n">
        <v>60.2</v>
      </c>
      <c r="L144" s="16"/>
      <c r="M144" s="16"/>
    </row>
    <row r="145" customFormat="false" ht="15.75" hidden="false" customHeight="false" outlineLevel="0" collapsed="false">
      <c r="A145" s="0" t="s">
        <v>13</v>
      </c>
      <c r="B145" s="1" t="n">
        <v>44005</v>
      </c>
      <c r="C145" s="6" t="n">
        <v>9119256</v>
      </c>
      <c r="D145" s="6" t="n">
        <v>139735</v>
      </c>
      <c r="E145" s="6" t="n">
        <v>473184</v>
      </c>
      <c r="F145" s="6" t="n">
        <v>3785</v>
      </c>
      <c r="G145" s="6" t="n">
        <v>4901170</v>
      </c>
      <c r="H145" s="6" t="n">
        <v>3791982</v>
      </c>
      <c r="I145" s="6" t="n">
        <v>57884</v>
      </c>
      <c r="J145" s="6" t="n">
        <v>1176</v>
      </c>
      <c r="K145" s="6" t="n">
        <v>60.7</v>
      </c>
      <c r="L145" s="6"/>
      <c r="M145" s="6"/>
    </row>
    <row r="146" customFormat="false" ht="15.75" hidden="false" customHeight="false" outlineLevel="0" collapsed="false">
      <c r="A146" s="0" t="s">
        <v>13</v>
      </c>
      <c r="B146" s="1" t="n">
        <v>44006</v>
      </c>
      <c r="C146" s="16" t="n">
        <v>9282324</v>
      </c>
      <c r="D146" s="16" t="n">
        <v>163068</v>
      </c>
      <c r="E146" s="16" t="n">
        <v>478588</v>
      </c>
      <c r="F146" s="16" t="n">
        <v>5404</v>
      </c>
      <c r="G146" s="16" t="n">
        <v>5003492</v>
      </c>
      <c r="H146" s="16" t="n">
        <v>3847324</v>
      </c>
      <c r="I146" s="16" t="n">
        <v>57900</v>
      </c>
      <c r="J146" s="16" t="n">
        <v>1197</v>
      </c>
      <c r="K146" s="16" t="n">
        <v>61.4</v>
      </c>
      <c r="L146" s="16"/>
      <c r="M146" s="16"/>
    </row>
    <row r="147" customFormat="false" ht="15.75" hidden="false" customHeight="false" outlineLevel="0" collapsed="false">
      <c r="A147" s="0" t="s">
        <v>13</v>
      </c>
      <c r="B147" s="1" t="n">
        <v>44007</v>
      </c>
      <c r="C147" s="6" t="n">
        <v>9455429</v>
      </c>
      <c r="D147" s="6" t="n">
        <v>173105</v>
      </c>
      <c r="E147" s="6" t="n">
        <v>483667</v>
      </c>
      <c r="F147" s="6" t="n">
        <v>5079</v>
      </c>
      <c r="G147" s="6" t="n">
        <v>5160445</v>
      </c>
      <c r="H147" s="6" t="n">
        <v>3858397</v>
      </c>
      <c r="I147" s="6" t="n">
        <v>58364</v>
      </c>
      <c r="J147" s="6" t="n">
        <v>1219</v>
      </c>
      <c r="K147" s="6" t="n">
        <v>62</v>
      </c>
      <c r="L147" s="6"/>
      <c r="M147" s="6"/>
    </row>
    <row r="148" customFormat="false" ht="15.75" hidden="false" customHeight="false" outlineLevel="0" collapsed="false">
      <c r="A148" s="0" t="s">
        <v>13</v>
      </c>
      <c r="B148" s="1" t="n">
        <v>44008</v>
      </c>
      <c r="C148" s="6" t="n">
        <v>9633335</v>
      </c>
      <c r="D148" s="6" t="n">
        <v>177906</v>
      </c>
      <c r="E148" s="6" t="n">
        <v>488733</v>
      </c>
      <c r="F148" s="6" t="n">
        <v>5066</v>
      </c>
      <c r="G148" s="6" t="n">
        <v>5247127</v>
      </c>
      <c r="H148" s="6" t="n">
        <v>3944555</v>
      </c>
      <c r="I148" s="6" t="n">
        <v>57445</v>
      </c>
      <c r="J148" s="6" t="n">
        <v>1242</v>
      </c>
      <c r="K148" s="6" t="n">
        <v>62.7</v>
      </c>
      <c r="L148" s="6"/>
      <c r="M148" s="6"/>
    </row>
    <row r="149" customFormat="false" ht="15.75" hidden="false" customHeight="false" outlineLevel="0" collapsed="false">
      <c r="A149" s="0" t="s">
        <v>13</v>
      </c>
      <c r="B149" s="1" t="n">
        <v>44009</v>
      </c>
      <c r="C149" s="6" t="n">
        <v>9829932</v>
      </c>
      <c r="D149" s="6" t="n">
        <v>196597</v>
      </c>
      <c r="E149" s="6" t="n">
        <v>495421</v>
      </c>
      <c r="F149" s="6" t="n">
        <v>6688</v>
      </c>
      <c r="G149" s="6" t="n">
        <v>5317978</v>
      </c>
      <c r="H149" s="6" t="n">
        <v>4063613</v>
      </c>
      <c r="I149" s="6" t="n">
        <v>57603</v>
      </c>
      <c r="J149" s="6" t="n">
        <v>1267</v>
      </c>
      <c r="K149" s="6" t="n">
        <v>63.6</v>
      </c>
      <c r="L149" s="6"/>
      <c r="M149" s="6"/>
    </row>
    <row r="150" customFormat="false" ht="15.75" hidden="false" customHeight="false" outlineLevel="0" collapsed="false">
      <c r="A150" s="0" t="s">
        <v>13</v>
      </c>
      <c r="B150" s="1" t="n">
        <v>44010</v>
      </c>
      <c r="C150" s="6" t="n">
        <v>10006768</v>
      </c>
      <c r="D150" s="6" t="n">
        <v>176836</v>
      </c>
      <c r="E150" s="6" t="n">
        <v>500183</v>
      </c>
      <c r="F150" s="6" t="n">
        <v>4762</v>
      </c>
      <c r="G150" s="6" t="n">
        <v>5426644</v>
      </c>
      <c r="H150" s="6" t="n">
        <v>4127021</v>
      </c>
      <c r="I150" s="6" t="n">
        <v>57708</v>
      </c>
      <c r="J150" s="6" t="n">
        <v>1290</v>
      </c>
      <c r="K150" s="6" t="n">
        <v>64.2</v>
      </c>
      <c r="L150" s="6"/>
      <c r="M150" s="6"/>
    </row>
    <row r="151" customFormat="false" ht="15.75" hidden="false" customHeight="false" outlineLevel="0" collapsed="false">
      <c r="A151" s="0" t="s">
        <v>13</v>
      </c>
      <c r="B151" s="1" t="n">
        <v>44011</v>
      </c>
      <c r="C151" s="6" t="n">
        <v>10178592</v>
      </c>
      <c r="D151" s="6" t="n">
        <v>171824</v>
      </c>
      <c r="E151" s="6" t="n">
        <v>503952</v>
      </c>
      <c r="F151" s="6" t="n">
        <v>3769</v>
      </c>
      <c r="G151" s="6" t="n">
        <v>5545562</v>
      </c>
      <c r="H151" s="6" t="n">
        <v>4176158</v>
      </c>
      <c r="I151" s="6" t="n">
        <v>57954</v>
      </c>
      <c r="J151" s="6" t="n">
        <v>1312</v>
      </c>
      <c r="K151" s="6" t="n">
        <v>64.7</v>
      </c>
      <c r="L151" s="6"/>
      <c r="M151" s="6"/>
    </row>
    <row r="152" customFormat="false" ht="15.75" hidden="false" customHeight="false" outlineLevel="0" collapsed="false">
      <c r="A152" s="0" t="s">
        <v>13</v>
      </c>
      <c r="B152" s="1" t="n">
        <v>44012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75" hidden="false" customHeight="false" outlineLevel="0" collapsed="false">
      <c r="A153" s="0" t="s">
        <v>13</v>
      </c>
      <c r="B153" s="1" t="n">
        <v>44013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75" hidden="false" customHeight="false" outlineLevel="0" collapsed="false">
      <c r="A154" s="0" t="s">
        <v>13</v>
      </c>
      <c r="B154" s="1" t="n">
        <v>44014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75" hidden="false" customHeight="false" outlineLevel="0" collapsed="false">
      <c r="A155" s="0" t="s">
        <v>13</v>
      </c>
      <c r="B155" s="1" t="n">
        <v>44015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75" hidden="false" customHeight="false" outlineLevel="0" collapsed="false">
      <c r="A156" s="0" t="s">
        <v>13</v>
      </c>
      <c r="B156" s="1" t="n">
        <v>44016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75" hidden="false" customHeight="false" outlineLevel="0" collapsed="false">
      <c r="A157" s="0" t="s">
        <v>13</v>
      </c>
      <c r="B157" s="1" t="n">
        <v>44017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75" hidden="false" customHeight="false" outlineLevel="0" collapsed="false">
      <c r="A158" s="0" t="s">
        <v>13</v>
      </c>
      <c r="B158" s="1" t="n">
        <v>44018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75" hidden="false" customHeight="false" outlineLevel="0" collapsed="false">
      <c r="A159" s="0" t="s">
        <v>13</v>
      </c>
      <c r="B159" s="1" t="n">
        <v>44019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customFormat="false" ht="13.5" hidden="false" customHeight="false" outlineLevel="0" collapsed="false">
      <c r="A160" s="0" t="s">
        <v>13</v>
      </c>
      <c r="B160" s="1" t="n">
        <v>44020</v>
      </c>
    </row>
    <row r="161" customFormat="false" ht="13.5" hidden="false" customHeight="false" outlineLevel="0" collapsed="false">
      <c r="A161" s="0" t="s">
        <v>13</v>
      </c>
      <c r="B161" s="1" t="n">
        <v>44021</v>
      </c>
    </row>
    <row r="162" customFormat="false" ht="13.5" hidden="false" customHeight="false" outlineLevel="0" collapsed="false">
      <c r="A162" s="0" t="s">
        <v>13</v>
      </c>
      <c r="B162" s="1" t="n">
        <v>44022</v>
      </c>
    </row>
    <row r="163" customFormat="false" ht="13.5" hidden="false" customHeight="false" outlineLevel="0" collapsed="false">
      <c r="A163" s="0" t="s">
        <v>13</v>
      </c>
      <c r="B163" s="1" t="n">
        <v>44023</v>
      </c>
    </row>
    <row r="164" customFormat="false" ht="13.5" hidden="false" customHeight="false" outlineLevel="0" collapsed="false">
      <c r="A164" s="0" t="s">
        <v>13</v>
      </c>
      <c r="B164" s="1" t="n">
        <v>44024</v>
      </c>
    </row>
    <row r="165" customFormat="false" ht="13.5" hidden="false" customHeight="false" outlineLevel="0" collapsed="false">
      <c r="A165" s="0" t="s">
        <v>13</v>
      </c>
      <c r="B165" s="1" t="n">
        <v>44025</v>
      </c>
    </row>
    <row r="166" customFormat="false" ht="13.5" hidden="false" customHeight="false" outlineLevel="0" collapsed="false">
      <c r="A166" s="0" t="s">
        <v>13</v>
      </c>
      <c r="B166" s="1" t="n">
        <v>44026</v>
      </c>
    </row>
    <row r="167" customFormat="false" ht="13.5" hidden="false" customHeight="false" outlineLevel="0" collapsed="false">
      <c r="A167" s="0" t="s">
        <v>13</v>
      </c>
      <c r="B167" s="1" t="n">
        <v>44027</v>
      </c>
    </row>
    <row r="168" customFormat="false" ht="13.5" hidden="false" customHeight="false" outlineLevel="0" collapsed="false">
      <c r="A168" s="0" t="s">
        <v>13</v>
      </c>
      <c r="B168" s="1" t="n">
        <v>44028</v>
      </c>
    </row>
    <row r="169" customFormat="false" ht="13.5" hidden="false" customHeight="false" outlineLevel="0" collapsed="false">
      <c r="A169" s="0" t="s">
        <v>13</v>
      </c>
      <c r="B169" s="1" t="n">
        <v>44029</v>
      </c>
    </row>
    <row r="170" customFormat="false" ht="13.5" hidden="false" customHeight="false" outlineLevel="0" collapsed="false">
      <c r="A170" s="0" t="s">
        <v>13</v>
      </c>
      <c r="B170" s="1" t="n">
        <v>44030</v>
      </c>
    </row>
    <row r="171" customFormat="false" ht="13.5" hidden="false" customHeight="false" outlineLevel="0" collapsed="false">
      <c r="A171" s="0" t="s">
        <v>13</v>
      </c>
      <c r="B171" s="1" t="n">
        <v>44031</v>
      </c>
    </row>
    <row r="172" customFormat="false" ht="13.5" hidden="false" customHeight="false" outlineLevel="0" collapsed="false">
      <c r="A172" s="0" t="s">
        <v>13</v>
      </c>
      <c r="B172" s="1" t="n">
        <v>44032</v>
      </c>
    </row>
    <row r="173" customFormat="false" ht="13.5" hidden="false" customHeight="false" outlineLevel="0" collapsed="false">
      <c r="A173" s="0" t="s">
        <v>13</v>
      </c>
      <c r="B173" s="1" t="n">
        <v>44033</v>
      </c>
    </row>
    <row r="174" customFormat="false" ht="13.5" hidden="false" customHeight="false" outlineLevel="0" collapsed="false">
      <c r="A174" s="0" t="s">
        <v>13</v>
      </c>
      <c r="B174" s="1" t="n">
        <v>44034</v>
      </c>
    </row>
    <row r="175" customFormat="false" ht="13.5" hidden="false" customHeight="false" outlineLevel="0" collapsed="false">
      <c r="A175" s="0" t="s">
        <v>13</v>
      </c>
      <c r="B175" s="1" t="n">
        <v>44035</v>
      </c>
    </row>
    <row r="176" customFormat="false" ht="13.5" hidden="false" customHeight="false" outlineLevel="0" collapsed="false">
      <c r="A176" s="0" t="s">
        <v>13</v>
      </c>
      <c r="B176" s="1" t="n">
        <v>44036</v>
      </c>
    </row>
    <row r="177" customFormat="false" ht="13.5" hidden="false" customHeight="false" outlineLevel="0" collapsed="false">
      <c r="A177" s="0" t="s">
        <v>13</v>
      </c>
      <c r="B177" s="1" t="n">
        <v>44037</v>
      </c>
    </row>
    <row r="178" customFormat="false" ht="13.5" hidden="false" customHeight="false" outlineLevel="0" collapsed="false">
      <c r="A178" s="0" t="s">
        <v>13</v>
      </c>
      <c r="B178" s="1" t="n">
        <v>44038</v>
      </c>
    </row>
    <row r="179" customFormat="false" ht="13.5" hidden="false" customHeight="false" outlineLevel="0" collapsed="false">
      <c r="A179" s="0" t="s">
        <v>13</v>
      </c>
      <c r="B179" s="1" t="n">
        <v>44039</v>
      </c>
    </row>
    <row r="180" customFormat="false" ht="13.5" hidden="false" customHeight="false" outlineLevel="0" collapsed="false">
      <c r="A180" s="0" t="s">
        <v>13</v>
      </c>
      <c r="B180" s="1" t="n">
        <v>44040</v>
      </c>
    </row>
    <row r="181" customFormat="false" ht="13.5" hidden="false" customHeight="false" outlineLevel="0" collapsed="false">
      <c r="A181" s="0" t="s">
        <v>13</v>
      </c>
      <c r="B181" s="1" t="n">
        <v>44041</v>
      </c>
    </row>
    <row r="182" customFormat="false" ht="13.5" hidden="false" customHeight="false" outlineLevel="0" collapsed="false">
      <c r="A182" s="0" t="s">
        <v>13</v>
      </c>
      <c r="B182" s="1" t="n">
        <v>44042</v>
      </c>
    </row>
    <row r="183" customFormat="false" ht="13.5" hidden="false" customHeight="false" outlineLevel="0" collapsed="false">
      <c r="A183" s="0" t="s">
        <v>13</v>
      </c>
      <c r="B183" s="1" t="n">
        <v>44043</v>
      </c>
    </row>
    <row r="184" customFormat="false" ht="13.5" hidden="false" customHeight="false" outlineLevel="0" collapsed="false">
      <c r="A184" s="0" t="s">
        <v>13</v>
      </c>
      <c r="B184" s="1" t="n">
        <v>44044</v>
      </c>
    </row>
    <row r="185" customFormat="false" ht="13.5" hidden="false" customHeight="false" outlineLevel="0" collapsed="false">
      <c r="A185" s="0" t="s">
        <v>13</v>
      </c>
      <c r="B185" s="1" t="n">
        <v>44045</v>
      </c>
    </row>
    <row r="186" customFormat="false" ht="13.5" hidden="false" customHeight="false" outlineLevel="0" collapsed="false">
      <c r="A186" s="0" t="s">
        <v>13</v>
      </c>
      <c r="B186" s="1" t="n">
        <v>44046</v>
      </c>
    </row>
    <row r="187" customFormat="false" ht="13.5" hidden="false" customHeight="false" outlineLevel="0" collapsed="false">
      <c r="A187" s="0" t="s">
        <v>13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D177" activeCellId="0" sqref="D17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1" min="3" style="2" width="9.76"/>
    <col collapsed="false" customWidth="true" hidden="false" outlineLevel="0" max="12" min="12" style="2" width="11.54"/>
    <col collapsed="false" customWidth="true" hidden="false" outlineLevel="0" max="13" min="1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14</v>
      </c>
      <c r="B2" s="1" t="n">
        <v>43862</v>
      </c>
      <c r="C2" s="6" t="n">
        <v>7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14</v>
      </c>
      <c r="B3" s="1" t="n">
        <v>43863</v>
      </c>
      <c r="C3" s="6" t="n">
        <v>8</v>
      </c>
      <c r="D3" s="6" t="n">
        <v>1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14</v>
      </c>
      <c r="B4" s="1" t="n">
        <v>43864</v>
      </c>
      <c r="C4" s="6" t="n">
        <v>11</v>
      </c>
      <c r="D4" s="6" t="n">
        <v>3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14</v>
      </c>
      <c r="B5" s="1" t="n">
        <v>43865</v>
      </c>
      <c r="C5" s="6" t="n">
        <v>11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14</v>
      </c>
      <c r="B6" s="1" t="n">
        <v>43866</v>
      </c>
      <c r="C6" s="6" t="n">
        <v>11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14</v>
      </c>
      <c r="B7" s="1" t="n">
        <v>43867</v>
      </c>
      <c r="C7" s="6" t="n">
        <v>12</v>
      </c>
      <c r="D7" s="6" t="n">
        <v>1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14</v>
      </c>
      <c r="B8" s="1" t="n">
        <v>43868</v>
      </c>
      <c r="C8" s="6" t="n">
        <v>12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14</v>
      </c>
      <c r="B9" s="1" t="n">
        <v>43869</v>
      </c>
      <c r="C9" s="6" t="n">
        <v>12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14</v>
      </c>
      <c r="B10" s="1" t="n">
        <v>43870</v>
      </c>
      <c r="C10" s="6" t="n">
        <v>12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14</v>
      </c>
      <c r="B11" s="1" t="n">
        <v>43871</v>
      </c>
      <c r="C11" s="6" t="n">
        <v>12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14</v>
      </c>
      <c r="B12" s="1" t="n">
        <v>43872</v>
      </c>
      <c r="C12" s="6" t="n">
        <v>13</v>
      </c>
      <c r="D12" s="6" t="n">
        <v>1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14</v>
      </c>
      <c r="B13" s="1" t="n">
        <v>43873</v>
      </c>
      <c r="C13" s="6" t="n">
        <v>13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14</v>
      </c>
      <c r="B14" s="1" t="n">
        <v>43874</v>
      </c>
      <c r="C14" s="6" t="n">
        <v>14</v>
      </c>
      <c r="D14" s="6" t="n">
        <v>1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14</v>
      </c>
      <c r="B15" s="1" t="n">
        <v>43875</v>
      </c>
      <c r="C15" s="6" t="n">
        <v>15</v>
      </c>
      <c r="D15" s="6" t="n">
        <v>1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14</v>
      </c>
      <c r="B16" s="1" t="n">
        <v>43876</v>
      </c>
      <c r="C16" s="6" t="n">
        <v>15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14</v>
      </c>
      <c r="B17" s="1" t="n">
        <v>43877</v>
      </c>
      <c r="C17" s="6" t="n">
        <v>15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14</v>
      </c>
      <c r="B18" s="1" t="n">
        <v>43878</v>
      </c>
      <c r="C18" s="6" t="n">
        <v>15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14</v>
      </c>
      <c r="B19" s="1" t="n">
        <v>43879</v>
      </c>
      <c r="C19" s="6" t="n">
        <v>15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14</v>
      </c>
      <c r="B20" s="1" t="n">
        <v>43880</v>
      </c>
      <c r="C20" s="6" t="n">
        <v>15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14</v>
      </c>
      <c r="B21" s="1" t="n">
        <v>43881</v>
      </c>
      <c r="C21" s="6" t="n">
        <v>15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14</v>
      </c>
      <c r="B22" s="1" t="n">
        <v>43882</v>
      </c>
      <c r="C22" s="6" t="n">
        <v>15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14</v>
      </c>
      <c r="B23" s="1" t="n">
        <v>43883</v>
      </c>
      <c r="C23" s="6" t="n">
        <v>35</v>
      </c>
      <c r="D23" s="6" t="n">
        <v>20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14</v>
      </c>
      <c r="B24" s="1" t="n">
        <v>43884</v>
      </c>
      <c r="C24" s="6" t="n">
        <v>35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14</v>
      </c>
      <c r="B25" s="1" t="n">
        <v>43885</v>
      </c>
      <c r="C25" s="6" t="n">
        <v>35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14</v>
      </c>
      <c r="B26" s="1" t="n">
        <v>43886</v>
      </c>
      <c r="C26" s="6" t="n">
        <v>53</v>
      </c>
      <c r="D26" s="6" t="n">
        <v>18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14</v>
      </c>
      <c r="B27" s="1" t="n">
        <v>43887</v>
      </c>
      <c r="C27" s="6" t="n">
        <v>53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14</v>
      </c>
      <c r="B28" s="1" t="n">
        <v>43888</v>
      </c>
      <c r="C28" s="6" t="n">
        <v>59</v>
      </c>
      <c r="D28" s="6" t="n">
        <v>6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14</v>
      </c>
      <c r="B29" s="1" t="n">
        <v>43889</v>
      </c>
      <c r="C29" s="6" t="n">
        <v>59</v>
      </c>
      <c r="D29" s="6" t="n">
        <v>0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14</v>
      </c>
      <c r="B30" s="1" t="n">
        <v>43890</v>
      </c>
      <c r="C30" s="6" t="n">
        <v>62</v>
      </c>
      <c r="D30" s="6" t="n">
        <v>3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14</v>
      </c>
      <c r="B31" s="1" t="n">
        <v>43891</v>
      </c>
      <c r="C31" s="6" t="n">
        <v>62</v>
      </c>
      <c r="D31" s="6" t="n">
        <v>0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14</v>
      </c>
      <c r="B32" s="1" t="n">
        <v>43892</v>
      </c>
      <c r="C32" s="6" t="n">
        <v>62</v>
      </c>
      <c r="D32" s="6" t="n">
        <v>0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14</v>
      </c>
      <c r="B33" s="1" t="n">
        <v>43893</v>
      </c>
      <c r="C33" s="6" t="n">
        <v>64</v>
      </c>
      <c r="D33" s="6" t="n">
        <v>2</v>
      </c>
      <c r="E33" s="6" t="n">
        <v>2</v>
      </c>
      <c r="F33" s="6" t="n">
        <v>2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14</v>
      </c>
      <c r="B34" s="1" t="n">
        <v>43894</v>
      </c>
      <c r="C34" s="6" t="n">
        <v>108</v>
      </c>
      <c r="D34" s="6" t="n">
        <v>44</v>
      </c>
      <c r="E34" s="6" t="n">
        <v>6</v>
      </c>
      <c r="F34" s="6" t="n">
        <v>4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14</v>
      </c>
      <c r="B35" s="1" t="n">
        <v>43895</v>
      </c>
      <c r="C35" s="6" t="n">
        <v>129</v>
      </c>
      <c r="D35" s="6" t="n">
        <v>21</v>
      </c>
      <c r="E35" s="6" t="n">
        <v>9</v>
      </c>
      <c r="F35" s="6" t="n">
        <v>3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14</v>
      </c>
      <c r="B36" s="1" t="n">
        <v>43896</v>
      </c>
      <c r="C36" s="6" t="n">
        <v>148</v>
      </c>
      <c r="D36" s="6" t="n">
        <v>19</v>
      </c>
      <c r="E36" s="6" t="n">
        <v>10</v>
      </c>
      <c r="F36" s="6" t="n">
        <v>1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14</v>
      </c>
      <c r="B37" s="1" t="n">
        <v>43897</v>
      </c>
      <c r="C37" s="8" t="n">
        <v>317</v>
      </c>
      <c r="D37" s="8" t="n">
        <v>169</v>
      </c>
      <c r="E37" s="8" t="n">
        <v>15</v>
      </c>
      <c r="F37" s="8" t="n">
        <v>5</v>
      </c>
      <c r="G37" s="8" t="n">
        <v>15</v>
      </c>
      <c r="H37" s="8" t="n">
        <v>287</v>
      </c>
      <c r="I37" s="8" t="n">
        <v>8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14</v>
      </c>
      <c r="B38" s="1" t="n">
        <v>43898</v>
      </c>
      <c r="C38" s="6" t="n">
        <v>434</v>
      </c>
      <c r="D38" s="6" t="n">
        <v>117</v>
      </c>
      <c r="E38" s="6" t="n">
        <v>19</v>
      </c>
      <c r="F38" s="6" t="n">
        <v>4</v>
      </c>
      <c r="G38" s="6" t="n">
        <v>15</v>
      </c>
      <c r="H38" s="6" t="n">
        <v>400</v>
      </c>
      <c r="I38" s="6" t="n">
        <v>8</v>
      </c>
      <c r="J38" s="6" t="n">
        <v>1.3</v>
      </c>
      <c r="K38" s="6"/>
      <c r="L38" s="6"/>
      <c r="M38" s="6"/>
    </row>
    <row r="39" customFormat="false" ht="15.75" hidden="false" customHeight="false" outlineLevel="0" collapsed="false">
      <c r="A39" s="0" t="s">
        <v>14</v>
      </c>
      <c r="B39" s="1" t="n">
        <v>43899</v>
      </c>
      <c r="C39" s="6" t="n">
        <v>538</v>
      </c>
      <c r="D39" s="6" t="n">
        <v>104</v>
      </c>
      <c r="E39" s="6" t="n">
        <v>22</v>
      </c>
      <c r="F39" s="6" t="n">
        <v>3</v>
      </c>
      <c r="G39" s="6" t="n">
        <v>15</v>
      </c>
      <c r="H39" s="6" t="n">
        <v>501</v>
      </c>
      <c r="I39" s="6" t="n">
        <v>8</v>
      </c>
      <c r="J39" s="6" t="n">
        <v>1.6</v>
      </c>
      <c r="K39" s="6"/>
      <c r="L39" s="6"/>
      <c r="M39" s="6"/>
    </row>
    <row r="40" customFormat="false" ht="15.75" hidden="false" customHeight="false" outlineLevel="0" collapsed="false">
      <c r="A40" s="0" t="s">
        <v>14</v>
      </c>
      <c r="B40" s="1" t="n">
        <v>43900</v>
      </c>
      <c r="C40" s="6" t="n">
        <v>624</v>
      </c>
      <c r="D40" s="6" t="n">
        <v>86</v>
      </c>
      <c r="E40" s="6" t="n">
        <v>26</v>
      </c>
      <c r="F40" s="6" t="n">
        <v>4</v>
      </c>
      <c r="G40" s="6" t="n">
        <v>15</v>
      </c>
      <c r="H40" s="6" t="n">
        <v>583</v>
      </c>
      <c r="I40" s="6" t="n">
        <v>8</v>
      </c>
      <c r="J40" s="6" t="n">
        <v>1.9</v>
      </c>
      <c r="K40" s="6"/>
      <c r="L40" s="6"/>
      <c r="M40" s="6"/>
    </row>
    <row r="41" customFormat="false" ht="15.75" hidden="false" customHeight="false" outlineLevel="0" collapsed="false">
      <c r="A41" s="0" t="s">
        <v>14</v>
      </c>
      <c r="B41" s="1" t="n">
        <v>43901</v>
      </c>
      <c r="C41" s="6" t="n">
        <v>975</v>
      </c>
      <c r="D41" s="6" t="n">
        <v>351</v>
      </c>
      <c r="E41" s="6" t="n">
        <v>30</v>
      </c>
      <c r="F41" s="6" t="n">
        <v>4</v>
      </c>
      <c r="G41" s="6" t="n">
        <v>15</v>
      </c>
      <c r="H41" s="6" t="n">
        <v>930</v>
      </c>
      <c r="I41" s="6" t="n">
        <v>8</v>
      </c>
      <c r="J41" s="6" t="n">
        <v>2.9</v>
      </c>
      <c r="K41" s="6"/>
      <c r="L41" s="6"/>
      <c r="M41" s="6"/>
    </row>
    <row r="42" customFormat="false" ht="15.75" hidden="false" customHeight="false" outlineLevel="0" collapsed="false">
      <c r="A42" s="0" t="s">
        <v>14</v>
      </c>
      <c r="B42" s="1" t="n">
        <v>43902</v>
      </c>
      <c r="C42" s="6" t="n">
        <v>1301</v>
      </c>
      <c r="D42" s="6" t="n">
        <v>326</v>
      </c>
      <c r="E42" s="6" t="n">
        <v>38</v>
      </c>
      <c r="F42" s="6" t="n">
        <v>8</v>
      </c>
      <c r="G42" s="6" t="n">
        <v>15</v>
      </c>
      <c r="H42" s="6" t="n">
        <v>1248</v>
      </c>
      <c r="I42" s="6" t="n">
        <v>10</v>
      </c>
      <c r="J42" s="6" t="n">
        <v>3.9</v>
      </c>
      <c r="K42" s="6"/>
      <c r="L42" s="6"/>
      <c r="M42" s="6"/>
    </row>
    <row r="43" customFormat="false" ht="15.75" hidden="false" customHeight="false" outlineLevel="0" collapsed="false">
      <c r="A43" s="0" t="s">
        <v>14</v>
      </c>
      <c r="B43" s="1" t="n">
        <v>43903</v>
      </c>
      <c r="C43" s="6" t="n">
        <v>1697</v>
      </c>
      <c r="D43" s="6" t="n">
        <v>396</v>
      </c>
      <c r="E43" s="6" t="n">
        <v>41</v>
      </c>
      <c r="F43" s="6" t="n">
        <v>3</v>
      </c>
      <c r="G43" s="6" t="n">
        <v>30</v>
      </c>
      <c r="H43" s="6" t="n">
        <v>1626</v>
      </c>
      <c r="I43" s="6" t="n">
        <v>10</v>
      </c>
      <c r="J43" s="6" t="n">
        <v>5.1</v>
      </c>
      <c r="K43" s="6"/>
      <c r="L43" s="6"/>
      <c r="M43" s="6"/>
    </row>
    <row r="44" customFormat="false" ht="15.75" hidden="false" customHeight="false" outlineLevel="0" collapsed="false">
      <c r="A44" s="0" t="s">
        <v>14</v>
      </c>
      <c r="B44" s="1" t="n">
        <v>43904</v>
      </c>
      <c r="C44" s="6" t="n">
        <v>2269</v>
      </c>
      <c r="D44" s="6" t="n">
        <v>572</v>
      </c>
      <c r="E44" s="6" t="n">
        <v>48</v>
      </c>
      <c r="F44" s="6" t="n">
        <v>7</v>
      </c>
      <c r="G44" s="6" t="n">
        <v>41</v>
      </c>
      <c r="H44" s="6" t="n">
        <v>2180</v>
      </c>
      <c r="I44" s="6" t="n">
        <v>10</v>
      </c>
      <c r="J44" s="6" t="n">
        <v>6.9</v>
      </c>
      <c r="K44" s="6"/>
      <c r="L44" s="6"/>
      <c r="M44" s="6"/>
    </row>
    <row r="45" customFormat="false" ht="15.75" hidden="false" customHeight="false" outlineLevel="0" collapsed="false">
      <c r="A45" s="0" t="s">
        <v>14</v>
      </c>
      <c r="B45" s="1" t="n">
        <v>43905</v>
      </c>
      <c r="C45" s="6" t="n">
        <v>2836</v>
      </c>
      <c r="D45" s="6" t="n">
        <v>567</v>
      </c>
      <c r="E45" s="6" t="n">
        <v>57</v>
      </c>
      <c r="F45" s="6" t="n">
        <v>9</v>
      </c>
      <c r="G45" s="6" t="n">
        <v>49</v>
      </c>
      <c r="H45" s="6" t="n">
        <v>2730</v>
      </c>
      <c r="I45" s="6" t="n">
        <v>10</v>
      </c>
      <c r="J45" s="6" t="n">
        <v>8.6</v>
      </c>
      <c r="K45" s="6"/>
      <c r="L45" s="6"/>
      <c r="M45" s="6"/>
    </row>
    <row r="46" customFormat="false" ht="15.75" hidden="false" customHeight="false" outlineLevel="0" collapsed="false">
      <c r="A46" s="0" t="s">
        <v>14</v>
      </c>
      <c r="B46" s="1" t="n">
        <v>43906</v>
      </c>
      <c r="C46" s="6" t="n">
        <v>3668</v>
      </c>
      <c r="D46" s="6" t="n">
        <v>832</v>
      </c>
      <c r="E46" s="6" t="n">
        <v>68</v>
      </c>
      <c r="F46" s="6" t="n">
        <v>11</v>
      </c>
      <c r="G46" s="6" t="n">
        <v>59</v>
      </c>
      <c r="H46" s="6" t="n">
        <v>3541</v>
      </c>
      <c r="I46" s="6" t="n">
        <v>10</v>
      </c>
      <c r="J46" s="6" t="n">
        <v>11.1</v>
      </c>
      <c r="K46" s="6"/>
      <c r="L46" s="6"/>
      <c r="M46" s="6"/>
    </row>
    <row r="47" customFormat="false" ht="15.75" hidden="false" customHeight="false" outlineLevel="0" collapsed="false">
      <c r="A47" s="0" t="s">
        <v>14</v>
      </c>
      <c r="B47" s="1" t="n">
        <v>43907</v>
      </c>
      <c r="C47" s="6" t="n">
        <v>4547</v>
      </c>
      <c r="D47" s="6" t="n">
        <v>879</v>
      </c>
      <c r="E47" s="6" t="n">
        <v>85</v>
      </c>
      <c r="F47" s="6" t="n">
        <v>17</v>
      </c>
      <c r="G47" s="6" t="n">
        <v>74</v>
      </c>
      <c r="H47" s="6" t="n">
        <v>4388</v>
      </c>
      <c r="I47" s="6" t="n">
        <v>12</v>
      </c>
      <c r="J47" s="6" t="n">
        <v>13.7</v>
      </c>
      <c r="K47" s="6"/>
      <c r="L47" s="6"/>
      <c r="M47" s="6"/>
    </row>
    <row r="48" customFormat="false" ht="15.75" hidden="false" customHeight="false" outlineLevel="0" collapsed="false">
      <c r="A48" s="0" t="s">
        <v>14</v>
      </c>
      <c r="B48" s="1" t="n">
        <v>43908</v>
      </c>
      <c r="C48" s="6" t="n">
        <v>6439</v>
      </c>
      <c r="D48" s="6" t="n">
        <v>1892</v>
      </c>
      <c r="E48" s="6" t="n">
        <v>109</v>
      </c>
      <c r="F48" s="6" t="n">
        <v>24</v>
      </c>
      <c r="G48" s="6" t="n">
        <v>106</v>
      </c>
      <c r="H48" s="6" t="n">
        <v>6224</v>
      </c>
      <c r="I48" s="6" t="n">
        <v>12</v>
      </c>
      <c r="J48" s="6" t="n">
        <v>19.5</v>
      </c>
      <c r="K48" s="6"/>
      <c r="L48" s="6"/>
      <c r="M48" s="6"/>
    </row>
    <row r="49" customFormat="false" ht="15.75" hidden="false" customHeight="false" outlineLevel="0" collapsed="false">
      <c r="A49" s="0" t="s">
        <v>14</v>
      </c>
      <c r="B49" s="1" t="n">
        <v>43909</v>
      </c>
      <c r="C49" s="6" t="n">
        <v>9261</v>
      </c>
      <c r="D49" s="6" t="n">
        <v>2822</v>
      </c>
      <c r="E49" s="6" t="n">
        <v>150</v>
      </c>
      <c r="F49" s="6" t="n">
        <v>41</v>
      </c>
      <c r="G49" s="6" t="n">
        <v>106</v>
      </c>
      <c r="H49" s="6" t="n">
        <v>9005</v>
      </c>
      <c r="I49" s="6" t="n">
        <v>64</v>
      </c>
      <c r="J49" s="6" t="n">
        <v>28</v>
      </c>
      <c r="K49" s="6"/>
      <c r="L49" s="6"/>
      <c r="M49" s="6"/>
    </row>
    <row r="50" customFormat="false" ht="15.75" hidden="false" customHeight="false" outlineLevel="0" collapsed="false">
      <c r="A50" s="0" t="s">
        <v>14</v>
      </c>
      <c r="B50" s="1" t="n">
        <v>43910</v>
      </c>
      <c r="C50" s="6" t="n">
        <v>13816</v>
      </c>
      <c r="D50" s="6" t="n">
        <v>4555</v>
      </c>
      <c r="E50" s="6" t="n">
        <v>207</v>
      </c>
      <c r="F50" s="6" t="n">
        <v>57</v>
      </c>
      <c r="G50" s="6" t="n">
        <v>108</v>
      </c>
      <c r="H50" s="6" t="n">
        <v>13501</v>
      </c>
      <c r="I50" s="6" t="n">
        <v>64</v>
      </c>
      <c r="J50" s="6" t="n">
        <v>42</v>
      </c>
      <c r="K50" s="6"/>
      <c r="L50" s="6"/>
      <c r="M50" s="6"/>
    </row>
    <row r="51" customFormat="false" ht="15.75" hidden="false" customHeight="false" outlineLevel="0" collapsed="false">
      <c r="A51" s="0" t="s">
        <v>14</v>
      </c>
      <c r="B51" s="1" t="n">
        <v>43911</v>
      </c>
      <c r="C51" s="6" t="n">
        <v>19083</v>
      </c>
      <c r="D51" s="6" t="n">
        <v>5267</v>
      </c>
      <c r="E51" s="6" t="n">
        <v>275</v>
      </c>
      <c r="F51" s="6" t="n">
        <v>68</v>
      </c>
      <c r="G51" s="6" t="n">
        <v>147</v>
      </c>
      <c r="H51" s="6" t="n">
        <v>19352</v>
      </c>
      <c r="I51" s="6" t="n">
        <v>64</v>
      </c>
      <c r="J51" s="6" t="n">
        <v>60</v>
      </c>
      <c r="K51" s="6"/>
      <c r="L51" s="6"/>
      <c r="M51" s="6"/>
    </row>
    <row r="52" customFormat="false" ht="15.75" hidden="false" customHeight="false" outlineLevel="0" collapsed="false">
      <c r="A52" s="0" t="s">
        <v>14</v>
      </c>
      <c r="B52" s="1" t="n">
        <v>43912</v>
      </c>
      <c r="C52" s="6" t="n">
        <v>26111</v>
      </c>
      <c r="D52" s="6" t="n">
        <v>7028</v>
      </c>
      <c r="E52" s="6" t="n">
        <v>324</v>
      </c>
      <c r="F52" s="6" t="n">
        <v>49</v>
      </c>
      <c r="G52" s="6" t="n">
        <v>176</v>
      </c>
      <c r="H52" s="6" t="n">
        <v>25611</v>
      </c>
      <c r="I52" s="6" t="n">
        <v>64</v>
      </c>
      <c r="J52" s="6" t="n">
        <v>79</v>
      </c>
      <c r="K52" s="6"/>
      <c r="L52" s="6"/>
      <c r="M52" s="6"/>
    </row>
    <row r="53" customFormat="false" ht="15.75" hidden="false" customHeight="false" outlineLevel="0" collapsed="false">
      <c r="A53" s="0" t="s">
        <v>14</v>
      </c>
      <c r="B53" s="1" t="n">
        <v>43913</v>
      </c>
      <c r="C53" s="6" t="n">
        <v>32356</v>
      </c>
      <c r="D53" s="6" t="n">
        <v>6245</v>
      </c>
      <c r="E53" s="6" t="n">
        <v>414</v>
      </c>
      <c r="F53" s="6" t="n">
        <v>90</v>
      </c>
      <c r="G53" s="6" t="n">
        <v>178</v>
      </c>
      <c r="H53" s="6" t="n">
        <v>31764</v>
      </c>
      <c r="I53" s="6" t="n">
        <v>795</v>
      </c>
      <c r="J53" s="6" t="n">
        <v>98</v>
      </c>
      <c r="K53" s="6"/>
      <c r="L53" s="6"/>
      <c r="M53" s="6"/>
    </row>
    <row r="54" customFormat="false" ht="15.75" hidden="false" customHeight="false" outlineLevel="0" collapsed="false">
      <c r="A54" s="0" t="s">
        <v>14</v>
      </c>
      <c r="B54" s="1" t="n">
        <v>43914</v>
      </c>
      <c r="C54" s="6" t="n">
        <v>43449</v>
      </c>
      <c r="D54" s="6" t="n">
        <v>11093</v>
      </c>
      <c r="E54" s="6" t="n">
        <v>545</v>
      </c>
      <c r="F54" s="6" t="n">
        <v>131</v>
      </c>
      <c r="G54" s="6" t="n">
        <v>295</v>
      </c>
      <c r="H54" s="6" t="n">
        <v>42609</v>
      </c>
      <c r="I54" s="6" t="n">
        <v>1040</v>
      </c>
      <c r="J54" s="6" t="n">
        <v>131</v>
      </c>
      <c r="K54" s="6"/>
      <c r="L54" s="6"/>
      <c r="M54" s="6"/>
    </row>
    <row r="55" customFormat="false" ht="15.75" hidden="false" customHeight="false" outlineLevel="0" collapsed="false">
      <c r="A55" s="0" t="s">
        <v>14</v>
      </c>
      <c r="B55" s="1" t="n">
        <v>43915</v>
      </c>
      <c r="C55" s="7" t="n">
        <v>53358</v>
      </c>
      <c r="D55" s="7" t="n">
        <v>9909</v>
      </c>
      <c r="E55" s="7" t="n">
        <v>695</v>
      </c>
      <c r="F55" s="7" t="n">
        <v>150</v>
      </c>
      <c r="G55" s="7" t="n">
        <v>370</v>
      </c>
      <c r="H55" s="7" t="n">
        <v>52293</v>
      </c>
      <c r="I55" s="7" t="n">
        <v>1175</v>
      </c>
      <c r="J55" s="7" t="n">
        <v>161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14</v>
      </c>
      <c r="B56" s="1" t="n">
        <v>43916</v>
      </c>
      <c r="C56" s="7" t="n">
        <v>65342</v>
      </c>
      <c r="D56" s="7" t="n">
        <v>11984</v>
      </c>
      <c r="E56" s="7" t="n">
        <v>922</v>
      </c>
      <c r="F56" s="7" t="n">
        <v>227</v>
      </c>
      <c r="G56" s="7" t="n">
        <v>393</v>
      </c>
      <c r="H56" s="7" t="n">
        <v>64027</v>
      </c>
      <c r="I56" s="7" t="n">
        <v>1411</v>
      </c>
      <c r="J56" s="7" t="n">
        <v>197</v>
      </c>
      <c r="K56" s="7" t="n">
        <v>3</v>
      </c>
      <c r="L56" s="7"/>
      <c r="M56" s="7"/>
    </row>
    <row r="57" customFormat="false" ht="15.75" hidden="false" customHeight="false" outlineLevel="0" collapsed="false">
      <c r="A57" s="0" t="s">
        <v>14</v>
      </c>
      <c r="B57" s="1" t="n">
        <v>43917</v>
      </c>
      <c r="C57" s="7" t="n">
        <v>82179</v>
      </c>
      <c r="D57" s="7" t="n">
        <v>16837</v>
      </c>
      <c r="E57" s="7" t="n">
        <v>1177</v>
      </c>
      <c r="F57" s="7" t="n">
        <v>255</v>
      </c>
      <c r="G57" s="7" t="n">
        <v>1864</v>
      </c>
      <c r="H57" s="7" t="n">
        <v>79138</v>
      </c>
      <c r="I57" s="7" t="n">
        <v>2112</v>
      </c>
      <c r="J57" s="7" t="n">
        <v>248</v>
      </c>
      <c r="K57" s="7" t="n">
        <v>4</v>
      </c>
      <c r="L57" s="7"/>
      <c r="M57" s="7"/>
    </row>
    <row r="58" customFormat="false" ht="15.75" hidden="false" customHeight="false" outlineLevel="0" collapsed="false">
      <c r="A58" s="0" t="s">
        <v>14</v>
      </c>
      <c r="B58" s="1" t="n">
        <v>43918</v>
      </c>
      <c r="C58" s="7" t="n">
        <v>100514</v>
      </c>
      <c r="D58" s="7" t="n">
        <v>18335</v>
      </c>
      <c r="E58" s="7" t="n">
        <v>1546</v>
      </c>
      <c r="F58" s="7" t="n">
        <v>369</v>
      </c>
      <c r="G58" s="7" t="n">
        <v>2465</v>
      </c>
      <c r="H58" s="7" t="n">
        <v>96503</v>
      </c>
      <c r="I58" s="7" t="n">
        <v>2463</v>
      </c>
      <c r="J58" s="7" t="n">
        <v>304</v>
      </c>
      <c r="K58" s="7" t="n">
        <v>5</v>
      </c>
      <c r="L58" s="7"/>
      <c r="M58" s="7"/>
    </row>
    <row r="59" customFormat="false" ht="15.75" hidden="false" customHeight="false" outlineLevel="0" collapsed="false">
      <c r="A59" s="0" t="s">
        <v>14</v>
      </c>
      <c r="B59" s="1" t="n">
        <v>43919</v>
      </c>
      <c r="C59" s="7" t="n">
        <v>120529</v>
      </c>
      <c r="D59" s="7" t="n">
        <v>20015</v>
      </c>
      <c r="E59" s="7" t="n">
        <v>2008</v>
      </c>
      <c r="F59" s="7" t="n">
        <v>462</v>
      </c>
      <c r="G59" s="7" t="n">
        <v>3229</v>
      </c>
      <c r="H59" s="7" t="n">
        <v>115292</v>
      </c>
      <c r="I59" s="7" t="n">
        <v>2666</v>
      </c>
      <c r="J59" s="7" t="n">
        <v>364</v>
      </c>
      <c r="K59" s="7" t="n">
        <v>6</v>
      </c>
      <c r="L59" s="7"/>
      <c r="M59" s="7"/>
    </row>
    <row r="60" customFormat="false" ht="15.75" hidden="false" customHeight="false" outlineLevel="0" collapsed="false">
      <c r="A60" s="0" t="s">
        <v>14</v>
      </c>
      <c r="B60" s="1" t="n">
        <v>43920</v>
      </c>
      <c r="C60" s="7" t="n">
        <v>139986</v>
      </c>
      <c r="D60" s="7" t="n">
        <v>19457</v>
      </c>
      <c r="E60" s="7" t="n">
        <v>2454</v>
      </c>
      <c r="F60" s="7" t="n">
        <v>446</v>
      </c>
      <c r="G60" s="7" t="n">
        <v>4435</v>
      </c>
      <c r="H60" s="7" t="n">
        <v>133097</v>
      </c>
      <c r="I60" s="7" t="n">
        <v>2948</v>
      </c>
      <c r="J60" s="7" t="n">
        <v>423</v>
      </c>
      <c r="K60" s="7" t="n">
        <v>7</v>
      </c>
      <c r="L60" s="7"/>
      <c r="M60" s="7"/>
    </row>
    <row r="61" customFormat="false" ht="15.75" hidden="false" customHeight="false" outlineLevel="0" collapsed="false">
      <c r="A61" s="0" t="s">
        <v>14</v>
      </c>
      <c r="B61" s="1" t="n">
        <v>43921</v>
      </c>
      <c r="C61" s="7" t="n">
        <v>160344</v>
      </c>
      <c r="D61" s="7" t="n">
        <v>20358</v>
      </c>
      <c r="E61" s="7" t="n">
        <v>2953</v>
      </c>
      <c r="F61" s="7" t="n">
        <v>499</v>
      </c>
      <c r="G61" s="7" t="n">
        <v>5220</v>
      </c>
      <c r="H61" s="7" t="n">
        <v>152171</v>
      </c>
      <c r="I61" s="7" t="n">
        <v>3402</v>
      </c>
      <c r="J61" s="7" t="n">
        <v>484</v>
      </c>
      <c r="K61" s="7" t="n">
        <v>9</v>
      </c>
      <c r="L61" s="7"/>
      <c r="M61" s="7"/>
    </row>
    <row r="62" customFormat="false" ht="15.75" hidden="false" customHeight="false" outlineLevel="0" collapsed="false">
      <c r="A62" s="0" t="s">
        <v>14</v>
      </c>
      <c r="B62" s="1" t="n">
        <v>43922</v>
      </c>
      <c r="C62" s="7" t="n">
        <v>185270</v>
      </c>
      <c r="D62" s="7" t="n">
        <v>24926</v>
      </c>
      <c r="E62" s="7" t="n">
        <v>3780</v>
      </c>
      <c r="F62" s="7" t="n">
        <v>827</v>
      </c>
      <c r="G62" s="7" t="n">
        <v>6347</v>
      </c>
      <c r="H62" s="7" t="n">
        <v>175143</v>
      </c>
      <c r="I62" s="7" t="n">
        <v>3981</v>
      </c>
      <c r="J62" s="7" t="n">
        <v>560</v>
      </c>
      <c r="K62" s="7" t="n">
        <v>11</v>
      </c>
      <c r="L62" s="7"/>
      <c r="M62" s="7"/>
    </row>
    <row r="63" customFormat="false" ht="15.75" hidden="false" customHeight="false" outlineLevel="0" collapsed="false">
      <c r="A63" s="0" t="s">
        <v>14</v>
      </c>
      <c r="B63" s="1" t="n">
        <v>43923</v>
      </c>
      <c r="C63" s="7" t="n">
        <v>211408</v>
      </c>
      <c r="D63" s="7" t="n">
        <v>26138</v>
      </c>
      <c r="E63" s="7" t="n">
        <v>4718</v>
      </c>
      <c r="F63" s="7" t="n">
        <v>938</v>
      </c>
      <c r="G63" s="7" t="n">
        <v>8805</v>
      </c>
      <c r="H63" s="7" t="n">
        <v>197885</v>
      </c>
      <c r="I63" s="7" t="n">
        <v>5005</v>
      </c>
      <c r="J63" s="7" t="n">
        <v>639</v>
      </c>
      <c r="K63" s="7" t="n">
        <v>14</v>
      </c>
      <c r="L63" s="7"/>
      <c r="M63" s="7"/>
    </row>
    <row r="64" customFormat="false" ht="15.75" hidden="false" customHeight="false" outlineLevel="0" collapsed="false">
      <c r="A64" s="0" t="s">
        <v>14</v>
      </c>
      <c r="B64" s="1" t="n">
        <v>43924</v>
      </c>
      <c r="C64" s="7" t="n">
        <v>240529</v>
      </c>
      <c r="D64" s="7" t="n">
        <v>29121</v>
      </c>
      <c r="E64" s="7" t="n">
        <v>5810</v>
      </c>
      <c r="F64" s="7" t="n">
        <v>1092</v>
      </c>
      <c r="G64" s="7" t="n">
        <v>10365</v>
      </c>
      <c r="H64" s="7" t="n">
        <v>224354</v>
      </c>
      <c r="I64" s="7" t="n">
        <v>5421</v>
      </c>
      <c r="J64" s="7" t="n">
        <v>727</v>
      </c>
      <c r="K64" s="7" t="n">
        <v>18</v>
      </c>
      <c r="L64" s="7"/>
      <c r="M64" s="7"/>
    </row>
    <row r="65" customFormat="false" ht="15.75" hidden="false" customHeight="false" outlineLevel="0" collapsed="false">
      <c r="A65" s="0" t="s">
        <v>14</v>
      </c>
      <c r="B65" s="1" t="n">
        <v>43925</v>
      </c>
      <c r="C65" s="7" t="n">
        <v>274178</v>
      </c>
      <c r="D65" s="7" t="n">
        <v>33649</v>
      </c>
      <c r="E65" s="7" t="n">
        <v>7053</v>
      </c>
      <c r="F65" s="7" t="n">
        <v>1243</v>
      </c>
      <c r="G65" s="7" t="n">
        <v>12044</v>
      </c>
      <c r="H65" s="7" t="n">
        <v>255081</v>
      </c>
      <c r="I65" s="7" t="n">
        <v>5787</v>
      </c>
      <c r="J65" s="7" t="n">
        <v>828</v>
      </c>
      <c r="K65" s="7" t="n">
        <v>21</v>
      </c>
      <c r="L65" s="7"/>
      <c r="M65" s="7"/>
    </row>
    <row r="66" customFormat="false" ht="15.75" hidden="false" customHeight="false" outlineLevel="0" collapsed="false">
      <c r="A66" s="0" t="s">
        <v>14</v>
      </c>
      <c r="B66" s="1" t="n">
        <v>43926</v>
      </c>
      <c r="C66" s="7" t="n">
        <v>308124</v>
      </c>
      <c r="D66" s="7" t="n">
        <v>33946</v>
      </c>
      <c r="E66" s="7" t="n">
        <v>8392</v>
      </c>
      <c r="F66" s="7" t="n">
        <v>1339</v>
      </c>
      <c r="G66" s="7" t="n">
        <v>14686</v>
      </c>
      <c r="H66" s="7" t="n">
        <v>285046</v>
      </c>
      <c r="I66" s="7" t="n">
        <v>8113</v>
      </c>
      <c r="J66" s="7" t="n">
        <v>931</v>
      </c>
      <c r="K66" s="7" t="n">
        <v>25</v>
      </c>
      <c r="L66" s="7" t="n">
        <v>1599916</v>
      </c>
      <c r="M66" s="7" t="n">
        <v>4834</v>
      </c>
    </row>
    <row r="67" customFormat="false" ht="15.75" hidden="false" customHeight="false" outlineLevel="0" collapsed="false">
      <c r="A67" s="0" t="s">
        <v>14</v>
      </c>
      <c r="B67" s="1" t="n">
        <v>43927</v>
      </c>
      <c r="C67" s="7" t="n">
        <v>334125</v>
      </c>
      <c r="D67" s="7" t="n">
        <v>26001</v>
      </c>
      <c r="E67" s="7" t="n">
        <v>9557</v>
      </c>
      <c r="F67" s="7" t="n">
        <v>1165</v>
      </c>
      <c r="G67" s="7" t="n">
        <v>17177</v>
      </c>
      <c r="H67" s="7" t="n">
        <v>307391</v>
      </c>
      <c r="I67" s="7" t="n">
        <v>8623</v>
      </c>
      <c r="J67" s="7" t="n">
        <v>1009</v>
      </c>
      <c r="K67" s="7" t="n">
        <v>29</v>
      </c>
      <c r="L67" s="7" t="n">
        <v>1755099</v>
      </c>
      <c r="M67" s="7" t="n">
        <v>5302</v>
      </c>
    </row>
    <row r="68" customFormat="false" ht="15.75" hidden="false" customHeight="false" outlineLevel="0" collapsed="false">
      <c r="A68" s="0" t="s">
        <v>14</v>
      </c>
      <c r="B68" s="1" t="n">
        <v>43928</v>
      </c>
      <c r="C68" s="12" t="n">
        <v>363424</v>
      </c>
      <c r="D68" s="12" t="n">
        <v>29299</v>
      </c>
      <c r="E68" s="12" t="n">
        <v>10764</v>
      </c>
      <c r="F68" s="12" t="n">
        <v>1207</v>
      </c>
      <c r="G68" s="12" t="n">
        <v>19532</v>
      </c>
      <c r="H68" s="12" t="n">
        <v>333128</v>
      </c>
      <c r="I68" s="12" t="n">
        <v>8878</v>
      </c>
      <c r="J68" s="12" t="n">
        <v>1098</v>
      </c>
      <c r="K68" s="12" t="n">
        <v>33</v>
      </c>
      <c r="L68" s="12" t="n">
        <v>1899948</v>
      </c>
      <c r="M68" s="12" t="n">
        <v>5740</v>
      </c>
    </row>
    <row r="69" customFormat="false" ht="15.75" hidden="false" customHeight="false" outlineLevel="0" collapsed="false">
      <c r="A69" s="0" t="s">
        <v>14</v>
      </c>
      <c r="B69" s="1" t="n">
        <v>43929</v>
      </c>
      <c r="C69" s="14" t="n">
        <v>394182</v>
      </c>
      <c r="D69" s="14" t="n">
        <v>30758</v>
      </c>
      <c r="E69" s="14" t="n">
        <v>12716</v>
      </c>
      <c r="F69" s="14" t="n">
        <v>1952</v>
      </c>
      <c r="G69" s="14" t="n">
        <v>21571</v>
      </c>
      <c r="H69" s="14" t="n">
        <v>359895</v>
      </c>
      <c r="I69" s="14" t="n">
        <v>9169</v>
      </c>
      <c r="J69" s="14" t="n">
        <v>1191</v>
      </c>
      <c r="K69" s="14" t="n">
        <v>38</v>
      </c>
      <c r="L69" s="14" t="n">
        <v>2061504</v>
      </c>
      <c r="M69" s="14" t="n">
        <v>6228</v>
      </c>
    </row>
    <row r="70" customFormat="false" ht="15.75" hidden="false" customHeight="false" outlineLevel="0" collapsed="false">
      <c r="A70" s="0" t="s">
        <v>14</v>
      </c>
      <c r="B70" s="1" t="n">
        <v>43930</v>
      </c>
      <c r="C70" s="14" t="n">
        <v>425828</v>
      </c>
      <c r="D70" s="14" t="n">
        <v>31646</v>
      </c>
      <c r="E70" s="14" t="n">
        <v>14604</v>
      </c>
      <c r="F70" s="14" t="n">
        <v>1888</v>
      </c>
      <c r="G70" s="14" t="n">
        <v>22202</v>
      </c>
      <c r="H70" s="14" t="n">
        <v>389022</v>
      </c>
      <c r="I70" s="14" t="n">
        <v>9234</v>
      </c>
      <c r="J70" s="14" t="n">
        <v>1286</v>
      </c>
      <c r="K70" s="14" t="n">
        <v>44</v>
      </c>
      <c r="L70" s="14" t="n">
        <v>2197184</v>
      </c>
      <c r="M70" s="14" t="n">
        <v>6638</v>
      </c>
    </row>
    <row r="71" customFormat="false" ht="15.75" hidden="false" customHeight="false" outlineLevel="0" collapsed="false">
      <c r="A71" s="0" t="s">
        <v>14</v>
      </c>
      <c r="B71" s="1" t="n">
        <v>43931</v>
      </c>
      <c r="C71" s="14" t="n">
        <v>463433</v>
      </c>
      <c r="D71" s="14" t="n">
        <v>37605</v>
      </c>
      <c r="E71" s="14" t="n">
        <v>16504</v>
      </c>
      <c r="F71" s="14" t="n">
        <v>1900</v>
      </c>
      <c r="G71" s="14" t="n">
        <v>25139</v>
      </c>
      <c r="H71" s="14" t="n">
        <v>421790</v>
      </c>
      <c r="I71" s="14" t="n">
        <v>9823</v>
      </c>
      <c r="J71" s="14" t="n">
        <v>1400</v>
      </c>
      <c r="K71" s="14" t="n">
        <v>50</v>
      </c>
      <c r="L71" s="14" t="n">
        <v>2367513</v>
      </c>
      <c r="M71" s="14" t="n">
        <v>7153</v>
      </c>
    </row>
    <row r="72" customFormat="false" ht="15.75" hidden="false" customHeight="false" outlineLevel="0" collapsed="false">
      <c r="A72" s="0" t="s">
        <v>14</v>
      </c>
      <c r="B72" s="1" t="n">
        <v>43932</v>
      </c>
      <c r="C72" s="14" t="n">
        <v>496828</v>
      </c>
      <c r="D72" s="14" t="n">
        <v>33395</v>
      </c>
      <c r="E72" s="14" t="n">
        <v>18509</v>
      </c>
      <c r="F72" s="14" t="n">
        <v>2005</v>
      </c>
      <c r="G72" s="14" t="n">
        <v>26822</v>
      </c>
      <c r="H72" s="14" t="n">
        <v>451497</v>
      </c>
      <c r="I72" s="14" t="n">
        <v>10906</v>
      </c>
      <c r="J72" s="14" t="n">
        <v>1501</v>
      </c>
      <c r="K72" s="14" t="n">
        <v>56</v>
      </c>
      <c r="L72" s="14" t="n">
        <v>2526853</v>
      </c>
      <c r="M72" s="14" t="n">
        <v>7634</v>
      </c>
    </row>
    <row r="73" customFormat="false" ht="15.75" hidden="false" customHeight="false" outlineLevel="0" collapsed="false">
      <c r="A73" s="0" t="s">
        <v>14</v>
      </c>
      <c r="B73" s="1" t="n">
        <v>43933</v>
      </c>
      <c r="C73" s="14" t="n">
        <v>529343</v>
      </c>
      <c r="D73" s="14" t="n">
        <v>32515</v>
      </c>
      <c r="E73" s="14" t="n">
        <v>20466</v>
      </c>
      <c r="F73" s="14" t="n">
        <v>1957</v>
      </c>
      <c r="G73" s="14" t="n">
        <v>29442</v>
      </c>
      <c r="H73" s="14" t="n">
        <v>479435</v>
      </c>
      <c r="I73" s="14" t="n">
        <v>11059</v>
      </c>
      <c r="J73" s="14" t="n">
        <v>1599</v>
      </c>
      <c r="K73" s="14" t="n">
        <v>62</v>
      </c>
      <c r="L73" s="14" t="n">
        <v>2664437</v>
      </c>
      <c r="M73" s="14" t="n">
        <v>8050</v>
      </c>
    </row>
    <row r="74" customFormat="false" ht="15.75" hidden="false" customHeight="false" outlineLevel="0" collapsed="false">
      <c r="A74" s="0" t="s">
        <v>14</v>
      </c>
      <c r="B74" s="1" t="n">
        <v>43934</v>
      </c>
      <c r="C74" s="14" t="n">
        <v>557235</v>
      </c>
      <c r="D74" s="14" t="n">
        <v>27892</v>
      </c>
      <c r="E74" s="14" t="n">
        <v>21956</v>
      </c>
      <c r="F74" s="14" t="n">
        <v>1490</v>
      </c>
      <c r="G74" s="14" t="n">
        <v>31976</v>
      </c>
      <c r="H74" s="14" t="n">
        <v>503303</v>
      </c>
      <c r="I74" s="14" t="n">
        <v>11766</v>
      </c>
      <c r="J74" s="14" t="n">
        <v>1683</v>
      </c>
      <c r="K74" s="14" t="n">
        <v>66</v>
      </c>
      <c r="L74" s="14" t="n">
        <v>2823684</v>
      </c>
      <c r="M74" s="14" t="n">
        <v>8531</v>
      </c>
    </row>
    <row r="75" customFormat="false" ht="15.75" hidden="false" customHeight="false" outlineLevel="0" collapsed="false">
      <c r="A75" s="0" t="s">
        <v>14</v>
      </c>
      <c r="B75" s="1" t="n">
        <v>43935</v>
      </c>
      <c r="C75" s="14" t="n">
        <v>583870</v>
      </c>
      <c r="D75" s="14" t="n">
        <v>26635</v>
      </c>
      <c r="E75" s="14" t="n">
        <v>23485</v>
      </c>
      <c r="F75" s="14" t="n">
        <v>1529</v>
      </c>
      <c r="G75" s="14" t="n">
        <v>35755</v>
      </c>
      <c r="H75" s="14" t="n">
        <v>524630</v>
      </c>
      <c r="I75" s="14" t="n">
        <v>12772</v>
      </c>
      <c r="J75" s="14" t="n">
        <v>1764</v>
      </c>
      <c r="K75" s="14" t="n">
        <v>71</v>
      </c>
      <c r="L75" s="14" t="n">
        <v>2934571</v>
      </c>
      <c r="M75" s="14" t="n">
        <v>8866</v>
      </c>
    </row>
    <row r="76" customFormat="false" ht="15.75" hidden="false" customHeight="false" outlineLevel="0" collapsed="false">
      <c r="A76" s="0" t="s">
        <v>14</v>
      </c>
      <c r="B76" s="1" t="n">
        <v>43936</v>
      </c>
      <c r="C76" s="14" t="n">
        <v>610632</v>
      </c>
      <c r="D76" s="14" t="n">
        <v>26762</v>
      </c>
      <c r="E76" s="14" t="n">
        <v>25856</v>
      </c>
      <c r="F76" s="14" t="n">
        <v>2371</v>
      </c>
      <c r="G76" s="14" t="n">
        <v>38562</v>
      </c>
      <c r="H76" s="14" t="n">
        <v>546214</v>
      </c>
      <c r="I76" s="14" t="n">
        <v>13438</v>
      </c>
      <c r="J76" s="14" t="n">
        <v>1845</v>
      </c>
      <c r="K76" s="14" t="n">
        <v>78</v>
      </c>
      <c r="L76" s="14" t="n">
        <v>3061195</v>
      </c>
      <c r="M76" s="14" t="n">
        <v>9248</v>
      </c>
    </row>
    <row r="77" customFormat="false" ht="15.75" hidden="false" customHeight="false" outlineLevel="0" collapsed="false">
      <c r="A77" s="0" t="s">
        <v>14</v>
      </c>
      <c r="B77" s="1" t="n">
        <v>43937</v>
      </c>
      <c r="C77" s="14" t="n">
        <v>641410</v>
      </c>
      <c r="D77" s="14" t="n">
        <v>30778</v>
      </c>
      <c r="E77" s="14" t="n">
        <v>28394</v>
      </c>
      <c r="F77" s="14" t="n">
        <v>2538</v>
      </c>
      <c r="G77" s="14" t="n">
        <v>48131</v>
      </c>
      <c r="H77" s="14" t="n">
        <v>564885</v>
      </c>
      <c r="I77" s="14" t="n">
        <v>13477</v>
      </c>
      <c r="J77" s="14" t="n">
        <v>1938</v>
      </c>
      <c r="K77" s="14" t="n">
        <v>86</v>
      </c>
      <c r="L77" s="14" t="n">
        <v>3236901</v>
      </c>
      <c r="M77" s="14" t="n">
        <v>9779</v>
      </c>
    </row>
    <row r="78" customFormat="false" ht="15.75" hidden="false" customHeight="false" outlineLevel="0" collapsed="false">
      <c r="A78" s="0" t="s">
        <v>14</v>
      </c>
      <c r="B78" s="1" t="n">
        <v>43938</v>
      </c>
      <c r="C78" s="14" t="n">
        <v>669129</v>
      </c>
      <c r="D78" s="14" t="n">
        <v>27719</v>
      </c>
      <c r="E78" s="14" t="n">
        <v>32868</v>
      </c>
      <c r="F78" s="14" t="n">
        <v>4474</v>
      </c>
      <c r="G78" s="14" t="n">
        <v>57271</v>
      </c>
      <c r="H78" s="14" t="n">
        <v>585205</v>
      </c>
      <c r="I78" s="14" t="n">
        <v>13369</v>
      </c>
      <c r="J78" s="14" t="n">
        <v>2045</v>
      </c>
      <c r="K78" s="14" t="n">
        <v>104</v>
      </c>
      <c r="L78" s="14" t="n">
        <v>3397021</v>
      </c>
      <c r="M78" s="14" t="n">
        <v>10263</v>
      </c>
    </row>
    <row r="79" customFormat="false" ht="15.75" hidden="false" customHeight="false" outlineLevel="0" collapsed="false">
      <c r="A79" s="0" t="s">
        <v>14</v>
      </c>
      <c r="B79" s="1" t="n">
        <v>43939</v>
      </c>
      <c r="C79" s="14" t="n">
        <v>699850</v>
      </c>
      <c r="D79" s="14" t="n">
        <v>30721</v>
      </c>
      <c r="E79" s="14" t="n">
        <v>37242</v>
      </c>
      <c r="F79" s="14" t="n">
        <v>4374</v>
      </c>
      <c r="G79" s="14" t="n">
        <v>59142</v>
      </c>
      <c r="H79" s="14" t="n">
        <v>603466</v>
      </c>
      <c r="I79" s="14" t="n">
        <v>13466</v>
      </c>
      <c r="J79" s="14" t="n">
        <v>2114</v>
      </c>
      <c r="K79" s="14" t="n">
        <v>113</v>
      </c>
      <c r="L79" s="14" t="n">
        <v>3539889</v>
      </c>
      <c r="M79" s="14" t="n">
        <v>10694</v>
      </c>
    </row>
    <row r="80" customFormat="false" ht="15.75" hidden="false" customHeight="false" outlineLevel="0" collapsed="false">
      <c r="A80" s="0" t="s">
        <v>14</v>
      </c>
      <c r="B80" s="1" t="n">
        <v>43940</v>
      </c>
      <c r="C80" s="14" t="n">
        <v>736052</v>
      </c>
      <c r="D80" s="14" t="n">
        <v>36202</v>
      </c>
      <c r="E80" s="14" t="n">
        <v>38844</v>
      </c>
      <c r="F80" s="14" t="n">
        <v>1602</v>
      </c>
      <c r="G80" s="14" t="n">
        <v>67418</v>
      </c>
      <c r="H80" s="14" t="n">
        <v>629790</v>
      </c>
      <c r="I80" s="14" t="n">
        <v>13536</v>
      </c>
      <c r="J80" s="14" t="n">
        <v>2224</v>
      </c>
      <c r="K80" s="14" t="n">
        <v>117</v>
      </c>
      <c r="L80" s="14" t="n">
        <v>3708490</v>
      </c>
      <c r="M80" s="14" t="n">
        <v>11204</v>
      </c>
    </row>
    <row r="81" customFormat="false" ht="15.75" hidden="false" customHeight="false" outlineLevel="0" collapsed="false">
      <c r="A81" s="0" t="s">
        <v>14</v>
      </c>
      <c r="B81" s="1" t="n">
        <v>43941</v>
      </c>
      <c r="C81" s="6" t="n">
        <v>762496</v>
      </c>
      <c r="D81" s="6" t="n">
        <v>26444</v>
      </c>
      <c r="E81" s="6" t="n">
        <v>40478</v>
      </c>
      <c r="F81" s="6" t="n">
        <v>1634</v>
      </c>
      <c r="G81" s="6" t="n">
        <v>69956</v>
      </c>
      <c r="H81" s="6" t="n">
        <v>652062</v>
      </c>
      <c r="I81" s="6" t="n">
        <v>13556</v>
      </c>
      <c r="J81" s="6" t="n">
        <v>2304</v>
      </c>
      <c r="K81" s="6" t="n">
        <v>122</v>
      </c>
      <c r="L81" s="6" t="n">
        <v>3852758</v>
      </c>
      <c r="M81" s="6" t="n">
        <v>11640</v>
      </c>
    </row>
    <row r="82" customFormat="false" ht="15.75" hidden="false" customHeight="false" outlineLevel="0" collapsed="false">
      <c r="A82" s="0" t="s">
        <v>14</v>
      </c>
      <c r="B82" s="1" t="n">
        <v>43942</v>
      </c>
      <c r="C82" s="6" t="n">
        <v>788690</v>
      </c>
      <c r="D82" s="6" t="n">
        <v>26194</v>
      </c>
      <c r="E82" s="6" t="n">
        <v>42263</v>
      </c>
      <c r="F82" s="6" t="n">
        <v>1785</v>
      </c>
      <c r="G82" s="6" t="n">
        <v>71781</v>
      </c>
      <c r="H82" s="6" t="n">
        <v>674646</v>
      </c>
      <c r="I82" s="6" t="n">
        <v>13634</v>
      </c>
      <c r="J82" s="6" t="n">
        <v>2383</v>
      </c>
      <c r="K82" s="6" t="n">
        <v>128</v>
      </c>
      <c r="L82" s="6" t="n">
        <v>3993124</v>
      </c>
      <c r="M82" s="6" t="n">
        <v>12064</v>
      </c>
    </row>
    <row r="83" customFormat="false" ht="15.75" hidden="false" customHeight="false" outlineLevel="0" collapsed="false">
      <c r="A83" s="0" t="s">
        <v>14</v>
      </c>
      <c r="B83" s="1" t="n">
        <v>43943</v>
      </c>
      <c r="C83" s="6" t="n">
        <v>815892</v>
      </c>
      <c r="D83" s="6" t="n">
        <v>27202</v>
      </c>
      <c r="E83" s="6" t="n">
        <v>45126</v>
      </c>
      <c r="F83" s="6" t="n">
        <v>2863</v>
      </c>
      <c r="G83" s="6" t="n">
        <v>82620</v>
      </c>
      <c r="H83" s="6" t="n">
        <v>688146</v>
      </c>
      <c r="I83" s="6" t="n">
        <v>14016</v>
      </c>
      <c r="J83" s="6" t="n">
        <v>2465</v>
      </c>
      <c r="K83" s="6" t="n">
        <v>136</v>
      </c>
      <c r="L83" s="6" t="n">
        <v>4174472</v>
      </c>
      <c r="M83" s="6" t="n">
        <v>12612</v>
      </c>
    </row>
    <row r="84" customFormat="false" ht="15.75" hidden="false" customHeight="false" outlineLevel="0" collapsed="false">
      <c r="A84" s="0" t="s">
        <v>14</v>
      </c>
      <c r="B84" s="1" t="n">
        <v>43944</v>
      </c>
      <c r="C84" s="6" t="n">
        <v>844992</v>
      </c>
      <c r="D84" s="6" t="n">
        <v>29100</v>
      </c>
      <c r="E84" s="6" t="n">
        <v>47430</v>
      </c>
      <c r="F84" s="6" t="n">
        <v>2304</v>
      </c>
      <c r="G84" s="6" t="n">
        <v>83910</v>
      </c>
      <c r="H84" s="6" t="n">
        <v>713652</v>
      </c>
      <c r="I84" s="6" t="n">
        <v>14014</v>
      </c>
      <c r="J84" s="6" t="n">
        <v>2553</v>
      </c>
      <c r="K84" s="6" t="n">
        <v>143</v>
      </c>
      <c r="L84" s="6" t="n">
        <v>4307429</v>
      </c>
      <c r="M84" s="6" t="n">
        <v>13013</v>
      </c>
    </row>
    <row r="85" customFormat="false" ht="15.75" hidden="false" customHeight="false" outlineLevel="0" collapsed="false">
      <c r="A85" s="0" t="s">
        <v>14</v>
      </c>
      <c r="B85" s="1" t="n">
        <v>43945</v>
      </c>
      <c r="C85" s="6" t="n">
        <v>876174</v>
      </c>
      <c r="D85" s="6" t="n">
        <v>31182</v>
      </c>
      <c r="E85" s="6" t="n">
        <v>49651</v>
      </c>
      <c r="F85" s="6" t="n">
        <v>2221</v>
      </c>
      <c r="G85" s="6" t="n">
        <v>85010</v>
      </c>
      <c r="H85" s="6" t="n">
        <v>741513</v>
      </c>
      <c r="I85" s="6" t="n">
        <v>14994</v>
      </c>
      <c r="J85" s="6" t="n">
        <v>2647</v>
      </c>
      <c r="K85" s="6" t="n">
        <v>150</v>
      </c>
      <c r="L85" s="6" t="n">
        <v>4489618</v>
      </c>
      <c r="M85" s="6" t="n">
        <v>13564</v>
      </c>
    </row>
    <row r="86" customFormat="false" ht="15.75" hidden="false" customHeight="false" outlineLevel="0" collapsed="false">
      <c r="A86" s="0" t="s">
        <v>14</v>
      </c>
      <c r="B86" s="1" t="n">
        <v>43946</v>
      </c>
      <c r="C86" s="6" t="n">
        <v>916348</v>
      </c>
      <c r="D86" s="6" t="n">
        <v>40174</v>
      </c>
      <c r="E86" s="6" t="n">
        <v>51742</v>
      </c>
      <c r="F86" s="6" t="n">
        <v>2091</v>
      </c>
      <c r="G86" s="6" t="n">
        <v>93275</v>
      </c>
      <c r="H86" s="6" t="n">
        <v>771331</v>
      </c>
      <c r="I86" s="6" t="n">
        <v>14932</v>
      </c>
      <c r="J86" s="6" t="n">
        <v>2768</v>
      </c>
      <c r="K86" s="6" t="n">
        <v>156</v>
      </c>
      <c r="L86" s="6" t="n">
        <v>4979566</v>
      </c>
      <c r="M86" s="6" t="n">
        <v>15044</v>
      </c>
    </row>
    <row r="87" customFormat="false" ht="15.75" hidden="false" customHeight="false" outlineLevel="0" collapsed="false">
      <c r="A87" s="0" t="s">
        <v>14</v>
      </c>
      <c r="B87" s="1" t="n">
        <v>43947</v>
      </c>
      <c r="C87" s="7" t="n">
        <v>955488</v>
      </c>
      <c r="D87" s="7" t="n">
        <v>39140</v>
      </c>
      <c r="E87" s="7" t="n">
        <v>54120</v>
      </c>
      <c r="F87" s="7" t="n">
        <v>2378</v>
      </c>
      <c r="G87" s="7" t="n">
        <v>116167</v>
      </c>
      <c r="H87" s="7" t="n">
        <v>785201</v>
      </c>
      <c r="I87" s="7" t="n">
        <v>15110</v>
      </c>
      <c r="J87" s="7" t="n">
        <v>2887</v>
      </c>
      <c r="K87" s="7" t="n">
        <v>164</v>
      </c>
      <c r="L87" s="7" t="n">
        <v>5258504</v>
      </c>
      <c r="M87" s="7" t="n">
        <v>15887</v>
      </c>
    </row>
    <row r="88" customFormat="false" ht="15.75" hidden="false" customHeight="false" outlineLevel="0" collapsed="false">
      <c r="A88" s="0" t="s">
        <v>14</v>
      </c>
      <c r="B88" s="1" t="n">
        <v>43948</v>
      </c>
      <c r="C88" s="7" t="n">
        <v>985060</v>
      </c>
      <c r="D88" s="7" t="n">
        <v>29572</v>
      </c>
      <c r="E88" s="7" t="n">
        <v>55357</v>
      </c>
      <c r="F88" s="7" t="n">
        <v>1237</v>
      </c>
      <c r="G88" s="7" t="n">
        <v>118735</v>
      </c>
      <c r="H88" s="7" t="n">
        <v>810968</v>
      </c>
      <c r="I88" s="7" t="n">
        <v>15135</v>
      </c>
      <c r="J88" s="7" t="n">
        <v>2976</v>
      </c>
      <c r="K88" s="7" t="n">
        <v>167</v>
      </c>
      <c r="L88" s="7" t="n">
        <v>5453126</v>
      </c>
      <c r="M88" s="7" t="n">
        <v>16475</v>
      </c>
    </row>
    <row r="89" customFormat="false" ht="15.75" hidden="false" customHeight="false" outlineLevel="0" collapsed="false">
      <c r="A89" s="0" t="s">
        <v>14</v>
      </c>
      <c r="B89" s="1" t="n">
        <v>43949</v>
      </c>
      <c r="C89" s="7" t="n">
        <v>1004942</v>
      </c>
      <c r="D89" s="7" t="n">
        <v>19882</v>
      </c>
      <c r="E89" s="7" t="n">
        <v>56527</v>
      </c>
      <c r="F89" s="7" t="n">
        <v>1170</v>
      </c>
      <c r="G89" s="7" t="n">
        <v>137591</v>
      </c>
      <c r="H89" s="7" t="n">
        <v>810824</v>
      </c>
      <c r="I89" s="7" t="n">
        <v>14175</v>
      </c>
      <c r="J89" s="7" t="n">
        <v>3036</v>
      </c>
      <c r="K89" s="7" t="n">
        <v>171</v>
      </c>
      <c r="L89" s="7" t="n">
        <v>5661256</v>
      </c>
      <c r="M89" s="7" t="n">
        <v>17103</v>
      </c>
    </row>
    <row r="90" customFormat="false" ht="15.75" hidden="false" customHeight="false" outlineLevel="0" collapsed="false">
      <c r="A90" s="0" t="s">
        <v>14</v>
      </c>
      <c r="B90" s="1" t="n">
        <v>43950</v>
      </c>
      <c r="C90" s="7" t="n">
        <v>1029878</v>
      </c>
      <c r="D90" s="7" t="n">
        <v>24936</v>
      </c>
      <c r="E90" s="7" t="n">
        <v>58640</v>
      </c>
      <c r="F90" s="7" t="n">
        <v>2113</v>
      </c>
      <c r="G90" s="7" t="n">
        <v>140138</v>
      </c>
      <c r="H90" s="7" t="n">
        <v>831100</v>
      </c>
      <c r="I90" s="7" t="n">
        <v>14868</v>
      </c>
      <c r="J90" s="7" t="n">
        <v>3111</v>
      </c>
      <c r="K90" s="7" t="n">
        <v>177</v>
      </c>
      <c r="L90" s="7" t="n">
        <v>5823807</v>
      </c>
      <c r="M90" s="7" t="n">
        <v>17594</v>
      </c>
    </row>
    <row r="91" customFormat="false" ht="15.75" hidden="false" customHeight="false" outlineLevel="0" collapsed="false">
      <c r="A91" s="0" t="s">
        <v>14</v>
      </c>
      <c r="B91" s="1" t="n">
        <v>43951</v>
      </c>
      <c r="C91" s="7" t="n">
        <v>1056646</v>
      </c>
      <c r="D91" s="7" t="n">
        <v>26768</v>
      </c>
      <c r="E91" s="7" t="n">
        <v>61180</v>
      </c>
      <c r="F91" s="7" t="n">
        <v>2540</v>
      </c>
      <c r="G91" s="7" t="n">
        <v>145320</v>
      </c>
      <c r="H91" s="7" t="n">
        <v>850146</v>
      </c>
      <c r="I91" s="7" t="n">
        <v>18665</v>
      </c>
      <c r="J91" s="7" t="n">
        <v>3192</v>
      </c>
      <c r="K91" s="7" t="n">
        <v>185</v>
      </c>
      <c r="L91" s="7" t="n">
        <v>6096763</v>
      </c>
      <c r="M91" s="7" t="n">
        <v>18419</v>
      </c>
    </row>
    <row r="92" customFormat="false" ht="15.75" hidden="false" customHeight="false" outlineLevel="0" collapsed="false">
      <c r="A92" s="0" t="s">
        <v>14</v>
      </c>
      <c r="B92" s="1" t="n">
        <v>43952</v>
      </c>
      <c r="C92" s="7" t="n">
        <v>1092656</v>
      </c>
      <c r="D92" s="7" t="n">
        <v>36010</v>
      </c>
      <c r="E92" s="7" t="n">
        <v>63765</v>
      </c>
      <c r="F92" s="7" t="n">
        <v>2585</v>
      </c>
      <c r="G92" s="7" t="n">
        <v>151774</v>
      </c>
      <c r="H92" s="7" t="n">
        <v>877117</v>
      </c>
      <c r="I92" s="7" t="n">
        <v>15226</v>
      </c>
      <c r="J92" s="7" t="n">
        <v>3301</v>
      </c>
      <c r="K92" s="7" t="n">
        <v>193</v>
      </c>
      <c r="L92" s="7" t="n">
        <v>6332995</v>
      </c>
      <c r="M92" s="7" t="n">
        <v>19133</v>
      </c>
    </row>
    <row r="93" customFormat="false" ht="15.75" hidden="false" customHeight="false" outlineLevel="0" collapsed="false">
      <c r="A93" s="0" t="s">
        <v>14</v>
      </c>
      <c r="B93" s="1" t="n">
        <v>43953</v>
      </c>
      <c r="C93" s="7" t="n">
        <v>1125305</v>
      </c>
      <c r="D93" s="7" t="n">
        <v>32649</v>
      </c>
      <c r="E93" s="7" t="n">
        <v>65540</v>
      </c>
      <c r="F93" s="7" t="n">
        <v>1775</v>
      </c>
      <c r="G93" s="7" t="n">
        <v>160173</v>
      </c>
      <c r="H93" s="7" t="n">
        <v>899592</v>
      </c>
      <c r="I93" s="7" t="n">
        <v>16478</v>
      </c>
      <c r="J93" s="7" t="n">
        <v>3400</v>
      </c>
      <c r="K93" s="7" t="n">
        <v>198</v>
      </c>
      <c r="L93" s="7" t="n">
        <v>6638810</v>
      </c>
      <c r="M93" s="7" t="n">
        <v>20057</v>
      </c>
    </row>
    <row r="94" customFormat="false" ht="15.75" hidden="false" customHeight="false" outlineLevel="0" collapsed="false">
      <c r="A94" s="0" t="s">
        <v>14</v>
      </c>
      <c r="B94" s="1" t="n">
        <v>43954</v>
      </c>
      <c r="C94" s="7" t="n">
        <v>1156313</v>
      </c>
      <c r="D94" s="7" t="n">
        <v>31008</v>
      </c>
      <c r="E94" s="7" t="n">
        <v>67206</v>
      </c>
      <c r="F94" s="7" t="n">
        <v>1666</v>
      </c>
      <c r="G94" s="7" t="n">
        <v>170772</v>
      </c>
      <c r="H94" s="7" t="n">
        <v>918335</v>
      </c>
      <c r="I94" s="7" t="n">
        <v>16455</v>
      </c>
      <c r="J94" s="7" t="n">
        <v>3493</v>
      </c>
      <c r="K94" s="7" t="n">
        <v>203</v>
      </c>
      <c r="L94" s="7" t="n">
        <v>6907929</v>
      </c>
      <c r="M94" s="7" t="n">
        <v>20870</v>
      </c>
    </row>
    <row r="95" customFormat="false" ht="15.75" hidden="false" customHeight="false" outlineLevel="0" collapsed="false">
      <c r="A95" s="0" t="s">
        <v>14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14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14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14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n">
        <v>7894673</v>
      </c>
      <c r="M98" s="6" t="n">
        <v>23851</v>
      </c>
    </row>
    <row r="99" customFormat="false" ht="15.75" hidden="false" customHeight="false" outlineLevel="0" collapsed="false">
      <c r="A99" s="0" t="s">
        <v>14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n">
        <v>8164295</v>
      </c>
      <c r="M99" s="6" t="n">
        <v>24666</v>
      </c>
    </row>
    <row r="100" customFormat="false" ht="15.75" hidden="false" customHeight="false" outlineLevel="0" collapsed="false">
      <c r="A100" s="0" t="s">
        <v>14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14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14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14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14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14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14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14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14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14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14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14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14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14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14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14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14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14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14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14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14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14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14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14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14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14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14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14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14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14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14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14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14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14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14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14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14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14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14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14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14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14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14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14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14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14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14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14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14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14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14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14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14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14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14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14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14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14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14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14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14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14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14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14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14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14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14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14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14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14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14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14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14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14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14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14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14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14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14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14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14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14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14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14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14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14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14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14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15</v>
      </c>
      <c r="B2" s="1" t="n">
        <v>43862</v>
      </c>
      <c r="C2" s="6" t="n">
        <v>1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15</v>
      </c>
      <c r="B3" s="1" t="n">
        <v>43863</v>
      </c>
      <c r="C3" s="6" t="n">
        <v>1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15</v>
      </c>
      <c r="B4" s="1" t="n">
        <v>43864</v>
      </c>
      <c r="C4" s="6" t="n">
        <v>1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15</v>
      </c>
      <c r="B5" s="1" t="n">
        <v>43865</v>
      </c>
      <c r="C5" s="6" t="n">
        <v>1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15</v>
      </c>
      <c r="B6" s="1" t="n">
        <v>43866</v>
      </c>
      <c r="C6" s="6" t="n">
        <v>1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15</v>
      </c>
      <c r="B7" s="1" t="n">
        <v>43867</v>
      </c>
      <c r="C7" s="6" t="n">
        <v>1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15</v>
      </c>
      <c r="B8" s="1" t="n">
        <v>43868</v>
      </c>
      <c r="C8" s="6" t="n">
        <v>1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15</v>
      </c>
      <c r="B9" s="1" t="n">
        <v>43869</v>
      </c>
      <c r="C9" s="6" t="n">
        <v>1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15</v>
      </c>
      <c r="B10" s="1" t="n">
        <v>43870</v>
      </c>
      <c r="C10" s="6" t="n">
        <v>1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15</v>
      </c>
      <c r="B11" s="1" t="n">
        <v>43871</v>
      </c>
      <c r="C11" s="6" t="n">
        <v>2</v>
      </c>
      <c r="D11" s="6" t="n">
        <v>1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15</v>
      </c>
      <c r="B12" s="1" t="n">
        <v>43872</v>
      </c>
      <c r="C12" s="6" t="n">
        <v>2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15</v>
      </c>
      <c r="B13" s="1" t="n">
        <v>43873</v>
      </c>
      <c r="C13" s="6" t="n">
        <v>2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15</v>
      </c>
      <c r="B14" s="1" t="n">
        <v>43874</v>
      </c>
      <c r="C14" s="6" t="n">
        <v>2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15</v>
      </c>
      <c r="B15" s="1" t="n">
        <v>43875</v>
      </c>
      <c r="C15" s="6" t="n">
        <v>2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15</v>
      </c>
      <c r="B16" s="1" t="n">
        <v>43876</v>
      </c>
      <c r="C16" s="6" t="n">
        <v>2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15</v>
      </c>
      <c r="B17" s="1" t="n">
        <v>43877</v>
      </c>
      <c r="C17" s="6" t="n">
        <v>2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15</v>
      </c>
      <c r="B18" s="1" t="n">
        <v>43878</v>
      </c>
      <c r="C18" s="6" t="n">
        <v>2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15</v>
      </c>
      <c r="B19" s="1" t="n">
        <v>43879</v>
      </c>
      <c r="C19" s="6" t="n">
        <v>2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15</v>
      </c>
      <c r="B20" s="1" t="n">
        <v>43880</v>
      </c>
      <c r="C20" s="6" t="n">
        <v>2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15</v>
      </c>
      <c r="B21" s="1" t="n">
        <v>43881</v>
      </c>
      <c r="C21" s="6" t="n">
        <v>2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15</v>
      </c>
      <c r="B22" s="1" t="n">
        <v>43882</v>
      </c>
      <c r="C22" s="6" t="n">
        <v>2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15</v>
      </c>
      <c r="B23" s="1" t="n">
        <v>43883</v>
      </c>
      <c r="C23" s="6" t="n">
        <v>2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15</v>
      </c>
      <c r="B24" s="1" t="n">
        <v>43884</v>
      </c>
      <c r="C24" s="6" t="n">
        <v>2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15</v>
      </c>
      <c r="B25" s="1" t="n">
        <v>43885</v>
      </c>
      <c r="C25" s="6" t="n">
        <v>2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15</v>
      </c>
      <c r="B26" s="1" t="n">
        <v>43886</v>
      </c>
      <c r="C26" s="6" t="n">
        <v>2</v>
      </c>
      <c r="D26" s="6" t="n">
        <v>0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15</v>
      </c>
      <c r="B27" s="1" t="n">
        <v>43887</v>
      </c>
      <c r="C27" s="6" t="n">
        <v>2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15</v>
      </c>
      <c r="B28" s="1" t="n">
        <v>43888</v>
      </c>
      <c r="C28" s="6" t="n">
        <v>12</v>
      </c>
      <c r="D28" s="6" t="n">
        <v>10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15</v>
      </c>
      <c r="B29" s="1" t="n">
        <v>43889</v>
      </c>
      <c r="C29" s="6" t="n">
        <v>25</v>
      </c>
      <c r="D29" s="6" t="n">
        <v>13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15</v>
      </c>
      <c r="B30" s="1" t="n">
        <v>43890</v>
      </c>
      <c r="C30" s="6" t="n">
        <v>32</v>
      </c>
      <c r="D30" s="6" t="n">
        <v>7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15</v>
      </c>
      <c r="B31" s="1" t="n">
        <v>43891</v>
      </c>
      <c r="C31" s="6" t="n">
        <v>45</v>
      </c>
      <c r="D31" s="6" t="n">
        <v>13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15</v>
      </c>
      <c r="B32" s="1" t="n">
        <v>43892</v>
      </c>
      <c r="C32" s="6" t="n">
        <v>45</v>
      </c>
      <c r="D32" s="6" t="n">
        <v>0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15</v>
      </c>
      <c r="B33" s="1" t="n">
        <v>43893</v>
      </c>
      <c r="C33" s="6" t="n">
        <v>114</v>
      </c>
      <c r="D33" s="6" t="n">
        <v>69</v>
      </c>
      <c r="E33" s="6" t="n">
        <v>0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15</v>
      </c>
      <c r="B34" s="1" t="n">
        <v>43894</v>
      </c>
      <c r="C34" s="6" t="n">
        <v>151</v>
      </c>
      <c r="D34" s="6" t="n">
        <v>37</v>
      </c>
      <c r="E34" s="6" t="n">
        <v>0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15</v>
      </c>
      <c r="B35" s="1" t="n">
        <v>43895</v>
      </c>
      <c r="C35" s="6" t="n">
        <v>198</v>
      </c>
      <c r="D35" s="6" t="n">
        <v>47</v>
      </c>
      <c r="E35" s="6" t="n">
        <v>1</v>
      </c>
      <c r="F35" s="6" t="n">
        <v>1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15</v>
      </c>
      <c r="B36" s="1" t="n">
        <v>43896</v>
      </c>
      <c r="C36" s="6" t="n">
        <v>257</v>
      </c>
      <c r="D36" s="6" t="n">
        <v>59</v>
      </c>
      <c r="E36" s="6" t="n">
        <v>3</v>
      </c>
      <c r="F36" s="6" t="n">
        <v>2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15</v>
      </c>
      <c r="B37" s="1" t="n">
        <v>43897</v>
      </c>
      <c r="C37" s="8" t="n">
        <v>401</v>
      </c>
      <c r="D37" s="8" t="n">
        <v>144</v>
      </c>
      <c r="E37" s="8" t="n">
        <v>8</v>
      </c>
      <c r="F37" s="8" t="n">
        <v>5</v>
      </c>
      <c r="G37" s="8" t="n">
        <v>6</v>
      </c>
      <c r="H37" s="8" t="n">
        <v>387</v>
      </c>
      <c r="I37" s="8" t="n">
        <v>9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15</v>
      </c>
      <c r="B38" s="1" t="n">
        <v>43898</v>
      </c>
      <c r="C38" s="6" t="n">
        <v>503</v>
      </c>
      <c r="D38" s="6" t="n">
        <v>102</v>
      </c>
      <c r="E38" s="6" t="n">
        <v>10</v>
      </c>
      <c r="F38" s="6" t="n">
        <v>2</v>
      </c>
      <c r="G38" s="6" t="n">
        <v>30</v>
      </c>
      <c r="H38" s="6" t="n">
        <v>463</v>
      </c>
      <c r="I38" s="6" t="n">
        <v>9</v>
      </c>
      <c r="J38" s="6" t="n">
        <v>10.8</v>
      </c>
      <c r="K38" s="6"/>
      <c r="L38" s="6"/>
      <c r="M38" s="6"/>
    </row>
    <row r="39" customFormat="false" ht="15.75" hidden="false" customHeight="false" outlineLevel="0" collapsed="false">
      <c r="A39" s="0" t="s">
        <v>15</v>
      </c>
      <c r="B39" s="1" t="n">
        <v>43899</v>
      </c>
      <c r="C39" s="6" t="n">
        <v>674</v>
      </c>
      <c r="D39" s="6" t="n">
        <v>171</v>
      </c>
      <c r="E39" s="6" t="n">
        <v>17</v>
      </c>
      <c r="F39" s="6" t="n">
        <v>7</v>
      </c>
      <c r="G39" s="6" t="n">
        <v>32</v>
      </c>
      <c r="H39" s="6" t="n">
        <v>625</v>
      </c>
      <c r="I39" s="6" t="n">
        <v>11</v>
      </c>
      <c r="J39" s="6" t="n">
        <v>14.4</v>
      </c>
      <c r="K39" s="6"/>
      <c r="L39" s="6"/>
      <c r="M39" s="6"/>
    </row>
    <row r="40" customFormat="false" ht="15.75" hidden="false" customHeight="false" outlineLevel="0" collapsed="false">
      <c r="A40" s="0" t="s">
        <v>15</v>
      </c>
      <c r="B40" s="1" t="n">
        <v>43900</v>
      </c>
      <c r="C40" s="6" t="n">
        <v>1231</v>
      </c>
      <c r="D40" s="6" t="n">
        <v>557</v>
      </c>
      <c r="E40" s="6" t="n">
        <v>30</v>
      </c>
      <c r="F40" s="6" t="n">
        <v>13</v>
      </c>
      <c r="G40" s="6" t="n">
        <v>32</v>
      </c>
      <c r="H40" s="6" t="n">
        <v>1169</v>
      </c>
      <c r="I40" s="6" t="n">
        <v>11</v>
      </c>
      <c r="J40" s="6" t="n">
        <v>26.3</v>
      </c>
      <c r="K40" s="6"/>
      <c r="L40" s="6"/>
      <c r="M40" s="6"/>
    </row>
    <row r="41" customFormat="false" ht="15.75" hidden="false" customHeight="false" outlineLevel="0" collapsed="false">
      <c r="A41" s="0" t="s">
        <v>15</v>
      </c>
      <c r="B41" s="1" t="n">
        <v>43901</v>
      </c>
      <c r="C41" s="6" t="n">
        <v>1695</v>
      </c>
      <c r="D41" s="6" t="n">
        <v>464</v>
      </c>
      <c r="E41" s="6" t="n">
        <v>36</v>
      </c>
      <c r="F41" s="6" t="n">
        <v>6</v>
      </c>
      <c r="G41" s="6" t="n">
        <v>135</v>
      </c>
      <c r="H41" s="6" t="n">
        <v>1524</v>
      </c>
      <c r="I41" s="6" t="n">
        <v>101</v>
      </c>
      <c r="J41" s="6" t="n">
        <v>36.3</v>
      </c>
      <c r="K41" s="6"/>
      <c r="L41" s="6"/>
      <c r="M41" s="6"/>
    </row>
    <row r="42" customFormat="false" ht="15.75" hidden="false" customHeight="false" outlineLevel="0" collapsed="false">
      <c r="A42" s="0" t="s">
        <v>15</v>
      </c>
      <c r="B42" s="1" t="n">
        <v>43902</v>
      </c>
      <c r="C42" s="6" t="n">
        <v>2277</v>
      </c>
      <c r="D42" s="6" t="n">
        <v>582</v>
      </c>
      <c r="E42" s="6" t="n">
        <v>55</v>
      </c>
      <c r="F42" s="6" t="n">
        <v>19</v>
      </c>
      <c r="G42" s="6" t="n">
        <v>183</v>
      </c>
      <c r="H42" s="6" t="n">
        <v>2039</v>
      </c>
      <c r="I42" s="6" t="n">
        <v>126</v>
      </c>
      <c r="J42" s="6" t="n">
        <v>48.7</v>
      </c>
      <c r="K42" s="6"/>
      <c r="L42" s="6"/>
      <c r="M42" s="6"/>
    </row>
    <row r="43" customFormat="false" ht="15.75" hidden="false" customHeight="false" outlineLevel="0" collapsed="false">
      <c r="A43" s="0" t="s">
        <v>15</v>
      </c>
      <c r="B43" s="1" t="n">
        <v>43903</v>
      </c>
      <c r="C43" s="6" t="n">
        <v>3146</v>
      </c>
      <c r="D43" s="6" t="n">
        <v>869</v>
      </c>
      <c r="E43" s="6" t="n">
        <v>86</v>
      </c>
      <c r="F43" s="6" t="n">
        <v>31</v>
      </c>
      <c r="G43" s="6" t="n">
        <v>189</v>
      </c>
      <c r="H43" s="6" t="n">
        <v>2871</v>
      </c>
      <c r="I43" s="6" t="n">
        <v>190</v>
      </c>
      <c r="J43" s="6" t="n">
        <v>67.3</v>
      </c>
      <c r="K43" s="6"/>
      <c r="L43" s="6"/>
      <c r="M43" s="6"/>
    </row>
    <row r="44" customFormat="false" ht="15.75" hidden="false" customHeight="false" outlineLevel="0" collapsed="false">
      <c r="A44" s="0" t="s">
        <v>15</v>
      </c>
      <c r="B44" s="1" t="n">
        <v>43904</v>
      </c>
      <c r="C44" s="6" t="n">
        <v>5232</v>
      </c>
      <c r="D44" s="6" t="n">
        <v>2086</v>
      </c>
      <c r="E44" s="6" t="n">
        <v>133</v>
      </c>
      <c r="F44" s="6" t="n">
        <v>47</v>
      </c>
      <c r="G44" s="6" t="n">
        <v>193</v>
      </c>
      <c r="H44" s="6" t="n">
        <v>4906</v>
      </c>
      <c r="I44" s="6" t="n">
        <v>190</v>
      </c>
      <c r="J44" s="6" t="n">
        <v>111.9</v>
      </c>
      <c r="K44" s="6"/>
      <c r="L44" s="6"/>
      <c r="M44" s="6"/>
    </row>
    <row r="45" customFormat="false" ht="15.75" hidden="false" customHeight="false" outlineLevel="0" collapsed="false">
      <c r="A45" s="0" t="s">
        <v>15</v>
      </c>
      <c r="B45" s="1" t="n">
        <v>43905</v>
      </c>
      <c r="C45" s="6" t="n">
        <v>6391</v>
      </c>
      <c r="D45" s="6" t="n">
        <v>1159</v>
      </c>
      <c r="E45" s="6" t="n">
        <v>195</v>
      </c>
      <c r="F45" s="6" t="n">
        <v>62</v>
      </c>
      <c r="G45" s="6" t="n">
        <v>517</v>
      </c>
      <c r="H45" s="6" t="n">
        <v>5679</v>
      </c>
      <c r="I45" s="6" t="n">
        <v>293</v>
      </c>
      <c r="J45" s="6" t="n">
        <v>136.7</v>
      </c>
      <c r="K45" s="6"/>
      <c r="L45" s="6"/>
      <c r="M45" s="6"/>
    </row>
    <row r="46" customFormat="false" ht="15.75" hidden="false" customHeight="false" outlineLevel="0" collapsed="false">
      <c r="A46" s="0" t="s">
        <v>15</v>
      </c>
      <c r="B46" s="1" t="n">
        <v>43906</v>
      </c>
      <c r="C46" s="6" t="n">
        <v>7845</v>
      </c>
      <c r="D46" s="6" t="n">
        <v>1454</v>
      </c>
      <c r="E46" s="6" t="n">
        <v>292</v>
      </c>
      <c r="F46" s="6" t="n">
        <v>97</v>
      </c>
      <c r="G46" s="6" t="n">
        <v>517</v>
      </c>
      <c r="H46" s="6" t="n">
        <v>7036</v>
      </c>
      <c r="I46" s="6" t="n">
        <v>272</v>
      </c>
      <c r="J46" s="6" t="n">
        <v>167.8</v>
      </c>
      <c r="K46" s="6"/>
      <c r="L46" s="6"/>
      <c r="M46" s="6"/>
    </row>
    <row r="47" customFormat="false" ht="15.75" hidden="false" customHeight="false" outlineLevel="0" collapsed="false">
      <c r="A47" s="0" t="s">
        <v>15</v>
      </c>
      <c r="B47" s="1" t="n">
        <v>43907</v>
      </c>
      <c r="C47" s="6" t="n">
        <v>9682</v>
      </c>
      <c r="D47" s="6" t="n">
        <v>1837</v>
      </c>
      <c r="E47" s="6" t="n">
        <v>342</v>
      </c>
      <c r="F47" s="6" t="n">
        <v>50</v>
      </c>
      <c r="G47" s="6" t="n">
        <v>530</v>
      </c>
      <c r="H47" s="6" t="n">
        <v>8810</v>
      </c>
      <c r="I47" s="6" t="n">
        <v>272</v>
      </c>
      <c r="J47" s="6" t="n">
        <v>207.1</v>
      </c>
      <c r="K47" s="6"/>
      <c r="L47" s="6"/>
      <c r="M47" s="6"/>
    </row>
    <row r="48" customFormat="false" ht="15.75" hidden="false" customHeight="false" outlineLevel="0" collapsed="false">
      <c r="A48" s="0" t="s">
        <v>15</v>
      </c>
      <c r="B48" s="1" t="n">
        <v>43908</v>
      </c>
      <c r="C48" s="6" t="n">
        <v>11826</v>
      </c>
      <c r="D48" s="6" t="n">
        <v>2144</v>
      </c>
      <c r="E48" s="6" t="n">
        <v>533</v>
      </c>
      <c r="F48" s="6" t="n">
        <v>191</v>
      </c>
      <c r="G48" s="6" t="n">
        <v>1028</v>
      </c>
      <c r="H48" s="6" t="n">
        <v>10265</v>
      </c>
      <c r="I48" s="6" t="n">
        <v>563</v>
      </c>
      <c r="J48" s="6" t="n">
        <v>252.9</v>
      </c>
      <c r="K48" s="6"/>
      <c r="L48" s="6"/>
      <c r="M48" s="6"/>
    </row>
    <row r="49" customFormat="false" ht="15.75" hidden="false" customHeight="false" outlineLevel="0" collapsed="false">
      <c r="A49" s="0" t="s">
        <v>15</v>
      </c>
      <c r="B49" s="1" t="n">
        <v>43909</v>
      </c>
      <c r="C49" s="6" t="n">
        <v>14769</v>
      </c>
      <c r="D49" s="6" t="n">
        <v>2943</v>
      </c>
      <c r="E49" s="6" t="n">
        <v>638</v>
      </c>
      <c r="F49" s="6" t="n">
        <v>105</v>
      </c>
      <c r="G49" s="6" t="n">
        <v>1081</v>
      </c>
      <c r="H49" s="6" t="n">
        <v>13050</v>
      </c>
      <c r="I49" s="6" t="n">
        <v>800</v>
      </c>
      <c r="J49" s="6" t="n">
        <v>316</v>
      </c>
      <c r="K49" s="6"/>
      <c r="L49" s="6"/>
      <c r="M49" s="6"/>
    </row>
    <row r="50" customFormat="false" ht="15.75" hidden="false" customHeight="false" outlineLevel="0" collapsed="false">
      <c r="A50" s="0" t="s">
        <v>15</v>
      </c>
      <c r="B50" s="1" t="n">
        <v>43910</v>
      </c>
      <c r="C50" s="6" t="n">
        <v>18077</v>
      </c>
      <c r="D50" s="6" t="n">
        <v>3308</v>
      </c>
      <c r="E50" s="6" t="n">
        <v>831</v>
      </c>
      <c r="F50" s="6" t="n">
        <v>193</v>
      </c>
      <c r="G50" s="6" t="n">
        <v>1107</v>
      </c>
      <c r="H50" s="6" t="n">
        <v>16139</v>
      </c>
      <c r="I50" s="6" t="n">
        <v>939</v>
      </c>
      <c r="J50" s="6" t="n">
        <v>387</v>
      </c>
      <c r="K50" s="6"/>
      <c r="L50" s="6"/>
      <c r="M50" s="6"/>
    </row>
    <row r="51" customFormat="false" ht="15.75" hidden="false" customHeight="false" outlineLevel="0" collapsed="false">
      <c r="A51" s="0" t="s">
        <v>15</v>
      </c>
      <c r="B51" s="1" t="n">
        <v>43911</v>
      </c>
      <c r="C51" s="6" t="n">
        <v>21510</v>
      </c>
      <c r="D51" s="6" t="n">
        <v>3433</v>
      </c>
      <c r="E51" s="6" t="n">
        <v>1326</v>
      </c>
      <c r="F51" s="6" t="n">
        <v>495</v>
      </c>
      <c r="G51" s="6" t="n">
        <v>2125</v>
      </c>
      <c r="H51" s="6" t="n">
        <v>21475</v>
      </c>
      <c r="I51" s="6" t="n">
        <v>939</v>
      </c>
      <c r="J51" s="6" t="n">
        <v>533</v>
      </c>
      <c r="K51" s="6"/>
      <c r="L51" s="6"/>
      <c r="M51" s="6"/>
    </row>
    <row r="52" customFormat="false" ht="15.75" hidden="false" customHeight="false" outlineLevel="0" collapsed="false">
      <c r="A52" s="0" t="s">
        <v>15</v>
      </c>
      <c r="B52" s="1" t="n">
        <v>43912</v>
      </c>
      <c r="C52" s="6" t="n">
        <v>25496</v>
      </c>
      <c r="D52" s="6" t="n">
        <v>3986</v>
      </c>
      <c r="E52" s="6" t="n">
        <v>1378</v>
      </c>
      <c r="F52" s="6" t="n">
        <v>52</v>
      </c>
      <c r="G52" s="6" t="n">
        <v>2125</v>
      </c>
      <c r="H52" s="6" t="n">
        <v>21993</v>
      </c>
      <c r="I52" s="6" t="n">
        <v>1612</v>
      </c>
      <c r="J52" s="6" t="n">
        <v>545</v>
      </c>
      <c r="K52" s="6"/>
      <c r="L52" s="6"/>
      <c r="M52" s="6"/>
    </row>
    <row r="53" customFormat="false" ht="15.75" hidden="false" customHeight="false" outlineLevel="0" collapsed="false">
      <c r="A53" s="0" t="s">
        <v>15</v>
      </c>
      <c r="B53" s="1" t="n">
        <v>43913</v>
      </c>
      <c r="C53" s="6" t="n">
        <v>28603</v>
      </c>
      <c r="D53" s="6" t="n">
        <v>3107</v>
      </c>
      <c r="E53" s="6" t="n">
        <v>1756</v>
      </c>
      <c r="F53" s="6" t="n">
        <v>378</v>
      </c>
      <c r="G53" s="6" t="n">
        <v>2125</v>
      </c>
      <c r="H53" s="6" t="n">
        <v>24722</v>
      </c>
      <c r="I53" s="6" t="n">
        <v>1785</v>
      </c>
      <c r="J53" s="6" t="n">
        <v>612</v>
      </c>
      <c r="K53" s="6"/>
      <c r="L53" s="6"/>
      <c r="M53" s="6"/>
    </row>
    <row r="54" customFormat="false" ht="15.75" hidden="false" customHeight="false" outlineLevel="0" collapsed="false">
      <c r="A54" s="0" t="s">
        <v>15</v>
      </c>
      <c r="B54" s="1" t="n">
        <v>43914</v>
      </c>
      <c r="C54" s="6" t="n">
        <v>35136</v>
      </c>
      <c r="D54" s="6" t="n">
        <v>6533</v>
      </c>
      <c r="E54" s="6" t="n">
        <v>2311</v>
      </c>
      <c r="F54" s="6" t="n">
        <v>555</v>
      </c>
      <c r="G54" s="6" t="n">
        <v>3355</v>
      </c>
      <c r="H54" s="6" t="n">
        <v>29470</v>
      </c>
      <c r="I54" s="6" t="n">
        <v>2355</v>
      </c>
      <c r="J54" s="6" t="n">
        <v>751</v>
      </c>
      <c r="K54" s="6"/>
      <c r="L54" s="6"/>
      <c r="M54" s="6"/>
    </row>
    <row r="55" customFormat="false" ht="15.75" hidden="false" customHeight="false" outlineLevel="0" collapsed="false">
      <c r="A55" s="0" t="s">
        <v>15</v>
      </c>
      <c r="B55" s="1" t="n">
        <v>43915</v>
      </c>
      <c r="C55" s="7" t="n">
        <v>42058</v>
      </c>
      <c r="D55" s="7" t="n">
        <v>6922</v>
      </c>
      <c r="E55" s="7" t="n">
        <v>2991</v>
      </c>
      <c r="F55" s="7" t="n">
        <v>680</v>
      </c>
      <c r="G55" s="7" t="n">
        <v>3794</v>
      </c>
      <c r="H55" s="7" t="n">
        <v>35273</v>
      </c>
      <c r="I55" s="7" t="n">
        <v>2636</v>
      </c>
      <c r="J55" s="7" t="n">
        <v>900</v>
      </c>
      <c r="K55" s="7" t="n">
        <v>64</v>
      </c>
      <c r="L55" s="7"/>
      <c r="M55" s="7"/>
    </row>
    <row r="56" customFormat="false" ht="15.75" hidden="false" customHeight="false" outlineLevel="0" collapsed="false">
      <c r="A56" s="0" t="s">
        <v>15</v>
      </c>
      <c r="B56" s="1" t="n">
        <v>43916</v>
      </c>
      <c r="C56" s="7" t="n">
        <v>49515</v>
      </c>
      <c r="D56" s="7" t="n">
        <v>7457</v>
      </c>
      <c r="E56" s="7" t="n">
        <v>3647</v>
      </c>
      <c r="F56" s="7" t="n">
        <v>656</v>
      </c>
      <c r="G56" s="7" t="n">
        <v>5367</v>
      </c>
      <c r="H56" s="7" t="n">
        <v>40501</v>
      </c>
      <c r="I56" s="7" t="n">
        <v>3166</v>
      </c>
      <c r="J56" s="7" t="n">
        <v>1059</v>
      </c>
      <c r="K56" s="7" t="n">
        <v>78</v>
      </c>
      <c r="L56" s="7"/>
      <c r="M56" s="7"/>
    </row>
    <row r="57" customFormat="false" ht="15.75" hidden="false" customHeight="false" outlineLevel="0" collapsed="false">
      <c r="A57" s="0" t="s">
        <v>15</v>
      </c>
      <c r="B57" s="1" t="n">
        <v>43917</v>
      </c>
      <c r="C57" s="7" t="n">
        <v>56347</v>
      </c>
      <c r="D57" s="7" t="n">
        <v>6832</v>
      </c>
      <c r="E57" s="7" t="n">
        <v>4154</v>
      </c>
      <c r="F57" s="7" t="n">
        <v>507</v>
      </c>
      <c r="G57" s="7" t="n">
        <v>7015</v>
      </c>
      <c r="H57" s="7" t="n">
        <v>45178</v>
      </c>
      <c r="I57" s="7" t="n">
        <v>3166</v>
      </c>
      <c r="J57" s="7" t="n">
        <v>1205</v>
      </c>
      <c r="K57" s="7" t="n">
        <v>89</v>
      </c>
      <c r="L57" s="7"/>
      <c r="M57" s="7"/>
    </row>
    <row r="58" customFormat="false" ht="15.75" hidden="false" customHeight="false" outlineLevel="0" collapsed="false">
      <c r="A58" s="0" t="s">
        <v>15</v>
      </c>
      <c r="B58" s="1" t="n">
        <v>43918</v>
      </c>
      <c r="C58" s="7" t="n">
        <v>64285</v>
      </c>
      <c r="D58" s="7" t="n">
        <v>7938</v>
      </c>
      <c r="E58" s="7" t="n">
        <v>4940</v>
      </c>
      <c r="F58" s="7" t="n">
        <v>786</v>
      </c>
      <c r="G58" s="7" t="n">
        <v>9357</v>
      </c>
      <c r="H58" s="7" t="n">
        <v>49988</v>
      </c>
      <c r="I58" s="7" t="n">
        <v>4165</v>
      </c>
      <c r="J58" s="7" t="n">
        <v>1375</v>
      </c>
      <c r="K58" s="7" t="n">
        <v>106</v>
      </c>
      <c r="L58" s="7"/>
      <c r="M58" s="7"/>
    </row>
    <row r="59" customFormat="false" ht="15.75" hidden="false" customHeight="false" outlineLevel="0" collapsed="false">
      <c r="A59" s="0" t="s">
        <v>15</v>
      </c>
      <c r="B59" s="1" t="n">
        <v>43919</v>
      </c>
      <c r="C59" s="7" t="n">
        <v>72469</v>
      </c>
      <c r="D59" s="7" t="n">
        <v>8184</v>
      </c>
      <c r="E59" s="7" t="n">
        <v>5826</v>
      </c>
      <c r="F59" s="7" t="n">
        <v>886</v>
      </c>
      <c r="G59" s="7" t="n">
        <v>12285</v>
      </c>
      <c r="H59" s="7" t="n">
        <v>54358</v>
      </c>
      <c r="I59" s="7" t="n">
        <v>4165</v>
      </c>
      <c r="J59" s="7" t="n">
        <v>1550</v>
      </c>
      <c r="K59" s="7" t="n">
        <v>125</v>
      </c>
      <c r="L59" s="7"/>
      <c r="M59" s="7"/>
    </row>
    <row r="60" customFormat="false" ht="15.75" hidden="false" customHeight="false" outlineLevel="0" collapsed="false">
      <c r="A60" s="0" t="s">
        <v>15</v>
      </c>
      <c r="B60" s="1" t="n">
        <v>43920</v>
      </c>
      <c r="C60" s="7" t="n">
        <v>80031</v>
      </c>
      <c r="D60" s="7" t="n">
        <v>7562</v>
      </c>
      <c r="E60" s="7" t="n">
        <v>6802</v>
      </c>
      <c r="F60" s="7" t="n">
        <v>976</v>
      </c>
      <c r="G60" s="7" t="n">
        <v>14709</v>
      </c>
      <c r="H60" s="7" t="n">
        <v>58520</v>
      </c>
      <c r="I60" s="7" t="n">
        <v>4165</v>
      </c>
      <c r="J60" s="7" t="n">
        <v>1712</v>
      </c>
      <c r="K60" s="7" t="n">
        <v>145</v>
      </c>
      <c r="L60" s="7"/>
      <c r="M60" s="7"/>
    </row>
    <row r="61" customFormat="false" ht="15.75" hidden="false" customHeight="false" outlineLevel="0" collapsed="false">
      <c r="A61" s="0" t="s">
        <v>15</v>
      </c>
      <c r="B61" s="1" t="n">
        <v>43921</v>
      </c>
      <c r="C61" s="7" t="n">
        <v>87956</v>
      </c>
      <c r="D61" s="7" t="n">
        <v>7925</v>
      </c>
      <c r="E61" s="7" t="n">
        <v>7716</v>
      </c>
      <c r="F61" s="7" t="n">
        <v>914</v>
      </c>
      <c r="G61" s="7" t="n">
        <v>16780</v>
      </c>
      <c r="H61" s="7" t="n">
        <v>63460</v>
      </c>
      <c r="I61" s="7" t="n">
        <v>5231</v>
      </c>
      <c r="J61" s="7" t="n">
        <v>1881</v>
      </c>
      <c r="K61" s="7" t="n">
        <v>165</v>
      </c>
      <c r="L61" s="7"/>
      <c r="M61" s="7"/>
    </row>
    <row r="62" customFormat="false" ht="15.75" hidden="false" customHeight="false" outlineLevel="0" collapsed="false">
      <c r="A62" s="0" t="s">
        <v>15</v>
      </c>
      <c r="B62" s="1" t="n">
        <v>43922</v>
      </c>
      <c r="C62" s="7" t="n">
        <v>95923</v>
      </c>
      <c r="D62" s="7" t="n">
        <v>7967</v>
      </c>
      <c r="E62" s="7" t="n">
        <v>8464</v>
      </c>
      <c r="F62" s="7" t="n">
        <v>748</v>
      </c>
      <c r="G62" s="7" t="n">
        <v>19259</v>
      </c>
      <c r="H62" s="7" t="n">
        <v>68200</v>
      </c>
      <c r="I62" s="7" t="n">
        <v>5607</v>
      </c>
      <c r="J62" s="7" t="n">
        <v>2052</v>
      </c>
      <c r="K62" s="7" t="n">
        <v>181</v>
      </c>
      <c r="L62" s="7"/>
      <c r="M62" s="7"/>
    </row>
    <row r="63" customFormat="false" ht="15.75" hidden="false" customHeight="false" outlineLevel="0" collapsed="false">
      <c r="A63" s="0" t="s">
        <v>15</v>
      </c>
      <c r="B63" s="1" t="n">
        <v>43923</v>
      </c>
      <c r="C63" s="7" t="n">
        <v>104118</v>
      </c>
      <c r="D63" s="7" t="n">
        <v>8195</v>
      </c>
      <c r="E63" s="7" t="n">
        <v>9387</v>
      </c>
      <c r="F63" s="7" t="n">
        <v>923</v>
      </c>
      <c r="G63" s="7" t="n">
        <v>22647</v>
      </c>
      <c r="H63" s="7" t="n">
        <v>72084</v>
      </c>
      <c r="I63" s="7" t="n">
        <v>5872</v>
      </c>
      <c r="J63" s="7" t="n">
        <v>2227</v>
      </c>
      <c r="K63" s="7" t="n">
        <v>201</v>
      </c>
      <c r="L63" s="7"/>
      <c r="M63" s="7"/>
    </row>
    <row r="64" customFormat="false" ht="15.75" hidden="false" customHeight="false" outlineLevel="0" collapsed="false">
      <c r="A64" s="0" t="s">
        <v>15</v>
      </c>
      <c r="B64" s="1" t="n">
        <v>43924</v>
      </c>
      <c r="C64" s="7" t="n">
        <v>112065</v>
      </c>
      <c r="D64" s="7" t="n">
        <v>7947</v>
      </c>
      <c r="E64" s="7" t="n">
        <v>10348</v>
      </c>
      <c r="F64" s="7" t="n">
        <v>961</v>
      </c>
      <c r="G64" s="7" t="n">
        <v>26743</v>
      </c>
      <c r="H64" s="7" t="n">
        <v>74974</v>
      </c>
      <c r="I64" s="7" t="n">
        <v>6092</v>
      </c>
      <c r="J64" s="7" t="n">
        <v>2397</v>
      </c>
      <c r="K64" s="7" t="n">
        <v>221</v>
      </c>
      <c r="L64" s="7"/>
      <c r="M64" s="7"/>
    </row>
    <row r="65" customFormat="false" ht="15.75" hidden="false" customHeight="false" outlineLevel="0" collapsed="false">
      <c r="A65" s="0" t="s">
        <v>15</v>
      </c>
      <c r="B65" s="1" t="n">
        <v>43925</v>
      </c>
      <c r="C65" s="7" t="n">
        <v>119199</v>
      </c>
      <c r="D65" s="7" t="n">
        <v>7134</v>
      </c>
      <c r="E65" s="7" t="n">
        <v>11198</v>
      </c>
      <c r="F65" s="7" t="n">
        <v>850</v>
      </c>
      <c r="G65" s="7" t="n">
        <v>30513</v>
      </c>
      <c r="H65" s="7" t="n">
        <v>77488</v>
      </c>
      <c r="I65" s="7" t="n">
        <v>6416</v>
      </c>
      <c r="J65" s="7" t="n">
        <v>2549</v>
      </c>
      <c r="K65" s="7" t="n">
        <v>240</v>
      </c>
      <c r="L65" s="7"/>
      <c r="M65" s="7"/>
    </row>
    <row r="66" customFormat="false" ht="15.75" hidden="false" customHeight="false" outlineLevel="0" collapsed="false">
      <c r="A66" s="0" t="s">
        <v>15</v>
      </c>
      <c r="B66" s="1" t="n">
        <v>43926</v>
      </c>
      <c r="C66" s="7" t="n">
        <v>126168</v>
      </c>
      <c r="D66" s="7" t="n">
        <v>6969</v>
      </c>
      <c r="E66" s="7" t="n">
        <v>11947</v>
      </c>
      <c r="F66" s="7" t="n">
        <v>749</v>
      </c>
      <c r="G66" s="7" t="n">
        <v>34219</v>
      </c>
      <c r="H66" s="7" t="n">
        <v>80002</v>
      </c>
      <c r="I66" s="7" t="n">
        <v>6416</v>
      </c>
      <c r="J66" s="7" t="n">
        <v>2699</v>
      </c>
      <c r="K66" s="7" t="n">
        <v>256</v>
      </c>
      <c r="L66" s="7" t="n">
        <v>355000</v>
      </c>
      <c r="M66" s="7" t="n">
        <v>7593</v>
      </c>
    </row>
    <row r="67" customFormat="false" ht="15.75" hidden="false" customHeight="false" outlineLevel="0" collapsed="false">
      <c r="A67" s="0" t="s">
        <v>15</v>
      </c>
      <c r="B67" s="1" t="n">
        <v>43927</v>
      </c>
      <c r="C67" s="7" t="n">
        <v>131646</v>
      </c>
      <c r="D67" s="7" t="n">
        <v>5478</v>
      </c>
      <c r="E67" s="7" t="n">
        <v>12641</v>
      </c>
      <c r="F67" s="7" t="n">
        <v>694</v>
      </c>
      <c r="G67" s="7" t="n">
        <v>38080</v>
      </c>
      <c r="H67" s="7" t="n">
        <v>80925</v>
      </c>
      <c r="I67" s="7" t="n">
        <v>6861</v>
      </c>
      <c r="J67" s="7" t="n">
        <v>2816</v>
      </c>
      <c r="K67" s="7" t="n">
        <v>270</v>
      </c>
      <c r="L67" s="7" t="n">
        <v>355000</v>
      </c>
      <c r="M67" s="7" t="n">
        <v>7593</v>
      </c>
    </row>
    <row r="68" customFormat="false" ht="15.75" hidden="false" customHeight="false" outlineLevel="0" collapsed="false">
      <c r="A68" s="0" t="s">
        <v>15</v>
      </c>
      <c r="B68" s="1" t="n">
        <v>43928</v>
      </c>
      <c r="C68" s="12" t="n">
        <v>136675</v>
      </c>
      <c r="D68" s="12" t="n">
        <v>5029</v>
      </c>
      <c r="E68" s="12" t="n">
        <v>13341</v>
      </c>
      <c r="F68" s="12" t="n">
        <v>700</v>
      </c>
      <c r="G68" s="12" t="n">
        <v>40437</v>
      </c>
      <c r="H68" s="12" t="n">
        <v>82897</v>
      </c>
      <c r="I68" s="12" t="n">
        <v>6931</v>
      </c>
      <c r="J68" s="12" t="n">
        <v>2923</v>
      </c>
      <c r="K68" s="12" t="n">
        <v>285</v>
      </c>
      <c r="L68" s="12" t="n">
        <v>355000</v>
      </c>
      <c r="M68" s="12" t="n">
        <v>7593</v>
      </c>
    </row>
    <row r="69" customFormat="false" ht="15.75" hidden="false" customHeight="false" outlineLevel="0" collapsed="false">
      <c r="A69" s="0" t="s">
        <v>15</v>
      </c>
      <c r="B69" s="1" t="n">
        <v>43929</v>
      </c>
      <c r="C69" s="14" t="n">
        <v>141942</v>
      </c>
      <c r="D69" s="14" t="n">
        <v>5267</v>
      </c>
      <c r="E69" s="14" t="n">
        <v>14045</v>
      </c>
      <c r="F69" s="14" t="n">
        <v>704</v>
      </c>
      <c r="G69" s="14" t="n">
        <v>43208</v>
      </c>
      <c r="H69" s="14" t="n">
        <v>84689</v>
      </c>
      <c r="I69" s="14" t="n">
        <v>7069</v>
      </c>
      <c r="J69" s="14" t="n">
        <v>3036</v>
      </c>
      <c r="K69" s="14" t="n">
        <v>300</v>
      </c>
      <c r="L69" s="14" t="n">
        <v>355000</v>
      </c>
      <c r="M69" s="14" t="n">
        <v>7593</v>
      </c>
    </row>
    <row r="70" customFormat="false" ht="15.75" hidden="false" customHeight="false" outlineLevel="0" collapsed="false">
      <c r="A70" s="0" t="s">
        <v>15</v>
      </c>
      <c r="B70" s="1" t="n">
        <v>43930</v>
      </c>
      <c r="C70" s="14" t="n">
        <v>148220</v>
      </c>
      <c r="D70" s="14" t="n">
        <v>6278</v>
      </c>
      <c r="E70" s="14" t="n">
        <v>14792</v>
      </c>
      <c r="F70" s="14" t="n">
        <v>747</v>
      </c>
      <c r="G70" s="14" t="n">
        <v>48021</v>
      </c>
      <c r="H70" s="14" t="n">
        <v>85407</v>
      </c>
      <c r="I70" s="14" t="n">
        <v>7069</v>
      </c>
      <c r="J70" s="14" t="n">
        <v>3170</v>
      </c>
      <c r="K70" s="14" t="n">
        <v>316</v>
      </c>
      <c r="L70" s="14" t="n">
        <v>355000</v>
      </c>
      <c r="M70" s="14" t="n">
        <v>7593</v>
      </c>
    </row>
    <row r="71" customFormat="false" ht="15.75" hidden="false" customHeight="false" outlineLevel="0" collapsed="false">
      <c r="A71" s="0" t="s">
        <v>15</v>
      </c>
      <c r="B71" s="1" t="n">
        <v>43931</v>
      </c>
      <c r="C71" s="14" t="n">
        <v>153222</v>
      </c>
      <c r="D71" s="14" t="n">
        <v>5002</v>
      </c>
      <c r="E71" s="14" t="n">
        <v>15447</v>
      </c>
      <c r="F71" s="14" t="n">
        <v>655</v>
      </c>
      <c r="G71" s="14" t="n">
        <v>52165</v>
      </c>
      <c r="H71" s="14" t="n">
        <v>85610</v>
      </c>
      <c r="I71" s="14" t="n">
        <v>7371</v>
      </c>
      <c r="J71" s="14" t="n">
        <v>3277</v>
      </c>
      <c r="K71" s="14" t="n">
        <v>330</v>
      </c>
      <c r="L71" s="14" t="n">
        <v>355000</v>
      </c>
      <c r="M71" s="14" t="n">
        <v>7593</v>
      </c>
    </row>
    <row r="72" customFormat="false" ht="15.75" hidden="false" customHeight="false" outlineLevel="0" collapsed="false">
      <c r="A72" s="0" t="s">
        <v>15</v>
      </c>
      <c r="B72" s="1" t="n">
        <v>43932</v>
      </c>
      <c r="C72" s="14" t="n">
        <v>158273</v>
      </c>
      <c r="D72" s="14" t="n">
        <v>5051</v>
      </c>
      <c r="E72" s="14" t="n">
        <v>16081</v>
      </c>
      <c r="F72" s="14" t="n">
        <v>634</v>
      </c>
      <c r="G72" s="14" t="n">
        <v>55668</v>
      </c>
      <c r="H72" s="14" t="n">
        <v>86524</v>
      </c>
      <c r="I72" s="14" t="n">
        <v>7371</v>
      </c>
      <c r="J72" s="14" t="n">
        <v>3385</v>
      </c>
      <c r="K72" s="14" t="n">
        <v>344</v>
      </c>
      <c r="L72" s="14" t="n">
        <v>355000</v>
      </c>
      <c r="M72" s="14" t="n">
        <v>7593</v>
      </c>
    </row>
    <row r="73" customFormat="false" ht="15.75" hidden="false" customHeight="false" outlineLevel="0" collapsed="false">
      <c r="A73" s="0" t="s">
        <v>15</v>
      </c>
      <c r="B73" s="1" t="n">
        <v>43933</v>
      </c>
      <c r="C73" s="14" t="n">
        <v>163027</v>
      </c>
      <c r="D73" s="14" t="n">
        <v>4754</v>
      </c>
      <c r="E73" s="14" t="n">
        <v>16606</v>
      </c>
      <c r="F73" s="14" t="n">
        <v>525</v>
      </c>
      <c r="G73" s="14" t="n">
        <v>59109</v>
      </c>
      <c r="H73" s="14" t="n">
        <v>87312</v>
      </c>
      <c r="I73" s="14" t="n">
        <v>7371</v>
      </c>
      <c r="J73" s="14" t="n">
        <v>3487</v>
      </c>
      <c r="K73" s="14" t="n">
        <v>355</v>
      </c>
      <c r="L73" s="14" t="n">
        <v>355000</v>
      </c>
      <c r="M73" s="14" t="n">
        <v>7593</v>
      </c>
    </row>
    <row r="74" customFormat="false" ht="15.75" hidden="false" customHeight="false" outlineLevel="0" collapsed="false">
      <c r="A74" s="0" t="s">
        <v>15</v>
      </c>
      <c r="B74" s="1" t="n">
        <v>43934</v>
      </c>
      <c r="C74" s="14" t="n">
        <v>166127</v>
      </c>
      <c r="D74" s="14" t="n">
        <v>3100</v>
      </c>
      <c r="E74" s="14" t="n">
        <v>17113</v>
      </c>
      <c r="F74" s="14" t="n">
        <v>507</v>
      </c>
      <c r="G74" s="14" t="n">
        <v>62391</v>
      </c>
      <c r="H74" s="14" t="n">
        <v>86623</v>
      </c>
      <c r="I74" s="14" t="n">
        <v>7371</v>
      </c>
      <c r="J74" s="14" t="n">
        <v>3553</v>
      </c>
      <c r="K74" s="14" t="n">
        <v>366</v>
      </c>
      <c r="L74" s="14" t="n">
        <v>355000</v>
      </c>
      <c r="M74" s="14" t="n">
        <v>7593</v>
      </c>
    </row>
    <row r="75" customFormat="false" ht="15.75" hidden="false" customHeight="false" outlineLevel="0" collapsed="false">
      <c r="A75" s="0" t="s">
        <v>15</v>
      </c>
      <c r="B75" s="1" t="n">
        <v>43935</v>
      </c>
      <c r="C75" s="14" t="n">
        <v>169628</v>
      </c>
      <c r="D75" s="14" t="n">
        <v>3501</v>
      </c>
      <c r="E75" s="14" t="n">
        <v>17628</v>
      </c>
      <c r="F75" s="14" t="n">
        <v>515</v>
      </c>
      <c r="G75" s="14" t="n">
        <v>64727</v>
      </c>
      <c r="H75" s="14" t="n">
        <v>87273</v>
      </c>
      <c r="I75" s="14" t="n">
        <v>7371</v>
      </c>
      <c r="J75" s="14" t="n">
        <v>3628</v>
      </c>
      <c r="K75" s="14" t="n">
        <v>377</v>
      </c>
      <c r="L75" s="14" t="n">
        <v>600000</v>
      </c>
      <c r="M75" s="14" t="n">
        <v>12833</v>
      </c>
    </row>
    <row r="76" customFormat="false" ht="15.75" hidden="false" customHeight="false" outlineLevel="0" collapsed="false">
      <c r="A76" s="0" t="s">
        <v>15</v>
      </c>
      <c r="B76" s="1" t="n">
        <v>43936</v>
      </c>
      <c r="C76" s="14" t="n">
        <v>172541</v>
      </c>
      <c r="D76" s="14" t="n">
        <v>2913</v>
      </c>
      <c r="E76" s="14" t="n">
        <v>18056</v>
      </c>
      <c r="F76" s="14" t="n">
        <v>428</v>
      </c>
      <c r="G76" s="14" t="n">
        <v>67504</v>
      </c>
      <c r="H76" s="14" t="n">
        <v>86981</v>
      </c>
      <c r="I76" s="14" t="n">
        <v>7371</v>
      </c>
      <c r="J76" s="14" t="n">
        <v>3690</v>
      </c>
      <c r="K76" s="14" t="n">
        <v>386</v>
      </c>
      <c r="L76" s="14" t="n">
        <v>600000</v>
      </c>
      <c r="M76" s="14" t="n">
        <v>12833</v>
      </c>
    </row>
    <row r="77" customFormat="false" ht="15.75" hidden="false" customHeight="false" outlineLevel="0" collapsed="false">
      <c r="A77" s="0" t="s">
        <v>15</v>
      </c>
      <c r="B77" s="1" t="n">
        <v>43937</v>
      </c>
      <c r="C77" s="14" t="n">
        <v>177644</v>
      </c>
      <c r="D77" s="14" t="n">
        <v>5103</v>
      </c>
      <c r="E77" s="14" t="n">
        <v>18708</v>
      </c>
      <c r="F77" s="14" t="n">
        <v>652</v>
      </c>
      <c r="G77" s="14" t="n">
        <v>70853</v>
      </c>
      <c r="H77" s="14" t="n">
        <v>88083</v>
      </c>
      <c r="I77" s="14" t="n">
        <v>7371</v>
      </c>
      <c r="J77" s="14" t="n">
        <v>3799</v>
      </c>
      <c r="K77" s="14" t="n">
        <v>400</v>
      </c>
      <c r="L77" s="14" t="n">
        <v>650755</v>
      </c>
      <c r="M77" s="14" t="n">
        <v>13918</v>
      </c>
    </row>
    <row r="78" customFormat="false" ht="15.75" hidden="false" customHeight="false" outlineLevel="0" collapsed="false">
      <c r="A78" s="0" t="s">
        <v>15</v>
      </c>
      <c r="B78" s="1" t="n">
        <v>43938</v>
      </c>
      <c r="C78" s="7" t="n">
        <v>184948</v>
      </c>
      <c r="D78" s="14" t="n">
        <v>7304</v>
      </c>
      <c r="E78" s="7" t="n">
        <v>19315</v>
      </c>
      <c r="F78" s="14" t="n">
        <v>607</v>
      </c>
      <c r="G78" s="14" t="n">
        <v>74797</v>
      </c>
      <c r="H78" s="7" t="n">
        <v>90836</v>
      </c>
      <c r="I78" s="7" t="n">
        <v>7371</v>
      </c>
      <c r="J78" s="7" t="n">
        <v>3956</v>
      </c>
      <c r="K78" s="6" t="n">
        <v>413</v>
      </c>
      <c r="L78" s="7" t="n">
        <v>930230</v>
      </c>
      <c r="M78" s="7" t="n">
        <v>19896</v>
      </c>
    </row>
    <row r="79" customFormat="false" ht="15.75" hidden="false" customHeight="false" outlineLevel="0" collapsed="false">
      <c r="A79" s="0" t="s">
        <v>15</v>
      </c>
      <c r="B79" s="1" t="n">
        <v>43939</v>
      </c>
      <c r="C79" s="7" t="n">
        <v>188093</v>
      </c>
      <c r="D79" s="14" t="n">
        <v>3145</v>
      </c>
      <c r="E79" s="7" t="n">
        <v>19613</v>
      </c>
      <c r="F79" s="14" t="n">
        <v>298</v>
      </c>
      <c r="G79" s="14" t="n">
        <v>74797</v>
      </c>
      <c r="H79" s="7" t="n">
        <v>93683</v>
      </c>
      <c r="I79" s="7" t="n">
        <v>7371</v>
      </c>
      <c r="J79" s="7" t="n">
        <v>4023</v>
      </c>
      <c r="K79" s="6" t="n">
        <v>419</v>
      </c>
      <c r="L79" s="7" t="n">
        <v>930230</v>
      </c>
      <c r="M79" s="7" t="n">
        <v>19896</v>
      </c>
    </row>
    <row r="80" customFormat="false" ht="15.75" hidden="false" customHeight="false" outlineLevel="0" collapsed="false">
      <c r="A80" s="0" t="s">
        <v>15</v>
      </c>
      <c r="B80" s="1" t="n">
        <v>43940</v>
      </c>
      <c r="C80" s="14" t="n">
        <v>191726</v>
      </c>
      <c r="D80" s="14" t="n">
        <v>3633</v>
      </c>
      <c r="E80" s="14" t="n">
        <v>20043</v>
      </c>
      <c r="F80" s="14" t="n">
        <v>430</v>
      </c>
      <c r="G80" s="14" t="n">
        <v>74797</v>
      </c>
      <c r="H80" s="14" t="n">
        <v>96886</v>
      </c>
      <c r="I80" s="14" t="n">
        <v>7371</v>
      </c>
      <c r="J80" s="14" t="n">
        <v>4101</v>
      </c>
      <c r="K80" s="14" t="n">
        <v>429</v>
      </c>
      <c r="L80" s="14" t="n">
        <v>930230</v>
      </c>
      <c r="M80" s="14" t="n">
        <v>19896</v>
      </c>
    </row>
    <row r="81" customFormat="false" ht="15.75" hidden="false" customHeight="false" outlineLevel="0" collapsed="false">
      <c r="A81" s="0" t="s">
        <v>15</v>
      </c>
      <c r="B81" s="1" t="n">
        <v>43941</v>
      </c>
      <c r="C81" s="14" t="n">
        <v>198674</v>
      </c>
      <c r="D81" s="14" t="n">
        <v>6948</v>
      </c>
      <c r="E81" s="14" t="n">
        <v>20453</v>
      </c>
      <c r="F81" s="14" t="n">
        <v>410</v>
      </c>
      <c r="G81" s="14" t="n">
        <v>77357</v>
      </c>
      <c r="H81" s="14" t="n">
        <v>100079</v>
      </c>
      <c r="I81" s="14" t="n">
        <v>7371</v>
      </c>
      <c r="J81" s="14" t="n">
        <v>4249</v>
      </c>
      <c r="K81" s="14" t="n">
        <v>454</v>
      </c>
      <c r="L81" s="14" t="n">
        <v>930230</v>
      </c>
      <c r="M81" s="14" t="n">
        <v>19896</v>
      </c>
    </row>
    <row r="82" customFormat="false" ht="15.75" hidden="false" customHeight="false" outlineLevel="0" collapsed="false">
      <c r="A82" s="0" t="s">
        <v>15</v>
      </c>
      <c r="B82" s="1" t="n">
        <v>43942</v>
      </c>
      <c r="C82" s="6" t="n">
        <v>200210</v>
      </c>
      <c r="D82" s="6" t="n">
        <v>1536</v>
      </c>
      <c r="E82" s="6" t="n">
        <v>20852</v>
      </c>
      <c r="F82" s="6" t="n">
        <v>399</v>
      </c>
      <c r="G82" s="6" t="n">
        <v>80587</v>
      </c>
      <c r="H82" s="6" t="n">
        <v>98771</v>
      </c>
      <c r="I82" s="6" t="n">
        <v>7371</v>
      </c>
      <c r="J82" s="6" t="n">
        <v>4282</v>
      </c>
      <c r="K82" s="6" t="n">
        <v>446</v>
      </c>
      <c r="L82" s="6" t="n">
        <v>930230</v>
      </c>
      <c r="M82" s="6" t="n">
        <v>19896</v>
      </c>
    </row>
    <row r="83" customFormat="false" ht="15.75" hidden="false" customHeight="false" outlineLevel="0" collapsed="false">
      <c r="A83" s="0" t="s">
        <v>15</v>
      </c>
      <c r="B83" s="1" t="n">
        <v>43943</v>
      </c>
      <c r="C83" s="6" t="n">
        <v>204178</v>
      </c>
      <c r="D83" s="6" t="n">
        <v>3968</v>
      </c>
      <c r="E83" s="6" t="n">
        <v>21282</v>
      </c>
      <c r="F83" s="6" t="n">
        <v>430</v>
      </c>
      <c r="G83" s="6" t="n">
        <v>82514</v>
      </c>
      <c r="H83" s="6" t="n">
        <v>100382</v>
      </c>
      <c r="I83" s="6" t="n">
        <v>7705</v>
      </c>
      <c r="J83" s="6" t="n">
        <v>4367</v>
      </c>
      <c r="K83" s="6" t="n">
        <v>455</v>
      </c>
      <c r="L83" s="6" t="n">
        <v>930230</v>
      </c>
      <c r="M83" s="6" t="n">
        <v>19896</v>
      </c>
    </row>
    <row r="84" customFormat="false" ht="15.75" hidden="false" customHeight="false" outlineLevel="0" collapsed="false">
      <c r="A84" s="0" t="s">
        <v>15</v>
      </c>
      <c r="B84" s="1" t="n">
        <v>43944</v>
      </c>
      <c r="C84" s="6" t="n">
        <v>208389</v>
      </c>
      <c r="D84" s="6" t="n">
        <v>4211</v>
      </c>
      <c r="E84" s="6" t="n">
        <v>21717</v>
      </c>
      <c r="F84" s="6" t="n">
        <v>435</v>
      </c>
      <c r="G84" s="6" t="n">
        <v>85915</v>
      </c>
      <c r="H84" s="6" t="n">
        <v>100757</v>
      </c>
      <c r="I84" s="6" t="n">
        <v>7705</v>
      </c>
      <c r="J84" s="6" t="n">
        <v>4457</v>
      </c>
      <c r="K84" s="6" t="n">
        <v>464</v>
      </c>
      <c r="L84" s="6" t="n">
        <v>930230</v>
      </c>
      <c r="M84" s="6" t="n">
        <v>19896</v>
      </c>
    </row>
    <row r="85" customFormat="false" ht="15.75" hidden="false" customHeight="false" outlineLevel="0" collapsed="false">
      <c r="A85" s="0" t="s">
        <v>15</v>
      </c>
      <c r="B85" s="1" t="n">
        <v>43945</v>
      </c>
      <c r="C85" s="6" t="n">
        <v>213024</v>
      </c>
      <c r="D85" s="6" t="n">
        <v>4635</v>
      </c>
      <c r="E85" s="6" t="n">
        <v>22157</v>
      </c>
      <c r="F85" s="6" t="n">
        <v>440</v>
      </c>
      <c r="G85" s="6" t="n">
        <v>89250</v>
      </c>
      <c r="H85" s="6" t="n">
        <v>101617</v>
      </c>
      <c r="I85" s="6" t="n">
        <v>7705</v>
      </c>
      <c r="J85" s="6" t="n">
        <v>4556</v>
      </c>
      <c r="K85" s="6" t="n">
        <v>474</v>
      </c>
      <c r="L85" s="6" t="n">
        <v>930230</v>
      </c>
      <c r="M85" s="6" t="n">
        <v>19896</v>
      </c>
    </row>
    <row r="86" customFormat="false" ht="15.75" hidden="false" customHeight="false" outlineLevel="0" collapsed="false">
      <c r="A86" s="0" t="s">
        <v>15</v>
      </c>
      <c r="B86" s="1" t="n">
        <v>43946</v>
      </c>
      <c r="C86" s="6" t="n">
        <v>219764</v>
      </c>
      <c r="D86" s="6" t="n">
        <v>6740</v>
      </c>
      <c r="E86" s="6" t="n">
        <v>22524</v>
      </c>
      <c r="F86" s="6" t="n">
        <v>367</v>
      </c>
      <c r="G86" s="6" t="n">
        <v>92355</v>
      </c>
      <c r="H86" s="6" t="n">
        <v>104885</v>
      </c>
      <c r="I86" s="6" t="n">
        <v>7705</v>
      </c>
      <c r="J86" s="6" t="n">
        <v>4700</v>
      </c>
      <c r="K86" s="6" t="n">
        <v>482</v>
      </c>
      <c r="L86" s="6" t="n">
        <v>930230</v>
      </c>
      <c r="M86" s="6" t="n">
        <v>19896</v>
      </c>
    </row>
    <row r="87" customFormat="false" ht="15.75" hidden="false" customHeight="false" outlineLevel="0" collapsed="false">
      <c r="A87" s="0" t="s">
        <v>15</v>
      </c>
      <c r="B87" s="1" t="n">
        <v>43947</v>
      </c>
      <c r="C87" s="6" t="n">
        <v>219764</v>
      </c>
      <c r="D87" s="6" t="n">
        <v>0</v>
      </c>
      <c r="E87" s="6" t="n">
        <v>22524</v>
      </c>
      <c r="F87" s="6" t="n">
        <v>0</v>
      </c>
      <c r="G87" s="6" t="n">
        <v>95708</v>
      </c>
      <c r="H87" s="6" t="n">
        <v>105149</v>
      </c>
      <c r="I87" s="6" t="n">
        <v>7705</v>
      </c>
      <c r="J87" s="6" t="n">
        <v>4786</v>
      </c>
      <c r="K87" s="6" t="n">
        <v>490</v>
      </c>
      <c r="L87" s="6" t="n">
        <v>930230</v>
      </c>
      <c r="M87" s="6" t="n">
        <v>19896</v>
      </c>
    </row>
    <row r="88" customFormat="false" ht="15.75" hidden="false" customHeight="false" outlineLevel="0" collapsed="false">
      <c r="A88" s="0" t="s">
        <v>15</v>
      </c>
      <c r="B88" s="1" t="n">
        <v>43948</v>
      </c>
      <c r="C88" s="6" t="n">
        <v>207634</v>
      </c>
      <c r="D88" s="6" t="n">
        <v>-12130</v>
      </c>
      <c r="E88" s="6" t="n">
        <v>23190</v>
      </c>
      <c r="F88" s="6" t="n">
        <v>666</v>
      </c>
      <c r="G88" s="6" t="n">
        <v>117727</v>
      </c>
      <c r="H88" s="6" t="n">
        <v>85712</v>
      </c>
      <c r="I88" s="6" t="n">
        <v>7764</v>
      </c>
      <c r="J88" s="6" t="n">
        <v>4847</v>
      </c>
      <c r="K88" s="6" t="n">
        <v>496</v>
      </c>
      <c r="L88" s="6" t="n">
        <v>1199548</v>
      </c>
      <c r="M88" s="6" t="n">
        <v>25656</v>
      </c>
    </row>
    <row r="89" customFormat="false" ht="15.75" hidden="false" customHeight="false" outlineLevel="0" collapsed="false">
      <c r="A89" s="0" t="s">
        <v>15</v>
      </c>
      <c r="B89" s="1" t="n">
        <v>43949</v>
      </c>
      <c r="C89" s="6" t="n">
        <v>209465</v>
      </c>
      <c r="D89" s="6" t="n">
        <v>1831</v>
      </c>
      <c r="E89" s="6" t="n">
        <v>23521</v>
      </c>
      <c r="F89" s="6" t="n">
        <v>331</v>
      </c>
      <c r="G89" s="6" t="n">
        <v>120832</v>
      </c>
      <c r="H89" s="6" t="n">
        <v>85069</v>
      </c>
      <c r="I89" s="6" t="n">
        <v>7764</v>
      </c>
      <c r="J89" s="6" t="n">
        <v>4907</v>
      </c>
      <c r="K89" s="6" t="n">
        <v>503</v>
      </c>
      <c r="L89" s="6" t="n">
        <v>1345560</v>
      </c>
      <c r="M89" s="6" t="n">
        <v>28779</v>
      </c>
    </row>
    <row r="90" customFormat="false" ht="15.75" hidden="false" customHeight="false" outlineLevel="0" collapsed="false">
      <c r="A90" s="0" t="s">
        <v>15</v>
      </c>
      <c r="B90" s="1" t="n">
        <v>43950</v>
      </c>
      <c r="C90" s="14" t="n">
        <v>210773</v>
      </c>
      <c r="D90" s="6" t="n">
        <v>1308</v>
      </c>
      <c r="E90" s="14" t="n">
        <v>23822</v>
      </c>
      <c r="F90" s="6" t="n">
        <v>301</v>
      </c>
      <c r="G90" s="14" t="n">
        <v>123903</v>
      </c>
      <c r="H90" s="14" t="n">
        <v>84403</v>
      </c>
      <c r="I90" s="14" t="n">
        <v>7764</v>
      </c>
      <c r="J90" s="14" t="n">
        <v>4965</v>
      </c>
      <c r="K90" s="14" t="n">
        <v>510</v>
      </c>
      <c r="L90" s="14" t="n">
        <v>1345560</v>
      </c>
      <c r="M90" s="14" t="n">
        <v>28779</v>
      </c>
    </row>
    <row r="91" customFormat="false" ht="15.75" hidden="false" customHeight="false" outlineLevel="0" collapsed="false">
      <c r="A91" s="0" t="s">
        <v>15</v>
      </c>
      <c r="B91" s="1" t="n">
        <v>43951</v>
      </c>
      <c r="C91" s="14" t="n">
        <v>212917</v>
      </c>
      <c r="D91" s="6" t="n">
        <v>2144</v>
      </c>
      <c r="E91" s="14" t="n">
        <v>24275</v>
      </c>
      <c r="F91" s="6" t="n">
        <v>453</v>
      </c>
      <c r="G91" s="14" t="n">
        <v>132929</v>
      </c>
      <c r="H91" s="14" t="n">
        <v>79695</v>
      </c>
      <c r="I91" s="14" t="n">
        <v>7764</v>
      </c>
      <c r="J91" s="14" t="n">
        <v>5067</v>
      </c>
      <c r="K91" s="14" t="n">
        <v>519</v>
      </c>
      <c r="L91" s="14" t="n">
        <v>1414477</v>
      </c>
      <c r="M91" s="14" t="n">
        <v>30253</v>
      </c>
    </row>
    <row r="92" customFormat="false" ht="15.75" hidden="false" customHeight="false" outlineLevel="0" collapsed="false">
      <c r="A92" s="0" t="s">
        <v>15</v>
      </c>
      <c r="B92" s="1" t="n">
        <v>43952</v>
      </c>
      <c r="C92" s="14" t="n">
        <v>213435</v>
      </c>
      <c r="D92" s="6" t="n">
        <v>518</v>
      </c>
      <c r="E92" s="14" t="n">
        <v>24543</v>
      </c>
      <c r="F92" s="6" t="n">
        <v>268</v>
      </c>
      <c r="G92" s="14" t="n">
        <v>137984</v>
      </c>
      <c r="H92" s="14" t="n">
        <v>77112</v>
      </c>
      <c r="I92" s="14" t="n">
        <v>2676</v>
      </c>
      <c r="J92" s="14" t="n">
        <v>5125</v>
      </c>
      <c r="K92" s="14" t="n">
        <v>525</v>
      </c>
      <c r="L92" s="14" t="n">
        <v>1455306</v>
      </c>
      <c r="M92" s="14" t="n">
        <v>31126</v>
      </c>
    </row>
    <row r="93" customFormat="false" ht="15.75" hidden="false" customHeight="false" outlineLevel="0" collapsed="false">
      <c r="A93" s="0" t="s">
        <v>15</v>
      </c>
      <c r="B93" s="1" t="n">
        <v>43953</v>
      </c>
      <c r="C93" s="6" t="n">
        <v>215216</v>
      </c>
      <c r="D93" s="6" t="n">
        <v>1781</v>
      </c>
      <c r="E93" s="6" t="n">
        <v>24824</v>
      </c>
      <c r="F93" s="6" t="n">
        <v>281</v>
      </c>
      <c r="G93" s="6" t="n">
        <v>142450</v>
      </c>
      <c r="H93" s="6" t="n">
        <v>75714</v>
      </c>
      <c r="I93" s="6" t="n">
        <v>2500</v>
      </c>
      <c r="J93" s="6" t="n">
        <v>5197</v>
      </c>
      <c r="K93" s="6" t="n">
        <v>531</v>
      </c>
      <c r="L93" s="6" t="n">
        <v>1528833</v>
      </c>
      <c r="M93" s="6" t="n">
        <v>32699</v>
      </c>
    </row>
    <row r="94" customFormat="false" ht="15.75" hidden="false" customHeight="false" outlineLevel="0" collapsed="false">
      <c r="A94" s="0" t="s">
        <v>15</v>
      </c>
      <c r="B94" s="1" t="n">
        <v>43954</v>
      </c>
      <c r="C94" s="6" t="n">
        <v>216582</v>
      </c>
      <c r="D94" s="6" t="n">
        <v>1366</v>
      </c>
      <c r="E94" s="6" t="n">
        <v>25100</v>
      </c>
      <c r="F94" s="6" t="n">
        <v>276</v>
      </c>
      <c r="G94" s="6" t="n">
        <v>146233</v>
      </c>
      <c r="H94" s="6" t="n">
        <v>74234</v>
      </c>
      <c r="I94" s="6" t="n">
        <v>2386</v>
      </c>
      <c r="J94" s="6" t="n">
        <v>5252</v>
      </c>
      <c r="K94" s="6" t="n">
        <v>537</v>
      </c>
      <c r="L94" s="6" t="n">
        <v>1528833</v>
      </c>
      <c r="M94" s="6" t="n">
        <v>32699</v>
      </c>
    </row>
    <row r="95" customFormat="false" ht="15.75" hidden="false" customHeight="false" outlineLevel="0" collapsed="false">
      <c r="A95" s="0" t="s">
        <v>15</v>
      </c>
      <c r="B95" s="1" t="n">
        <v>43955</v>
      </c>
      <c r="C95" s="6" t="n">
        <v>217466</v>
      </c>
      <c r="D95" s="6" t="n">
        <v>884</v>
      </c>
      <c r="E95" s="6" t="n">
        <v>25264</v>
      </c>
      <c r="F95" s="6" t="n">
        <v>164</v>
      </c>
      <c r="G95" s="6" t="n">
        <v>148558</v>
      </c>
      <c r="H95" s="6" t="n">
        <v>73300</v>
      </c>
      <c r="I95" s="6" t="n">
        <v>2386</v>
      </c>
      <c r="J95" s="6" t="n">
        <v>5285</v>
      </c>
      <c r="K95" s="6" t="n">
        <v>540</v>
      </c>
      <c r="L95" s="6" t="n">
        <v>1932455</v>
      </c>
      <c r="M95" s="6" t="n">
        <v>41332</v>
      </c>
    </row>
    <row r="96" customFormat="false" ht="15.75" hidden="false" customHeight="false" outlineLevel="0" collapsed="false">
      <c r="A96" s="0" t="s">
        <v>15</v>
      </c>
      <c r="B96" s="1" t="n">
        <v>43956</v>
      </c>
      <c r="C96" s="6" t="n">
        <v>218011</v>
      </c>
      <c r="D96" s="6" t="n">
        <v>545</v>
      </c>
      <c r="E96" s="6" t="n">
        <v>25428</v>
      </c>
      <c r="F96" s="6" t="n">
        <v>164</v>
      </c>
      <c r="G96" s="6" t="n">
        <v>151633</v>
      </c>
      <c r="H96" s="6" t="n">
        <v>71240</v>
      </c>
      <c r="I96" s="6" t="n">
        <v>2254</v>
      </c>
      <c r="J96" s="6" t="n">
        <v>5311</v>
      </c>
      <c r="K96" s="6" t="n">
        <v>544</v>
      </c>
      <c r="L96" s="6" t="n">
        <v>1932455</v>
      </c>
      <c r="M96" s="6" t="n">
        <v>41332</v>
      </c>
    </row>
    <row r="97" customFormat="false" ht="15.75" hidden="false" customHeight="false" outlineLevel="0" collapsed="false">
      <c r="A97" s="0" t="s">
        <v>15</v>
      </c>
      <c r="B97" s="1" t="n">
        <v>43957</v>
      </c>
      <c r="C97" s="6" t="n">
        <v>219329</v>
      </c>
      <c r="D97" s="6" t="n">
        <v>1318</v>
      </c>
      <c r="E97" s="6" t="n">
        <v>25613</v>
      </c>
      <c r="F97" s="6" t="n">
        <v>185</v>
      </c>
      <c r="G97" s="6" t="n">
        <v>154718</v>
      </c>
      <c r="H97" s="6" t="n">
        <v>70230</v>
      </c>
      <c r="I97" s="6" t="n">
        <v>2254</v>
      </c>
      <c r="J97" s="6" t="n">
        <v>5359</v>
      </c>
      <c r="K97" s="6" t="n">
        <v>548</v>
      </c>
      <c r="L97" s="6" t="n">
        <v>1932455</v>
      </c>
      <c r="M97" s="6" t="n">
        <v>41332</v>
      </c>
    </row>
    <row r="98" customFormat="false" ht="15.75" hidden="false" customHeight="false" outlineLevel="0" collapsed="false">
      <c r="A98" s="0" t="s">
        <v>15</v>
      </c>
      <c r="B98" s="1" t="n">
        <v>43958</v>
      </c>
      <c r="C98" s="6" t="n">
        <v>220325</v>
      </c>
      <c r="D98" s="6" t="n">
        <v>996</v>
      </c>
      <c r="E98" s="6" t="n">
        <v>25857</v>
      </c>
      <c r="F98" s="6" t="n">
        <v>244</v>
      </c>
      <c r="G98" s="6" t="n">
        <v>159359</v>
      </c>
      <c r="H98" s="6" t="n">
        <v>68466</v>
      </c>
      <c r="I98" s="6" t="n">
        <v>2075</v>
      </c>
      <c r="J98" s="6" t="n">
        <v>5426</v>
      </c>
      <c r="K98" s="6" t="n">
        <v>553</v>
      </c>
      <c r="L98" s="6" t="n">
        <v>1932455</v>
      </c>
      <c r="M98" s="6" t="n">
        <v>41332</v>
      </c>
    </row>
    <row r="99" customFormat="false" ht="15.75" hidden="false" customHeight="false" outlineLevel="0" collapsed="false">
      <c r="A99" s="0" t="s">
        <v>15</v>
      </c>
      <c r="B99" s="1" t="n">
        <v>43959</v>
      </c>
      <c r="C99" s="6" t="n">
        <v>221447</v>
      </c>
      <c r="D99" s="6" t="n">
        <v>1122</v>
      </c>
      <c r="E99" s="6" t="n">
        <v>26070</v>
      </c>
      <c r="F99" s="6" t="n">
        <v>213</v>
      </c>
      <c r="G99" s="6" t="n">
        <v>163919</v>
      </c>
      <c r="H99" s="6" t="n">
        <v>66866</v>
      </c>
      <c r="I99" s="6" t="n">
        <v>2075</v>
      </c>
      <c r="J99" s="6" t="n">
        <v>5494</v>
      </c>
      <c r="K99" s="6" t="n">
        <v>558</v>
      </c>
      <c r="L99" s="6" t="n">
        <v>1932455</v>
      </c>
      <c r="M99" s="6" t="n">
        <v>41332</v>
      </c>
    </row>
    <row r="100" customFormat="false" ht="15.75" hidden="false" customHeight="false" outlineLevel="0" collapsed="false">
      <c r="A100" s="0" t="s">
        <v>15</v>
      </c>
      <c r="B100" s="1" t="n">
        <v>43960</v>
      </c>
      <c r="C100" s="6" t="n">
        <v>222857</v>
      </c>
      <c r="D100" s="6" t="n">
        <v>1410</v>
      </c>
      <c r="E100" s="6" t="n">
        <v>26299</v>
      </c>
      <c r="F100" s="6" t="n">
        <v>229</v>
      </c>
      <c r="G100" s="6" t="n">
        <v>168408</v>
      </c>
      <c r="H100" s="6" t="n">
        <v>65410</v>
      </c>
      <c r="I100" s="6" t="n">
        <v>2075</v>
      </c>
      <c r="J100" s="6" t="n">
        <v>5563</v>
      </c>
      <c r="K100" s="6" t="n">
        <v>562</v>
      </c>
      <c r="L100" s="6" t="n">
        <v>1932455</v>
      </c>
      <c r="M100" s="6" t="n">
        <v>41332</v>
      </c>
    </row>
    <row r="101" customFormat="false" ht="15.75" hidden="false" customHeight="false" outlineLevel="0" collapsed="false">
      <c r="A101" s="0" t="s">
        <v>15</v>
      </c>
      <c r="B101" s="1" t="n">
        <v>43961</v>
      </c>
      <c r="C101" s="6" t="n">
        <v>223578</v>
      </c>
      <c r="D101" s="6" t="n">
        <v>721</v>
      </c>
      <c r="E101" s="6" t="n">
        <v>26478</v>
      </c>
      <c r="F101" s="6" t="n">
        <v>179</v>
      </c>
      <c r="G101" s="6" t="n">
        <v>173157</v>
      </c>
      <c r="H101" s="6" t="n">
        <v>63148</v>
      </c>
      <c r="I101" s="6" t="n">
        <v>1741</v>
      </c>
      <c r="J101" s="6" t="n">
        <v>5620</v>
      </c>
      <c r="K101" s="6" t="n">
        <v>566</v>
      </c>
      <c r="L101" s="6" t="n">
        <v>2467761</v>
      </c>
      <c r="M101" s="6" t="n">
        <v>52781</v>
      </c>
    </row>
    <row r="102" customFormat="false" ht="15.75" hidden="false" customHeight="false" outlineLevel="0" collapsed="false">
      <c r="A102" s="0" t="s">
        <v>15</v>
      </c>
      <c r="B102" s="1" t="n">
        <v>43962</v>
      </c>
      <c r="C102" s="6" t="n">
        <v>224390</v>
      </c>
      <c r="D102" s="6" t="n">
        <v>812</v>
      </c>
      <c r="E102" s="6" t="n">
        <v>26621</v>
      </c>
      <c r="F102" s="6" t="n">
        <v>143</v>
      </c>
      <c r="G102" s="6" t="n">
        <v>176439</v>
      </c>
      <c r="H102" s="6" t="n">
        <v>61603</v>
      </c>
      <c r="I102" s="6" t="n">
        <v>1650</v>
      </c>
      <c r="J102" s="6" t="n">
        <v>5661</v>
      </c>
      <c r="K102" s="6" t="n">
        <v>569</v>
      </c>
      <c r="L102" s="6" t="n">
        <v>2467761</v>
      </c>
      <c r="M102" s="6" t="n">
        <v>52781</v>
      </c>
    </row>
    <row r="103" customFormat="false" ht="15.75" hidden="false" customHeight="false" outlineLevel="0" collapsed="false">
      <c r="A103" s="0" t="s">
        <v>15</v>
      </c>
      <c r="B103" s="1" t="n">
        <v>43963</v>
      </c>
      <c r="C103" s="6" t="n">
        <v>227436</v>
      </c>
      <c r="D103" s="6" t="n">
        <v>3046</v>
      </c>
      <c r="E103" s="6" t="n">
        <v>26744</v>
      </c>
      <c r="F103" s="6" t="n">
        <v>123</v>
      </c>
      <c r="G103" s="6" t="n">
        <v>177846</v>
      </c>
      <c r="H103" s="6" t="n">
        <v>63553</v>
      </c>
      <c r="I103" s="6" t="n">
        <v>1650</v>
      </c>
      <c r="J103" s="6" t="n">
        <v>5735</v>
      </c>
      <c r="K103" s="6" t="n">
        <v>572</v>
      </c>
      <c r="L103" s="6" t="n">
        <v>2467761</v>
      </c>
      <c r="M103" s="6" t="n">
        <v>52781</v>
      </c>
    </row>
    <row r="104" customFormat="false" ht="15.75" hidden="false" customHeight="false" outlineLevel="0" collapsed="false">
      <c r="A104" s="0" t="s">
        <v>15</v>
      </c>
      <c r="B104" s="1" t="n">
        <v>43964</v>
      </c>
      <c r="C104" s="6" t="n">
        <v>228030</v>
      </c>
      <c r="D104" s="6" t="n">
        <v>594</v>
      </c>
      <c r="E104" s="6" t="n">
        <v>26834</v>
      </c>
      <c r="F104" s="6" t="n">
        <v>90</v>
      </c>
      <c r="G104" s="6" t="n">
        <v>180470</v>
      </c>
      <c r="H104" s="6" t="n">
        <v>62130</v>
      </c>
      <c r="I104" s="6" t="n">
        <v>1534</v>
      </c>
      <c r="J104" s="6" t="n">
        <v>5765</v>
      </c>
      <c r="K104" s="6" t="n">
        <v>576</v>
      </c>
      <c r="L104" s="6" t="n">
        <v>2467761</v>
      </c>
      <c r="M104" s="6" t="n">
        <v>52781</v>
      </c>
    </row>
    <row r="105" customFormat="false" ht="15.75" hidden="false" customHeight="false" outlineLevel="0" collapsed="false">
      <c r="A105" s="0" t="s">
        <v>15</v>
      </c>
      <c r="B105" s="1" t="n">
        <v>43965</v>
      </c>
      <c r="C105" s="6" t="n">
        <v>228691</v>
      </c>
      <c r="D105" s="6" t="n">
        <v>661</v>
      </c>
      <c r="E105" s="6" t="n">
        <v>26834</v>
      </c>
      <c r="F105" s="6" t="n">
        <v>0</v>
      </c>
      <c r="G105" s="6" t="n">
        <v>183227</v>
      </c>
      <c r="H105" s="6" t="n">
        <v>60764</v>
      </c>
      <c r="I105" s="6" t="n">
        <v>1534</v>
      </c>
      <c r="J105" s="6" t="n">
        <v>5798</v>
      </c>
      <c r="K105" s="6" t="n">
        <v>580</v>
      </c>
      <c r="L105" s="6" t="n">
        <v>2467761</v>
      </c>
      <c r="M105" s="6" t="n">
        <v>52781</v>
      </c>
    </row>
    <row r="106" customFormat="false" ht="15.75" hidden="false" customHeight="false" outlineLevel="0" collapsed="false">
      <c r="A106" s="0" t="s">
        <v>15</v>
      </c>
      <c r="B106" s="1" t="n">
        <v>43966</v>
      </c>
      <c r="C106" s="6" t="n">
        <v>229540</v>
      </c>
      <c r="D106" s="6" t="n">
        <v>849</v>
      </c>
      <c r="E106" s="6" t="n">
        <v>26834</v>
      </c>
      <c r="F106" s="6" t="n">
        <v>0</v>
      </c>
      <c r="G106" s="6" t="n">
        <v>186480</v>
      </c>
      <c r="H106" s="6" t="n">
        <v>58845</v>
      </c>
      <c r="I106" s="6" t="n">
        <v>1376</v>
      </c>
      <c r="J106" s="6" t="n">
        <v>5831</v>
      </c>
      <c r="K106" s="6" t="n">
        <v>584</v>
      </c>
      <c r="L106" s="6" t="n">
        <v>2467761</v>
      </c>
      <c r="M106" s="6" t="n">
        <v>52781</v>
      </c>
    </row>
    <row r="107" customFormat="false" ht="15.75" hidden="false" customHeight="false" outlineLevel="0" collapsed="false">
      <c r="A107" s="0" t="s">
        <v>15</v>
      </c>
      <c r="B107" s="1" t="n">
        <v>43967</v>
      </c>
      <c r="C107" s="6" t="n">
        <v>230183</v>
      </c>
      <c r="D107" s="6" t="n">
        <v>643</v>
      </c>
      <c r="E107" s="6" t="n">
        <v>26834</v>
      </c>
      <c r="F107" s="6" t="n">
        <v>0</v>
      </c>
      <c r="G107" s="6" t="n">
        <v>188967</v>
      </c>
      <c r="H107" s="6" t="n">
        <v>57941</v>
      </c>
      <c r="I107" s="6" t="n">
        <v>1320</v>
      </c>
      <c r="J107" s="6" t="n">
        <v>5868</v>
      </c>
      <c r="K107" s="6" t="n">
        <v>587</v>
      </c>
      <c r="L107" s="6" t="n">
        <v>2467761</v>
      </c>
      <c r="M107" s="6" t="n">
        <v>52784</v>
      </c>
    </row>
    <row r="108" customFormat="false" ht="15.75" hidden="false" customHeight="false" outlineLevel="0" collapsed="false">
      <c r="A108" s="0" t="s">
        <v>15</v>
      </c>
      <c r="B108" s="1" t="n">
        <v>43968</v>
      </c>
      <c r="C108" s="6" t="n">
        <v>230698</v>
      </c>
      <c r="D108" s="6" t="n">
        <v>515</v>
      </c>
      <c r="E108" s="6" t="n">
        <v>26834</v>
      </c>
      <c r="F108" s="6" t="n">
        <v>0</v>
      </c>
      <c r="G108" s="6" t="n">
        <v>192253</v>
      </c>
      <c r="H108" s="6" t="n">
        <v>56689</v>
      </c>
      <c r="I108" s="6" t="n">
        <v>1208</v>
      </c>
      <c r="J108" s="6" t="n">
        <v>5914</v>
      </c>
      <c r="K108" s="6" t="n">
        <v>590</v>
      </c>
      <c r="L108" s="6" t="n">
        <v>3037840</v>
      </c>
      <c r="M108" s="6" t="n">
        <v>64977</v>
      </c>
    </row>
    <row r="109" customFormat="false" ht="15.75" hidden="false" customHeight="false" outlineLevel="0" collapsed="false">
      <c r="A109" s="0" t="s">
        <v>15</v>
      </c>
      <c r="B109" s="1" t="n">
        <v>43969</v>
      </c>
      <c r="C109" s="6" t="n">
        <v>231360</v>
      </c>
      <c r="D109" s="6" t="n">
        <v>662</v>
      </c>
      <c r="E109" s="6" t="n">
        <v>26834</v>
      </c>
      <c r="F109" s="6" t="n">
        <v>0</v>
      </c>
      <c r="G109" s="6" t="n">
        <v>195945</v>
      </c>
      <c r="H109" s="6" t="n">
        <v>54124</v>
      </c>
      <c r="I109" s="6" t="n">
        <v>1152</v>
      </c>
      <c r="J109" s="6" t="n">
        <v>5940</v>
      </c>
      <c r="K109" s="6" t="n">
        <v>591</v>
      </c>
      <c r="L109" s="6" t="n">
        <v>3037840</v>
      </c>
      <c r="M109" s="6" t="n">
        <v>64977</v>
      </c>
    </row>
    <row r="110" customFormat="false" ht="15.75" hidden="false" customHeight="false" outlineLevel="0" collapsed="false">
      <c r="A110" s="0" t="s">
        <v>15</v>
      </c>
      <c r="B110" s="1" t="n">
        <v>43970</v>
      </c>
      <c r="C110" s="6" t="n">
        <v>231606</v>
      </c>
      <c r="D110" s="6" t="n">
        <v>246</v>
      </c>
      <c r="E110" s="6" t="n">
        <v>26834</v>
      </c>
      <c r="F110" s="6" t="n">
        <v>0</v>
      </c>
      <c r="G110" s="6" t="n">
        <v>196958</v>
      </c>
      <c r="H110" s="6" t="n">
        <v>53521</v>
      </c>
      <c r="I110" s="6" t="n">
        <v>1152</v>
      </c>
      <c r="J110" s="6" t="n">
        <v>5950</v>
      </c>
      <c r="K110" s="6" t="n">
        <v>593</v>
      </c>
      <c r="L110" s="6" t="n">
        <v>3037840</v>
      </c>
      <c r="M110" s="6" t="n">
        <v>64977</v>
      </c>
    </row>
    <row r="111" customFormat="false" ht="15.75" hidden="false" customHeight="false" outlineLevel="0" collapsed="false">
      <c r="A111" s="0" t="s">
        <v>15</v>
      </c>
      <c r="B111" s="1" t="n">
        <v>43971</v>
      </c>
      <c r="C111" s="6" t="n">
        <v>232037</v>
      </c>
      <c r="D111" s="6" t="n">
        <v>431</v>
      </c>
      <c r="E111" s="6" t="n">
        <v>26834</v>
      </c>
      <c r="F111" s="6" t="n">
        <v>0</v>
      </c>
      <c r="G111" s="6" t="n">
        <v>196958</v>
      </c>
      <c r="H111" s="6" t="n">
        <v>54067</v>
      </c>
      <c r="I111" s="6" t="n">
        <v>1152</v>
      </c>
      <c r="J111" s="6" t="n">
        <v>5963</v>
      </c>
      <c r="K111" s="6" t="n">
        <v>594</v>
      </c>
      <c r="L111" s="6" t="n">
        <v>3037840</v>
      </c>
      <c r="M111" s="6" t="n">
        <v>64977</v>
      </c>
    </row>
    <row r="112" customFormat="false" ht="15.75" hidden="false" customHeight="false" outlineLevel="0" collapsed="false">
      <c r="A112" s="0" t="s">
        <v>15</v>
      </c>
      <c r="B112" s="1" t="n">
        <v>43972</v>
      </c>
      <c r="C112" s="6" t="n">
        <v>232555</v>
      </c>
      <c r="D112" s="6" t="n">
        <v>518</v>
      </c>
      <c r="E112" s="6" t="n">
        <v>26834</v>
      </c>
      <c r="F112" s="6" t="n">
        <v>0</v>
      </c>
      <c r="G112" s="6" t="n">
        <v>196958</v>
      </c>
      <c r="H112" s="6" t="n">
        <v>54678</v>
      </c>
      <c r="I112" s="6" t="n">
        <v>1152</v>
      </c>
      <c r="J112" s="6" t="n">
        <v>5979</v>
      </c>
      <c r="K112" s="6" t="n">
        <v>596</v>
      </c>
      <c r="L112" s="6" t="n">
        <v>3037840</v>
      </c>
      <c r="M112" s="6" t="n">
        <v>64977</v>
      </c>
    </row>
    <row r="113" customFormat="false" ht="15.75" hidden="false" customHeight="false" outlineLevel="0" collapsed="false">
      <c r="A113" s="0" t="s">
        <v>15</v>
      </c>
      <c r="B113" s="1" t="n">
        <v>43973</v>
      </c>
      <c r="C113" s="6" t="n">
        <v>233037</v>
      </c>
      <c r="D113" s="6" t="n">
        <v>482</v>
      </c>
      <c r="E113" s="6" t="n">
        <v>26834</v>
      </c>
      <c r="F113" s="6" t="n">
        <v>0</v>
      </c>
      <c r="G113" s="6" t="n">
        <v>196958</v>
      </c>
      <c r="H113" s="6" t="n">
        <v>55219</v>
      </c>
      <c r="I113" s="6" t="n">
        <v>1152</v>
      </c>
      <c r="J113" s="6" t="n">
        <v>5991</v>
      </c>
      <c r="K113" s="6" t="n">
        <v>598</v>
      </c>
      <c r="L113" s="6" t="n">
        <v>3037840</v>
      </c>
      <c r="M113" s="6" t="n">
        <v>64977</v>
      </c>
    </row>
    <row r="114" customFormat="false" ht="15.75" hidden="false" customHeight="false" outlineLevel="0" collapsed="false">
      <c r="A114" s="0" t="s">
        <v>15</v>
      </c>
      <c r="B114" s="1" t="n">
        <v>43974</v>
      </c>
      <c r="C114" s="6" t="n">
        <v>234824</v>
      </c>
      <c r="D114" s="6" t="n">
        <v>1787</v>
      </c>
      <c r="E114" s="6" t="n">
        <v>26834</v>
      </c>
      <c r="F114" s="6" t="n">
        <v>0</v>
      </c>
      <c r="G114" s="6" t="n">
        <v>196958</v>
      </c>
      <c r="H114" s="6" t="n">
        <v>56318</v>
      </c>
      <c r="I114" s="6" t="n">
        <v>1152</v>
      </c>
      <c r="J114" s="6" t="n">
        <v>6030</v>
      </c>
      <c r="K114" s="6" t="n">
        <v>612</v>
      </c>
      <c r="L114" s="6" t="n">
        <v>3037840</v>
      </c>
      <c r="M114" s="6" t="n">
        <v>64977</v>
      </c>
    </row>
    <row r="115" customFormat="false" ht="15.75" hidden="false" customHeight="false" outlineLevel="0" collapsed="false">
      <c r="A115" s="0" t="s">
        <v>15</v>
      </c>
      <c r="B115" s="1" t="n">
        <v>43975</v>
      </c>
      <c r="C115" s="6" t="n">
        <v>235290</v>
      </c>
      <c r="D115" s="6" t="n">
        <v>466</v>
      </c>
      <c r="E115" s="6" t="n">
        <v>26834</v>
      </c>
      <c r="F115" s="6" t="n">
        <v>0</v>
      </c>
      <c r="G115" s="6" t="n">
        <v>196958</v>
      </c>
      <c r="H115" s="6" t="n">
        <v>56734</v>
      </c>
      <c r="I115" s="6" t="n">
        <v>1152</v>
      </c>
      <c r="J115" s="6" t="n">
        <v>6040</v>
      </c>
      <c r="K115" s="6" t="n">
        <v>613</v>
      </c>
      <c r="L115" s="6" t="n">
        <v>3037840</v>
      </c>
      <c r="M115" s="6" t="n">
        <v>64977</v>
      </c>
    </row>
    <row r="116" customFormat="false" ht="15.75" hidden="false" customHeight="false" outlineLevel="0" collapsed="false">
      <c r="A116" s="0" t="s">
        <v>15</v>
      </c>
      <c r="B116" s="1" t="n">
        <v>43976</v>
      </c>
      <c r="C116" s="6" t="n">
        <v>235400</v>
      </c>
      <c r="D116" s="6" t="n">
        <v>110</v>
      </c>
      <c r="E116" s="6" t="n">
        <v>26834</v>
      </c>
      <c r="F116" s="6" t="n">
        <v>0</v>
      </c>
      <c r="G116" s="6" t="n">
        <v>196958</v>
      </c>
      <c r="H116" s="6" t="n">
        <v>57142</v>
      </c>
      <c r="I116" s="6" t="n">
        <v>854</v>
      </c>
      <c r="J116" s="6" t="n">
        <v>6050</v>
      </c>
      <c r="K116" s="6" t="n">
        <v>615</v>
      </c>
      <c r="L116" s="6" t="n">
        <v>3556567</v>
      </c>
      <c r="M116" s="6" t="n">
        <v>76071</v>
      </c>
    </row>
    <row r="117" customFormat="false" ht="15.75" hidden="false" customHeight="false" outlineLevel="0" collapsed="false">
      <c r="A117" s="0" t="s">
        <v>15</v>
      </c>
      <c r="B117" s="1" t="n">
        <v>43977</v>
      </c>
      <c r="C117" s="6" t="n">
        <v>235400</v>
      </c>
      <c r="D117" s="6" t="n">
        <v>0</v>
      </c>
      <c r="E117" s="6" t="n">
        <v>26834</v>
      </c>
      <c r="F117" s="6" t="n">
        <v>0</v>
      </c>
      <c r="G117" s="6" t="n">
        <v>196958</v>
      </c>
      <c r="H117" s="6" t="n">
        <v>58685</v>
      </c>
      <c r="I117" s="6" t="n">
        <v>854</v>
      </c>
      <c r="J117" s="6" t="n">
        <v>6042</v>
      </c>
      <c r="K117" s="6" t="n">
        <v>574</v>
      </c>
      <c r="L117" s="6" t="n">
        <v>3556567</v>
      </c>
      <c r="M117" s="6" t="n">
        <v>76071</v>
      </c>
    </row>
    <row r="118" customFormat="false" ht="15.75" hidden="false" customHeight="false" outlineLevel="0" collapsed="false">
      <c r="A118" s="0" t="s">
        <v>15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15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15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15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15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15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15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15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15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15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15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15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15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15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15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15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15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15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15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15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15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15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15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15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15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15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15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15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15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15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15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15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15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15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15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15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15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15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15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15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15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15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15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15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15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15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15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15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15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15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15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15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15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15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15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15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15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15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15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15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15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15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15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15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15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15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15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15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15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15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1" colorId="64" zoomScale="100" zoomScaleNormal="100" zoomScalePageLayoutView="100" workbookViewId="0">
      <selection pane="topLeft" activeCell="D154" activeCellId="0" sqref="D154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16</v>
      </c>
      <c r="B2" s="1" t="n">
        <v>43862</v>
      </c>
      <c r="C2" s="6" t="n">
        <v>2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16</v>
      </c>
      <c r="B3" s="1" t="n">
        <v>43863</v>
      </c>
      <c r="C3" s="6" t="n">
        <v>2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16</v>
      </c>
      <c r="B4" s="1" t="n">
        <v>43864</v>
      </c>
      <c r="C4" s="6" t="n">
        <v>2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16</v>
      </c>
      <c r="B5" s="1" t="n">
        <v>43865</v>
      </c>
      <c r="C5" s="6" t="n">
        <v>2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16</v>
      </c>
      <c r="B6" s="1" t="n">
        <v>43866</v>
      </c>
      <c r="C6" s="6" t="n">
        <v>2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16</v>
      </c>
      <c r="B7" s="1" t="n">
        <v>43867</v>
      </c>
      <c r="C7" s="6" t="n">
        <v>2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16</v>
      </c>
      <c r="B8" s="1" t="n">
        <v>43868</v>
      </c>
      <c r="C8" s="6" t="n">
        <v>3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16</v>
      </c>
      <c r="B9" s="1" t="n">
        <v>43869</v>
      </c>
      <c r="C9" s="6" t="n">
        <v>3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16</v>
      </c>
      <c r="B10" s="1" t="n">
        <v>43870</v>
      </c>
      <c r="C10" s="6" t="n">
        <v>3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16</v>
      </c>
      <c r="B11" s="1" t="n">
        <v>43871</v>
      </c>
      <c r="C11" s="6" t="n">
        <v>3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16</v>
      </c>
      <c r="B12" s="1" t="n">
        <v>43872</v>
      </c>
      <c r="C12" s="6" t="n">
        <v>3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16</v>
      </c>
      <c r="B13" s="1" t="n">
        <v>43873</v>
      </c>
      <c r="C13" s="6" t="n">
        <v>3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16</v>
      </c>
      <c r="B14" s="1" t="n">
        <v>43874</v>
      </c>
      <c r="C14" s="6" t="n">
        <v>3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16</v>
      </c>
      <c r="B15" s="1" t="n">
        <v>43875</v>
      </c>
      <c r="C15" s="6" t="n">
        <v>3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16</v>
      </c>
      <c r="B16" s="1" t="n">
        <v>43876</v>
      </c>
      <c r="C16" s="6" t="n">
        <v>3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16</v>
      </c>
      <c r="B17" s="1" t="n">
        <v>43877</v>
      </c>
      <c r="C17" s="6" t="n">
        <v>3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16</v>
      </c>
      <c r="B18" s="1" t="n">
        <v>43878</v>
      </c>
      <c r="C18" s="6" t="n">
        <v>3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16</v>
      </c>
      <c r="B19" s="1" t="n">
        <v>43879</v>
      </c>
      <c r="C19" s="6" t="n">
        <v>3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16</v>
      </c>
      <c r="B20" s="1" t="n">
        <v>43880</v>
      </c>
      <c r="C20" s="6" t="n">
        <v>3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16</v>
      </c>
      <c r="B21" s="1" t="n">
        <v>43881</v>
      </c>
      <c r="C21" s="6" t="n">
        <v>3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16</v>
      </c>
      <c r="B22" s="1" t="n">
        <v>43882</v>
      </c>
      <c r="C22" s="6" t="n">
        <v>3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16</v>
      </c>
      <c r="B23" s="1" t="n">
        <v>43883</v>
      </c>
      <c r="C23" s="6" t="n">
        <v>9</v>
      </c>
      <c r="D23" s="6" t="n">
        <v>6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16</v>
      </c>
      <c r="B24" s="1" t="n">
        <v>43884</v>
      </c>
      <c r="C24" s="6" t="n">
        <v>76</v>
      </c>
      <c r="D24" s="6" t="n">
        <v>67</v>
      </c>
      <c r="E24" s="6" t="n">
        <v>2</v>
      </c>
      <c r="F24" s="6" t="n">
        <v>2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16</v>
      </c>
      <c r="B25" s="1" t="n">
        <v>43885</v>
      </c>
      <c r="C25" s="6" t="n">
        <v>124</v>
      </c>
      <c r="D25" s="6" t="n">
        <v>48</v>
      </c>
      <c r="E25" s="6" t="n">
        <v>2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16</v>
      </c>
      <c r="B26" s="1" t="n">
        <v>43886</v>
      </c>
      <c r="C26" s="6" t="n">
        <v>229</v>
      </c>
      <c r="D26" s="6" t="n">
        <v>105</v>
      </c>
      <c r="E26" s="6" t="n">
        <v>6</v>
      </c>
      <c r="F26" s="6" t="n">
        <v>4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16</v>
      </c>
      <c r="B27" s="1" t="n">
        <v>43887</v>
      </c>
      <c r="C27" s="6" t="n">
        <v>322</v>
      </c>
      <c r="D27" s="6" t="n">
        <v>93</v>
      </c>
      <c r="E27" s="6" t="n">
        <v>11</v>
      </c>
      <c r="F27" s="6" t="n">
        <v>5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16</v>
      </c>
      <c r="B28" s="1" t="n">
        <v>43888</v>
      </c>
      <c r="C28" s="6" t="n">
        <v>400</v>
      </c>
      <c r="D28" s="6" t="n">
        <v>78</v>
      </c>
      <c r="E28" s="6" t="n">
        <v>12</v>
      </c>
      <c r="F28" s="6" t="n">
        <v>1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16</v>
      </c>
      <c r="B29" s="1" t="n">
        <v>43889</v>
      </c>
      <c r="C29" s="6" t="n">
        <v>650</v>
      </c>
      <c r="D29" s="6" t="n">
        <v>250</v>
      </c>
      <c r="E29" s="6" t="n">
        <v>17</v>
      </c>
      <c r="F29" s="6" t="n">
        <v>5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16</v>
      </c>
      <c r="B30" s="1" t="n">
        <v>43890</v>
      </c>
      <c r="C30" s="6" t="n">
        <v>888</v>
      </c>
      <c r="D30" s="6" t="n">
        <v>238</v>
      </c>
      <c r="E30" s="6" t="n">
        <v>21</v>
      </c>
      <c r="F30" s="6" t="n">
        <v>4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16</v>
      </c>
      <c r="B31" s="1" t="n">
        <v>43891</v>
      </c>
      <c r="C31" s="6" t="n">
        <v>1128</v>
      </c>
      <c r="D31" s="6" t="n">
        <v>240</v>
      </c>
      <c r="E31" s="6" t="n">
        <v>29</v>
      </c>
      <c r="F31" s="6" t="n">
        <v>8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16</v>
      </c>
      <c r="B32" s="1" t="n">
        <v>43892</v>
      </c>
      <c r="C32" s="6" t="n">
        <v>1689</v>
      </c>
      <c r="D32" s="6" t="n">
        <v>561</v>
      </c>
      <c r="E32" s="6" t="n">
        <v>35</v>
      </c>
      <c r="F32" s="6" t="n">
        <v>6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16</v>
      </c>
      <c r="B33" s="1" t="n">
        <v>43893</v>
      </c>
      <c r="C33" s="6" t="n">
        <v>2036</v>
      </c>
      <c r="D33" s="6" t="n">
        <v>347</v>
      </c>
      <c r="E33" s="6" t="n">
        <v>52</v>
      </c>
      <c r="F33" s="6" t="n">
        <v>17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16</v>
      </c>
      <c r="B34" s="1" t="n">
        <v>43894</v>
      </c>
      <c r="C34" s="6" t="n">
        <v>2502</v>
      </c>
      <c r="D34" s="6" t="n">
        <v>466</v>
      </c>
      <c r="E34" s="6" t="n">
        <v>80</v>
      </c>
      <c r="F34" s="6" t="n">
        <v>28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16</v>
      </c>
      <c r="B35" s="1" t="n">
        <v>43895</v>
      </c>
      <c r="C35" s="6" t="n">
        <v>3089</v>
      </c>
      <c r="D35" s="6" t="n">
        <v>587</v>
      </c>
      <c r="E35" s="6" t="n">
        <v>107</v>
      </c>
      <c r="F35" s="6" t="n">
        <v>27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16</v>
      </c>
      <c r="B36" s="1" t="n">
        <v>43896</v>
      </c>
      <c r="C36" s="6" t="n">
        <v>3858</v>
      </c>
      <c r="D36" s="6" t="n">
        <v>769</v>
      </c>
      <c r="E36" s="6" t="n">
        <v>148</v>
      </c>
      <c r="F36" s="6" t="n">
        <v>41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16</v>
      </c>
      <c r="B37" s="1" t="n">
        <v>43897</v>
      </c>
      <c r="C37" s="8" t="n">
        <v>4636</v>
      </c>
      <c r="D37" s="8" t="n">
        <v>778</v>
      </c>
      <c r="E37" s="8" t="n">
        <v>197</v>
      </c>
      <c r="F37" s="8" t="n">
        <v>49</v>
      </c>
      <c r="G37" s="8" t="n">
        <v>523</v>
      </c>
      <c r="H37" s="8" t="n">
        <v>3916</v>
      </c>
      <c r="I37" s="8" t="n">
        <v>462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16</v>
      </c>
      <c r="B38" s="1" t="n">
        <v>43898</v>
      </c>
      <c r="C38" s="6" t="n">
        <v>5883</v>
      </c>
      <c r="D38" s="6" t="n">
        <v>1247</v>
      </c>
      <c r="E38" s="6" t="n">
        <v>233</v>
      </c>
      <c r="F38" s="6" t="n">
        <v>36</v>
      </c>
      <c r="G38" s="6" t="n">
        <v>589</v>
      </c>
      <c r="H38" s="6" t="n">
        <v>5061</v>
      </c>
      <c r="I38" s="6" t="n">
        <v>567</v>
      </c>
      <c r="J38" s="6" t="n">
        <v>97.3</v>
      </c>
      <c r="K38" s="6"/>
      <c r="L38" s="6"/>
      <c r="M38" s="6"/>
    </row>
    <row r="39" customFormat="false" ht="15.75" hidden="false" customHeight="false" outlineLevel="0" collapsed="false">
      <c r="A39" s="0" t="s">
        <v>16</v>
      </c>
      <c r="B39" s="1" t="n">
        <v>43899</v>
      </c>
      <c r="C39" s="6" t="n">
        <v>7375</v>
      </c>
      <c r="D39" s="6" t="n">
        <v>1492</v>
      </c>
      <c r="E39" s="6" t="n">
        <v>366</v>
      </c>
      <c r="F39" s="6" t="n">
        <v>133</v>
      </c>
      <c r="G39" s="6" t="n">
        <v>622</v>
      </c>
      <c r="H39" s="6" t="n">
        <v>6387</v>
      </c>
      <c r="I39" s="6" t="n">
        <v>650</v>
      </c>
      <c r="J39" s="6" t="n">
        <v>122</v>
      </c>
      <c r="K39" s="6"/>
      <c r="L39" s="6"/>
      <c r="M39" s="6"/>
    </row>
    <row r="40" customFormat="false" ht="15.75" hidden="false" customHeight="false" outlineLevel="0" collapsed="false">
      <c r="A40" s="0" t="s">
        <v>16</v>
      </c>
      <c r="B40" s="1" t="n">
        <v>43900</v>
      </c>
      <c r="C40" s="6" t="n">
        <v>9172</v>
      </c>
      <c r="D40" s="6" t="n">
        <v>1797</v>
      </c>
      <c r="E40" s="6" t="n">
        <v>463</v>
      </c>
      <c r="F40" s="6" t="n">
        <v>97</v>
      </c>
      <c r="G40" s="6" t="n">
        <v>724</v>
      </c>
      <c r="H40" s="6" t="n">
        <v>7985</v>
      </c>
      <c r="I40" s="6" t="n">
        <v>733</v>
      </c>
      <c r="J40" s="6" t="n">
        <v>151.7</v>
      </c>
      <c r="K40" s="6"/>
      <c r="L40" s="6"/>
      <c r="M40" s="6"/>
    </row>
    <row r="41" customFormat="false" ht="15.75" hidden="false" customHeight="false" outlineLevel="0" collapsed="false">
      <c r="A41" s="0" t="s">
        <v>16</v>
      </c>
      <c r="B41" s="1" t="n">
        <v>43901</v>
      </c>
      <c r="C41" s="6" t="n">
        <v>10149</v>
      </c>
      <c r="D41" s="6" t="n">
        <v>977</v>
      </c>
      <c r="E41" s="6" t="n">
        <v>631</v>
      </c>
      <c r="F41" s="6" t="n">
        <v>168</v>
      </c>
      <c r="G41" s="6" t="n">
        <v>1004</v>
      </c>
      <c r="H41" s="6" t="n">
        <v>8514</v>
      </c>
      <c r="I41" s="6" t="n">
        <v>877</v>
      </c>
      <c r="J41" s="6" t="n">
        <v>167.9</v>
      </c>
      <c r="K41" s="6"/>
      <c r="L41" s="6"/>
      <c r="M41" s="6"/>
    </row>
    <row r="42" customFormat="false" ht="15.75" hidden="false" customHeight="false" outlineLevel="0" collapsed="false">
      <c r="A42" s="0" t="s">
        <v>16</v>
      </c>
      <c r="B42" s="1" t="n">
        <v>43902</v>
      </c>
      <c r="C42" s="6" t="n">
        <v>12462</v>
      </c>
      <c r="D42" s="6" t="n">
        <v>2313</v>
      </c>
      <c r="E42" s="6" t="n">
        <v>827</v>
      </c>
      <c r="F42" s="6" t="n">
        <v>196</v>
      </c>
      <c r="G42" s="6" t="n">
        <v>1045</v>
      </c>
      <c r="H42" s="6" t="n">
        <v>10590</v>
      </c>
      <c r="I42" s="6" t="n">
        <v>1028</v>
      </c>
      <c r="J42" s="6" t="n">
        <v>206.1</v>
      </c>
      <c r="K42" s="6"/>
      <c r="L42" s="6"/>
      <c r="M42" s="6"/>
    </row>
    <row r="43" customFormat="false" ht="15.75" hidden="false" customHeight="false" outlineLevel="0" collapsed="false">
      <c r="A43" s="0" t="s">
        <v>16</v>
      </c>
      <c r="B43" s="1" t="n">
        <v>43903</v>
      </c>
      <c r="C43" s="6" t="n">
        <v>15113</v>
      </c>
      <c r="D43" s="6" t="n">
        <v>2651</v>
      </c>
      <c r="E43" s="6" t="n">
        <v>1016</v>
      </c>
      <c r="F43" s="6" t="n">
        <v>189</v>
      </c>
      <c r="G43" s="6" t="n">
        <v>1258</v>
      </c>
      <c r="H43" s="6" t="n">
        <v>12839</v>
      </c>
      <c r="I43" s="6" t="n">
        <v>1153</v>
      </c>
      <c r="J43" s="6" t="n">
        <v>250</v>
      </c>
      <c r="K43" s="6"/>
      <c r="L43" s="6"/>
      <c r="M43" s="6"/>
    </row>
    <row r="44" customFormat="false" ht="15.75" hidden="false" customHeight="false" outlineLevel="0" collapsed="false">
      <c r="A44" s="0" t="s">
        <v>16</v>
      </c>
      <c r="B44" s="1" t="n">
        <v>43904</v>
      </c>
      <c r="C44" s="6" t="n">
        <v>17660</v>
      </c>
      <c r="D44" s="6" t="n">
        <v>2547</v>
      </c>
      <c r="E44" s="6" t="n">
        <v>1266</v>
      </c>
      <c r="F44" s="6" t="n">
        <v>250</v>
      </c>
      <c r="G44" s="6" t="n">
        <v>1439</v>
      </c>
      <c r="H44" s="6" t="n">
        <v>14955</v>
      </c>
      <c r="I44" s="6" t="n">
        <v>1328</v>
      </c>
      <c r="J44" s="6" t="n">
        <v>292.1</v>
      </c>
      <c r="K44" s="6"/>
      <c r="L44" s="6"/>
      <c r="M44" s="6"/>
    </row>
    <row r="45" customFormat="false" ht="15.75" hidden="false" customHeight="false" outlineLevel="0" collapsed="false">
      <c r="A45" s="0" t="s">
        <v>16</v>
      </c>
      <c r="B45" s="1" t="n">
        <v>43905</v>
      </c>
      <c r="C45" s="6" t="n">
        <v>21157</v>
      </c>
      <c r="D45" s="6" t="n">
        <v>3497</v>
      </c>
      <c r="E45" s="6" t="n">
        <v>1441</v>
      </c>
      <c r="F45" s="6" t="n">
        <v>175</v>
      </c>
      <c r="G45" s="6" t="n">
        <v>1966</v>
      </c>
      <c r="H45" s="6" t="n">
        <v>17750</v>
      </c>
      <c r="I45" s="6" t="n">
        <v>1518</v>
      </c>
      <c r="J45" s="6" t="n">
        <v>349.9</v>
      </c>
      <c r="K45" s="6"/>
      <c r="L45" s="6"/>
      <c r="M45" s="6"/>
    </row>
    <row r="46" customFormat="false" ht="15.75" hidden="false" customHeight="false" outlineLevel="0" collapsed="false">
      <c r="A46" s="0" t="s">
        <v>16</v>
      </c>
      <c r="B46" s="1" t="n">
        <v>43906</v>
      </c>
      <c r="C46" s="6" t="n">
        <v>24747</v>
      </c>
      <c r="D46" s="6" t="n">
        <v>3590</v>
      </c>
      <c r="E46" s="6" t="n">
        <v>1809</v>
      </c>
      <c r="F46" s="6" t="n">
        <v>368</v>
      </c>
      <c r="G46" s="6" t="n">
        <v>2335</v>
      </c>
      <c r="H46" s="6" t="n">
        <v>20603</v>
      </c>
      <c r="I46" s="6" t="n">
        <v>1672</v>
      </c>
      <c r="J46" s="6" t="n">
        <v>409.3</v>
      </c>
      <c r="K46" s="6"/>
      <c r="L46" s="6"/>
      <c r="M46" s="6"/>
    </row>
    <row r="47" customFormat="false" ht="15.75" hidden="false" customHeight="false" outlineLevel="0" collapsed="false">
      <c r="A47" s="0" t="s">
        <v>16</v>
      </c>
      <c r="B47" s="1" t="n">
        <v>43907</v>
      </c>
      <c r="C47" s="6" t="n">
        <v>27980</v>
      </c>
      <c r="D47" s="6" t="n">
        <v>3233</v>
      </c>
      <c r="E47" s="6" t="n">
        <v>2158</v>
      </c>
      <c r="F47" s="6" t="n">
        <v>349</v>
      </c>
      <c r="G47" s="6" t="n">
        <v>2749</v>
      </c>
      <c r="H47" s="6" t="n">
        <v>23073</v>
      </c>
      <c r="I47" s="6" t="n">
        <v>1851</v>
      </c>
      <c r="J47" s="6" t="n">
        <v>462.8</v>
      </c>
      <c r="K47" s="6"/>
      <c r="L47" s="6"/>
      <c r="M47" s="6"/>
    </row>
    <row r="48" customFormat="false" ht="15.75" hidden="false" customHeight="false" outlineLevel="0" collapsed="false">
      <c r="A48" s="0" t="s">
        <v>16</v>
      </c>
      <c r="B48" s="1" t="n">
        <v>43908</v>
      </c>
      <c r="C48" s="6" t="n">
        <v>31506</v>
      </c>
      <c r="D48" s="6" t="n">
        <v>3526</v>
      </c>
      <c r="E48" s="6" t="n">
        <v>2503</v>
      </c>
      <c r="F48" s="6" t="n">
        <v>345</v>
      </c>
      <c r="G48" s="6" t="n">
        <v>2941</v>
      </c>
      <c r="H48" s="6" t="n">
        <v>26062</v>
      </c>
      <c r="I48" s="6" t="n">
        <v>2060</v>
      </c>
      <c r="J48" s="6" t="n">
        <v>521.1</v>
      </c>
      <c r="K48" s="6"/>
      <c r="L48" s="6"/>
      <c r="M48" s="6"/>
    </row>
    <row r="49" customFormat="false" ht="15.75" hidden="false" customHeight="false" outlineLevel="0" collapsed="false">
      <c r="A49" s="0" t="s">
        <v>16</v>
      </c>
      <c r="B49" s="1" t="n">
        <v>43909</v>
      </c>
      <c r="C49" s="6" t="n">
        <v>35713</v>
      </c>
      <c r="D49" s="6" t="n">
        <v>4207</v>
      </c>
      <c r="E49" s="6" t="n">
        <v>2978</v>
      </c>
      <c r="F49" s="6" t="n">
        <v>475</v>
      </c>
      <c r="G49" s="6" t="n">
        <v>4025</v>
      </c>
      <c r="H49" s="6" t="n">
        <v>28710</v>
      </c>
      <c r="I49" s="6" t="n">
        <v>2257</v>
      </c>
      <c r="J49" s="6" t="n">
        <v>591</v>
      </c>
      <c r="K49" s="6"/>
      <c r="L49" s="6"/>
      <c r="M49" s="6"/>
    </row>
    <row r="50" customFormat="false" ht="15.75" hidden="false" customHeight="false" outlineLevel="0" collapsed="false">
      <c r="A50" s="0" t="s">
        <v>16</v>
      </c>
      <c r="B50" s="1" t="n">
        <v>43910</v>
      </c>
      <c r="C50" s="6" t="n">
        <v>41035</v>
      </c>
      <c r="D50" s="6" t="n">
        <v>5322</v>
      </c>
      <c r="E50" s="6" t="n">
        <v>3405</v>
      </c>
      <c r="F50" s="6" t="n">
        <v>427</v>
      </c>
      <c r="G50" s="6" t="n">
        <v>4440</v>
      </c>
      <c r="H50" s="6" t="n">
        <v>33190</v>
      </c>
      <c r="I50" s="6" t="n">
        <v>2498</v>
      </c>
      <c r="J50" s="6" t="n">
        <v>679</v>
      </c>
      <c r="K50" s="6"/>
      <c r="L50" s="6"/>
      <c r="M50" s="6"/>
    </row>
    <row r="51" customFormat="false" ht="15.75" hidden="false" customHeight="false" outlineLevel="0" collapsed="false">
      <c r="A51" s="0" t="s">
        <v>16</v>
      </c>
      <c r="B51" s="1" t="n">
        <v>43911</v>
      </c>
      <c r="C51" s="6" t="n">
        <v>47021</v>
      </c>
      <c r="D51" s="6" t="n">
        <v>5986</v>
      </c>
      <c r="E51" s="6" t="n">
        <v>4032</v>
      </c>
      <c r="F51" s="6" t="n">
        <v>627</v>
      </c>
      <c r="G51" s="6" t="n">
        <v>5129</v>
      </c>
      <c r="H51" s="6" t="n">
        <v>37860</v>
      </c>
      <c r="I51" s="6" t="n">
        <v>2655</v>
      </c>
      <c r="J51" s="6" t="n">
        <v>778</v>
      </c>
      <c r="K51" s="6"/>
      <c r="L51" s="6"/>
      <c r="M51" s="6"/>
    </row>
    <row r="52" customFormat="false" ht="15.75" hidden="false" customHeight="false" outlineLevel="0" collapsed="false">
      <c r="A52" s="0" t="s">
        <v>16</v>
      </c>
      <c r="B52" s="1" t="n">
        <v>43912</v>
      </c>
      <c r="C52" s="6" t="n">
        <v>53578</v>
      </c>
      <c r="D52" s="6" t="n">
        <v>6557</v>
      </c>
      <c r="E52" s="6" t="n">
        <v>4825</v>
      </c>
      <c r="F52" s="6" t="n">
        <v>793</v>
      </c>
      <c r="G52" s="6" t="n">
        <v>6072</v>
      </c>
      <c r="H52" s="6" t="n">
        <v>42681</v>
      </c>
      <c r="I52" s="6" t="n">
        <v>2857</v>
      </c>
      <c r="J52" s="6" t="n">
        <v>886</v>
      </c>
      <c r="K52" s="6"/>
      <c r="L52" s="6"/>
      <c r="M52" s="6"/>
    </row>
    <row r="53" customFormat="false" ht="15.75" hidden="false" customHeight="false" outlineLevel="0" collapsed="false">
      <c r="A53" s="0" t="s">
        <v>16</v>
      </c>
      <c r="B53" s="1" t="n">
        <v>43913</v>
      </c>
      <c r="C53" s="6" t="n">
        <v>59138</v>
      </c>
      <c r="D53" s="6" t="n">
        <v>5560</v>
      </c>
      <c r="E53" s="6" t="n">
        <v>5476</v>
      </c>
      <c r="F53" s="6" t="n">
        <v>651</v>
      </c>
      <c r="G53" s="6" t="n">
        <v>7024</v>
      </c>
      <c r="H53" s="6" t="n">
        <v>46638</v>
      </c>
      <c r="I53" s="6" t="n">
        <v>3000</v>
      </c>
      <c r="J53" s="6" t="n">
        <v>978</v>
      </c>
      <c r="K53" s="6"/>
      <c r="L53" s="6"/>
      <c r="M53" s="6"/>
    </row>
    <row r="54" customFormat="false" ht="15.75" hidden="false" customHeight="false" outlineLevel="0" collapsed="false">
      <c r="A54" s="0" t="s">
        <v>16</v>
      </c>
      <c r="B54" s="1" t="n">
        <v>43914</v>
      </c>
      <c r="C54" s="6" t="n">
        <v>63927</v>
      </c>
      <c r="D54" s="6" t="n">
        <v>4789</v>
      </c>
      <c r="E54" s="6" t="n">
        <v>6077</v>
      </c>
      <c r="F54" s="6" t="n">
        <v>601</v>
      </c>
      <c r="G54" s="6" t="n">
        <v>7432</v>
      </c>
      <c r="H54" s="6" t="n">
        <v>50418</v>
      </c>
      <c r="I54" s="6" t="n">
        <v>3204</v>
      </c>
      <c r="J54" s="6" t="n">
        <v>1057</v>
      </c>
      <c r="K54" s="6"/>
      <c r="L54" s="6"/>
      <c r="M54" s="6"/>
    </row>
    <row r="55" customFormat="false" ht="15.75" hidden="false" customHeight="false" outlineLevel="0" collapsed="false">
      <c r="A55" s="0" t="s">
        <v>16</v>
      </c>
      <c r="B55" s="1" t="n">
        <v>43915</v>
      </c>
      <c r="C55" s="7" t="n">
        <v>69176</v>
      </c>
      <c r="D55" s="7" t="n">
        <v>5249</v>
      </c>
      <c r="E55" s="7" t="n">
        <v>6820</v>
      </c>
      <c r="F55" s="7" t="n">
        <v>743</v>
      </c>
      <c r="G55" s="7" t="n">
        <v>8326</v>
      </c>
      <c r="H55" s="7" t="n">
        <v>54030</v>
      </c>
      <c r="I55" s="7" t="n">
        <v>3393</v>
      </c>
      <c r="J55" s="7" t="n">
        <v>1144</v>
      </c>
      <c r="K55" s="7" t="n">
        <v>113</v>
      </c>
      <c r="L55" s="7"/>
      <c r="M55" s="7"/>
    </row>
    <row r="56" customFormat="false" ht="15.75" hidden="false" customHeight="false" outlineLevel="0" collapsed="false">
      <c r="A56" s="0" t="s">
        <v>16</v>
      </c>
      <c r="B56" s="1" t="n">
        <v>43916</v>
      </c>
      <c r="C56" s="7" t="n">
        <v>74386</v>
      </c>
      <c r="D56" s="7" t="n">
        <v>5210</v>
      </c>
      <c r="E56" s="7" t="n">
        <v>7503</v>
      </c>
      <c r="F56" s="7" t="n">
        <v>683</v>
      </c>
      <c r="G56" s="7" t="n">
        <v>9362</v>
      </c>
      <c r="H56" s="7" t="n">
        <v>57521</v>
      </c>
      <c r="I56" s="7" t="n">
        <v>3489</v>
      </c>
      <c r="J56" s="7" t="n">
        <v>1230</v>
      </c>
      <c r="K56" s="7" t="n">
        <v>124</v>
      </c>
      <c r="L56" s="7"/>
      <c r="M56" s="7"/>
    </row>
    <row r="57" customFormat="false" ht="15.75" hidden="false" customHeight="false" outlineLevel="0" collapsed="false">
      <c r="A57" s="0" t="s">
        <v>16</v>
      </c>
      <c r="B57" s="1" t="n">
        <v>43917</v>
      </c>
      <c r="C57" s="7" t="n">
        <v>80589</v>
      </c>
      <c r="D57" s="7" t="n">
        <v>6203</v>
      </c>
      <c r="E57" s="7" t="n">
        <v>8215</v>
      </c>
      <c r="F57" s="7" t="n">
        <v>712</v>
      </c>
      <c r="G57" s="7" t="n">
        <v>10361</v>
      </c>
      <c r="H57" s="7" t="n">
        <v>62013</v>
      </c>
      <c r="I57" s="7" t="n">
        <v>3612</v>
      </c>
      <c r="J57" s="7" t="n">
        <v>1333</v>
      </c>
      <c r="K57" s="7" t="n">
        <v>136</v>
      </c>
      <c r="L57" s="7"/>
      <c r="M57" s="7"/>
    </row>
    <row r="58" customFormat="false" ht="15.75" hidden="false" customHeight="false" outlineLevel="0" collapsed="false">
      <c r="A58" s="0" t="s">
        <v>16</v>
      </c>
      <c r="B58" s="1" t="n">
        <v>43918</v>
      </c>
      <c r="C58" s="7" t="n">
        <v>86498</v>
      </c>
      <c r="D58" s="7" t="n">
        <v>5909</v>
      </c>
      <c r="E58" s="7" t="n">
        <v>9134</v>
      </c>
      <c r="F58" s="7" t="n">
        <v>919</v>
      </c>
      <c r="G58" s="7" t="n">
        <v>10950</v>
      </c>
      <c r="H58" s="7" t="n">
        <v>66414</v>
      </c>
      <c r="I58" s="7" t="n">
        <v>3732</v>
      </c>
      <c r="J58" s="7" t="n">
        <v>1431</v>
      </c>
      <c r="K58" s="7" t="n">
        <v>151</v>
      </c>
      <c r="L58" s="7"/>
      <c r="M58" s="7"/>
    </row>
    <row r="59" customFormat="false" ht="15.75" hidden="false" customHeight="false" outlineLevel="0" collapsed="false">
      <c r="A59" s="0" t="s">
        <v>16</v>
      </c>
      <c r="B59" s="1" t="n">
        <v>43919</v>
      </c>
      <c r="C59" s="7" t="n">
        <v>92472</v>
      </c>
      <c r="D59" s="7" t="n">
        <v>5974</v>
      </c>
      <c r="E59" s="7" t="n">
        <v>10023</v>
      </c>
      <c r="F59" s="7" t="n">
        <v>889</v>
      </c>
      <c r="G59" s="7" t="n">
        <v>12384</v>
      </c>
      <c r="H59" s="7" t="n">
        <v>70065</v>
      </c>
      <c r="I59" s="7" t="n">
        <v>3856</v>
      </c>
      <c r="J59" s="7" t="n">
        <v>1529</v>
      </c>
      <c r="K59" s="7" t="n">
        <v>166</v>
      </c>
      <c r="L59" s="7"/>
      <c r="M59" s="7"/>
    </row>
    <row r="60" customFormat="false" ht="15.75" hidden="false" customHeight="false" outlineLevel="0" collapsed="false">
      <c r="A60" s="0" t="s">
        <v>16</v>
      </c>
      <c r="B60" s="1" t="n">
        <v>43920</v>
      </c>
      <c r="C60" s="7" t="n">
        <v>97689</v>
      </c>
      <c r="D60" s="7" t="n">
        <v>5217</v>
      </c>
      <c r="E60" s="7" t="n">
        <v>10779</v>
      </c>
      <c r="F60" s="7" t="n">
        <v>756</v>
      </c>
      <c r="G60" s="7" t="n">
        <v>13030</v>
      </c>
      <c r="H60" s="7" t="n">
        <v>73880</v>
      </c>
      <c r="I60" s="7" t="n">
        <v>3906</v>
      </c>
      <c r="J60" s="7" t="n">
        <v>1616</v>
      </c>
      <c r="K60" s="7" t="n">
        <v>178</v>
      </c>
      <c r="L60" s="7"/>
      <c r="M60" s="7"/>
    </row>
    <row r="61" customFormat="false" ht="15.75" hidden="false" customHeight="false" outlineLevel="0" collapsed="false">
      <c r="A61" s="0" t="s">
        <v>16</v>
      </c>
      <c r="B61" s="1" t="n">
        <v>43921</v>
      </c>
      <c r="C61" s="7" t="n">
        <v>101739</v>
      </c>
      <c r="D61" s="7" t="n">
        <v>4050</v>
      </c>
      <c r="E61" s="7" t="n">
        <v>11591</v>
      </c>
      <c r="F61" s="7" t="n">
        <v>812</v>
      </c>
      <c r="G61" s="7" t="n">
        <v>14620</v>
      </c>
      <c r="H61" s="7" t="n">
        <v>75528</v>
      </c>
      <c r="I61" s="7" t="n">
        <v>3981</v>
      </c>
      <c r="J61" s="7" t="n">
        <v>1683</v>
      </c>
      <c r="K61" s="7" t="n">
        <v>192</v>
      </c>
      <c r="L61" s="7"/>
      <c r="M61" s="7"/>
    </row>
    <row r="62" customFormat="false" ht="15.75" hidden="false" customHeight="false" outlineLevel="0" collapsed="false">
      <c r="A62" s="0" t="s">
        <v>16</v>
      </c>
      <c r="B62" s="1" t="n">
        <v>43922</v>
      </c>
      <c r="C62" s="7" t="n">
        <v>105792</v>
      </c>
      <c r="D62" s="7" t="n">
        <v>4053</v>
      </c>
      <c r="E62" s="7" t="n">
        <v>12428</v>
      </c>
      <c r="F62" s="7" t="n">
        <v>837</v>
      </c>
      <c r="G62" s="7" t="n">
        <v>15729</v>
      </c>
      <c r="H62" s="7" t="n">
        <v>77635</v>
      </c>
      <c r="I62" s="7" t="n">
        <v>4023</v>
      </c>
      <c r="J62" s="7" t="n">
        <v>1750</v>
      </c>
      <c r="K62" s="7" t="n">
        <v>206</v>
      </c>
      <c r="L62" s="7"/>
      <c r="M62" s="7"/>
    </row>
    <row r="63" customFormat="false" ht="15.75" hidden="false" customHeight="false" outlineLevel="0" collapsed="false">
      <c r="A63" s="0" t="s">
        <v>16</v>
      </c>
      <c r="B63" s="1" t="n">
        <v>43923</v>
      </c>
      <c r="C63" s="7" t="n">
        <v>110574</v>
      </c>
      <c r="D63" s="7" t="n">
        <v>4782</v>
      </c>
      <c r="E63" s="7" t="n">
        <v>13155</v>
      </c>
      <c r="F63" s="7" t="n">
        <v>727</v>
      </c>
      <c r="G63" s="7" t="n">
        <v>16847</v>
      </c>
      <c r="H63" s="7" t="n">
        <v>80572</v>
      </c>
      <c r="I63" s="7" t="n">
        <v>4035</v>
      </c>
      <c r="J63" s="7" t="n">
        <v>1829</v>
      </c>
      <c r="K63" s="7" t="n">
        <v>218</v>
      </c>
      <c r="L63" s="7"/>
      <c r="M63" s="7"/>
    </row>
    <row r="64" customFormat="false" ht="15.75" hidden="false" customHeight="false" outlineLevel="0" collapsed="false">
      <c r="A64" s="0" t="s">
        <v>16</v>
      </c>
      <c r="B64" s="1" t="n">
        <v>43924</v>
      </c>
      <c r="C64" s="7" t="n">
        <v>115242</v>
      </c>
      <c r="D64" s="7" t="n">
        <v>4668</v>
      </c>
      <c r="E64" s="7" t="n">
        <v>13915</v>
      </c>
      <c r="F64" s="7" t="n">
        <v>760</v>
      </c>
      <c r="G64" s="7" t="n">
        <v>18278</v>
      </c>
      <c r="H64" s="7" t="n">
        <v>83049</v>
      </c>
      <c r="I64" s="7" t="n">
        <v>4053</v>
      </c>
      <c r="J64" s="7" t="n">
        <v>1906</v>
      </c>
      <c r="K64" s="7" t="n">
        <v>230</v>
      </c>
      <c r="L64" s="7"/>
      <c r="M64" s="7"/>
    </row>
    <row r="65" customFormat="false" ht="15.75" hidden="false" customHeight="false" outlineLevel="0" collapsed="false">
      <c r="A65" s="0" t="s">
        <v>16</v>
      </c>
      <c r="B65" s="1" t="n">
        <v>43925</v>
      </c>
      <c r="C65" s="7" t="n">
        <v>119827</v>
      </c>
      <c r="D65" s="7" t="n">
        <v>4585</v>
      </c>
      <c r="E65" s="7" t="n">
        <v>14681</v>
      </c>
      <c r="F65" s="7" t="n">
        <v>766</v>
      </c>
      <c r="G65" s="7" t="n">
        <v>19758</v>
      </c>
      <c r="H65" s="7" t="n">
        <v>85388</v>
      </c>
      <c r="I65" s="7" t="n">
        <v>4068</v>
      </c>
      <c r="J65" s="7" t="n">
        <v>1982</v>
      </c>
      <c r="K65" s="7" t="n">
        <v>243</v>
      </c>
      <c r="L65" s="7"/>
      <c r="M65" s="7"/>
    </row>
    <row r="66" customFormat="false" ht="15.75" hidden="false" customHeight="false" outlineLevel="0" collapsed="false">
      <c r="A66" s="0" t="s">
        <v>16</v>
      </c>
      <c r="B66" s="1" t="n">
        <v>43926</v>
      </c>
      <c r="C66" s="7" t="n">
        <v>124632</v>
      </c>
      <c r="D66" s="7" t="n">
        <v>4805</v>
      </c>
      <c r="E66" s="7" t="n">
        <v>15362</v>
      </c>
      <c r="F66" s="7" t="n">
        <v>681</v>
      </c>
      <c r="G66" s="7" t="n">
        <v>20996</v>
      </c>
      <c r="H66" s="7" t="n">
        <v>88274</v>
      </c>
      <c r="I66" s="7" t="n">
        <v>3994</v>
      </c>
      <c r="J66" s="7" t="n">
        <v>2061</v>
      </c>
      <c r="K66" s="7" t="n">
        <v>254</v>
      </c>
      <c r="L66" s="7" t="n">
        <v>657224</v>
      </c>
      <c r="M66" s="7" t="n">
        <v>10870</v>
      </c>
    </row>
    <row r="67" customFormat="false" ht="15.75" hidden="false" customHeight="false" outlineLevel="0" collapsed="false">
      <c r="A67" s="0" t="s">
        <v>16</v>
      </c>
      <c r="B67" s="1" t="n">
        <v>43927</v>
      </c>
      <c r="C67" s="7" t="n">
        <v>128948</v>
      </c>
      <c r="D67" s="7" t="n">
        <v>4316</v>
      </c>
      <c r="E67" s="7" t="n">
        <v>15887</v>
      </c>
      <c r="F67" s="7" t="n">
        <v>525</v>
      </c>
      <c r="G67" s="7" t="n">
        <v>21815</v>
      </c>
      <c r="H67" s="7" t="n">
        <v>91246</v>
      </c>
      <c r="I67" s="7" t="n">
        <v>3977</v>
      </c>
      <c r="J67" s="7" t="n">
        <v>2133</v>
      </c>
      <c r="K67" s="7" t="n">
        <v>263</v>
      </c>
      <c r="L67" s="7" t="n">
        <v>691461</v>
      </c>
      <c r="M67" s="7" t="n">
        <v>11436</v>
      </c>
    </row>
    <row r="68" customFormat="false" ht="15.75" hidden="false" customHeight="false" outlineLevel="0" collapsed="false">
      <c r="A68" s="0" t="s">
        <v>16</v>
      </c>
      <c r="B68" s="1" t="n">
        <v>43928</v>
      </c>
      <c r="C68" s="12" t="n">
        <v>132547</v>
      </c>
      <c r="D68" s="12" t="n">
        <v>3599</v>
      </c>
      <c r="E68" s="12" t="n">
        <v>16523</v>
      </c>
      <c r="F68" s="12" t="n">
        <v>636</v>
      </c>
      <c r="G68" s="12" t="n">
        <v>22837</v>
      </c>
      <c r="H68" s="12" t="n">
        <v>93187</v>
      </c>
      <c r="I68" s="12" t="n">
        <v>3898</v>
      </c>
      <c r="J68" s="12" t="n">
        <v>2192</v>
      </c>
      <c r="K68" s="12" t="n">
        <v>273</v>
      </c>
      <c r="L68" s="12" t="n">
        <v>721732</v>
      </c>
      <c r="M68" s="12" t="n">
        <v>11937</v>
      </c>
    </row>
    <row r="69" customFormat="false" ht="15.75" hidden="false" customHeight="false" outlineLevel="0" collapsed="false">
      <c r="A69" s="0" t="s">
        <v>16</v>
      </c>
      <c r="B69" s="1" t="n">
        <v>43929</v>
      </c>
      <c r="C69" s="6" t="n">
        <v>135586</v>
      </c>
      <c r="D69" s="6" t="n">
        <v>3039</v>
      </c>
      <c r="E69" s="6" t="n">
        <v>17127</v>
      </c>
      <c r="F69" s="6" t="n">
        <v>604</v>
      </c>
      <c r="G69" s="6" t="n">
        <v>24392</v>
      </c>
      <c r="H69" s="6" t="n">
        <v>94067</v>
      </c>
      <c r="I69" s="6" t="n">
        <v>3792</v>
      </c>
      <c r="J69" s="6" t="n">
        <v>2243</v>
      </c>
      <c r="K69" s="6" t="n">
        <v>283</v>
      </c>
      <c r="L69" s="6" t="n">
        <v>755445</v>
      </c>
      <c r="M69" s="6" t="n">
        <v>12495</v>
      </c>
    </row>
    <row r="70" customFormat="false" ht="15.75" hidden="false" customHeight="false" outlineLevel="0" collapsed="false">
      <c r="A70" s="0" t="s">
        <v>16</v>
      </c>
      <c r="B70" s="1" t="n">
        <v>43930</v>
      </c>
      <c r="C70" s="14" t="n">
        <v>139422</v>
      </c>
      <c r="D70" s="14" t="n">
        <v>3836</v>
      </c>
      <c r="E70" s="14" t="n">
        <v>17669</v>
      </c>
      <c r="F70" s="14" t="n">
        <v>542</v>
      </c>
      <c r="G70" s="14" t="n">
        <v>26491</v>
      </c>
      <c r="H70" s="14" t="n">
        <v>95262</v>
      </c>
      <c r="I70" s="14" t="n">
        <v>3693</v>
      </c>
      <c r="J70" s="14" t="n">
        <v>2306</v>
      </c>
      <c r="K70" s="14" t="n">
        <v>292</v>
      </c>
      <c r="L70" s="14" t="n">
        <v>807125</v>
      </c>
      <c r="M70" s="14" t="n">
        <v>13349</v>
      </c>
    </row>
    <row r="71" customFormat="false" ht="15.75" hidden="false" customHeight="false" outlineLevel="0" collapsed="false">
      <c r="A71" s="0" t="s">
        <v>16</v>
      </c>
      <c r="B71" s="1" t="n">
        <v>43931</v>
      </c>
      <c r="C71" s="14" t="n">
        <v>143626</v>
      </c>
      <c r="D71" s="14" t="n">
        <v>4204</v>
      </c>
      <c r="E71" s="14" t="n">
        <v>18279</v>
      </c>
      <c r="F71" s="14" t="n">
        <v>610</v>
      </c>
      <c r="G71" s="14" t="n">
        <v>28470</v>
      </c>
      <c r="H71" s="14" t="n">
        <v>96877</v>
      </c>
      <c r="I71" s="14" t="n">
        <v>3605</v>
      </c>
      <c r="J71" s="14" t="n">
        <v>2375</v>
      </c>
      <c r="K71" s="14" t="n">
        <v>302</v>
      </c>
      <c r="L71" s="14" t="n">
        <v>853369</v>
      </c>
      <c r="M71" s="14" t="n">
        <v>14114</v>
      </c>
    </row>
    <row r="72" customFormat="false" ht="15.75" hidden="false" customHeight="false" outlineLevel="0" collapsed="false">
      <c r="A72" s="0" t="s">
        <v>16</v>
      </c>
      <c r="B72" s="1" t="n">
        <v>43932</v>
      </c>
      <c r="C72" s="14" t="n">
        <v>147577</v>
      </c>
      <c r="D72" s="14" t="n">
        <v>3951</v>
      </c>
      <c r="E72" s="14" t="n">
        <v>18849</v>
      </c>
      <c r="F72" s="14" t="n">
        <v>570</v>
      </c>
      <c r="G72" s="14" t="n">
        <v>30455</v>
      </c>
      <c r="H72" s="14" t="n">
        <v>98273</v>
      </c>
      <c r="I72" s="14" t="n">
        <v>3497</v>
      </c>
      <c r="J72" s="14" t="n">
        <v>2441</v>
      </c>
      <c r="K72" s="14" t="n">
        <v>312</v>
      </c>
      <c r="L72" s="14" t="n">
        <v>906864</v>
      </c>
      <c r="M72" s="14" t="n">
        <v>14999</v>
      </c>
    </row>
    <row r="73" customFormat="false" ht="15.75" hidden="false" customHeight="false" outlineLevel="0" collapsed="false">
      <c r="A73" s="0" t="s">
        <v>16</v>
      </c>
      <c r="B73" s="1" t="n">
        <v>43933</v>
      </c>
      <c r="C73" s="14" t="n">
        <v>152271</v>
      </c>
      <c r="D73" s="14" t="n">
        <v>4694</v>
      </c>
      <c r="E73" s="14" t="n">
        <v>19468</v>
      </c>
      <c r="F73" s="14" t="n">
        <v>619</v>
      </c>
      <c r="G73" s="14" t="n">
        <v>32534</v>
      </c>
      <c r="H73" s="14" t="n">
        <v>100269</v>
      </c>
      <c r="I73" s="14" t="n">
        <v>3381</v>
      </c>
      <c r="J73" s="14" t="n">
        <v>2518</v>
      </c>
      <c r="K73" s="14" t="n">
        <v>322</v>
      </c>
      <c r="L73" s="14" t="n">
        <v>963473</v>
      </c>
      <c r="M73" s="14" t="n">
        <v>15935</v>
      </c>
    </row>
    <row r="74" customFormat="false" ht="15.75" hidden="false" customHeight="false" outlineLevel="0" collapsed="false">
      <c r="A74" s="0" t="s">
        <v>16</v>
      </c>
      <c r="B74" s="1" t="n">
        <v>43934</v>
      </c>
      <c r="C74" s="14" t="n">
        <v>156363</v>
      </c>
      <c r="D74" s="14" t="n">
        <v>4092</v>
      </c>
      <c r="E74" s="14" t="n">
        <v>19899</v>
      </c>
      <c r="F74" s="14" t="n">
        <v>431</v>
      </c>
      <c r="G74" s="14" t="n">
        <v>34211</v>
      </c>
      <c r="H74" s="14" t="n">
        <v>102253</v>
      </c>
      <c r="I74" s="14" t="n">
        <v>3343</v>
      </c>
      <c r="J74" s="14" t="n">
        <v>2586</v>
      </c>
      <c r="K74" s="14" t="n">
        <v>329</v>
      </c>
      <c r="L74" s="14" t="n">
        <v>1010193</v>
      </c>
      <c r="M74" s="14" t="n">
        <v>16708</v>
      </c>
    </row>
    <row r="75" customFormat="false" ht="15.75" hidden="false" customHeight="false" outlineLevel="0" collapsed="false">
      <c r="A75" s="0" t="s">
        <v>16</v>
      </c>
      <c r="B75" s="1" t="n">
        <v>43935</v>
      </c>
      <c r="C75" s="14" t="n">
        <v>159516</v>
      </c>
      <c r="D75" s="14" t="n">
        <v>3153</v>
      </c>
      <c r="E75" s="14" t="n">
        <v>20465</v>
      </c>
      <c r="F75" s="14" t="n">
        <v>566</v>
      </c>
      <c r="G75" s="14" t="n">
        <v>35435</v>
      </c>
      <c r="H75" s="14" t="n">
        <v>103616</v>
      </c>
      <c r="I75" s="14" t="n">
        <v>3260</v>
      </c>
      <c r="J75" s="14" t="n">
        <v>2638</v>
      </c>
      <c r="K75" s="14" t="n">
        <v>338</v>
      </c>
      <c r="L75" s="14" t="n">
        <v>1046910</v>
      </c>
      <c r="M75" s="14" t="n">
        <v>17315</v>
      </c>
    </row>
    <row r="76" customFormat="false" ht="15.75" hidden="false" customHeight="false" outlineLevel="0" collapsed="false">
      <c r="A76" s="0" t="s">
        <v>16</v>
      </c>
      <c r="B76" s="1" t="n">
        <v>43936</v>
      </c>
      <c r="C76" s="14" t="n">
        <v>162488</v>
      </c>
      <c r="D76" s="14" t="n">
        <v>2972</v>
      </c>
      <c r="E76" s="14" t="n">
        <v>21067</v>
      </c>
      <c r="F76" s="14" t="n">
        <v>602</v>
      </c>
      <c r="G76" s="14" t="n">
        <v>37130</v>
      </c>
      <c r="H76" s="14" t="n">
        <v>104291</v>
      </c>
      <c r="I76" s="14" t="n">
        <v>3186</v>
      </c>
      <c r="J76" s="14" t="n">
        <v>2687</v>
      </c>
      <c r="K76" s="14" t="n">
        <v>348</v>
      </c>
      <c r="L76" s="14" t="n">
        <v>1073689</v>
      </c>
      <c r="M76" s="14" t="n">
        <v>17758</v>
      </c>
    </row>
    <row r="77" customFormat="false" ht="15.75" hidden="false" customHeight="false" outlineLevel="0" collapsed="false">
      <c r="A77" s="0" t="s">
        <v>16</v>
      </c>
      <c r="B77" s="1" t="n">
        <v>43937</v>
      </c>
      <c r="C77" s="14" t="n">
        <v>165155</v>
      </c>
      <c r="D77" s="14" t="n">
        <v>2667</v>
      </c>
      <c r="E77" s="14" t="n">
        <v>21645</v>
      </c>
      <c r="F77" s="14" t="n">
        <v>578</v>
      </c>
      <c r="G77" s="14" t="n">
        <v>38092</v>
      </c>
      <c r="H77" s="14" t="n">
        <v>105418</v>
      </c>
      <c r="I77" s="14" t="n">
        <v>3079</v>
      </c>
      <c r="J77" s="14" t="n">
        <v>2732</v>
      </c>
      <c r="K77" s="14" t="n">
        <v>358</v>
      </c>
      <c r="L77" s="14" t="n">
        <v>1117404</v>
      </c>
      <c r="M77" s="14" t="n">
        <v>18481</v>
      </c>
    </row>
    <row r="78" customFormat="false" ht="15.75" hidden="false" customHeight="false" outlineLevel="0" collapsed="false">
      <c r="A78" s="0" t="s">
        <v>16</v>
      </c>
      <c r="B78" s="1" t="n">
        <v>43938</v>
      </c>
      <c r="C78" s="14" t="n">
        <v>168941</v>
      </c>
      <c r="D78" s="14" t="n">
        <v>3786</v>
      </c>
      <c r="E78" s="14" t="n">
        <v>22170</v>
      </c>
      <c r="F78" s="14" t="n">
        <v>525</v>
      </c>
      <c r="G78" s="14" t="n">
        <v>40164</v>
      </c>
      <c r="H78" s="14" t="n">
        <v>106607</v>
      </c>
      <c r="I78" s="14" t="n">
        <v>2936</v>
      </c>
      <c r="J78" s="14" t="n">
        <v>2794</v>
      </c>
      <c r="K78" s="14" t="n">
        <v>367</v>
      </c>
      <c r="L78" s="14" t="n">
        <v>1178403</v>
      </c>
      <c r="M78" s="14" t="n">
        <v>19490</v>
      </c>
    </row>
    <row r="79" customFormat="false" ht="15.75" hidden="false" customHeight="false" outlineLevel="0" collapsed="false">
      <c r="A79" s="0" t="s">
        <v>16</v>
      </c>
      <c r="B79" s="1" t="n">
        <v>43939</v>
      </c>
      <c r="C79" s="14" t="n">
        <v>172434</v>
      </c>
      <c r="D79" s="14" t="n">
        <v>3493</v>
      </c>
      <c r="E79" s="14" t="n">
        <v>22745</v>
      </c>
      <c r="F79" s="14" t="n">
        <v>575</v>
      </c>
      <c r="G79" s="14" t="n">
        <v>42727</v>
      </c>
      <c r="H79" s="14" t="n">
        <v>106962</v>
      </c>
      <c r="I79" s="14" t="n">
        <v>2812</v>
      </c>
      <c r="J79" s="14" t="n">
        <v>2852</v>
      </c>
      <c r="K79" s="14" t="n">
        <v>376</v>
      </c>
      <c r="L79" s="14" t="n">
        <v>1244108</v>
      </c>
      <c r="M79" s="14" t="n">
        <v>20577</v>
      </c>
    </row>
    <row r="80" customFormat="false" ht="15.75" hidden="false" customHeight="false" outlineLevel="0" collapsed="false">
      <c r="A80" s="0" t="s">
        <v>16</v>
      </c>
      <c r="B80" s="1" t="n">
        <v>43940</v>
      </c>
      <c r="C80" s="14" t="n">
        <v>175925</v>
      </c>
      <c r="D80" s="14" t="n">
        <v>3491</v>
      </c>
      <c r="E80" s="14" t="n">
        <v>23227</v>
      </c>
      <c r="F80" s="14" t="n">
        <v>482</v>
      </c>
      <c r="G80" s="14" t="n">
        <v>44927</v>
      </c>
      <c r="H80" s="14" t="n">
        <v>107771</v>
      </c>
      <c r="I80" s="14" t="n">
        <v>2733</v>
      </c>
      <c r="J80" s="14" t="n">
        <v>2910</v>
      </c>
      <c r="K80" s="14" t="n">
        <v>384</v>
      </c>
      <c r="L80" s="14" t="n">
        <v>1305833</v>
      </c>
      <c r="M80" s="14" t="n">
        <v>21598</v>
      </c>
    </row>
    <row r="81" customFormat="false" ht="15.75" hidden="false" customHeight="false" outlineLevel="0" collapsed="false">
      <c r="A81" s="0" t="s">
        <v>16</v>
      </c>
      <c r="B81" s="1" t="n">
        <v>43941</v>
      </c>
      <c r="C81" s="14" t="n">
        <v>178972</v>
      </c>
      <c r="D81" s="14" t="n">
        <v>3047</v>
      </c>
      <c r="E81" s="14" t="n">
        <v>23660</v>
      </c>
      <c r="F81" s="14" t="n">
        <v>433</v>
      </c>
      <c r="G81" s="14" t="n">
        <v>47055</v>
      </c>
      <c r="H81" s="14" t="n">
        <v>108257</v>
      </c>
      <c r="I81" s="14" t="n">
        <v>2635</v>
      </c>
      <c r="J81" s="14" t="n">
        <v>2960</v>
      </c>
      <c r="K81" s="14" t="n">
        <v>391</v>
      </c>
      <c r="L81" s="14" t="n">
        <v>1356541</v>
      </c>
      <c r="M81" s="14" t="n">
        <v>22436</v>
      </c>
    </row>
    <row r="82" customFormat="false" ht="15.75" hidden="false" customHeight="false" outlineLevel="0" collapsed="false">
      <c r="A82" s="0" t="s">
        <v>16</v>
      </c>
      <c r="B82" s="1" t="n">
        <v>43942</v>
      </c>
      <c r="C82" s="6" t="n">
        <v>181228</v>
      </c>
      <c r="D82" s="6" t="n">
        <v>2256</v>
      </c>
      <c r="E82" s="6" t="n">
        <v>24114</v>
      </c>
      <c r="F82" s="6" t="n">
        <v>454</v>
      </c>
      <c r="G82" s="6" t="n">
        <v>48877</v>
      </c>
      <c r="H82" s="6" t="n">
        <v>108237</v>
      </c>
      <c r="I82" s="6" t="n">
        <v>2573</v>
      </c>
      <c r="J82" s="6" t="n">
        <v>2997</v>
      </c>
      <c r="K82" s="6" t="n">
        <v>399</v>
      </c>
      <c r="L82" s="6" t="n">
        <v>1398024</v>
      </c>
      <c r="M82" s="6" t="n">
        <v>23122</v>
      </c>
    </row>
    <row r="83" customFormat="false" ht="15.75" hidden="false" customHeight="false" outlineLevel="0" collapsed="false">
      <c r="A83" s="0" t="s">
        <v>16</v>
      </c>
      <c r="B83" s="1" t="n">
        <v>43943</v>
      </c>
      <c r="C83" s="6" t="n">
        <v>183957</v>
      </c>
      <c r="D83" s="6" t="n">
        <v>2729</v>
      </c>
      <c r="E83" s="6" t="n">
        <v>24648</v>
      </c>
      <c r="F83" s="6" t="n">
        <v>534</v>
      </c>
      <c r="G83" s="6" t="n">
        <v>51600</v>
      </c>
      <c r="H83" s="6" t="n">
        <v>107709</v>
      </c>
      <c r="I83" s="6" t="n">
        <v>2471</v>
      </c>
      <c r="J83" s="6" t="n">
        <v>3043</v>
      </c>
      <c r="K83" s="6" t="n">
        <v>408</v>
      </c>
      <c r="L83" s="6" t="n">
        <v>1450150</v>
      </c>
      <c r="M83" s="6" t="n">
        <v>23985</v>
      </c>
    </row>
    <row r="84" customFormat="false" ht="15.75" hidden="false" customHeight="false" outlineLevel="0" collapsed="false">
      <c r="A84" s="0" t="s">
        <v>16</v>
      </c>
      <c r="B84" s="1" t="n">
        <v>43944</v>
      </c>
      <c r="C84" s="6" t="n">
        <v>187327</v>
      </c>
      <c r="D84" s="6" t="n">
        <v>3370</v>
      </c>
      <c r="E84" s="6" t="n">
        <v>25085</v>
      </c>
      <c r="F84" s="6" t="n">
        <v>437</v>
      </c>
      <c r="G84" s="6" t="n">
        <v>54543</v>
      </c>
      <c r="H84" s="6" t="n">
        <v>107699</v>
      </c>
      <c r="I84" s="6" t="n">
        <v>2384</v>
      </c>
      <c r="J84" s="6" t="n">
        <v>3098</v>
      </c>
      <c r="K84" s="6" t="n">
        <v>415</v>
      </c>
      <c r="L84" s="6" t="n">
        <v>1513251</v>
      </c>
      <c r="M84" s="6" t="n">
        <v>25028</v>
      </c>
    </row>
    <row r="85" customFormat="false" ht="15.75" hidden="false" customHeight="false" outlineLevel="0" collapsed="false">
      <c r="A85" s="0" t="s">
        <v>16</v>
      </c>
      <c r="B85" s="1" t="n">
        <v>43945</v>
      </c>
      <c r="C85" s="6" t="n">
        <v>189973</v>
      </c>
      <c r="D85" s="6" t="n">
        <v>2646</v>
      </c>
      <c r="E85" s="6" t="n">
        <v>25549</v>
      </c>
      <c r="F85" s="6" t="n">
        <v>464</v>
      </c>
      <c r="G85" s="6" t="n">
        <v>57576</v>
      </c>
      <c r="H85" s="6" t="n">
        <v>106848</v>
      </c>
      <c r="I85" s="6" t="n">
        <v>2267</v>
      </c>
      <c r="J85" s="6" t="n">
        <v>3142</v>
      </c>
      <c r="K85" s="6" t="n">
        <v>423</v>
      </c>
      <c r="L85" s="6" t="n">
        <v>1579909</v>
      </c>
      <c r="M85" s="6" t="n">
        <v>26131</v>
      </c>
    </row>
    <row r="86" customFormat="false" ht="15.75" hidden="false" customHeight="false" outlineLevel="0" collapsed="false">
      <c r="A86" s="0" t="s">
        <v>16</v>
      </c>
      <c r="B86" s="1" t="n">
        <v>43946</v>
      </c>
      <c r="C86" s="6" t="n">
        <v>192994</v>
      </c>
      <c r="D86" s="6" t="n">
        <v>3021</v>
      </c>
      <c r="E86" s="6" t="n">
        <v>25969</v>
      </c>
      <c r="F86" s="6" t="n">
        <v>420</v>
      </c>
      <c r="G86" s="6" t="n">
        <v>60498</v>
      </c>
      <c r="H86" s="6" t="n">
        <v>106527</v>
      </c>
      <c r="I86" s="6" t="n">
        <v>2173</v>
      </c>
      <c r="J86" s="6" t="n">
        <v>3192</v>
      </c>
      <c r="K86" s="6" t="n">
        <v>430</v>
      </c>
      <c r="L86" s="6" t="n">
        <v>1642356</v>
      </c>
      <c r="M86" s="6" t="n">
        <v>27164</v>
      </c>
    </row>
    <row r="87" customFormat="false" ht="15.75" hidden="false" customHeight="false" outlineLevel="0" collapsed="false">
      <c r="A87" s="0" t="s">
        <v>16</v>
      </c>
      <c r="B87" s="1" t="n">
        <v>43947</v>
      </c>
      <c r="C87" s="6" t="n">
        <v>195351</v>
      </c>
      <c r="D87" s="6" t="n">
        <v>2357</v>
      </c>
      <c r="E87" s="6" t="n">
        <v>26384</v>
      </c>
      <c r="F87" s="6" t="n">
        <v>415</v>
      </c>
      <c r="G87" s="6" t="n">
        <v>63120</v>
      </c>
      <c r="H87" s="6" t="n">
        <v>105847</v>
      </c>
      <c r="I87" s="6" t="n">
        <v>2102</v>
      </c>
      <c r="J87" s="6" t="n">
        <v>3231</v>
      </c>
      <c r="K87" s="6" t="n">
        <v>436</v>
      </c>
      <c r="L87" s="6" t="n">
        <v>1707743</v>
      </c>
      <c r="M87" s="6" t="n">
        <v>28245</v>
      </c>
    </row>
    <row r="88" customFormat="false" ht="15.75" hidden="false" customHeight="false" outlineLevel="0" collapsed="false">
      <c r="A88" s="0" t="s">
        <v>16</v>
      </c>
      <c r="B88" s="1" t="n">
        <v>43948</v>
      </c>
      <c r="C88" s="6" t="n">
        <v>197675</v>
      </c>
      <c r="D88" s="6" t="n">
        <v>2324</v>
      </c>
      <c r="E88" s="6" t="n">
        <v>26644</v>
      </c>
      <c r="F88" s="6" t="n">
        <v>260</v>
      </c>
      <c r="G88" s="6" t="n">
        <v>64928</v>
      </c>
      <c r="H88" s="6" t="n">
        <v>106103</v>
      </c>
      <c r="I88" s="6" t="n">
        <v>2009</v>
      </c>
      <c r="J88" s="6" t="n">
        <v>3269</v>
      </c>
      <c r="K88" s="6" t="n">
        <v>441</v>
      </c>
      <c r="L88" s="6" t="n">
        <v>1757659</v>
      </c>
      <c r="M88" s="6" t="n">
        <v>29071</v>
      </c>
    </row>
    <row r="89" customFormat="false" ht="15.75" hidden="false" customHeight="false" outlineLevel="0" collapsed="false">
      <c r="A89" s="0" t="s">
        <v>16</v>
      </c>
      <c r="B89" s="1" t="n">
        <v>43949</v>
      </c>
      <c r="C89" s="6" t="n">
        <v>199414</v>
      </c>
      <c r="D89" s="6" t="n">
        <v>1739</v>
      </c>
      <c r="E89" s="6" t="n">
        <v>26977</v>
      </c>
      <c r="F89" s="6" t="n">
        <v>333</v>
      </c>
      <c r="G89" s="6" t="n">
        <v>66624</v>
      </c>
      <c r="H89" s="6" t="n">
        <v>105813</v>
      </c>
      <c r="I89" s="6" t="n">
        <v>1956</v>
      </c>
      <c r="J89" s="6" t="n">
        <v>3298</v>
      </c>
      <c r="K89" s="6" t="n">
        <v>446</v>
      </c>
      <c r="L89" s="6" t="n">
        <v>1789662</v>
      </c>
      <c r="M89" s="6" t="n">
        <v>29600</v>
      </c>
    </row>
    <row r="90" customFormat="false" ht="15.75" hidden="false" customHeight="false" outlineLevel="0" collapsed="false">
      <c r="A90" s="0" t="s">
        <v>16</v>
      </c>
      <c r="B90" s="1" t="n">
        <v>43950</v>
      </c>
      <c r="C90" s="6" t="n">
        <v>201505</v>
      </c>
      <c r="D90" s="6" t="n">
        <v>2091</v>
      </c>
      <c r="E90" s="6" t="n">
        <v>27359</v>
      </c>
      <c r="F90" s="6" t="n">
        <v>382</v>
      </c>
      <c r="G90" s="6" t="n">
        <v>68941</v>
      </c>
      <c r="H90" s="6" t="n">
        <v>105205</v>
      </c>
      <c r="I90" s="6" t="n">
        <v>1863</v>
      </c>
      <c r="J90" s="6" t="n">
        <v>3333</v>
      </c>
      <c r="K90" s="6" t="n">
        <v>453</v>
      </c>
      <c r="L90" s="6" t="n">
        <v>1846934</v>
      </c>
      <c r="M90" s="6" t="n">
        <v>30547</v>
      </c>
    </row>
    <row r="91" customFormat="false" ht="15.75" hidden="false" customHeight="false" outlineLevel="0" collapsed="false">
      <c r="A91" s="0" t="s">
        <v>16</v>
      </c>
      <c r="B91" s="1" t="n">
        <v>43951</v>
      </c>
      <c r="C91" s="6" t="n">
        <v>203591</v>
      </c>
      <c r="D91" s="6" t="n">
        <v>2086</v>
      </c>
      <c r="E91" s="6" t="n">
        <v>27682</v>
      </c>
      <c r="F91" s="6" t="n">
        <v>323</v>
      </c>
      <c r="G91" s="6" t="n">
        <v>71252</v>
      </c>
      <c r="H91" s="6" t="n">
        <v>104657</v>
      </c>
      <c r="I91" s="6" t="n">
        <v>1795</v>
      </c>
      <c r="J91" s="6" t="n">
        <v>3367</v>
      </c>
      <c r="K91" s="6" t="n">
        <v>458</v>
      </c>
      <c r="L91" s="6" t="n">
        <v>1910761</v>
      </c>
      <c r="M91" s="6" t="n">
        <v>31603</v>
      </c>
    </row>
    <row r="92" customFormat="false" ht="15.75" hidden="false" customHeight="false" outlineLevel="0" collapsed="false">
      <c r="A92" s="0" t="s">
        <v>16</v>
      </c>
      <c r="B92" s="1" t="n">
        <v>43952</v>
      </c>
      <c r="C92" s="6" t="n">
        <v>205463</v>
      </c>
      <c r="D92" s="6" t="n">
        <v>1872</v>
      </c>
      <c r="E92" s="6" t="n">
        <v>27967</v>
      </c>
      <c r="F92" s="6" t="n">
        <v>285</v>
      </c>
      <c r="G92" s="6" t="n">
        <v>75945</v>
      </c>
      <c r="H92" s="6" t="n">
        <v>101551</v>
      </c>
      <c r="I92" s="6" t="n">
        <v>1694</v>
      </c>
      <c r="J92" s="6" t="n">
        <v>3398</v>
      </c>
      <c r="K92" s="6" t="n">
        <v>463</v>
      </c>
      <c r="L92" s="6" t="n">
        <v>1979217</v>
      </c>
      <c r="M92" s="6" t="n">
        <v>32735</v>
      </c>
    </row>
    <row r="93" customFormat="false" ht="15.75" hidden="false" customHeight="false" outlineLevel="0" collapsed="false">
      <c r="A93" s="0" t="s">
        <v>16</v>
      </c>
      <c r="B93" s="1" t="n">
        <v>43953</v>
      </c>
      <c r="C93" s="6" t="n">
        <v>207428</v>
      </c>
      <c r="D93" s="6" t="n">
        <v>1965</v>
      </c>
      <c r="E93" s="6" t="n">
        <v>28236</v>
      </c>
      <c r="F93" s="6" t="n">
        <v>269</v>
      </c>
      <c r="G93" s="6" t="n">
        <v>78249</v>
      </c>
      <c r="H93" s="6" t="n">
        <v>100943</v>
      </c>
      <c r="I93" s="6" t="n">
        <v>1578</v>
      </c>
      <c r="J93" s="6" t="n">
        <v>3431</v>
      </c>
      <c r="K93" s="6" t="n">
        <v>467</v>
      </c>
      <c r="L93" s="6" t="n">
        <v>2053425</v>
      </c>
      <c r="M93" s="6" t="n">
        <v>33962</v>
      </c>
    </row>
    <row r="94" customFormat="false" ht="15.75" hidden="false" customHeight="false" outlineLevel="0" collapsed="false">
      <c r="A94" s="0" t="s">
        <v>16</v>
      </c>
      <c r="B94" s="1" t="n">
        <v>43954</v>
      </c>
      <c r="C94" s="6" t="n">
        <v>209328</v>
      </c>
      <c r="D94" s="6" t="n">
        <v>1900</v>
      </c>
      <c r="E94" s="6" t="n">
        <v>28710</v>
      </c>
      <c r="F94" s="6" t="n">
        <v>474</v>
      </c>
      <c r="G94" s="6" t="n">
        <v>79914</v>
      </c>
      <c r="H94" s="6" t="n">
        <v>100704</v>
      </c>
      <c r="I94" s="6" t="n">
        <v>1539</v>
      </c>
      <c r="J94" s="6" t="n">
        <v>3462</v>
      </c>
      <c r="K94" s="6" t="n">
        <v>475</v>
      </c>
      <c r="L94" s="6" t="n">
        <v>2108837</v>
      </c>
      <c r="M94" s="6" t="n">
        <v>34879</v>
      </c>
    </row>
    <row r="95" customFormat="false" ht="15.75" hidden="false" customHeight="false" outlineLevel="0" collapsed="false">
      <c r="A95" s="0" t="s">
        <v>16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16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16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16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16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16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16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16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16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16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16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16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16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16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16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16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16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16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16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16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16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16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16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16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16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16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16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16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16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16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16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16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16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16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16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16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16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16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16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16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16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16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16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16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16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16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16</v>
      </c>
      <c r="B141" s="1" t="n">
        <v>44001</v>
      </c>
      <c r="C141" s="6" t="n">
        <v>238011</v>
      </c>
      <c r="D141" s="6" t="e">
        <f aca="false">C141-C140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16</v>
      </c>
      <c r="B142" s="1" t="n">
        <v>44002</v>
      </c>
      <c r="C142" s="6" t="n">
        <v>238011</v>
      </c>
      <c r="D142" s="6" t="n">
        <v>0</v>
      </c>
      <c r="E142" s="6" t="n">
        <v>34561</v>
      </c>
      <c r="F142" s="6" t="n">
        <v>47</v>
      </c>
      <c r="G142" s="6" t="n">
        <v>181907</v>
      </c>
      <c r="H142" s="6" t="n">
        <v>21543</v>
      </c>
      <c r="I142" s="6" t="n">
        <v>161</v>
      </c>
      <c r="J142" s="6" t="n">
        <v>3936</v>
      </c>
      <c r="K142" s="6" t="n">
        <v>572</v>
      </c>
      <c r="L142" s="6" t="n">
        <v>4889103</v>
      </c>
      <c r="M142" s="6" t="n">
        <v>80859</v>
      </c>
    </row>
    <row r="143" customFormat="false" ht="15.75" hidden="false" customHeight="false" outlineLevel="0" collapsed="false">
      <c r="A143" s="0" t="s">
        <v>16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16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16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n">
        <v>34644</v>
      </c>
      <c r="F145" s="6" t="n">
        <v>10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16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n">
        <v>34644</v>
      </c>
      <c r="F146" s="6" t="n">
        <v>0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16</v>
      </c>
      <c r="B147" s="1" t="n">
        <v>44007</v>
      </c>
      <c r="C147" s="6" t="n">
        <v>239410</v>
      </c>
      <c r="D147" s="6" t="n">
        <v>577</v>
      </c>
      <c r="E147" s="6" t="n">
        <v>34644</v>
      </c>
      <c r="F147" s="6" t="n">
        <v>0</v>
      </c>
      <c r="G147" s="6" t="n">
        <v>186111</v>
      </c>
      <c r="H147" s="6" t="n">
        <v>18655</v>
      </c>
      <c r="I147" s="6" t="n">
        <v>107</v>
      </c>
      <c r="J147" s="6" t="n">
        <v>3960</v>
      </c>
      <c r="K147" s="6" t="n">
        <v>573</v>
      </c>
      <c r="L147" s="6" t="n">
        <v>5107093</v>
      </c>
      <c r="M147" s="6" t="n">
        <v>84466</v>
      </c>
    </row>
    <row r="148" customFormat="false" ht="15.75" hidden="false" customHeight="false" outlineLevel="0" collapsed="false">
      <c r="A148" s="0" t="s">
        <v>16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16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16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16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16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16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16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16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16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16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16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16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16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16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16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16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16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16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16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16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16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16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16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16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16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16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16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16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16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16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16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16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16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16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16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16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16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16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16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16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18"/>
  <sheetViews>
    <sheetView showFormulas="false" showGridLines="true" showRowColHeaders="true" showZeros="true" rightToLeft="false" tabSelected="true" showOutlineSymbols="true" defaultGridColor="true" view="normal" topLeftCell="A157" colorId="64" zoomScale="100" zoomScaleNormal="100" zoomScalePageLayoutView="100" workbookViewId="0">
      <selection pane="topLeft" activeCell="H192" activeCellId="0" sqref="H192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18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17</v>
      </c>
      <c r="B2" s="1" t="n">
        <v>43831</v>
      </c>
      <c r="C2" s="6" t="n">
        <v>0</v>
      </c>
      <c r="D2" s="6" t="n">
        <v>0</v>
      </c>
      <c r="E2" s="6" t="n">
        <v>0</v>
      </c>
      <c r="F2" s="6" t="n">
        <v>0</v>
      </c>
      <c r="G2" s="6"/>
      <c r="H2" s="6"/>
      <c r="I2" s="6"/>
      <c r="J2" s="6"/>
      <c r="K2" s="11"/>
      <c r="L2" s="6"/>
      <c r="M2" s="6"/>
    </row>
    <row r="3" customFormat="false" ht="15.75" hidden="false" customHeight="false" outlineLevel="0" collapsed="false">
      <c r="A3" s="0" t="s">
        <v>17</v>
      </c>
      <c r="B3" s="1" t="n">
        <v>43832</v>
      </c>
      <c r="C3" s="6" t="n">
        <v>0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11"/>
      <c r="L3" s="6"/>
      <c r="M3" s="6"/>
    </row>
    <row r="4" customFormat="false" ht="15.75" hidden="false" customHeight="false" outlineLevel="0" collapsed="false">
      <c r="A4" s="0" t="s">
        <v>17</v>
      </c>
      <c r="B4" s="1" t="n">
        <v>43833</v>
      </c>
      <c r="C4" s="6" t="n">
        <v>0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11"/>
      <c r="L4" s="6"/>
      <c r="M4" s="6"/>
    </row>
    <row r="5" customFormat="false" ht="15.75" hidden="false" customHeight="false" outlineLevel="0" collapsed="false">
      <c r="A5" s="0" t="s">
        <v>17</v>
      </c>
      <c r="B5" s="1" t="n">
        <v>43834</v>
      </c>
      <c r="C5" s="6" t="n">
        <v>0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11"/>
      <c r="L5" s="6"/>
      <c r="M5" s="6"/>
    </row>
    <row r="6" customFormat="false" ht="15.75" hidden="false" customHeight="false" outlineLevel="0" collapsed="false">
      <c r="A6" s="0" t="s">
        <v>17</v>
      </c>
      <c r="B6" s="1" t="n">
        <v>43835</v>
      </c>
      <c r="C6" s="6" t="n">
        <v>0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11"/>
      <c r="L6" s="6"/>
      <c r="M6" s="6"/>
    </row>
    <row r="7" customFormat="false" ht="15.75" hidden="false" customHeight="false" outlineLevel="0" collapsed="false">
      <c r="A7" s="0" t="s">
        <v>17</v>
      </c>
      <c r="B7" s="1" t="n">
        <v>43836</v>
      </c>
      <c r="C7" s="6" t="n">
        <v>0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11"/>
      <c r="L7" s="6"/>
      <c r="M7" s="6"/>
    </row>
    <row r="8" customFormat="false" ht="15.75" hidden="false" customHeight="false" outlineLevel="0" collapsed="false">
      <c r="A8" s="0" t="s">
        <v>17</v>
      </c>
      <c r="B8" s="1" t="n">
        <v>43837</v>
      </c>
      <c r="C8" s="6" t="n">
        <v>0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11"/>
      <c r="L8" s="6"/>
      <c r="M8" s="6"/>
    </row>
    <row r="9" customFormat="false" ht="15.75" hidden="false" customHeight="false" outlineLevel="0" collapsed="false">
      <c r="A9" s="0" t="s">
        <v>17</v>
      </c>
      <c r="B9" s="1" t="n">
        <v>43838</v>
      </c>
      <c r="C9" s="6" t="n">
        <v>0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11"/>
      <c r="L9" s="6"/>
      <c r="M9" s="6"/>
    </row>
    <row r="10" customFormat="false" ht="15.75" hidden="false" customHeight="false" outlineLevel="0" collapsed="false">
      <c r="A10" s="0" t="s">
        <v>17</v>
      </c>
      <c r="B10" s="1" t="n">
        <v>43839</v>
      </c>
      <c r="C10" s="6" t="n">
        <v>0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11"/>
      <c r="L10" s="6"/>
      <c r="M10" s="6"/>
    </row>
    <row r="11" customFormat="false" ht="15.75" hidden="false" customHeight="false" outlineLevel="0" collapsed="false">
      <c r="A11" s="0" t="s">
        <v>17</v>
      </c>
      <c r="B11" s="1" t="n">
        <v>43840</v>
      </c>
      <c r="C11" s="6" t="n">
        <v>0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11"/>
      <c r="L11" s="6"/>
      <c r="M11" s="6"/>
    </row>
    <row r="12" customFormat="false" ht="15.75" hidden="false" customHeight="false" outlineLevel="0" collapsed="false">
      <c r="A12" s="0" t="s">
        <v>17</v>
      </c>
      <c r="B12" s="1" t="n">
        <v>43841</v>
      </c>
      <c r="C12" s="6" t="n">
        <v>0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11"/>
      <c r="L12" s="6"/>
      <c r="M12" s="6"/>
    </row>
    <row r="13" customFormat="false" ht="15.75" hidden="false" customHeight="false" outlineLevel="0" collapsed="false">
      <c r="A13" s="0" t="s">
        <v>17</v>
      </c>
      <c r="B13" s="1" t="n">
        <v>43842</v>
      </c>
      <c r="C13" s="6" t="n">
        <v>0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11"/>
      <c r="L13" s="6"/>
      <c r="M13" s="6"/>
    </row>
    <row r="14" customFormat="false" ht="15.75" hidden="false" customHeight="false" outlineLevel="0" collapsed="false">
      <c r="A14" s="0" t="s">
        <v>17</v>
      </c>
      <c r="B14" s="1" t="n">
        <v>43843</v>
      </c>
      <c r="C14" s="6" t="n">
        <v>0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11"/>
      <c r="L14" s="6"/>
      <c r="M14" s="6"/>
    </row>
    <row r="15" customFormat="false" ht="15.75" hidden="false" customHeight="false" outlineLevel="0" collapsed="false">
      <c r="A15" s="0" t="s">
        <v>17</v>
      </c>
      <c r="B15" s="1" t="n">
        <v>43844</v>
      </c>
      <c r="C15" s="6" t="n">
        <v>0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11"/>
      <c r="L15" s="6"/>
      <c r="M15" s="6"/>
    </row>
    <row r="16" customFormat="false" ht="15.75" hidden="false" customHeight="false" outlineLevel="0" collapsed="false">
      <c r="A16" s="0" t="s">
        <v>17</v>
      </c>
      <c r="B16" s="1" t="n">
        <v>43845</v>
      </c>
      <c r="C16" s="6" t="n">
        <v>0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11"/>
      <c r="L16" s="6"/>
      <c r="M16" s="6"/>
    </row>
    <row r="17" customFormat="false" ht="15.75" hidden="false" customHeight="false" outlineLevel="0" collapsed="false">
      <c r="A17" s="0" t="s">
        <v>17</v>
      </c>
      <c r="B17" s="1" t="n">
        <v>43846</v>
      </c>
      <c r="C17" s="6" t="n">
        <v>0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11"/>
      <c r="L17" s="6"/>
      <c r="M17" s="6"/>
    </row>
    <row r="18" customFormat="false" ht="15.75" hidden="false" customHeight="false" outlineLevel="0" collapsed="false">
      <c r="A18" s="0" t="s">
        <v>17</v>
      </c>
      <c r="B18" s="1" t="n">
        <v>43847</v>
      </c>
      <c r="C18" s="6" t="n">
        <v>0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11"/>
      <c r="L18" s="6"/>
      <c r="M18" s="6"/>
    </row>
    <row r="19" customFormat="false" ht="15.75" hidden="false" customHeight="false" outlineLevel="0" collapsed="false">
      <c r="A19" s="0" t="s">
        <v>17</v>
      </c>
      <c r="B19" s="1" t="n">
        <v>43848</v>
      </c>
      <c r="C19" s="6" t="n">
        <v>0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11"/>
      <c r="L19" s="6"/>
      <c r="M19" s="6"/>
    </row>
    <row r="20" customFormat="false" ht="15.75" hidden="false" customHeight="false" outlineLevel="0" collapsed="false">
      <c r="A20" s="0" t="s">
        <v>17</v>
      </c>
      <c r="B20" s="1" t="n">
        <v>43849</v>
      </c>
      <c r="C20" s="6" t="n">
        <v>0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11"/>
      <c r="L20" s="6"/>
      <c r="M20" s="6"/>
    </row>
    <row r="21" customFormat="false" ht="15.75" hidden="false" customHeight="false" outlineLevel="0" collapsed="false">
      <c r="A21" s="0" t="s">
        <v>17</v>
      </c>
      <c r="B21" s="1" t="n">
        <v>43850</v>
      </c>
      <c r="C21" s="6" t="n">
        <v>0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11"/>
      <c r="L21" s="6"/>
      <c r="M21" s="6"/>
    </row>
    <row r="22" customFormat="false" ht="15.75" hidden="false" customHeight="false" outlineLevel="0" collapsed="false">
      <c r="A22" s="0" t="s">
        <v>17</v>
      </c>
      <c r="B22" s="1" t="n">
        <v>43851</v>
      </c>
      <c r="C22" s="6" t="n">
        <v>0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11"/>
      <c r="L22" s="6"/>
      <c r="M22" s="6"/>
    </row>
    <row r="23" customFormat="false" ht="15.75" hidden="false" customHeight="false" outlineLevel="0" collapsed="false">
      <c r="A23" s="0" t="s">
        <v>17</v>
      </c>
      <c r="B23" s="1" t="n">
        <v>43852</v>
      </c>
      <c r="C23" s="6" t="n">
        <v>0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11"/>
      <c r="L23" s="6"/>
      <c r="M23" s="6"/>
    </row>
    <row r="24" customFormat="false" ht="15.75" hidden="false" customHeight="false" outlineLevel="0" collapsed="false">
      <c r="A24" s="0" t="s">
        <v>17</v>
      </c>
      <c r="B24" s="1" t="n">
        <v>43853</v>
      </c>
      <c r="C24" s="6" t="n">
        <v>0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11"/>
      <c r="L24" s="6"/>
      <c r="M24" s="6"/>
    </row>
    <row r="25" customFormat="false" ht="15.75" hidden="false" customHeight="false" outlineLevel="0" collapsed="false">
      <c r="A25" s="0" t="s">
        <v>17</v>
      </c>
      <c r="B25" s="1" t="n">
        <v>43854</v>
      </c>
      <c r="C25" s="6" t="n">
        <v>3</v>
      </c>
      <c r="D25" s="6" t="n">
        <v>3</v>
      </c>
      <c r="E25" s="6" t="n">
        <v>0</v>
      </c>
      <c r="F25" s="6" t="n">
        <v>0</v>
      </c>
      <c r="G25" s="6"/>
      <c r="H25" s="6"/>
      <c r="I25" s="6"/>
      <c r="J25" s="6"/>
      <c r="K25" s="11"/>
      <c r="L25" s="6"/>
      <c r="M25" s="6"/>
    </row>
    <row r="26" customFormat="false" ht="15.75" hidden="false" customHeight="false" outlineLevel="0" collapsed="false">
      <c r="A26" s="0" t="s">
        <v>17</v>
      </c>
      <c r="B26" s="1" t="n">
        <v>43855</v>
      </c>
      <c r="C26" s="6" t="n">
        <v>3</v>
      </c>
      <c r="D26" s="6" t="n">
        <v>0</v>
      </c>
      <c r="E26" s="6" t="n">
        <v>0</v>
      </c>
      <c r="F26" s="6" t="n">
        <v>0</v>
      </c>
      <c r="G26" s="6"/>
      <c r="H26" s="6"/>
      <c r="I26" s="6"/>
      <c r="J26" s="6"/>
      <c r="K26" s="11"/>
      <c r="L26" s="6"/>
      <c r="M26" s="6"/>
    </row>
    <row r="27" customFormat="false" ht="15.75" hidden="false" customHeight="false" outlineLevel="0" collapsed="false">
      <c r="A27" s="0" t="s">
        <v>17</v>
      </c>
      <c r="B27" s="1" t="n">
        <v>43856</v>
      </c>
      <c r="C27" s="6" t="n">
        <v>3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11"/>
      <c r="L27" s="6"/>
      <c r="M27" s="6"/>
    </row>
    <row r="28" customFormat="false" ht="15.75" hidden="false" customHeight="false" outlineLevel="0" collapsed="false">
      <c r="A28" s="0" t="s">
        <v>17</v>
      </c>
      <c r="B28" s="1" t="n">
        <v>43857</v>
      </c>
      <c r="C28" s="6" t="n">
        <v>3</v>
      </c>
      <c r="D28" s="6" t="n">
        <v>0</v>
      </c>
      <c r="E28" s="6" t="n">
        <v>0</v>
      </c>
      <c r="F28" s="6" t="n">
        <v>0</v>
      </c>
      <c r="G28" s="6"/>
      <c r="H28" s="6"/>
      <c r="I28" s="6"/>
      <c r="J28" s="6"/>
      <c r="K28" s="11"/>
      <c r="L28" s="6"/>
      <c r="M28" s="6"/>
    </row>
    <row r="29" customFormat="false" ht="15.75" hidden="false" customHeight="false" outlineLevel="0" collapsed="false">
      <c r="A29" s="0" t="s">
        <v>17</v>
      </c>
      <c r="B29" s="1" t="n">
        <v>43858</v>
      </c>
      <c r="C29" s="6" t="n">
        <v>4</v>
      </c>
      <c r="D29" s="6" t="n">
        <v>1</v>
      </c>
      <c r="E29" s="6" t="n">
        <v>0</v>
      </c>
      <c r="F29" s="6" t="n">
        <v>0</v>
      </c>
      <c r="G29" s="6"/>
      <c r="H29" s="6"/>
      <c r="I29" s="6"/>
      <c r="J29" s="6"/>
      <c r="K29" s="11"/>
      <c r="L29" s="6"/>
      <c r="M29" s="6"/>
    </row>
    <row r="30" customFormat="false" ht="15.75" hidden="false" customHeight="false" outlineLevel="0" collapsed="false">
      <c r="A30" s="0" t="s">
        <v>17</v>
      </c>
      <c r="B30" s="1" t="n">
        <v>43859</v>
      </c>
      <c r="C30" s="6" t="n">
        <v>5</v>
      </c>
      <c r="D30" s="6" t="n">
        <v>1</v>
      </c>
      <c r="E30" s="6" t="n">
        <v>0</v>
      </c>
      <c r="F30" s="6" t="n">
        <v>0</v>
      </c>
      <c r="G30" s="6"/>
      <c r="H30" s="6"/>
      <c r="I30" s="6"/>
      <c r="J30" s="6"/>
      <c r="K30" s="11"/>
      <c r="L30" s="6"/>
      <c r="M30" s="6"/>
    </row>
    <row r="31" customFormat="false" ht="15.75" hidden="false" customHeight="false" outlineLevel="0" collapsed="false">
      <c r="A31" s="0" t="s">
        <v>17</v>
      </c>
      <c r="B31" s="1" t="n">
        <v>43860</v>
      </c>
      <c r="C31" s="6" t="n">
        <v>6</v>
      </c>
      <c r="D31" s="6" t="n">
        <v>1</v>
      </c>
      <c r="E31" s="6" t="n">
        <v>0</v>
      </c>
      <c r="F31" s="6" t="n">
        <v>0</v>
      </c>
      <c r="G31" s="6"/>
      <c r="H31" s="6"/>
      <c r="I31" s="6"/>
      <c r="J31" s="6"/>
      <c r="K31" s="11"/>
      <c r="L31" s="6"/>
      <c r="M31" s="6"/>
    </row>
    <row r="32" customFormat="false" ht="15.75" hidden="false" customHeight="false" outlineLevel="0" collapsed="false">
      <c r="A32" s="0" t="s">
        <v>17</v>
      </c>
      <c r="B32" s="1" t="n">
        <v>43861</v>
      </c>
      <c r="C32" s="6" t="n">
        <v>6</v>
      </c>
      <c r="D32" s="6" t="n">
        <v>0</v>
      </c>
      <c r="E32" s="6" t="n">
        <v>0</v>
      </c>
      <c r="F32" s="6" t="n">
        <v>0</v>
      </c>
      <c r="G32" s="6"/>
      <c r="H32" s="6"/>
      <c r="I32" s="6"/>
      <c r="J32" s="6"/>
      <c r="K32" s="11"/>
      <c r="L32" s="6"/>
      <c r="M32" s="6"/>
    </row>
    <row r="33" customFormat="false" ht="15.75" hidden="false" customHeight="false" outlineLevel="0" collapsed="false">
      <c r="A33" s="0" t="s">
        <v>17</v>
      </c>
      <c r="B33" s="1" t="n">
        <v>43862</v>
      </c>
      <c r="C33" s="6" t="n">
        <v>6</v>
      </c>
      <c r="D33" s="6" t="n">
        <v>0</v>
      </c>
      <c r="E33" s="6" t="n">
        <v>0</v>
      </c>
      <c r="F33" s="6" t="n">
        <v>0</v>
      </c>
      <c r="G33" s="6"/>
      <c r="H33" s="6"/>
      <c r="I33" s="6"/>
      <c r="J33" s="6"/>
      <c r="K33" s="11"/>
      <c r="L33" s="6"/>
      <c r="M33" s="6"/>
    </row>
    <row r="34" customFormat="false" ht="15.75" hidden="false" customHeight="false" outlineLevel="0" collapsed="false">
      <c r="A34" s="0" t="s">
        <v>17</v>
      </c>
      <c r="B34" s="1" t="n">
        <v>43863</v>
      </c>
      <c r="C34" s="6" t="n">
        <v>6</v>
      </c>
      <c r="D34" s="6" t="n">
        <v>0</v>
      </c>
      <c r="E34" s="6" t="n">
        <v>0</v>
      </c>
      <c r="F34" s="6" t="n">
        <v>0</v>
      </c>
      <c r="G34" s="8"/>
      <c r="H34" s="8"/>
      <c r="I34" s="8"/>
      <c r="J34" s="8"/>
      <c r="K34" s="11"/>
      <c r="L34" s="8"/>
      <c r="M34" s="8"/>
    </row>
    <row r="35" customFormat="false" ht="15.75" hidden="false" customHeight="false" outlineLevel="0" collapsed="false">
      <c r="A35" s="0" t="s">
        <v>17</v>
      </c>
      <c r="B35" s="1" t="n">
        <v>43864</v>
      </c>
      <c r="C35" s="8" t="n">
        <v>6</v>
      </c>
      <c r="D35" s="8" t="n">
        <v>0</v>
      </c>
      <c r="E35" s="8" t="n">
        <v>0</v>
      </c>
      <c r="F35" s="8" t="n">
        <v>0</v>
      </c>
      <c r="G35" s="6"/>
      <c r="H35" s="6"/>
      <c r="I35" s="6"/>
      <c r="J35" s="6"/>
      <c r="K35" s="11"/>
      <c r="L35" s="6"/>
      <c r="M35" s="6"/>
    </row>
    <row r="36" customFormat="false" ht="15.75" hidden="false" customHeight="false" outlineLevel="0" collapsed="false">
      <c r="A36" s="0" t="s">
        <v>17</v>
      </c>
      <c r="B36" s="1" t="n">
        <v>43865</v>
      </c>
      <c r="C36" s="6" t="n">
        <v>6</v>
      </c>
      <c r="D36" s="6" t="n">
        <v>0</v>
      </c>
      <c r="E36" s="6" t="n">
        <v>0</v>
      </c>
      <c r="F36" s="6" t="n">
        <v>0</v>
      </c>
      <c r="G36" s="6"/>
      <c r="H36" s="6"/>
      <c r="I36" s="6"/>
      <c r="J36" s="6"/>
      <c r="K36" s="11"/>
      <c r="L36" s="6"/>
      <c r="M36" s="6"/>
    </row>
    <row r="37" customFormat="false" ht="15.75" hidden="false" customHeight="false" outlineLevel="0" collapsed="false">
      <c r="A37" s="0" t="s">
        <v>17</v>
      </c>
      <c r="B37" s="1" t="n">
        <v>43866</v>
      </c>
      <c r="C37" s="6" t="n">
        <v>6</v>
      </c>
      <c r="D37" s="6" t="n">
        <v>0</v>
      </c>
      <c r="E37" s="6" t="n">
        <v>0</v>
      </c>
      <c r="F37" s="6" t="n">
        <v>0</v>
      </c>
      <c r="G37" s="6"/>
      <c r="H37" s="6"/>
      <c r="I37" s="6"/>
      <c r="J37" s="6"/>
      <c r="K37" s="11"/>
      <c r="L37" s="6"/>
      <c r="M37" s="6"/>
    </row>
    <row r="38" customFormat="false" ht="15.75" hidden="false" customHeight="false" outlineLevel="0" collapsed="false">
      <c r="A38" s="0" t="s">
        <v>17</v>
      </c>
      <c r="B38" s="1" t="n">
        <v>43867</v>
      </c>
      <c r="C38" s="6" t="n">
        <v>6</v>
      </c>
      <c r="D38" s="6" t="n">
        <v>0</v>
      </c>
      <c r="E38" s="6" t="n">
        <v>0</v>
      </c>
      <c r="F38" s="6" t="n">
        <v>0</v>
      </c>
      <c r="G38" s="6"/>
      <c r="H38" s="6"/>
      <c r="I38" s="6"/>
      <c r="J38" s="6"/>
      <c r="K38" s="11"/>
      <c r="L38" s="6"/>
      <c r="M38" s="6"/>
    </row>
    <row r="39" customFormat="false" ht="15.75" hidden="false" customHeight="false" outlineLevel="0" collapsed="false">
      <c r="A39" s="0" t="s">
        <v>17</v>
      </c>
      <c r="B39" s="1" t="n">
        <v>43868</v>
      </c>
      <c r="C39" s="6" t="n">
        <v>11</v>
      </c>
      <c r="D39" s="6" t="n">
        <v>5</v>
      </c>
      <c r="E39" s="6" t="n">
        <v>0</v>
      </c>
      <c r="F39" s="6" t="n">
        <v>0</v>
      </c>
      <c r="G39" s="6"/>
      <c r="H39" s="6"/>
      <c r="I39" s="6"/>
      <c r="J39" s="6"/>
      <c r="K39" s="11"/>
      <c r="L39" s="6"/>
      <c r="M39" s="6"/>
    </row>
    <row r="40" customFormat="false" ht="15.75" hidden="false" customHeight="false" outlineLevel="0" collapsed="false">
      <c r="A40" s="0" t="s">
        <v>17</v>
      </c>
      <c r="B40" s="1" t="n">
        <v>43869</v>
      </c>
      <c r="C40" s="6" t="n">
        <v>11</v>
      </c>
      <c r="D40" s="6" t="n">
        <v>0</v>
      </c>
      <c r="E40" s="6" t="n">
        <v>0</v>
      </c>
      <c r="F40" s="6" t="n">
        <v>0</v>
      </c>
      <c r="G40" s="6"/>
      <c r="H40" s="6"/>
      <c r="I40" s="6"/>
      <c r="J40" s="6"/>
      <c r="K40" s="11"/>
      <c r="L40" s="6"/>
      <c r="M40" s="6"/>
    </row>
    <row r="41" customFormat="false" ht="15.75" hidden="false" customHeight="false" outlineLevel="0" collapsed="false">
      <c r="A41" s="0" t="s">
        <v>17</v>
      </c>
      <c r="B41" s="1" t="n">
        <v>43870</v>
      </c>
      <c r="C41" s="6" t="n">
        <v>11</v>
      </c>
      <c r="D41" s="6" t="n">
        <v>0</v>
      </c>
      <c r="E41" s="6" t="n">
        <v>0</v>
      </c>
      <c r="F41" s="6" t="n">
        <v>0</v>
      </c>
      <c r="G41" s="6"/>
      <c r="H41" s="6"/>
      <c r="I41" s="6"/>
      <c r="J41" s="6"/>
      <c r="K41" s="11"/>
      <c r="L41" s="6"/>
      <c r="M41" s="6"/>
    </row>
    <row r="42" customFormat="false" ht="15.75" hidden="false" customHeight="false" outlineLevel="0" collapsed="false">
      <c r="A42" s="0" t="s">
        <v>17</v>
      </c>
      <c r="B42" s="1" t="n">
        <v>43871</v>
      </c>
      <c r="C42" s="6" t="n">
        <v>11</v>
      </c>
      <c r="D42" s="6" t="n">
        <v>0</v>
      </c>
      <c r="E42" s="6" t="n">
        <v>0</v>
      </c>
      <c r="F42" s="6" t="n">
        <v>0</v>
      </c>
      <c r="G42" s="6"/>
      <c r="H42" s="6"/>
      <c r="I42" s="6"/>
      <c r="J42" s="6"/>
      <c r="K42" s="11"/>
      <c r="L42" s="6"/>
      <c r="M42" s="6"/>
    </row>
    <row r="43" customFormat="false" ht="15.75" hidden="false" customHeight="false" outlineLevel="0" collapsed="false">
      <c r="A43" s="0" t="s">
        <v>17</v>
      </c>
      <c r="B43" s="1" t="n">
        <v>43872</v>
      </c>
      <c r="C43" s="6" t="n">
        <v>11</v>
      </c>
      <c r="D43" s="6" t="n">
        <v>0</v>
      </c>
      <c r="E43" s="6" t="n">
        <v>0</v>
      </c>
      <c r="F43" s="6" t="n">
        <v>0</v>
      </c>
      <c r="G43" s="6"/>
      <c r="H43" s="6"/>
      <c r="I43" s="6"/>
      <c r="J43" s="6"/>
      <c r="K43" s="11"/>
      <c r="L43" s="6"/>
      <c r="M43" s="6"/>
    </row>
    <row r="44" customFormat="false" ht="15.75" hidden="false" customHeight="false" outlineLevel="0" collapsed="false">
      <c r="A44" s="0" t="s">
        <v>17</v>
      </c>
      <c r="B44" s="1" t="n">
        <v>43873</v>
      </c>
      <c r="C44" s="6" t="n">
        <v>11</v>
      </c>
      <c r="D44" s="6" t="n">
        <v>0</v>
      </c>
      <c r="E44" s="6" t="n">
        <v>0</v>
      </c>
      <c r="F44" s="6" t="n">
        <v>0</v>
      </c>
      <c r="G44" s="6"/>
      <c r="H44" s="6"/>
      <c r="I44" s="6"/>
      <c r="J44" s="6"/>
      <c r="K44" s="11"/>
      <c r="L44" s="6"/>
      <c r="M44" s="6"/>
    </row>
    <row r="45" customFormat="false" ht="15.75" hidden="false" customHeight="false" outlineLevel="0" collapsed="false">
      <c r="A45" s="0" t="s">
        <v>17</v>
      </c>
      <c r="B45" s="1" t="n">
        <v>43874</v>
      </c>
      <c r="C45" s="6" t="n">
        <v>11</v>
      </c>
      <c r="D45" s="6" t="n">
        <v>0</v>
      </c>
      <c r="E45" s="6" t="n">
        <v>0</v>
      </c>
      <c r="F45" s="6" t="n">
        <v>0</v>
      </c>
      <c r="G45" s="6"/>
      <c r="H45" s="6"/>
      <c r="I45" s="6"/>
      <c r="J45" s="6"/>
      <c r="K45" s="11"/>
      <c r="L45" s="6"/>
      <c r="M45" s="6"/>
    </row>
    <row r="46" customFormat="false" ht="15.75" hidden="false" customHeight="false" outlineLevel="0" collapsed="false">
      <c r="A46" s="0" t="s">
        <v>17</v>
      </c>
      <c r="B46" s="1" t="n">
        <v>43875</v>
      </c>
      <c r="C46" s="6" t="n">
        <v>11</v>
      </c>
      <c r="D46" s="6" t="n">
        <v>0</v>
      </c>
      <c r="E46" s="6" t="n">
        <v>1</v>
      </c>
      <c r="F46" s="6" t="n">
        <v>1</v>
      </c>
      <c r="G46" s="6"/>
      <c r="H46" s="6"/>
      <c r="I46" s="6"/>
      <c r="J46" s="6"/>
      <c r="K46" s="11"/>
      <c r="L46" s="6"/>
      <c r="M46" s="6"/>
    </row>
    <row r="47" customFormat="false" ht="15.75" hidden="false" customHeight="false" outlineLevel="0" collapsed="false">
      <c r="A47" s="0" t="s">
        <v>17</v>
      </c>
      <c r="B47" s="1" t="n">
        <v>43876</v>
      </c>
      <c r="C47" s="6" t="n">
        <v>11</v>
      </c>
      <c r="D47" s="6" t="n">
        <v>0</v>
      </c>
      <c r="E47" s="6" t="n">
        <v>1</v>
      </c>
      <c r="F47" s="6" t="n">
        <v>0</v>
      </c>
      <c r="G47" s="6"/>
      <c r="H47" s="6"/>
      <c r="I47" s="6"/>
      <c r="J47" s="6"/>
      <c r="K47" s="11"/>
      <c r="L47" s="6"/>
      <c r="M47" s="6"/>
    </row>
    <row r="48" customFormat="false" ht="15.75" hidden="false" customHeight="false" outlineLevel="0" collapsed="false">
      <c r="A48" s="0" t="s">
        <v>17</v>
      </c>
      <c r="B48" s="1" t="n">
        <v>43877</v>
      </c>
      <c r="C48" s="6" t="n">
        <v>12</v>
      </c>
      <c r="D48" s="6" t="n">
        <v>1</v>
      </c>
      <c r="E48" s="6" t="n">
        <v>1</v>
      </c>
      <c r="F48" s="6" t="n">
        <v>0</v>
      </c>
      <c r="G48" s="6"/>
      <c r="H48" s="6"/>
      <c r="I48" s="6"/>
      <c r="J48" s="6"/>
      <c r="K48" s="11"/>
      <c r="L48" s="6"/>
      <c r="M48" s="6"/>
    </row>
    <row r="49" customFormat="false" ht="15.75" hidden="false" customHeight="false" outlineLevel="0" collapsed="false">
      <c r="A49" s="0" t="s">
        <v>17</v>
      </c>
      <c r="B49" s="1" t="n">
        <v>43878</v>
      </c>
      <c r="C49" s="6" t="n">
        <v>12</v>
      </c>
      <c r="D49" s="6" t="n">
        <v>0</v>
      </c>
      <c r="E49" s="6" t="n">
        <v>1</v>
      </c>
      <c r="F49" s="6" t="n">
        <v>0</v>
      </c>
      <c r="G49" s="6"/>
      <c r="H49" s="6"/>
      <c r="I49" s="6"/>
      <c r="J49" s="6"/>
      <c r="K49" s="11"/>
      <c r="L49" s="6"/>
      <c r="M49" s="6"/>
    </row>
    <row r="50" customFormat="false" ht="15.75" hidden="false" customHeight="false" outlineLevel="0" collapsed="false">
      <c r="A50" s="0" t="s">
        <v>17</v>
      </c>
      <c r="B50" s="1" t="n">
        <v>43879</v>
      </c>
      <c r="C50" s="6" t="n">
        <v>12</v>
      </c>
      <c r="D50" s="6" t="n">
        <v>0</v>
      </c>
      <c r="E50" s="6" t="n">
        <v>1</v>
      </c>
      <c r="F50" s="6" t="n">
        <v>0</v>
      </c>
      <c r="G50" s="6"/>
      <c r="H50" s="6"/>
      <c r="I50" s="6"/>
      <c r="J50" s="6"/>
      <c r="K50" s="11"/>
      <c r="L50" s="6"/>
      <c r="M50" s="6"/>
    </row>
    <row r="51" customFormat="false" ht="15.75" hidden="false" customHeight="false" outlineLevel="0" collapsed="false">
      <c r="A51" s="0" t="s">
        <v>17</v>
      </c>
      <c r="B51" s="1" t="n">
        <v>43880</v>
      </c>
      <c r="C51" s="6" t="n">
        <v>12</v>
      </c>
      <c r="D51" s="6" t="n">
        <v>0</v>
      </c>
      <c r="E51" s="6" t="n">
        <v>1</v>
      </c>
      <c r="F51" s="6" t="n">
        <v>0</v>
      </c>
      <c r="G51" s="6"/>
      <c r="H51" s="6"/>
      <c r="I51" s="6"/>
      <c r="J51" s="6"/>
      <c r="K51" s="11"/>
      <c r="L51" s="6"/>
      <c r="M51" s="6"/>
    </row>
    <row r="52" customFormat="false" ht="15.75" hidden="false" customHeight="false" outlineLevel="0" collapsed="false">
      <c r="A52" s="0" t="s">
        <v>17</v>
      </c>
      <c r="B52" s="1" t="n">
        <v>43881</v>
      </c>
      <c r="C52" s="6" t="n">
        <v>12</v>
      </c>
      <c r="D52" s="6" t="n">
        <v>0</v>
      </c>
      <c r="E52" s="6" t="n">
        <v>1</v>
      </c>
      <c r="F52" s="6" t="n">
        <v>0</v>
      </c>
      <c r="G52" s="7"/>
      <c r="H52" s="7"/>
      <c r="I52" s="7"/>
      <c r="J52" s="7"/>
      <c r="K52" s="11"/>
      <c r="L52" s="7"/>
      <c r="M52" s="7"/>
    </row>
    <row r="53" customFormat="false" ht="15.75" hidden="false" customHeight="false" outlineLevel="0" collapsed="false">
      <c r="A53" s="0" t="s">
        <v>17</v>
      </c>
      <c r="B53" s="1" t="n">
        <v>43882</v>
      </c>
      <c r="C53" s="7" t="n">
        <v>12</v>
      </c>
      <c r="D53" s="7" t="n">
        <v>0</v>
      </c>
      <c r="E53" s="7" t="n">
        <v>1</v>
      </c>
      <c r="F53" s="7" t="n">
        <v>0</v>
      </c>
      <c r="G53" s="7"/>
      <c r="H53" s="7"/>
      <c r="I53" s="7"/>
      <c r="J53" s="7"/>
      <c r="K53" s="11"/>
      <c r="L53" s="7"/>
      <c r="M53" s="7"/>
    </row>
    <row r="54" customFormat="false" ht="15.75" hidden="false" customHeight="false" outlineLevel="0" collapsed="false">
      <c r="A54" s="0" t="s">
        <v>17</v>
      </c>
      <c r="B54" s="1" t="n">
        <v>43883</v>
      </c>
      <c r="C54" s="7" t="n">
        <v>12</v>
      </c>
      <c r="D54" s="7" t="n">
        <v>0</v>
      </c>
      <c r="E54" s="7" t="n">
        <v>1</v>
      </c>
      <c r="F54" s="7" t="n">
        <v>0</v>
      </c>
      <c r="G54" s="7"/>
      <c r="H54" s="7"/>
      <c r="I54" s="7"/>
      <c r="J54" s="7"/>
      <c r="K54" s="11"/>
      <c r="L54" s="7"/>
      <c r="M54" s="7"/>
    </row>
    <row r="55" customFormat="false" ht="15.75" hidden="false" customHeight="false" outlineLevel="0" collapsed="false">
      <c r="A55" s="0" t="s">
        <v>17</v>
      </c>
      <c r="B55" s="1" t="n">
        <v>43884</v>
      </c>
      <c r="C55" s="7" t="n">
        <v>12</v>
      </c>
      <c r="D55" s="7" t="n">
        <v>0</v>
      </c>
      <c r="E55" s="7" t="n">
        <v>1</v>
      </c>
      <c r="F55" s="7" t="n">
        <v>0</v>
      </c>
      <c r="G55" s="7"/>
      <c r="H55" s="7"/>
      <c r="I55" s="7"/>
      <c r="J55" s="7"/>
      <c r="K55" s="11"/>
      <c r="L55" s="7"/>
      <c r="M55" s="7"/>
    </row>
    <row r="56" customFormat="false" ht="15.75" hidden="false" customHeight="false" outlineLevel="0" collapsed="false">
      <c r="A56" s="0" t="s">
        <v>17</v>
      </c>
      <c r="B56" s="1" t="n">
        <v>43885</v>
      </c>
      <c r="C56" s="7" t="n">
        <v>12</v>
      </c>
      <c r="D56" s="7" t="n">
        <v>0</v>
      </c>
      <c r="E56" s="7" t="n">
        <v>1</v>
      </c>
      <c r="F56" s="7" t="n">
        <v>0</v>
      </c>
      <c r="G56" s="7"/>
      <c r="H56" s="7"/>
      <c r="I56" s="7"/>
      <c r="J56" s="7"/>
      <c r="K56" s="11"/>
      <c r="L56" s="7"/>
      <c r="M56" s="7"/>
    </row>
    <row r="57" customFormat="false" ht="15.75" hidden="false" customHeight="false" outlineLevel="0" collapsed="false">
      <c r="A57" s="0" t="s">
        <v>17</v>
      </c>
      <c r="B57" s="1" t="n">
        <v>43886</v>
      </c>
      <c r="C57" s="7" t="n">
        <v>14</v>
      </c>
      <c r="D57" s="7" t="n">
        <v>2</v>
      </c>
      <c r="E57" s="7" t="n">
        <v>1</v>
      </c>
      <c r="F57" s="7" t="n">
        <v>0</v>
      </c>
      <c r="G57" s="7"/>
      <c r="H57" s="7"/>
      <c r="I57" s="7"/>
      <c r="J57" s="7"/>
      <c r="K57" s="11"/>
      <c r="L57" s="7"/>
      <c r="M57" s="7"/>
    </row>
    <row r="58" customFormat="false" ht="15.75" hidden="false" customHeight="false" outlineLevel="0" collapsed="false">
      <c r="A58" s="0" t="s">
        <v>17</v>
      </c>
      <c r="B58" s="1" t="n">
        <v>43887</v>
      </c>
      <c r="C58" s="7" t="n">
        <v>17</v>
      </c>
      <c r="D58" s="7" t="n">
        <v>3</v>
      </c>
      <c r="E58" s="7" t="n">
        <v>2</v>
      </c>
      <c r="F58" s="7" t="n">
        <v>1</v>
      </c>
      <c r="G58" s="7"/>
      <c r="H58" s="7"/>
      <c r="I58" s="7"/>
      <c r="J58" s="7"/>
      <c r="K58" s="11"/>
      <c r="L58" s="7"/>
      <c r="M58" s="7"/>
    </row>
    <row r="59" customFormat="false" ht="15.75" hidden="false" customHeight="false" outlineLevel="0" collapsed="false">
      <c r="A59" s="0" t="s">
        <v>17</v>
      </c>
      <c r="B59" s="1" t="n">
        <v>43888</v>
      </c>
      <c r="C59" s="7" t="n">
        <v>38</v>
      </c>
      <c r="D59" s="7" t="n">
        <v>21</v>
      </c>
      <c r="E59" s="7" t="n">
        <v>2</v>
      </c>
      <c r="F59" s="7" t="n">
        <v>0</v>
      </c>
      <c r="G59" s="7"/>
      <c r="H59" s="7"/>
      <c r="I59" s="7"/>
      <c r="J59" s="7"/>
      <c r="K59" s="11"/>
      <c r="L59" s="7"/>
      <c r="M59" s="7"/>
    </row>
    <row r="60" customFormat="false" ht="15.75" hidden="false" customHeight="false" outlineLevel="0" collapsed="false">
      <c r="A60" s="0" t="s">
        <v>17</v>
      </c>
      <c r="B60" s="1" t="n">
        <v>43889</v>
      </c>
      <c r="C60" s="7" t="n">
        <v>57</v>
      </c>
      <c r="D60" s="7" t="n">
        <v>19</v>
      </c>
      <c r="E60" s="7" t="n">
        <v>2</v>
      </c>
      <c r="F60" s="7" t="n">
        <v>0</v>
      </c>
      <c r="G60" s="7"/>
      <c r="H60" s="7"/>
      <c r="I60" s="7"/>
      <c r="J60" s="7"/>
      <c r="K60" s="11"/>
      <c r="L60" s="7"/>
      <c r="M60" s="7"/>
    </row>
    <row r="61" customFormat="false" ht="15.75" hidden="false" customHeight="false" outlineLevel="0" collapsed="false">
      <c r="A61" s="0" t="s">
        <v>17</v>
      </c>
      <c r="B61" s="1" t="n">
        <v>43890</v>
      </c>
      <c r="C61" s="7" t="n">
        <v>100</v>
      </c>
      <c r="D61" s="7" t="n">
        <v>43</v>
      </c>
      <c r="E61" s="7" t="n">
        <v>2</v>
      </c>
      <c r="F61" s="7" t="n">
        <v>0</v>
      </c>
      <c r="G61" s="7"/>
      <c r="H61" s="7"/>
      <c r="I61" s="7"/>
      <c r="J61" s="7"/>
      <c r="K61" s="11"/>
      <c r="L61" s="7"/>
      <c r="M61" s="7"/>
    </row>
    <row r="62" customFormat="false" ht="15.75" hidden="false" customHeight="false" outlineLevel="0" collapsed="false">
      <c r="A62" s="0" t="s">
        <v>17</v>
      </c>
      <c r="B62" s="1" t="n">
        <v>43891</v>
      </c>
      <c r="C62" s="7" t="n">
        <v>130</v>
      </c>
      <c r="D62" s="7" t="n">
        <v>30</v>
      </c>
      <c r="E62" s="7" t="n">
        <v>2</v>
      </c>
      <c r="F62" s="7" t="n">
        <v>0</v>
      </c>
      <c r="G62" s="7"/>
      <c r="H62" s="7"/>
      <c r="I62" s="7"/>
      <c r="J62" s="7"/>
      <c r="K62" s="11"/>
      <c r="L62" s="7"/>
      <c r="M62" s="7"/>
    </row>
    <row r="63" customFormat="false" ht="15.75" hidden="false" customHeight="false" outlineLevel="0" collapsed="false">
      <c r="A63" s="0" t="s">
        <v>17</v>
      </c>
      <c r="B63" s="1" t="n">
        <v>43892</v>
      </c>
      <c r="C63" s="7" t="n">
        <v>178</v>
      </c>
      <c r="D63" s="7" t="n">
        <v>48</v>
      </c>
      <c r="E63" s="7" t="n">
        <v>3</v>
      </c>
      <c r="F63" s="7" t="n">
        <v>1</v>
      </c>
      <c r="G63" s="7"/>
      <c r="H63" s="7"/>
      <c r="I63" s="7"/>
      <c r="J63" s="7"/>
      <c r="K63" s="11"/>
      <c r="L63" s="7"/>
      <c r="M63" s="7"/>
    </row>
    <row r="64" customFormat="false" ht="15.75" hidden="false" customHeight="false" outlineLevel="0" collapsed="false">
      <c r="A64" s="0" t="s">
        <v>17</v>
      </c>
      <c r="B64" s="1" t="n">
        <v>43893</v>
      </c>
      <c r="C64" s="7" t="n">
        <v>212</v>
      </c>
      <c r="D64" s="7" t="n">
        <v>34</v>
      </c>
      <c r="E64" s="7" t="n">
        <v>4</v>
      </c>
      <c r="F64" s="7" t="n">
        <v>1</v>
      </c>
      <c r="G64" s="7"/>
      <c r="H64" s="7"/>
      <c r="I64" s="7"/>
      <c r="J64" s="7"/>
      <c r="K64" s="11"/>
      <c r="L64" s="7"/>
      <c r="M64" s="7"/>
    </row>
    <row r="65" customFormat="false" ht="15.75" hidden="false" customHeight="false" outlineLevel="0" collapsed="false">
      <c r="A65" s="0" t="s">
        <v>17</v>
      </c>
      <c r="B65" s="1" t="n">
        <v>43894</v>
      </c>
      <c r="C65" s="7" t="n">
        <v>285</v>
      </c>
      <c r="D65" s="7" t="n">
        <v>73</v>
      </c>
      <c r="E65" s="7" t="n">
        <v>4</v>
      </c>
      <c r="F65" s="7" t="n">
        <v>0</v>
      </c>
      <c r="G65" s="7"/>
      <c r="H65" s="7"/>
      <c r="I65" s="7"/>
      <c r="J65" s="7"/>
      <c r="K65" s="11"/>
      <c r="L65" s="7"/>
      <c r="M65" s="12"/>
    </row>
    <row r="66" customFormat="false" ht="15.75" hidden="false" customHeight="false" outlineLevel="0" collapsed="false">
      <c r="A66" s="0" t="s">
        <v>17</v>
      </c>
      <c r="B66" s="1" t="n">
        <v>43895</v>
      </c>
      <c r="C66" s="12" t="n">
        <v>423</v>
      </c>
      <c r="D66" s="12" t="n">
        <v>138</v>
      </c>
      <c r="E66" s="12" t="n">
        <v>7</v>
      </c>
      <c r="F66" s="12" t="n">
        <v>3</v>
      </c>
      <c r="G66" s="7"/>
      <c r="H66" s="7"/>
      <c r="I66" s="7"/>
      <c r="J66" s="7"/>
      <c r="K66" s="11"/>
      <c r="L66" s="7"/>
    </row>
    <row r="67" customFormat="false" ht="15.75" hidden="false" customHeight="false" outlineLevel="0" collapsed="false">
      <c r="A67" s="0" t="s">
        <v>17</v>
      </c>
      <c r="B67" s="1" t="n">
        <v>43896</v>
      </c>
      <c r="C67" s="6" t="n">
        <v>613</v>
      </c>
      <c r="D67" s="6" t="n">
        <v>190</v>
      </c>
      <c r="E67" s="6" t="n">
        <v>9</v>
      </c>
      <c r="F67" s="6" t="n">
        <v>2</v>
      </c>
      <c r="G67" s="8" t="n">
        <v>12</v>
      </c>
      <c r="H67" s="8" t="n">
        <f aca="false">C67-E67-G67</f>
        <v>592</v>
      </c>
      <c r="I67" s="8" t="n">
        <v>23</v>
      </c>
      <c r="J67" s="8"/>
      <c r="K67" s="11"/>
      <c r="L67" s="8"/>
      <c r="M67" s="8"/>
    </row>
    <row r="68" customFormat="false" ht="15.75" hidden="false" customHeight="false" outlineLevel="0" collapsed="false">
      <c r="A68" s="0" t="s">
        <v>17</v>
      </c>
      <c r="B68" s="1" t="n">
        <v>43897</v>
      </c>
      <c r="C68" s="14" t="n">
        <v>716</v>
      </c>
      <c r="D68" s="14" t="n">
        <v>103</v>
      </c>
      <c r="E68" s="14" t="n">
        <v>10</v>
      </c>
      <c r="F68" s="14" t="n">
        <v>1</v>
      </c>
      <c r="G68" s="6" t="n">
        <v>12</v>
      </c>
      <c r="H68" s="8" t="n">
        <f aca="false">C68-E68-G68</f>
        <v>694</v>
      </c>
      <c r="I68" s="6" t="n">
        <v>45</v>
      </c>
      <c r="J68" s="11" t="n">
        <f aca="false">C68/65273511*1000000</f>
        <v>10.9692276243575</v>
      </c>
      <c r="K68" s="11"/>
      <c r="L68" s="6"/>
      <c r="M68" s="6"/>
    </row>
    <row r="69" customFormat="false" ht="15.75" hidden="false" customHeight="false" outlineLevel="0" collapsed="false">
      <c r="A69" s="0" t="s">
        <v>17</v>
      </c>
      <c r="B69" s="1" t="n">
        <v>43898</v>
      </c>
      <c r="C69" s="14" t="n">
        <v>1126</v>
      </c>
      <c r="D69" s="14" t="n">
        <v>410</v>
      </c>
      <c r="E69" s="14" t="n">
        <v>19</v>
      </c>
      <c r="F69" s="14" t="n">
        <v>9</v>
      </c>
      <c r="G69" s="6" t="n">
        <v>12</v>
      </c>
      <c r="H69" s="8" t="n">
        <f aca="false">C69-E69-G69</f>
        <v>1095</v>
      </c>
      <c r="I69" s="6" t="n">
        <v>45</v>
      </c>
      <c r="J69" s="11" t="n">
        <f aca="false">C69/65273511*1000000</f>
        <v>17.2504892528303</v>
      </c>
      <c r="K69" s="11"/>
      <c r="L69" s="6"/>
      <c r="M69" s="6"/>
    </row>
    <row r="70" customFormat="false" ht="15.75" hidden="false" customHeight="false" outlineLevel="0" collapsed="false">
      <c r="A70" s="0" t="s">
        <v>17</v>
      </c>
      <c r="B70" s="1" t="n">
        <v>43899</v>
      </c>
      <c r="C70" s="14" t="n">
        <v>1412</v>
      </c>
      <c r="D70" s="14" t="n">
        <v>286</v>
      </c>
      <c r="E70" s="14" t="n">
        <v>30</v>
      </c>
      <c r="F70" s="14" t="n">
        <v>11</v>
      </c>
      <c r="G70" s="6" t="n">
        <v>12</v>
      </c>
      <c r="H70" s="8" t="n">
        <f aca="false">C70-E70-G70</f>
        <v>1370</v>
      </c>
      <c r="I70" s="6" t="n">
        <v>66</v>
      </c>
      <c r="J70" s="11" t="n">
        <f aca="false">C70/65273511*1000000</f>
        <v>21.6320522424479</v>
      </c>
      <c r="K70" s="11"/>
      <c r="L70" s="6"/>
      <c r="M70" s="6"/>
    </row>
    <row r="71" customFormat="false" ht="15.75" hidden="false" customHeight="false" outlineLevel="0" collapsed="false">
      <c r="A71" s="0" t="s">
        <v>17</v>
      </c>
      <c r="B71" s="1" t="n">
        <v>43900</v>
      </c>
      <c r="C71" s="14" t="n">
        <v>1784</v>
      </c>
      <c r="D71" s="14" t="n">
        <v>372</v>
      </c>
      <c r="E71" s="14" t="n">
        <v>33</v>
      </c>
      <c r="F71" s="14" t="n">
        <v>3</v>
      </c>
      <c r="G71" s="6" t="n">
        <v>12</v>
      </c>
      <c r="H71" s="8" t="n">
        <f aca="false">C71-E71-G71</f>
        <v>1739</v>
      </c>
      <c r="I71" s="6" t="n">
        <v>86</v>
      </c>
      <c r="J71" s="11" t="n">
        <f aca="false">C71/65273511*1000000</f>
        <v>27.3311481590135</v>
      </c>
      <c r="K71" s="11"/>
      <c r="L71" s="6"/>
      <c r="M71" s="6"/>
    </row>
    <row r="72" customFormat="false" ht="15.75" hidden="false" customHeight="false" outlineLevel="0" collapsed="false">
      <c r="A72" s="0" t="s">
        <v>17</v>
      </c>
      <c r="B72" s="1" t="n">
        <v>43901</v>
      </c>
      <c r="C72" s="14" t="n">
        <v>2281</v>
      </c>
      <c r="D72" s="14" t="n">
        <v>497</v>
      </c>
      <c r="E72" s="14" t="n">
        <v>48</v>
      </c>
      <c r="F72" s="14" t="n">
        <v>15</v>
      </c>
      <c r="G72" s="6" t="n">
        <v>12</v>
      </c>
      <c r="H72" s="8" t="n">
        <f aca="false">C72-E72-G72</f>
        <v>2221</v>
      </c>
      <c r="I72" s="6" t="n">
        <v>105</v>
      </c>
      <c r="J72" s="11" t="n">
        <f aca="false">C72/65273511*1000000</f>
        <v>34.9452628647477</v>
      </c>
      <c r="K72" s="11"/>
      <c r="L72" s="6"/>
      <c r="M72" s="6"/>
    </row>
    <row r="73" customFormat="false" ht="15.75" hidden="false" customHeight="false" outlineLevel="0" collapsed="false">
      <c r="A73" s="0" t="s">
        <v>17</v>
      </c>
      <c r="B73" s="1" t="n">
        <v>43902</v>
      </c>
      <c r="C73" s="14" t="n">
        <v>2876</v>
      </c>
      <c r="D73" s="14" t="n">
        <v>595</v>
      </c>
      <c r="E73" s="14" t="n">
        <v>61</v>
      </c>
      <c r="F73" s="14" t="n">
        <v>13</v>
      </c>
      <c r="G73" s="6" t="n">
        <v>12</v>
      </c>
      <c r="H73" s="8" t="n">
        <f aca="false">C73-E73-G73</f>
        <v>2803</v>
      </c>
      <c r="I73" s="6" t="n">
        <v>129</v>
      </c>
      <c r="J73" s="11" t="n">
        <f aca="false">C73/65273511*1000000</f>
        <v>44.06075230119</v>
      </c>
      <c r="K73" s="11"/>
      <c r="L73" s="6"/>
      <c r="M73" s="6"/>
    </row>
    <row r="74" customFormat="false" ht="15.75" hidden="false" customHeight="false" outlineLevel="0" collapsed="false">
      <c r="A74" s="0" t="s">
        <v>17</v>
      </c>
      <c r="B74" s="1" t="n">
        <v>43903</v>
      </c>
      <c r="C74" s="14" t="n">
        <v>3661</v>
      </c>
      <c r="D74" s="14" t="n">
        <v>785</v>
      </c>
      <c r="E74" s="14" t="n">
        <v>79</v>
      </c>
      <c r="F74" s="14" t="n">
        <v>18</v>
      </c>
      <c r="G74" s="6" t="n">
        <v>12</v>
      </c>
      <c r="H74" s="8" t="n">
        <f aca="false">C74-E74-G74</f>
        <v>3570</v>
      </c>
      <c r="I74" s="6" t="n">
        <v>154</v>
      </c>
      <c r="J74" s="11" t="n">
        <f aca="false">C74/65273511*1000000</f>
        <v>56.0870702971685</v>
      </c>
      <c r="K74" s="11"/>
      <c r="L74" s="6"/>
      <c r="M74" s="6"/>
    </row>
    <row r="75" customFormat="false" ht="15.75" hidden="false" customHeight="false" outlineLevel="0" collapsed="false">
      <c r="A75" s="0" t="s">
        <v>17</v>
      </c>
      <c r="B75" s="1" t="n">
        <v>43904</v>
      </c>
      <c r="C75" s="14" t="n">
        <v>4499</v>
      </c>
      <c r="D75" s="14" t="n">
        <v>838</v>
      </c>
      <c r="E75" s="14" t="n">
        <v>91</v>
      </c>
      <c r="F75" s="14" t="n">
        <v>12</v>
      </c>
      <c r="G75" s="6" t="n">
        <v>12</v>
      </c>
      <c r="H75" s="8" t="n">
        <f aca="false">C75-E75-G75</f>
        <v>4396</v>
      </c>
      <c r="I75" s="6" t="n">
        <v>154</v>
      </c>
      <c r="J75" s="11" t="n">
        <f aca="false">C75/65273511*1000000</f>
        <v>68.9253562597544</v>
      </c>
      <c r="K75" s="11"/>
      <c r="L75" s="6"/>
      <c r="M75" s="6"/>
    </row>
    <row r="76" customFormat="false" ht="15.75" hidden="false" customHeight="false" outlineLevel="0" collapsed="false">
      <c r="A76" s="0" t="s">
        <v>17</v>
      </c>
      <c r="B76" s="1" t="n">
        <v>43905</v>
      </c>
      <c r="C76" s="14" t="n">
        <v>5423</v>
      </c>
      <c r="D76" s="14" t="n">
        <v>924</v>
      </c>
      <c r="E76" s="14" t="n">
        <v>127</v>
      </c>
      <c r="F76" s="14" t="n">
        <v>36</v>
      </c>
      <c r="G76" s="6" t="n">
        <v>12</v>
      </c>
      <c r="H76" s="8" t="n">
        <f aca="false">C76-E76-G76</f>
        <v>5284</v>
      </c>
      <c r="I76" s="6" t="n">
        <v>400</v>
      </c>
      <c r="J76" s="11" t="n">
        <f aca="false">C76/65273511*1000000</f>
        <v>83.0811751492884</v>
      </c>
      <c r="K76" s="11"/>
      <c r="L76" s="6"/>
      <c r="M76" s="6"/>
    </row>
    <row r="77" customFormat="false" ht="15.75" hidden="false" customHeight="false" outlineLevel="0" collapsed="false">
      <c r="A77" s="0" t="s">
        <v>17</v>
      </c>
      <c r="B77" s="1" t="n">
        <v>43906</v>
      </c>
      <c r="C77" s="14" t="n">
        <v>6633</v>
      </c>
      <c r="D77" s="14" t="n">
        <v>1210</v>
      </c>
      <c r="E77" s="14" t="n">
        <v>148</v>
      </c>
      <c r="F77" s="14" t="n">
        <v>21</v>
      </c>
      <c r="G77" s="6" t="n">
        <v>12</v>
      </c>
      <c r="H77" s="8" t="n">
        <f aca="false">C77-E77-G77</f>
        <v>6473</v>
      </c>
      <c r="I77" s="6" t="n">
        <v>400</v>
      </c>
      <c r="J77" s="11" t="n">
        <f aca="false">C77/65273511*1000000</f>
        <v>101.61855702844</v>
      </c>
      <c r="K77" s="11"/>
      <c r="L77" s="6"/>
      <c r="M77" s="6"/>
    </row>
    <row r="78" customFormat="false" ht="15.75" hidden="false" customHeight="false" outlineLevel="0" collapsed="false">
      <c r="A78" s="0" t="s">
        <v>17</v>
      </c>
      <c r="B78" s="1" t="n">
        <v>43907</v>
      </c>
      <c r="C78" s="14" t="n">
        <v>7730</v>
      </c>
      <c r="D78" s="14" t="n">
        <v>1097</v>
      </c>
      <c r="E78" s="14" t="n">
        <v>175</v>
      </c>
      <c r="F78" s="14" t="n">
        <v>27</v>
      </c>
      <c r="G78" s="6" t="n">
        <v>602</v>
      </c>
      <c r="H78" s="8" t="n">
        <f aca="false">C78-E78-G78</f>
        <v>6953</v>
      </c>
      <c r="I78" s="6" t="n">
        <v>699</v>
      </c>
      <c r="J78" s="11" t="n">
        <f aca="false">C78/65273511*1000000</f>
        <v>118.424761922183</v>
      </c>
      <c r="K78" s="11"/>
      <c r="L78" s="6"/>
      <c r="M78" s="6"/>
    </row>
    <row r="79" customFormat="false" ht="15.75" hidden="false" customHeight="false" outlineLevel="0" collapsed="false">
      <c r="A79" s="0" t="s">
        <v>17</v>
      </c>
      <c r="B79" s="1" t="n">
        <v>43908</v>
      </c>
      <c r="C79" s="14" t="n">
        <v>9134</v>
      </c>
      <c r="D79" s="14" t="n">
        <v>1404</v>
      </c>
      <c r="E79" s="14" t="n">
        <v>244</v>
      </c>
      <c r="F79" s="14" t="n">
        <v>69</v>
      </c>
      <c r="G79" s="6" t="n">
        <v>602</v>
      </c>
      <c r="H79" s="8" t="n">
        <f aca="false">C79-E79-G79</f>
        <v>8288</v>
      </c>
      <c r="I79" s="6" t="n">
        <v>931</v>
      </c>
      <c r="J79" s="11" t="n">
        <f aca="false">C79/65273511*1000000</f>
        <v>139.934252962124</v>
      </c>
      <c r="K79" s="11"/>
      <c r="L79" s="6"/>
      <c r="M79" s="6"/>
    </row>
    <row r="80" customFormat="false" ht="15.75" hidden="false" customHeight="false" outlineLevel="0" collapsed="false">
      <c r="A80" s="0" t="s">
        <v>17</v>
      </c>
      <c r="B80" s="1" t="n">
        <v>43909</v>
      </c>
      <c r="C80" s="6" t="n">
        <v>10995</v>
      </c>
      <c r="D80" s="6" t="n">
        <v>1861</v>
      </c>
      <c r="E80" s="6" t="n">
        <v>372</v>
      </c>
      <c r="F80" s="6" t="n">
        <v>128</v>
      </c>
      <c r="G80" s="6" t="n">
        <v>1295</v>
      </c>
      <c r="H80" s="8" t="n">
        <f aca="false">C80-E80-G80</f>
        <v>9328</v>
      </c>
      <c r="I80" s="6" t="n">
        <v>1122</v>
      </c>
      <c r="J80" s="11" t="n">
        <f aca="false">C80/65273511*1000000</f>
        <v>168.445052695266</v>
      </c>
      <c r="K80" s="11"/>
      <c r="L80" s="6"/>
      <c r="M80" s="6"/>
    </row>
    <row r="81" customFormat="false" ht="15.75" hidden="false" customHeight="false" outlineLevel="0" collapsed="false">
      <c r="A81" s="0" t="s">
        <v>17</v>
      </c>
      <c r="B81" s="1" t="n">
        <v>43910</v>
      </c>
      <c r="C81" s="6" t="n">
        <v>12612</v>
      </c>
      <c r="D81" s="6" t="n">
        <v>1617</v>
      </c>
      <c r="E81" s="6" t="n">
        <v>450</v>
      </c>
      <c r="F81" s="6" t="n">
        <v>78</v>
      </c>
      <c r="G81" s="6" t="n">
        <v>1587</v>
      </c>
      <c r="H81" s="8" t="n">
        <f aca="false">C81-E81-G81</f>
        <v>10575</v>
      </c>
      <c r="I81" s="6" t="n">
        <v>1297</v>
      </c>
      <c r="J81" s="11" t="n">
        <f aca="false">C81/65273511*1000000</f>
        <v>193.21773575195</v>
      </c>
      <c r="K81" s="11"/>
      <c r="L81" s="6"/>
      <c r="M81" s="6"/>
    </row>
    <row r="82" customFormat="false" ht="15.75" hidden="false" customHeight="false" outlineLevel="0" collapsed="false">
      <c r="A82" s="0" t="s">
        <v>17</v>
      </c>
      <c r="B82" s="1" t="n">
        <v>43911</v>
      </c>
      <c r="C82" s="6" t="n">
        <v>14459</v>
      </c>
      <c r="D82" s="6" t="n">
        <v>1847</v>
      </c>
      <c r="E82" s="6" t="n">
        <v>562</v>
      </c>
      <c r="F82" s="6" t="n">
        <v>112</v>
      </c>
      <c r="G82" s="6" t="n">
        <v>1587</v>
      </c>
      <c r="H82" s="8" t="n">
        <f aca="false">C82-E82-G82</f>
        <v>12310</v>
      </c>
      <c r="I82" s="6" t="n">
        <v>1525</v>
      </c>
      <c r="J82" s="11" t="n">
        <f aca="false">C82/65273511*1000000</f>
        <v>221.514053380704</v>
      </c>
      <c r="K82" s="11"/>
      <c r="L82" s="6"/>
      <c r="M82" s="6"/>
    </row>
    <row r="83" customFormat="false" ht="15.75" hidden="false" customHeight="false" outlineLevel="0" collapsed="false">
      <c r="A83" s="0" t="s">
        <v>17</v>
      </c>
      <c r="B83" s="1" t="n">
        <v>43912</v>
      </c>
      <c r="C83" s="6" t="n">
        <v>16018</v>
      </c>
      <c r="D83" s="6" t="n">
        <v>1559</v>
      </c>
      <c r="E83" s="6" t="n">
        <v>674</v>
      </c>
      <c r="F83" s="6" t="n">
        <v>112</v>
      </c>
      <c r="G83" s="6" t="n">
        <v>2200</v>
      </c>
      <c r="H83" s="8" t="n">
        <f aca="false">C83-E83-G83</f>
        <v>13144</v>
      </c>
      <c r="I83" s="6" t="n">
        <v>1746</v>
      </c>
      <c r="J83" s="11" t="n">
        <f aca="false">C83/65273511*1000000</f>
        <v>245.398167719215</v>
      </c>
      <c r="K83" s="11"/>
      <c r="L83" s="6"/>
      <c r="M83" s="6"/>
    </row>
    <row r="84" customFormat="false" ht="15.75" hidden="false" customHeight="false" outlineLevel="0" collapsed="false">
      <c r="A84" s="0" t="s">
        <v>17</v>
      </c>
      <c r="B84" s="1" t="n">
        <v>43913</v>
      </c>
      <c r="C84" s="6" t="n">
        <v>19856</v>
      </c>
      <c r="D84" s="6" t="n">
        <v>3838</v>
      </c>
      <c r="E84" s="6" t="n">
        <v>860</v>
      </c>
      <c r="F84" s="6" t="n">
        <v>186</v>
      </c>
      <c r="G84" s="6" t="n">
        <v>2200</v>
      </c>
      <c r="H84" s="8" t="n">
        <f aca="false">C84-E84-G84</f>
        <v>16796</v>
      </c>
      <c r="I84" s="6" t="n">
        <v>2082</v>
      </c>
      <c r="J84" s="11" t="n">
        <f aca="false">C84/65273511*1000000</f>
        <v>304.196904621846</v>
      </c>
      <c r="K84" s="11"/>
      <c r="L84" s="6"/>
      <c r="M84" s="6"/>
    </row>
    <row r="85" customFormat="false" ht="15.75" hidden="false" customHeight="false" outlineLevel="0" collapsed="false">
      <c r="A85" s="0" t="s">
        <v>17</v>
      </c>
      <c r="B85" s="1" t="n">
        <v>43914</v>
      </c>
      <c r="C85" s="6" t="n">
        <v>22302</v>
      </c>
      <c r="D85" s="6" t="n">
        <v>2446</v>
      </c>
      <c r="E85" s="6" t="n">
        <v>1100</v>
      </c>
      <c r="F85" s="6" t="n">
        <v>240</v>
      </c>
      <c r="G85" s="7" t="n">
        <v>3281</v>
      </c>
      <c r="H85" s="8" t="n">
        <f aca="false">C85-E85-G85</f>
        <v>17921</v>
      </c>
      <c r="I85" s="7" t="n">
        <v>2516</v>
      </c>
      <c r="J85" s="11" t="n">
        <f aca="false">C85/65273511*1000000</f>
        <v>341.669992288296</v>
      </c>
      <c r="K85" s="11" t="n">
        <f aca="false">E85/65273511*1000000</f>
        <v>16.8521653446832</v>
      </c>
      <c r="L85" s="7"/>
      <c r="M85" s="7"/>
    </row>
    <row r="86" customFormat="false" ht="15.75" hidden="false" customHeight="false" outlineLevel="0" collapsed="false">
      <c r="A86" s="0" t="s">
        <v>17</v>
      </c>
      <c r="B86" s="1" t="n">
        <v>43915</v>
      </c>
      <c r="C86" s="6" t="n">
        <v>25233</v>
      </c>
      <c r="D86" s="6" t="n">
        <v>2931</v>
      </c>
      <c r="E86" s="6" t="n">
        <v>1331</v>
      </c>
      <c r="F86" s="6" t="n">
        <v>231</v>
      </c>
      <c r="G86" s="7" t="n">
        <v>3900</v>
      </c>
      <c r="H86" s="8" t="n">
        <f aca="false">C86-E86-G86</f>
        <v>20002</v>
      </c>
      <c r="I86" s="7" t="n">
        <v>2827</v>
      </c>
      <c r="J86" s="11" t="n">
        <f aca="false">C86/65273511*1000000</f>
        <v>386.57335285672</v>
      </c>
      <c r="K86" s="11" t="n">
        <f aca="false">E86/65273511*1000000</f>
        <v>20.3911200670667</v>
      </c>
      <c r="L86" s="7"/>
      <c r="M86" s="7"/>
    </row>
    <row r="87" customFormat="false" ht="15.75" hidden="false" customHeight="false" outlineLevel="0" collapsed="false">
      <c r="A87" s="0" t="s">
        <v>17</v>
      </c>
      <c r="B87" s="1" t="n">
        <v>43916</v>
      </c>
      <c r="C87" s="6" t="n">
        <v>29155</v>
      </c>
      <c r="D87" s="6" t="n">
        <v>3922</v>
      </c>
      <c r="E87" s="6" t="n">
        <v>1696</v>
      </c>
      <c r="F87" s="6" t="n">
        <v>365</v>
      </c>
      <c r="G87" s="7" t="n">
        <v>4948</v>
      </c>
      <c r="H87" s="8" t="n">
        <f aca="false">C87-E87-G87</f>
        <v>22511</v>
      </c>
      <c r="I87" s="7" t="n">
        <v>3375</v>
      </c>
      <c r="J87" s="11" t="n">
        <f aca="false">C87/65273511*1000000</f>
        <v>446.658982385673</v>
      </c>
      <c r="K87" s="11" t="n">
        <f aca="false">E87/65273511*1000000</f>
        <v>25.9829749314389</v>
      </c>
      <c r="L87" s="7"/>
      <c r="M87" s="7"/>
    </row>
    <row r="88" customFormat="false" ht="15.75" hidden="false" customHeight="false" outlineLevel="0" collapsed="false">
      <c r="A88" s="0" t="s">
        <v>17</v>
      </c>
      <c r="B88" s="1" t="n">
        <v>43917</v>
      </c>
      <c r="C88" s="6" t="n">
        <v>32964</v>
      </c>
      <c r="D88" s="6" t="n">
        <v>3809</v>
      </c>
      <c r="E88" s="6" t="n">
        <v>1995</v>
      </c>
      <c r="F88" s="6" t="n">
        <v>299</v>
      </c>
      <c r="G88" s="7" t="n">
        <v>5700</v>
      </c>
      <c r="H88" s="8" t="n">
        <f aca="false">C88-E88-G88</f>
        <v>25269</v>
      </c>
      <c r="I88" s="7" t="n">
        <v>3787</v>
      </c>
      <c r="J88" s="11" t="n">
        <f aca="false">C88/65273511*1000000</f>
        <v>505.013434929217</v>
      </c>
      <c r="K88" s="11" t="n">
        <f aca="false">E88/65273511*1000000</f>
        <v>30.5636998751301</v>
      </c>
      <c r="L88" s="7"/>
      <c r="M88" s="7"/>
    </row>
    <row r="89" customFormat="false" ht="15.75" hidden="false" customHeight="false" outlineLevel="0" collapsed="false">
      <c r="A89" s="0" t="s">
        <v>17</v>
      </c>
      <c r="B89" s="1" t="n">
        <v>43918</v>
      </c>
      <c r="C89" s="6" t="n">
        <v>37575</v>
      </c>
      <c r="D89" s="6" t="n">
        <v>4611</v>
      </c>
      <c r="E89" s="6" t="n">
        <v>2314</v>
      </c>
      <c r="F89" s="6" t="n">
        <v>319</v>
      </c>
      <c r="G89" s="7" t="n">
        <v>5700</v>
      </c>
      <c r="H89" s="8" t="n">
        <f aca="false">C89-E89-G89</f>
        <v>29561</v>
      </c>
      <c r="I89" s="7" t="n">
        <v>4273</v>
      </c>
      <c r="J89" s="11" t="n">
        <f aca="false">C89/65273511*1000000</f>
        <v>575.654648024066</v>
      </c>
      <c r="K89" s="11" t="n">
        <f aca="false">E89/65273511*1000000</f>
        <v>35.4508278250882</v>
      </c>
      <c r="L89" s="7"/>
      <c r="M89" s="7"/>
    </row>
    <row r="90" customFormat="false" ht="15.75" hidden="false" customHeight="false" outlineLevel="0" collapsed="false">
      <c r="A90" s="0" t="s">
        <v>17</v>
      </c>
      <c r="B90" s="1" t="n">
        <v>43919</v>
      </c>
      <c r="C90" s="6" t="n">
        <v>40174</v>
      </c>
      <c r="D90" s="6" t="n">
        <v>2599</v>
      </c>
      <c r="E90" s="6" t="n">
        <v>2606</v>
      </c>
      <c r="F90" s="6" t="n">
        <v>292</v>
      </c>
      <c r="G90" s="7" t="n">
        <v>7202</v>
      </c>
      <c r="H90" s="8" t="n">
        <f aca="false">C90-E90-G90</f>
        <v>30366</v>
      </c>
      <c r="I90" s="7" t="n">
        <v>4632</v>
      </c>
      <c r="J90" s="11" t="n">
        <f aca="false">C90/65273511*1000000</f>
        <v>615.471718688459</v>
      </c>
      <c r="K90" s="11" t="n">
        <f aca="false">E90/65273511*1000000</f>
        <v>39.9243117165859</v>
      </c>
      <c r="L90" s="7"/>
      <c r="M90" s="7"/>
    </row>
    <row r="91" customFormat="false" ht="15.75" hidden="false" customHeight="false" outlineLevel="0" collapsed="false">
      <c r="A91" s="0" t="s">
        <v>17</v>
      </c>
      <c r="B91" s="1" t="n">
        <v>43920</v>
      </c>
      <c r="C91" s="6" t="n">
        <v>44550</v>
      </c>
      <c r="D91" s="6" t="n">
        <v>4376</v>
      </c>
      <c r="E91" s="6" t="n">
        <v>3024</v>
      </c>
      <c r="F91" s="6" t="n">
        <v>418</v>
      </c>
      <c r="G91" s="7" t="n">
        <v>7927</v>
      </c>
      <c r="H91" s="8" t="n">
        <f aca="false">C91-E91-G91</f>
        <v>33599</v>
      </c>
      <c r="I91" s="7" t="n">
        <v>5056</v>
      </c>
      <c r="J91" s="11" t="n">
        <f aca="false">C91/65273511*1000000</f>
        <v>682.512696459671</v>
      </c>
      <c r="K91" s="11" t="n">
        <f aca="false">E91/65273511*1000000</f>
        <v>46.3281345475656</v>
      </c>
      <c r="L91" s="7"/>
      <c r="M91" s="7"/>
    </row>
    <row r="92" customFormat="false" ht="15.75" hidden="false" customHeight="false" outlineLevel="0" collapsed="false">
      <c r="A92" s="0" t="s">
        <v>17</v>
      </c>
      <c r="B92" s="1" t="n">
        <v>43921</v>
      </c>
      <c r="C92" s="6" t="n">
        <v>52128</v>
      </c>
      <c r="D92" s="6" t="n">
        <v>7578</v>
      </c>
      <c r="E92" s="6" t="n">
        <v>3523</v>
      </c>
      <c r="F92" s="6" t="n">
        <v>499</v>
      </c>
      <c r="G92" s="7" t="n">
        <v>9444</v>
      </c>
      <c r="H92" s="8" t="n">
        <f aca="false">C92-E92-G92</f>
        <v>39161</v>
      </c>
      <c r="I92" s="7" t="n">
        <v>5565</v>
      </c>
      <c r="J92" s="11" t="n">
        <f aca="false">C92/65273511*1000000</f>
        <v>798.608795534225</v>
      </c>
      <c r="K92" s="11" t="n">
        <f aca="false">E92/65273511*1000000</f>
        <v>53.9728895539264</v>
      </c>
      <c r="L92" s="7"/>
      <c r="M92" s="7"/>
    </row>
    <row r="93" customFormat="false" ht="15.75" hidden="false" customHeight="false" outlineLevel="0" collapsed="false">
      <c r="A93" s="0" t="s">
        <v>17</v>
      </c>
      <c r="B93" s="1" t="n">
        <v>43922</v>
      </c>
      <c r="C93" s="6" t="n">
        <v>56989</v>
      </c>
      <c r="D93" s="6" t="n">
        <v>4861</v>
      </c>
      <c r="E93" s="6" t="n">
        <v>4032</v>
      </c>
      <c r="F93" s="6" t="n">
        <v>509</v>
      </c>
      <c r="G93" s="7" t="n">
        <v>10934</v>
      </c>
      <c r="H93" s="8" t="n">
        <f aca="false">C93-E93-G93</f>
        <v>42023</v>
      </c>
      <c r="I93" s="7" t="n">
        <v>6017</v>
      </c>
      <c r="J93" s="11" t="n">
        <f aca="false">C93/65273511*1000000</f>
        <v>873.080046207412</v>
      </c>
      <c r="K93" s="11" t="n">
        <f aca="false">E93/65273511*1000000</f>
        <v>61.7708460634207</v>
      </c>
      <c r="L93" s="7"/>
      <c r="M93" s="7"/>
    </row>
    <row r="94" customFormat="false" ht="15.75" hidden="false" customHeight="false" outlineLevel="0" collapsed="false">
      <c r="A94" s="0" t="s">
        <v>17</v>
      </c>
      <c r="B94" s="1" t="n">
        <v>43923</v>
      </c>
      <c r="C94" s="6" t="n">
        <v>59105</v>
      </c>
      <c r="D94" s="6" t="n">
        <v>2116</v>
      </c>
      <c r="E94" s="6" t="n">
        <v>4503</v>
      </c>
      <c r="F94" s="6" t="n">
        <v>471</v>
      </c>
      <c r="G94" s="7" t="n">
        <v>12428</v>
      </c>
      <c r="H94" s="8" t="n">
        <f aca="false">C94-E94-G94</f>
        <v>42174</v>
      </c>
      <c r="I94" s="7" t="n">
        <v>6399</v>
      </c>
      <c r="J94" s="11" t="n">
        <f aca="false">C94/65273511*1000000</f>
        <v>905.497484270457</v>
      </c>
      <c r="K94" s="11" t="n">
        <f aca="false">E94/65273511*1000000</f>
        <v>68.9866368610078</v>
      </c>
      <c r="L94" s="7"/>
      <c r="M94" s="7"/>
    </row>
    <row r="95" customFormat="false" ht="15.75" hidden="false" customHeight="false" outlineLevel="0" collapsed="false">
      <c r="A95" s="0" t="s">
        <v>17</v>
      </c>
      <c r="B95" s="1" t="n">
        <v>43924</v>
      </c>
      <c r="C95" s="6" t="n">
        <v>64338</v>
      </c>
      <c r="D95" s="6" t="n">
        <v>5233</v>
      </c>
      <c r="E95" s="6" t="n">
        <v>6507</v>
      </c>
      <c r="F95" s="6" t="n">
        <v>2004</v>
      </c>
      <c r="G95" s="7" t="n">
        <v>14008</v>
      </c>
      <c r="H95" s="8" t="n">
        <f aca="false">C95-E95-G95</f>
        <v>43823</v>
      </c>
      <c r="I95" s="7" t="n">
        <v>6662</v>
      </c>
      <c r="J95" s="11" t="n">
        <f aca="false">C95/65273511*1000000</f>
        <v>985.667830860209</v>
      </c>
      <c r="K95" s="11" t="n">
        <f aca="false">E95/65273511*1000000</f>
        <v>99.688218088958</v>
      </c>
      <c r="L95" s="7"/>
      <c r="M95" s="7"/>
    </row>
    <row r="96" customFormat="false" ht="15.75" hidden="false" customHeight="false" outlineLevel="0" collapsed="false">
      <c r="A96" s="0" t="s">
        <v>17</v>
      </c>
      <c r="B96" s="1" t="n">
        <v>43925</v>
      </c>
      <c r="C96" s="6" t="n">
        <v>68605</v>
      </c>
      <c r="D96" s="6" t="n">
        <v>4267</v>
      </c>
      <c r="E96" s="6" t="n">
        <v>7560</v>
      </c>
      <c r="F96" s="6" t="n">
        <v>1053</v>
      </c>
      <c r="G96" s="7" t="n">
        <v>15438</v>
      </c>
      <c r="H96" s="8" t="n">
        <f aca="false">C96-E96-G96</f>
        <v>45607</v>
      </c>
      <c r="I96" s="7" t="n">
        <v>6838</v>
      </c>
      <c r="J96" s="11" t="n">
        <f aca="false">C96/65273511*1000000</f>
        <v>1051.03891224727</v>
      </c>
      <c r="K96" s="11" t="n">
        <f aca="false">E96/65273511*1000000</f>
        <v>115.820336368914</v>
      </c>
      <c r="L96" s="7" t="n">
        <v>224254</v>
      </c>
      <c r="M96" s="7" t="n">
        <v>3436</v>
      </c>
    </row>
    <row r="97" customFormat="false" ht="15.75" hidden="false" customHeight="false" outlineLevel="0" collapsed="false">
      <c r="A97" s="0" t="s">
        <v>17</v>
      </c>
      <c r="B97" s="1" t="n">
        <v>43926</v>
      </c>
      <c r="C97" s="6" t="n">
        <v>70478</v>
      </c>
      <c r="D97" s="6" t="n">
        <v>1873</v>
      </c>
      <c r="E97" s="6" t="n">
        <v>8078</v>
      </c>
      <c r="F97" s="6" t="n">
        <v>518</v>
      </c>
      <c r="G97" s="7" t="n">
        <v>16183</v>
      </c>
      <c r="H97" s="8" t="n">
        <f aca="false">C97-E97-G97</f>
        <v>46217</v>
      </c>
      <c r="I97" s="7" t="n">
        <v>6838</v>
      </c>
      <c r="J97" s="11" t="n">
        <f aca="false">C97/65273511*1000000</f>
        <v>1079.73355378417</v>
      </c>
      <c r="K97" s="11" t="n">
        <f aca="false">E97/65273511*1000000</f>
        <v>123.756174231228</v>
      </c>
      <c r="L97" s="7" t="n">
        <v>224254</v>
      </c>
      <c r="M97" s="7" t="n">
        <v>3436</v>
      </c>
    </row>
    <row r="98" customFormat="false" ht="15.75" hidden="false" customHeight="false" outlineLevel="0" collapsed="false">
      <c r="A98" s="0" t="s">
        <v>17</v>
      </c>
      <c r="B98" s="1" t="n">
        <v>43927</v>
      </c>
      <c r="C98" s="6" t="n">
        <v>74390</v>
      </c>
      <c r="D98" s="6" t="n">
        <v>3912</v>
      </c>
      <c r="E98" s="6" t="n">
        <v>8911</v>
      </c>
      <c r="F98" s="6" t="n">
        <v>833</v>
      </c>
      <c r="G98" s="12" t="n">
        <v>17250</v>
      </c>
      <c r="H98" s="8" t="n">
        <f aca="false">C98-E98-G98</f>
        <v>48229</v>
      </c>
      <c r="I98" s="12" t="n">
        <v>7072</v>
      </c>
      <c r="J98" s="11" t="n">
        <f aca="false">C98/65273511*1000000</f>
        <v>1139.66598180999</v>
      </c>
      <c r="K98" s="11" t="n">
        <f aca="false">E98/65273511*1000000</f>
        <v>136.517859442248</v>
      </c>
      <c r="L98" s="12" t="n">
        <v>224254</v>
      </c>
      <c r="M98" s="12" t="n">
        <v>3436</v>
      </c>
    </row>
    <row r="99" customFormat="false" ht="15.75" hidden="false" customHeight="false" outlineLevel="0" collapsed="false">
      <c r="A99" s="0" t="s">
        <v>17</v>
      </c>
      <c r="B99" s="1" t="n">
        <v>43928</v>
      </c>
      <c r="C99" s="6" t="n">
        <v>78167</v>
      </c>
      <c r="D99" s="6" t="n">
        <v>3777</v>
      </c>
      <c r="E99" s="6" t="n">
        <v>10328</v>
      </c>
      <c r="F99" s="6" t="n">
        <v>1417</v>
      </c>
      <c r="G99" s="6" t="n">
        <v>19337</v>
      </c>
      <c r="H99" s="8" t="n">
        <f aca="false">C99-E99-G99</f>
        <v>48502</v>
      </c>
      <c r="I99" s="6" t="n">
        <v>7131</v>
      </c>
      <c r="J99" s="11" t="n">
        <f aca="false">C99/65273511*1000000</f>
        <v>1197.5301895435</v>
      </c>
      <c r="K99" s="11" t="n">
        <f aca="false">E99/65273511*1000000</f>
        <v>158.226512436262</v>
      </c>
      <c r="L99" s="6" t="n">
        <v>224254</v>
      </c>
      <c r="M99" s="6" t="n">
        <v>3436</v>
      </c>
    </row>
    <row r="100" customFormat="false" ht="15.75" hidden="false" customHeight="false" outlineLevel="0" collapsed="false">
      <c r="A100" s="0" t="s">
        <v>17</v>
      </c>
      <c r="B100" s="1" t="n">
        <v>43929</v>
      </c>
      <c r="C100" s="6" t="n">
        <v>82048</v>
      </c>
      <c r="D100" s="6" t="n">
        <v>3881</v>
      </c>
      <c r="E100" s="6" t="n">
        <v>10869</v>
      </c>
      <c r="F100" s="6" t="n">
        <v>541</v>
      </c>
      <c r="G100" s="14" t="n">
        <v>21254</v>
      </c>
      <c r="H100" s="8" t="n">
        <f aca="false">C100-E100-G100</f>
        <v>49925</v>
      </c>
      <c r="I100" s="14" t="n">
        <v>7148</v>
      </c>
      <c r="J100" s="11" t="n">
        <f aca="false">C100/65273511*1000000</f>
        <v>1256.98769290961</v>
      </c>
      <c r="K100" s="11" t="n">
        <f aca="false">E100/65273511*1000000</f>
        <v>166.514713755784</v>
      </c>
      <c r="L100" s="14" t="n">
        <v>224254</v>
      </c>
      <c r="M100" s="14" t="n">
        <v>3436</v>
      </c>
    </row>
    <row r="101" customFormat="false" ht="15.75" hidden="false" customHeight="false" outlineLevel="0" collapsed="false">
      <c r="A101" s="0" t="s">
        <v>17</v>
      </c>
      <c r="B101" s="1" t="n">
        <v>43930</v>
      </c>
      <c r="C101" s="6" t="n">
        <v>86334</v>
      </c>
      <c r="D101" s="6" t="n">
        <v>4286</v>
      </c>
      <c r="E101" s="6" t="n">
        <v>12210</v>
      </c>
      <c r="F101" s="6" t="n">
        <v>1341</v>
      </c>
      <c r="G101" s="14" t="n">
        <v>23206</v>
      </c>
      <c r="H101" s="8" t="n">
        <f aca="false">C101-E101-G101</f>
        <v>50918</v>
      </c>
      <c r="I101" s="14" t="n">
        <v>7066</v>
      </c>
      <c r="J101" s="11" t="n">
        <f aca="false">C101/65273511*1000000</f>
        <v>1322.64985715262</v>
      </c>
      <c r="K101" s="11" t="n">
        <f aca="false">E101/65273511*1000000</f>
        <v>187.059035325984</v>
      </c>
      <c r="L101" s="14" t="n">
        <v>333807</v>
      </c>
      <c r="M101" s="14" t="n">
        <v>5114</v>
      </c>
    </row>
    <row r="102" customFormat="false" ht="15.75" hidden="false" customHeight="false" outlineLevel="0" collapsed="false">
      <c r="A102" s="0" t="s">
        <v>17</v>
      </c>
      <c r="B102" s="1" t="n">
        <v>43931</v>
      </c>
      <c r="C102" s="6" t="n">
        <v>90676</v>
      </c>
      <c r="D102" s="6" t="n">
        <v>4342</v>
      </c>
      <c r="E102" s="6" t="n">
        <v>13197</v>
      </c>
      <c r="F102" s="6" t="n">
        <v>987</v>
      </c>
      <c r="G102" s="14" t="n">
        <v>24932</v>
      </c>
      <c r="H102" s="8" t="n">
        <f aca="false">C102-E102-G102</f>
        <v>52547</v>
      </c>
      <c r="I102" s="14" t="n">
        <v>7004</v>
      </c>
      <c r="J102" s="11" t="n">
        <f aca="false">C102/65273511*1000000</f>
        <v>1389.16994981318</v>
      </c>
      <c r="K102" s="11" t="n">
        <f aca="false">E102/65273511*1000000</f>
        <v>202.180023685259</v>
      </c>
      <c r="L102" s="14" t="n">
        <v>333807</v>
      </c>
      <c r="M102" s="14" t="n">
        <v>5114</v>
      </c>
    </row>
    <row r="103" customFormat="false" ht="15.75" hidden="false" customHeight="false" outlineLevel="0" collapsed="false">
      <c r="A103" s="0" t="s">
        <v>17</v>
      </c>
      <c r="B103" s="1" t="n">
        <v>43932</v>
      </c>
      <c r="C103" s="6" t="n">
        <v>93790</v>
      </c>
      <c r="D103" s="6" t="n">
        <v>3114</v>
      </c>
      <c r="E103" s="6" t="n">
        <v>13832</v>
      </c>
      <c r="F103" s="6" t="n">
        <v>635</v>
      </c>
      <c r="G103" s="14" t="n">
        <v>26391</v>
      </c>
      <c r="H103" s="8" t="n">
        <f aca="false">C103-E103-G103</f>
        <v>53567</v>
      </c>
      <c r="I103" s="14" t="n">
        <v>6883</v>
      </c>
      <c r="J103" s="11" t="n">
        <f aca="false">C103/65273511*1000000</f>
        <v>1436.87689788895</v>
      </c>
      <c r="K103" s="11" t="n">
        <f aca="false">E103/65273511*1000000</f>
        <v>211.908319134235</v>
      </c>
      <c r="L103" s="14" t="n">
        <v>333807</v>
      </c>
      <c r="M103" s="14" t="n">
        <v>5114</v>
      </c>
    </row>
    <row r="104" customFormat="false" ht="15.75" hidden="false" customHeight="false" outlineLevel="0" collapsed="false">
      <c r="A104" s="0" t="s">
        <v>17</v>
      </c>
      <c r="B104" s="1" t="n">
        <v>43933</v>
      </c>
      <c r="C104" s="6" t="n">
        <v>95403</v>
      </c>
      <c r="D104" s="6" t="n">
        <v>1613</v>
      </c>
      <c r="E104" s="6" t="n">
        <v>14393</v>
      </c>
      <c r="F104" s="6" t="n">
        <v>561</v>
      </c>
      <c r="G104" s="14" t="n">
        <v>27186</v>
      </c>
      <c r="H104" s="8" t="n">
        <f aca="false">C104-E104-G104</f>
        <v>53824</v>
      </c>
      <c r="I104" s="14" t="n">
        <v>6845</v>
      </c>
      <c r="J104" s="11" t="n">
        <f aca="false">C104/65273511*1000000</f>
        <v>1461.58830034438</v>
      </c>
      <c r="K104" s="11" t="n">
        <f aca="false">E104/65273511*1000000</f>
        <v>220.502923460023</v>
      </c>
      <c r="L104" s="14" t="n">
        <v>333807</v>
      </c>
      <c r="M104" s="14" t="n">
        <v>5114</v>
      </c>
    </row>
    <row r="105" customFormat="false" ht="15.75" hidden="false" customHeight="false" outlineLevel="0" collapsed="false">
      <c r="A105" s="0" t="s">
        <v>17</v>
      </c>
      <c r="B105" s="1" t="n">
        <v>43934</v>
      </c>
      <c r="C105" s="6" t="n">
        <v>98076</v>
      </c>
      <c r="D105" s="6" t="n">
        <v>2673</v>
      </c>
      <c r="E105" s="6" t="n">
        <v>14967</v>
      </c>
      <c r="F105" s="6" t="n">
        <v>574</v>
      </c>
      <c r="G105" s="14" t="n">
        <v>27718</v>
      </c>
      <c r="H105" s="8" t="n">
        <f aca="false">C105-E105-G105</f>
        <v>55391</v>
      </c>
      <c r="I105" s="14" t="n">
        <v>6821</v>
      </c>
      <c r="J105" s="11" t="n">
        <f aca="false">C105/65273511*1000000</f>
        <v>1502.53906213196</v>
      </c>
      <c r="K105" s="11" t="n">
        <f aca="false">E105/65273511*1000000</f>
        <v>229.296689739885</v>
      </c>
      <c r="L105" s="14" t="n">
        <v>333807</v>
      </c>
      <c r="M105" s="14" t="n">
        <v>5114</v>
      </c>
    </row>
    <row r="106" customFormat="false" ht="15.75" hidden="false" customHeight="false" outlineLevel="0" collapsed="false">
      <c r="A106" s="0" t="s">
        <v>17</v>
      </c>
      <c r="B106" s="1" t="n">
        <v>43935</v>
      </c>
      <c r="C106" s="6" t="n">
        <v>103573</v>
      </c>
      <c r="D106" s="6" t="n">
        <v>5497</v>
      </c>
      <c r="E106" s="6" t="n">
        <v>15729</v>
      </c>
      <c r="F106" s="6" t="n">
        <v>762</v>
      </c>
      <c r="G106" s="14" t="n">
        <v>28805</v>
      </c>
      <c r="H106" s="8" t="n">
        <f aca="false">C106-E106-G106</f>
        <v>59039</v>
      </c>
      <c r="I106" s="14" t="n">
        <v>6730</v>
      </c>
      <c r="J106" s="11" t="n">
        <f aca="false">C106/65273511*1000000</f>
        <v>1586.75392840443</v>
      </c>
      <c r="K106" s="11" t="n">
        <f aca="false">E106/65273511*1000000</f>
        <v>240.970644278657</v>
      </c>
      <c r="L106" s="14" t="n">
        <v>333807</v>
      </c>
      <c r="M106" s="14" t="n">
        <v>5114</v>
      </c>
    </row>
    <row r="107" customFormat="false" ht="15.75" hidden="false" customHeight="false" outlineLevel="0" collapsed="false">
      <c r="A107" s="0" t="s">
        <v>17</v>
      </c>
      <c r="B107" s="1" t="n">
        <v>43936</v>
      </c>
      <c r="C107" s="6" t="n">
        <v>106206</v>
      </c>
      <c r="D107" s="6" t="n">
        <v>2633</v>
      </c>
      <c r="E107" s="6" t="n">
        <v>17167</v>
      </c>
      <c r="F107" s="6" t="n">
        <v>1438</v>
      </c>
      <c r="G107" s="14" t="n">
        <v>30955</v>
      </c>
      <c r="H107" s="8" t="n">
        <f aca="false">C107-E107-G107</f>
        <v>58084</v>
      </c>
      <c r="I107" s="14" t="n">
        <v>6457</v>
      </c>
      <c r="J107" s="11" t="n">
        <f aca="false">C107/65273511*1000000</f>
        <v>1627.09188417948</v>
      </c>
      <c r="K107" s="11" t="n">
        <f aca="false">E107/65273511*1000000</f>
        <v>263.001020429252</v>
      </c>
      <c r="L107" s="14" t="n">
        <v>333807</v>
      </c>
      <c r="M107" s="14" t="n">
        <v>5114</v>
      </c>
    </row>
    <row r="108" customFormat="false" ht="15.75" hidden="false" customHeight="false" outlineLevel="0" collapsed="false">
      <c r="A108" s="0" t="s">
        <v>17</v>
      </c>
      <c r="B108" s="1" t="n">
        <v>43937</v>
      </c>
      <c r="C108" s="6" t="n">
        <v>108847</v>
      </c>
      <c r="D108" s="6" t="n">
        <v>2641</v>
      </c>
      <c r="E108" s="6" t="n">
        <v>17920</v>
      </c>
      <c r="F108" s="6" t="n">
        <v>753</v>
      </c>
      <c r="G108" s="14" t="n">
        <v>32812</v>
      </c>
      <c r="H108" s="8" t="n">
        <f aca="false">C108-E108-G108</f>
        <v>58115</v>
      </c>
      <c r="I108" s="14" t="n">
        <v>6248</v>
      </c>
      <c r="J108" s="11" t="n">
        <f aca="false">C108/65273511*1000000</f>
        <v>1667.55240115703</v>
      </c>
      <c r="K108" s="11" t="n">
        <f aca="false">E108/65273511*1000000</f>
        <v>274.537093615203</v>
      </c>
      <c r="L108" s="14" t="n">
        <v>333807</v>
      </c>
      <c r="M108" s="14" t="n">
        <v>5114</v>
      </c>
    </row>
    <row r="109" customFormat="false" ht="15.75" hidden="false" customHeight="false" outlineLevel="0" collapsed="false">
      <c r="A109" s="0" t="s">
        <v>17</v>
      </c>
      <c r="B109" s="1" t="n">
        <v>43938</v>
      </c>
      <c r="C109" s="6" t="n">
        <f aca="false">C108+D109</f>
        <v>109252</v>
      </c>
      <c r="D109" s="6" t="n">
        <v>405</v>
      </c>
      <c r="E109" s="6" t="n">
        <f aca="false">E108+F109</f>
        <v>18681</v>
      </c>
      <c r="F109" s="6" t="n">
        <v>761</v>
      </c>
      <c r="G109" s="6" t="n">
        <v>34420</v>
      </c>
      <c r="H109" s="8" t="n">
        <f aca="false">C109-E109-G109</f>
        <v>56151</v>
      </c>
      <c r="I109" s="14" t="n">
        <v>6027</v>
      </c>
      <c r="J109" s="11" t="n">
        <f aca="false">C109/65273511*1000000</f>
        <v>1673.75706203394</v>
      </c>
      <c r="K109" s="11" t="n">
        <f aca="false">E109/65273511*1000000</f>
        <v>286.195728003661</v>
      </c>
      <c r="L109" s="14" t="n">
        <v>463662</v>
      </c>
      <c r="M109" s="14" t="n">
        <v>7103</v>
      </c>
    </row>
    <row r="110" customFormat="false" ht="15.75" hidden="false" customHeight="false" outlineLevel="0" collapsed="false">
      <c r="A110" s="0" t="s">
        <v>17</v>
      </c>
      <c r="B110" s="1" t="n">
        <v>43939</v>
      </c>
      <c r="C110" s="6" t="n">
        <f aca="false">C109+D110</f>
        <v>111821</v>
      </c>
      <c r="D110" s="6" t="n">
        <v>2569</v>
      </c>
      <c r="E110" s="6" t="n">
        <f aca="false">E109+F110</f>
        <v>19323</v>
      </c>
      <c r="F110" s="6" t="n">
        <v>642</v>
      </c>
      <c r="G110" s="6" t="e">
        <f aca="false">#REF!</f>
        <v>#REF!</v>
      </c>
      <c r="H110" s="8" t="e">
        <f aca="false">C110-E110-G110</f>
        <v>#REF!</v>
      </c>
      <c r="I110" s="6" t="e">
        <f aca="false">#REF!</f>
        <v>#REF!</v>
      </c>
      <c r="J110" s="11" t="n">
        <f aca="false">C110/65273511*1000000</f>
        <v>1713.11452818893</v>
      </c>
      <c r="K110" s="11" t="n">
        <f aca="false">E110/65273511*1000000</f>
        <v>296.031264504831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17</v>
      </c>
      <c r="B111" s="1" t="n">
        <v>43940</v>
      </c>
      <c r="C111" s="6" t="n">
        <f aca="false">C110+D111</f>
        <v>112606</v>
      </c>
      <c r="D111" s="6" t="n">
        <v>785</v>
      </c>
      <c r="E111" s="6" t="n">
        <f aca="false">E110+F111</f>
        <v>19718</v>
      </c>
      <c r="F111" s="6" t="n">
        <v>395</v>
      </c>
      <c r="G111" s="6" t="e">
        <f aca="false">#REF!</f>
        <v>#REF!</v>
      </c>
      <c r="H111" s="8" t="e">
        <f aca="false">C111-E111-G111</f>
        <v>#REF!</v>
      </c>
      <c r="I111" s="6" t="e">
        <f aca="false">#REF!</f>
        <v>#REF!</v>
      </c>
      <c r="J111" s="11" t="n">
        <f aca="false">C111/65273511*1000000</f>
        <v>1725.14084618491</v>
      </c>
      <c r="K111" s="11" t="n">
        <f aca="false">E111/65273511*1000000</f>
        <v>302.082723878604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17</v>
      </c>
      <c r="B112" s="1" t="n">
        <v>43941</v>
      </c>
      <c r="C112" s="6" t="n">
        <f aca="false">C111+D112</f>
        <v>114657</v>
      </c>
      <c r="D112" s="6" t="n">
        <v>2051</v>
      </c>
      <c r="E112" s="6" t="n">
        <f aca="false">E111+F112</f>
        <v>20265</v>
      </c>
      <c r="F112" s="6" t="n">
        <v>547</v>
      </c>
      <c r="G112" s="6" t="n">
        <v>37409</v>
      </c>
      <c r="H112" s="8" t="n">
        <f aca="false">C112-E112-G112</f>
        <v>56983</v>
      </c>
      <c r="I112" s="6" t="n">
        <v>5683</v>
      </c>
      <c r="J112" s="11" t="n">
        <f aca="false">C112/65273511*1000000</f>
        <v>1756.56247447759</v>
      </c>
      <c r="K112" s="11" t="n">
        <f aca="false">E112/65273511*1000000</f>
        <v>310.462846100005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17</v>
      </c>
      <c r="B113" s="1" t="n">
        <v>43942</v>
      </c>
      <c r="C113" s="6" t="n">
        <f aca="false">C112+D113</f>
        <v>117324</v>
      </c>
      <c r="D113" s="6" t="n">
        <v>2667</v>
      </c>
      <c r="E113" s="6" t="n">
        <f aca="false">E112+F113</f>
        <v>20796</v>
      </c>
      <c r="F113" s="6" t="n">
        <v>531</v>
      </c>
      <c r="G113" s="6" t="n">
        <v>39181</v>
      </c>
      <c r="H113" s="8" t="n">
        <f aca="false">C113-E113-G113</f>
        <v>57347</v>
      </c>
      <c r="I113" s="6" t="n">
        <v>5433</v>
      </c>
      <c r="J113" s="11" t="n">
        <f aca="false">C113/65273511*1000000</f>
        <v>1797.42131536329</v>
      </c>
      <c r="K113" s="11" t="n">
        <f aca="false">E113/65273511*1000000</f>
        <v>318.597845916393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17</v>
      </c>
      <c r="B114" s="1" t="n">
        <v>43943</v>
      </c>
      <c r="C114" s="6" t="n">
        <f aca="false">C113+D114</f>
        <v>119151</v>
      </c>
      <c r="D114" s="6" t="n">
        <v>1827</v>
      </c>
      <c r="E114" s="6" t="n">
        <f aca="false">E113+F114</f>
        <v>21340</v>
      </c>
      <c r="F114" s="6" t="n">
        <v>544</v>
      </c>
      <c r="G114" s="6" t="n">
        <v>40657</v>
      </c>
      <c r="H114" s="8" t="n">
        <f aca="false">C114-E114-G114</f>
        <v>57154</v>
      </c>
      <c r="I114" s="6" t="n">
        <v>5434</v>
      </c>
      <c r="J114" s="11" t="n">
        <f aca="false">C114/65273511*1000000</f>
        <v>1825.41122998578</v>
      </c>
      <c r="K114" s="11" t="n">
        <f aca="false">E114/65273511*1000000</f>
        <v>326.932007686855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17</v>
      </c>
      <c r="B115" s="1" t="n">
        <v>43944</v>
      </c>
      <c r="C115" s="6" t="n">
        <v>120804</v>
      </c>
      <c r="D115" s="6" t="n">
        <v>1653</v>
      </c>
      <c r="E115" s="6" t="n">
        <v>21856</v>
      </c>
      <c r="F115" s="6" t="n">
        <v>516</v>
      </c>
      <c r="G115" s="6" t="n">
        <v>42088</v>
      </c>
      <c r="H115" s="8" t="n">
        <f aca="false">C115-E115-G115</f>
        <v>56860</v>
      </c>
      <c r="I115" s="20" t="n">
        <v>5053</v>
      </c>
      <c r="J115" s="11" t="n">
        <f aca="false">C115/65273511*1000000</f>
        <v>1850.73543845374</v>
      </c>
      <c r="K115" s="11" t="n">
        <f aca="false">E115/65273511*1000000</f>
        <v>334.837205248543</v>
      </c>
      <c r="L115" s="20" t="n">
        <v>463662</v>
      </c>
      <c r="M115" s="20" t="n">
        <v>7103</v>
      </c>
    </row>
    <row r="116" customFormat="false" ht="15.75" hidden="false" customHeight="false" outlineLevel="0" collapsed="false">
      <c r="A116" s="0" t="s">
        <v>17</v>
      </c>
      <c r="B116" s="1" t="n">
        <v>43945</v>
      </c>
      <c r="C116" s="6" t="n">
        <v>122577</v>
      </c>
      <c r="D116" s="6" t="n">
        <v>1773</v>
      </c>
      <c r="E116" s="6" t="n">
        <v>22245</v>
      </c>
      <c r="F116" s="6" t="n">
        <v>389</v>
      </c>
      <c r="G116" s="6" t="n">
        <v>43493</v>
      </c>
      <c r="H116" s="8" t="n">
        <f aca="false">C116-E116-G116</f>
        <v>56839</v>
      </c>
      <c r="I116" s="6" t="n">
        <v>4870</v>
      </c>
      <c r="J116" s="11" t="n">
        <f aca="false">C116/65273511*1000000</f>
        <v>1877.89806495931</v>
      </c>
      <c r="K116" s="11" t="n">
        <f aca="false">E116/65273511*1000000</f>
        <v>340.796743720435</v>
      </c>
      <c r="L116" s="6" t="n">
        <v>463662</v>
      </c>
      <c r="M116" s="6" t="n">
        <v>7103</v>
      </c>
    </row>
    <row r="117" customFormat="false" ht="15.75" hidden="false" customHeight="false" outlineLevel="0" collapsed="false">
      <c r="A117" s="0" t="s">
        <v>17</v>
      </c>
      <c r="B117" s="1" t="n">
        <v>43946</v>
      </c>
      <c r="C117" s="6" t="n">
        <v>124114</v>
      </c>
      <c r="D117" s="6" t="n">
        <v>1537</v>
      </c>
      <c r="E117" s="6" t="n">
        <v>22614</v>
      </c>
      <c r="F117" s="6" t="n">
        <v>369</v>
      </c>
      <c r="G117" s="6" t="n">
        <v>44594</v>
      </c>
      <c r="H117" s="8" t="n">
        <f aca="false">C117-E117-G117</f>
        <v>56906</v>
      </c>
      <c r="I117" s="6" t="n">
        <v>4725</v>
      </c>
      <c r="J117" s="11" t="n">
        <f aca="false">C117/65273511*1000000</f>
        <v>1901.44513599092</v>
      </c>
      <c r="K117" s="11" t="n">
        <f aca="false">E117/65273511*1000000</f>
        <v>346.449879186061</v>
      </c>
      <c r="L117" s="6" t="n">
        <v>463662</v>
      </c>
      <c r="M117" s="6" t="n">
        <v>7103</v>
      </c>
    </row>
    <row r="118" customFormat="false" ht="15.75" hidden="false" customHeight="false" outlineLevel="0" collapsed="false">
      <c r="A118" s="0" t="s">
        <v>17</v>
      </c>
      <c r="B118" s="1" t="n">
        <v>43947</v>
      </c>
      <c r="C118" s="6" t="n">
        <v>124575</v>
      </c>
      <c r="D118" s="6" t="n">
        <v>461</v>
      </c>
      <c r="E118" s="6" t="n">
        <v>22856</v>
      </c>
      <c r="F118" s="6" t="n">
        <v>242</v>
      </c>
      <c r="G118" s="6" t="n">
        <v>44903</v>
      </c>
      <c r="H118" s="8" t="n">
        <f aca="false">C118-E118-G118</f>
        <v>56816</v>
      </c>
      <c r="I118" s="6" t="n">
        <v>4682</v>
      </c>
      <c r="J118" s="11" t="n">
        <f aca="false">C118/65273511*1000000</f>
        <v>1908.50772528538</v>
      </c>
      <c r="K118" s="11" t="n">
        <f aca="false">E118/65273511*1000000</f>
        <v>350.157355561891</v>
      </c>
      <c r="L118" s="6" t="n">
        <v>463662</v>
      </c>
      <c r="M118" s="6" t="n">
        <v>7103</v>
      </c>
    </row>
    <row r="119" customFormat="false" ht="15.75" hidden="false" customHeight="false" outlineLevel="0" collapsed="false">
      <c r="A119" s="0" t="s">
        <v>17</v>
      </c>
      <c r="B119" s="1" t="n">
        <v>43948</v>
      </c>
      <c r="C119" s="6" t="n">
        <v>128339</v>
      </c>
      <c r="D119" s="6" t="n">
        <v>3764</v>
      </c>
      <c r="E119" s="6" t="n">
        <v>23293</v>
      </c>
      <c r="F119" s="6" t="n">
        <v>437</v>
      </c>
      <c r="G119" s="6" t="n">
        <v>45513</v>
      </c>
      <c r="H119" s="8" t="n">
        <f aca="false">C119-E119-G119</f>
        <v>59533</v>
      </c>
      <c r="I119" s="6" t="n">
        <v>4608</v>
      </c>
      <c r="J119" s="11" t="n">
        <f aca="false">C119/65273511*1000000</f>
        <v>1966.17277106482</v>
      </c>
      <c r="K119" s="11" t="n">
        <f aca="false">E119/65273511*1000000</f>
        <v>356.852261248824</v>
      </c>
      <c r="L119" s="6" t="n">
        <v>463662</v>
      </c>
      <c r="M119" s="6" t="n">
        <v>7103</v>
      </c>
    </row>
    <row r="120" customFormat="false" ht="15.75" hidden="false" customHeight="false" outlineLevel="0" collapsed="false">
      <c r="A120" s="0" t="s">
        <v>17</v>
      </c>
      <c r="B120" s="1" t="n">
        <v>43949</v>
      </c>
      <c r="C120" s="6" t="n">
        <v>129859</v>
      </c>
      <c r="D120" s="6" t="n">
        <v>1520</v>
      </c>
      <c r="E120" s="6" t="n">
        <v>23660</v>
      </c>
      <c r="F120" s="6" t="n">
        <v>367</v>
      </c>
      <c r="G120" s="6" t="n">
        <v>46886</v>
      </c>
      <c r="H120" s="8" t="n">
        <f aca="false">C120-E120-G120</f>
        <v>59313</v>
      </c>
      <c r="I120" s="2" t="n">
        <v>4387</v>
      </c>
      <c r="J120" s="11" t="n">
        <f aca="false">C120/65273511*1000000</f>
        <v>1989.45939954111</v>
      </c>
      <c r="K120" s="11" t="n">
        <f aca="false">E120/65273511*1000000</f>
        <v>362.474756413823</v>
      </c>
      <c r="L120" s="6" t="n">
        <v>463662</v>
      </c>
      <c r="M120" s="6" t="n">
        <v>7103</v>
      </c>
    </row>
    <row r="121" customFormat="false" ht="15.75" hidden="false" customHeight="false" outlineLevel="0" collapsed="false">
      <c r="A121" s="0" t="s">
        <v>17</v>
      </c>
      <c r="B121" s="1" t="n">
        <v>43950</v>
      </c>
      <c r="C121" s="6" t="n">
        <v>128442</v>
      </c>
      <c r="D121" s="6" t="n">
        <v>-1417</v>
      </c>
      <c r="E121" s="6" t="n">
        <v>24087</v>
      </c>
      <c r="F121" s="6" t="n">
        <v>427</v>
      </c>
      <c r="G121" s="6" t="n">
        <v>48228</v>
      </c>
      <c r="H121" s="8" t="n">
        <f aca="false">C121-E121-G121</f>
        <v>56127</v>
      </c>
      <c r="I121" s="2" t="e">
        <f aca="false">#REF!</f>
        <v>#REF!</v>
      </c>
      <c r="J121" s="11" t="n">
        <f aca="false">C121/65273511*1000000</f>
        <v>1967.7507465471</v>
      </c>
      <c r="K121" s="11" t="n">
        <f aca="false">E121/65273511*1000000</f>
        <v>369.016460597623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17</v>
      </c>
      <c r="B122" s="1" t="n">
        <v>43951</v>
      </c>
      <c r="C122" s="6" t="n">
        <v>129581</v>
      </c>
      <c r="D122" s="6" t="n">
        <v>1139</v>
      </c>
      <c r="E122" s="6" t="n">
        <v>24376</v>
      </c>
      <c r="F122" s="6" t="n">
        <v>289</v>
      </c>
      <c r="G122" s="6" t="n">
        <v>49476</v>
      </c>
      <c r="H122" s="8" t="n">
        <f aca="false">C122-E122-G122</f>
        <v>55729</v>
      </c>
      <c r="I122" s="2" t="e">
        <f aca="false">#REF!</f>
        <v>#REF!</v>
      </c>
      <c r="J122" s="11" t="n">
        <f aca="false">C122/65273511*1000000</f>
        <v>1985.200397754</v>
      </c>
      <c r="K122" s="11" t="n">
        <f aca="false">E122/65273511*1000000</f>
        <v>373.44398403818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17</v>
      </c>
      <c r="B123" s="1" t="n">
        <v>43952</v>
      </c>
      <c r="C123" s="6" t="n">
        <v>130185</v>
      </c>
      <c r="D123" s="6" t="n">
        <v>604</v>
      </c>
      <c r="E123" s="6" t="n">
        <v>24594</v>
      </c>
      <c r="F123" s="6" t="n">
        <v>218</v>
      </c>
      <c r="G123" s="6" t="n">
        <v>50212</v>
      </c>
      <c r="H123" s="8" t="n">
        <f aca="false">C123-E123-G123</f>
        <v>55379</v>
      </c>
      <c r="I123" s="2" t="e">
        <f aca="false">#REF!</f>
        <v>#REF!</v>
      </c>
      <c r="J123" s="11" t="n">
        <f aca="false">C123/65273511*1000000</f>
        <v>1994.45376854326</v>
      </c>
      <c r="K123" s="11" t="n">
        <f aca="false">E123/65273511*1000000</f>
        <v>376.78377680649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17</v>
      </c>
      <c r="B124" s="1" t="n">
        <v>43953</v>
      </c>
      <c r="C124" s="6" t="n">
        <v>130979</v>
      </c>
      <c r="D124" s="6" t="n">
        <v>794</v>
      </c>
      <c r="E124" s="6" t="n">
        <v>24760</v>
      </c>
      <c r="F124" s="6" t="n">
        <v>166</v>
      </c>
      <c r="G124" s="6" t="n">
        <v>50562</v>
      </c>
      <c r="H124" s="8" t="n">
        <f aca="false">C124-E124-G124</f>
        <v>55657</v>
      </c>
      <c r="I124" s="2" t="e">
        <f aca="false">#REF!</f>
        <v>#REF!</v>
      </c>
      <c r="J124" s="11" t="n">
        <f aca="false">C124/65273511*1000000</f>
        <v>2006.61796789206</v>
      </c>
      <c r="K124" s="11" t="n">
        <f aca="false">E124/65273511*1000000</f>
        <v>379.326921758506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17</v>
      </c>
      <c r="B125" s="1" t="n">
        <v>43954</v>
      </c>
      <c r="C125" s="6" t="n">
        <v>131287</v>
      </c>
      <c r="D125" s="6" t="n">
        <v>308</v>
      </c>
      <c r="E125" s="6" t="n">
        <v>24895</v>
      </c>
      <c r="F125" s="6" t="n">
        <v>135</v>
      </c>
      <c r="G125" s="6" t="n">
        <v>50784</v>
      </c>
      <c r="H125" s="8" t="n">
        <f aca="false">C125-E125-G125</f>
        <v>55608</v>
      </c>
      <c r="I125" s="2" t="e">
        <f aca="false">#REF!</f>
        <v>#REF!</v>
      </c>
      <c r="J125" s="11" t="n">
        <f aca="false">C125/65273511*1000000</f>
        <v>2011.33657418857</v>
      </c>
      <c r="K125" s="11" t="n">
        <f aca="false">E125/65273511*1000000</f>
        <v>381.395142050808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17</v>
      </c>
      <c r="B126" s="1" t="n">
        <v>43955</v>
      </c>
      <c r="C126" s="6" t="n">
        <v>131863</v>
      </c>
      <c r="D126" s="6" t="n">
        <v>576</v>
      </c>
      <c r="E126" s="6" t="n">
        <v>25201</v>
      </c>
      <c r="F126" s="6" t="n">
        <v>306</v>
      </c>
      <c r="G126" s="6" t="n">
        <v>51371</v>
      </c>
      <c r="H126" s="8" t="n">
        <f aca="false">C126-E126-G126</f>
        <v>55291</v>
      </c>
      <c r="I126" s="2" t="e">
        <f aca="false">#REF!</f>
        <v>#REF!</v>
      </c>
      <c r="J126" s="11" t="n">
        <f aca="false">C126/65273511*1000000</f>
        <v>2020.16098076906</v>
      </c>
      <c r="K126" s="11" t="n">
        <f aca="false">E126/65273511*1000000</f>
        <v>386.083108046693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17</v>
      </c>
      <c r="B127" s="1" t="n">
        <v>43956</v>
      </c>
      <c r="C127" s="6" t="n">
        <v>132967</v>
      </c>
      <c r="D127" s="6" t="n">
        <v>1104</v>
      </c>
      <c r="E127" s="6" t="n">
        <v>25531</v>
      </c>
      <c r="F127" s="6" t="n">
        <v>330</v>
      </c>
      <c r="G127" s="6" t="n">
        <v>52736</v>
      </c>
      <c r="H127" s="8" t="n">
        <f aca="false">C127-E127-G127</f>
        <v>54700</v>
      </c>
      <c r="I127" s="2" t="e">
        <f aca="false">#REF!</f>
        <v>#REF!</v>
      </c>
      <c r="J127" s="11" t="n">
        <f aca="false">C127/65273511*1000000</f>
        <v>2037.074426715</v>
      </c>
      <c r="K127" s="11" t="n">
        <f aca="false">E127/65273511*1000000</f>
        <v>391.138757650098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17</v>
      </c>
      <c r="B128" s="1" t="n">
        <v>43957</v>
      </c>
      <c r="C128" s="6" t="n">
        <v>137150</v>
      </c>
      <c r="D128" s="6" t="n">
        <v>4183</v>
      </c>
      <c r="E128" s="6" t="n">
        <v>25809</v>
      </c>
      <c r="F128" s="6" t="n">
        <v>278</v>
      </c>
      <c r="G128" s="6" t="n">
        <v>53972</v>
      </c>
      <c r="H128" s="8" t="n">
        <f aca="false">C128-E128-G128</f>
        <v>57369</v>
      </c>
      <c r="I128" s="2" t="e">
        <f aca="false">#REF!</f>
        <v>#REF!</v>
      </c>
      <c r="J128" s="11" t="n">
        <f aca="false">C128/65273511*1000000</f>
        <v>2101.15861547573</v>
      </c>
      <c r="K128" s="11" t="n">
        <f aca="false">E128/65273511*1000000</f>
        <v>395.397759437209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17</v>
      </c>
      <c r="B129" s="1" t="n">
        <v>43958</v>
      </c>
      <c r="C129" s="6" t="n">
        <v>137779</v>
      </c>
      <c r="D129" s="6" t="n">
        <v>629</v>
      </c>
      <c r="E129" s="6" t="n">
        <v>25987</v>
      </c>
      <c r="F129" s="6" t="n">
        <v>178</v>
      </c>
      <c r="G129" s="6" t="n">
        <v>55027</v>
      </c>
      <c r="H129" s="8" t="n">
        <f aca="false">C129-E129-G129</f>
        <v>56765</v>
      </c>
      <c r="I129" s="2" t="e">
        <f aca="false">#REF!</f>
        <v>#REF!</v>
      </c>
      <c r="J129" s="11" t="n">
        <f aca="false">C129/65273511*1000000</f>
        <v>2110.79499002283</v>
      </c>
      <c r="K129" s="11" t="n">
        <f aca="false">E129/65273511*1000000</f>
        <v>398.124746192985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17</v>
      </c>
      <c r="B130" s="1" t="n">
        <v>43959</v>
      </c>
      <c r="C130" s="6" t="n">
        <v>138421</v>
      </c>
      <c r="D130" s="6" t="n">
        <v>642</v>
      </c>
      <c r="E130" s="6" t="n">
        <v>26230</v>
      </c>
      <c r="F130" s="6" t="n">
        <v>243</v>
      </c>
      <c r="G130" s="6" t="n">
        <v>55782</v>
      </c>
      <c r="H130" s="8" t="n">
        <f aca="false">C130-E130-G130</f>
        <v>56409</v>
      </c>
      <c r="I130" s="2" t="e">
        <f aca="false">#REF!</f>
        <v>#REF!</v>
      </c>
      <c r="J130" s="11" t="n">
        <f aca="false">C130/65273511*1000000</f>
        <v>2120.630526524</v>
      </c>
      <c r="K130" s="11" t="n">
        <f aca="false">E130/65273511*1000000</f>
        <v>401.847542719128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17</v>
      </c>
      <c r="B131" s="1" t="n">
        <v>43960</v>
      </c>
      <c r="C131" s="6" t="n">
        <v>138854</v>
      </c>
      <c r="D131" s="6" t="n">
        <v>433</v>
      </c>
      <c r="E131" s="6" t="n">
        <v>26310</v>
      </c>
      <c r="F131" s="6" t="n">
        <v>80</v>
      </c>
      <c r="G131" s="6" t="n">
        <v>56038</v>
      </c>
      <c r="H131" s="8" t="n">
        <f aca="false">C131-E131-G131</f>
        <v>56506</v>
      </c>
      <c r="I131" s="2" t="e">
        <f aca="false">#REF!</f>
        <v>#REF!</v>
      </c>
      <c r="J131" s="11" t="n">
        <f aca="false">C131/65273511*1000000</f>
        <v>2127.26415160968</v>
      </c>
      <c r="K131" s="11" t="n">
        <f aca="false">E131/65273511*1000000</f>
        <v>403.073154744196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17</v>
      </c>
      <c r="B132" s="1" t="n">
        <v>43961</v>
      </c>
      <c r="C132" s="6" t="n">
        <v>139063</v>
      </c>
      <c r="D132" s="6" t="n">
        <v>209</v>
      </c>
      <c r="E132" s="6" t="n">
        <v>26380</v>
      </c>
      <c r="F132" s="6" t="n">
        <v>70</v>
      </c>
      <c r="G132" s="6" t="n">
        <v>56217</v>
      </c>
      <c r="H132" s="8" t="n">
        <f aca="false">C132-E132-G132</f>
        <v>56466</v>
      </c>
      <c r="I132" s="2" t="e">
        <f aca="false">#REF!</f>
        <v>#REF!</v>
      </c>
      <c r="J132" s="11" t="n">
        <f aca="false">C132/65273511*1000000</f>
        <v>2130.46606302517</v>
      </c>
      <c r="K132" s="11" t="n">
        <f aca="false">E132/65273511*1000000</f>
        <v>404.145565266131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17</v>
      </c>
      <c r="B133" s="1" t="n">
        <v>43962</v>
      </c>
      <c r="C133" s="6" t="n">
        <v>139519</v>
      </c>
      <c r="D133" s="6" t="n">
        <v>456</v>
      </c>
      <c r="E133" s="6" t="n">
        <v>26643</v>
      </c>
      <c r="F133" s="6" t="n">
        <v>263</v>
      </c>
      <c r="G133" s="6" t="n">
        <v>56724</v>
      </c>
      <c r="H133" s="8" t="n">
        <f aca="false">C133-E133-G133</f>
        <v>56152</v>
      </c>
      <c r="I133" s="2" t="e">
        <f aca="false">#REF!</f>
        <v>#REF!</v>
      </c>
      <c r="J133" s="11" t="n">
        <f aca="false">C133/65273511*1000000</f>
        <v>2137.45205156805</v>
      </c>
      <c r="K133" s="11" t="n">
        <f aca="false">E133/65273511*1000000</f>
        <v>408.174764798541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17</v>
      </c>
      <c r="B134" s="1" t="n">
        <v>43963</v>
      </c>
      <c r="C134" s="6" t="n">
        <v>140227</v>
      </c>
      <c r="D134" s="6" t="n">
        <v>708</v>
      </c>
      <c r="E134" s="6" t="n">
        <v>26991</v>
      </c>
      <c r="F134" s="6" t="n">
        <v>348</v>
      </c>
      <c r="G134" s="6" t="n">
        <v>57785</v>
      </c>
      <c r="H134" s="8" t="n">
        <f aca="false">C134-E134-G134</f>
        <v>55451</v>
      </c>
      <c r="I134" s="2" t="e">
        <f aca="false">#REF!</f>
        <v>#REF!</v>
      </c>
      <c r="J134" s="11" t="n">
        <f aca="false">C134/65273511*1000000</f>
        <v>2148.29871798991</v>
      </c>
      <c r="K134" s="11" t="n">
        <f aca="false">E134/65273511*1000000</f>
        <v>413.506177107587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17</v>
      </c>
      <c r="B135" s="1" t="n">
        <v>43964</v>
      </c>
      <c r="C135" s="6" t="n">
        <v>140734</v>
      </c>
      <c r="D135" s="6" t="n">
        <v>507</v>
      </c>
      <c r="E135" s="6" t="n">
        <v>27074</v>
      </c>
      <c r="F135" s="6" t="n">
        <v>83</v>
      </c>
      <c r="G135" s="6" t="n">
        <v>58673</v>
      </c>
      <c r="H135" s="8" t="n">
        <f aca="false">C135-E135-G135</f>
        <v>54987</v>
      </c>
      <c r="I135" s="2" t="e">
        <f aca="false">#REF!</f>
        <v>#REF!</v>
      </c>
      <c r="J135" s="11" t="n">
        <f aca="false">C135/65273511*1000000</f>
        <v>2156.06603419877</v>
      </c>
      <c r="K135" s="11" t="n">
        <f aca="false">E135/65273511*1000000</f>
        <v>414.777749583594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17</v>
      </c>
      <c r="B136" s="1" t="n">
        <v>43965</v>
      </c>
      <c r="C136" s="6" t="n">
        <v>141356</v>
      </c>
      <c r="D136" s="6" t="n">
        <v>622</v>
      </c>
      <c r="E136" s="6" t="n">
        <v>27425</v>
      </c>
      <c r="F136" s="6" t="n">
        <v>351</v>
      </c>
      <c r="G136" s="6" t="n">
        <v>59605</v>
      </c>
      <c r="H136" s="8" t="n">
        <f aca="false">C136-E136-G136</f>
        <v>54326</v>
      </c>
      <c r="I136" s="2" t="e">
        <f aca="false">#REF!</f>
        <v>#REF!</v>
      </c>
      <c r="J136" s="11" t="n">
        <f aca="false">C136/65273511*1000000</f>
        <v>2165.59516769368</v>
      </c>
      <c r="K136" s="11" t="n">
        <f aca="false">E136/65273511*1000000</f>
        <v>420.15512234358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17</v>
      </c>
      <c r="B137" s="1" t="n">
        <v>43966</v>
      </c>
      <c r="C137" s="6" t="n">
        <v>141919</v>
      </c>
      <c r="D137" s="6" t="n">
        <v>563</v>
      </c>
      <c r="E137" s="6" t="n">
        <v>27529</v>
      </c>
      <c r="F137" s="6" t="n">
        <v>104</v>
      </c>
      <c r="G137" s="6" t="n">
        <v>60448</v>
      </c>
      <c r="H137" s="8" t="n">
        <f aca="false">C137-E137-G137</f>
        <v>53942</v>
      </c>
      <c r="I137" s="2" t="e">
        <f aca="false">#REF!</f>
        <v>#REF!</v>
      </c>
      <c r="J137" s="11" t="n">
        <f aca="false">C137/65273511*1000000</f>
        <v>2174.22041232009</v>
      </c>
      <c r="K137" s="11" t="n">
        <f aca="false">E137/65273511*1000000</f>
        <v>421.748417976168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17</v>
      </c>
      <c r="B138" s="1" t="n">
        <v>43967</v>
      </c>
      <c r="C138" s="6" t="n">
        <v>142291</v>
      </c>
      <c r="D138" s="6" t="n">
        <v>372</v>
      </c>
      <c r="E138" s="6" t="n">
        <v>27625</v>
      </c>
      <c r="F138" s="6" t="n">
        <v>96</v>
      </c>
      <c r="G138" s="6" t="n">
        <v>61066</v>
      </c>
      <c r="H138" s="8" t="n">
        <f aca="false">C138-E138-G138</f>
        <v>53600</v>
      </c>
      <c r="I138" s="2" t="e">
        <f aca="false">#REF!</f>
        <v>#REF!</v>
      </c>
      <c r="J138" s="11" t="n">
        <f aca="false">C138/65273511*1000000</f>
        <v>2179.91950823666</v>
      </c>
      <c r="K138" s="11" t="n">
        <f aca="false">E138/65273511*1000000</f>
        <v>423.21915240625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17</v>
      </c>
      <c r="B139" s="1" t="n">
        <v>43968</v>
      </c>
      <c r="C139" s="6" t="n">
        <v>142411</v>
      </c>
      <c r="D139" s="6" t="n">
        <v>120</v>
      </c>
      <c r="E139" s="6" t="n">
        <v>27891</v>
      </c>
      <c r="F139" s="6" t="n">
        <v>266</v>
      </c>
      <c r="G139" s="6" t="n">
        <v>61213</v>
      </c>
      <c r="H139" s="8" t="n">
        <f aca="false">C139-E139-G139</f>
        <v>53307</v>
      </c>
      <c r="I139" s="2" t="e">
        <f aca="false">#REF!</f>
        <v>#REF!</v>
      </c>
      <c r="J139" s="11" t="n">
        <f aca="false">C139/65273511*1000000</f>
        <v>2181.75792627426</v>
      </c>
      <c r="K139" s="11" t="n">
        <f aca="false">E139/65273511*1000000</f>
        <v>427.2943123896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17</v>
      </c>
      <c r="B140" s="1" t="n">
        <v>43969</v>
      </c>
      <c r="C140" s="16" t="n">
        <v>142903</v>
      </c>
      <c r="D140" s="16" t="n">
        <v>492</v>
      </c>
      <c r="E140" s="16" t="n">
        <v>28022</v>
      </c>
      <c r="F140" s="6" t="n">
        <v>131</v>
      </c>
      <c r="G140" s="16" t="n">
        <v>61728</v>
      </c>
      <c r="H140" s="8" t="n">
        <f aca="false">C140-E140-G140</f>
        <v>53153</v>
      </c>
      <c r="I140" s="2" t="e">
        <f aca="false">#REF!</f>
        <v>#REF!</v>
      </c>
      <c r="J140" s="11" t="n">
        <f aca="false">C140/65273511*1000000</f>
        <v>2189.29544022843</v>
      </c>
      <c r="K140" s="11" t="n">
        <f aca="false">E140/65273511*1000000</f>
        <v>429.301252080649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17</v>
      </c>
      <c r="B141" s="1" t="n">
        <v>43970</v>
      </c>
      <c r="C141" s="6" t="n">
        <v>143427</v>
      </c>
      <c r="D141" s="6" t="n">
        <v>524</v>
      </c>
      <c r="E141" s="6" t="n">
        <v>28022</v>
      </c>
      <c r="F141" s="6" t="n">
        <v>0</v>
      </c>
      <c r="G141" s="6" t="n">
        <v>62563</v>
      </c>
      <c r="H141" s="8" t="n">
        <f aca="false">C141-E141-G141</f>
        <v>52842</v>
      </c>
      <c r="I141" s="2" t="e">
        <f aca="false">#REF!</f>
        <v>#REF!</v>
      </c>
      <c r="J141" s="11" t="n">
        <f aca="false">C141/65273511*1000000</f>
        <v>2197.32319899262</v>
      </c>
      <c r="K141" s="11" t="n">
        <f aca="false">E141/65273511*1000000</f>
        <v>429.301252080649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17</v>
      </c>
      <c r="B142" s="1" t="n">
        <v>43971</v>
      </c>
      <c r="C142" s="6" t="n">
        <v>143845</v>
      </c>
      <c r="D142" s="6" t="n">
        <v>418</v>
      </c>
      <c r="E142" s="6" t="n">
        <v>28132</v>
      </c>
      <c r="F142" s="6" t="n">
        <v>110</v>
      </c>
      <c r="G142" s="6" t="n">
        <v>63354</v>
      </c>
      <c r="H142" s="8" t="n">
        <f aca="false">C142-E142-G142</f>
        <v>52359</v>
      </c>
      <c r="I142" s="2" t="e">
        <f aca="false">#REF!</f>
        <v>#REF!</v>
      </c>
      <c r="J142" s="11" t="n">
        <f aca="false">C142/65273511*1000000</f>
        <v>2203.7270218236</v>
      </c>
      <c r="K142" s="11" t="n">
        <f aca="false">E142/65273511*1000000</f>
        <v>430.986468615117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17</v>
      </c>
      <c r="B143" s="1" t="n">
        <v>43972</v>
      </c>
      <c r="C143" s="16" t="n">
        <v>144163</v>
      </c>
      <c r="D143" s="16" t="n">
        <v>318</v>
      </c>
      <c r="E143" s="16" t="n">
        <v>28215</v>
      </c>
      <c r="F143" s="16" t="n">
        <v>83</v>
      </c>
      <c r="G143" s="16" t="n">
        <v>63858</v>
      </c>
      <c r="H143" s="8" t="n">
        <f aca="false">C143-E143-G143</f>
        <v>52090</v>
      </c>
      <c r="I143" s="2" t="e">
        <f aca="false">#REF!</f>
        <v>#REF!</v>
      </c>
      <c r="J143" s="11" t="n">
        <f aca="false">C143/65273511*1000000</f>
        <v>2208.59882962324</v>
      </c>
      <c r="K143" s="11" t="n">
        <f aca="false">E143/65273511*1000000</f>
        <v>432.258041091125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17</v>
      </c>
      <c r="B144" s="1" t="n">
        <v>43973</v>
      </c>
      <c r="C144" s="6" t="n">
        <v>144556</v>
      </c>
      <c r="D144" s="6" t="n">
        <v>393</v>
      </c>
      <c r="E144" s="6" t="n">
        <v>28289</v>
      </c>
      <c r="F144" s="6" t="n">
        <v>74</v>
      </c>
      <c r="G144" s="6" t="n">
        <v>64209</v>
      </c>
      <c r="H144" s="8" t="n">
        <f aca="false">C144-E144-G144</f>
        <v>52058</v>
      </c>
      <c r="I144" s="2" t="e">
        <f aca="false">#REF!</f>
        <v>#REF!</v>
      </c>
      <c r="J144" s="11" t="n">
        <f aca="false">C144/65273511*1000000</f>
        <v>2214.61964869639</v>
      </c>
      <c r="K144" s="11" t="n">
        <f aca="false">E144/65273511*1000000</f>
        <v>433.391732214313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17</v>
      </c>
      <c r="B145" s="1" t="n">
        <v>43974</v>
      </c>
      <c r="C145" s="16" t="n">
        <v>144806</v>
      </c>
      <c r="D145" s="16" t="n">
        <v>250</v>
      </c>
      <c r="E145" s="16" t="n">
        <v>28332</v>
      </c>
      <c r="F145" s="16" t="n">
        <v>43</v>
      </c>
      <c r="G145" s="16" t="n">
        <v>64547</v>
      </c>
      <c r="H145" s="8" t="n">
        <f aca="false">C145-E145-G145</f>
        <v>51927</v>
      </c>
      <c r="I145" s="2" t="e">
        <f aca="false">#REF!</f>
        <v>#REF!</v>
      </c>
      <c r="J145" s="11" t="n">
        <f aca="false">C145/65273511*1000000</f>
        <v>2218.44968627473</v>
      </c>
      <c r="K145" s="11" t="n">
        <f aca="false">E145/65273511*1000000</f>
        <v>434.050498677787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17</v>
      </c>
      <c r="B146" s="1" t="n">
        <v>43975</v>
      </c>
      <c r="C146" s="6" t="n">
        <v>144921</v>
      </c>
      <c r="D146" s="6" t="n">
        <v>115</v>
      </c>
      <c r="E146" s="6" t="n">
        <v>28367</v>
      </c>
      <c r="F146" s="6" t="n">
        <v>35</v>
      </c>
      <c r="G146" s="6" t="n">
        <v>64617</v>
      </c>
      <c r="H146" s="8" t="n">
        <f aca="false">C146-E146-G146</f>
        <v>51937</v>
      </c>
      <c r="I146" s="2" t="e">
        <f aca="false">#REF!</f>
        <v>#REF!</v>
      </c>
      <c r="J146" s="11" t="n">
        <f aca="false">C146/65273511*1000000</f>
        <v>2220.21150356076</v>
      </c>
      <c r="K146" s="11" t="n">
        <f aca="false">E146/65273511*1000000</f>
        <v>434.586703938754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17</v>
      </c>
      <c r="B147" s="1" t="n">
        <v>43976</v>
      </c>
      <c r="C147" s="6" t="n">
        <v>145279</v>
      </c>
      <c r="D147" s="6" t="n">
        <v>358</v>
      </c>
      <c r="E147" s="6" t="n">
        <v>28457</v>
      </c>
      <c r="F147" s="6" t="n">
        <v>90</v>
      </c>
      <c r="G147" s="6" t="n">
        <v>65199</v>
      </c>
      <c r="H147" s="8" t="n">
        <f aca="false">C147-E147-G147</f>
        <v>51623</v>
      </c>
      <c r="I147" s="2" t="e">
        <f aca="false">#REF!</f>
        <v>#REF!</v>
      </c>
      <c r="J147" s="11" t="n">
        <f aca="false">C147/65273511*1000000</f>
        <v>2225.69611737294</v>
      </c>
      <c r="K147" s="11" t="n">
        <f aca="false">E147/65273511*1000000</f>
        <v>435.965517466955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17</v>
      </c>
      <c r="B148" s="1" t="n">
        <v>43977</v>
      </c>
      <c r="C148" s="6" t="n">
        <v>145555</v>
      </c>
      <c r="D148" s="6" t="n">
        <f aca="false">C148-C147</f>
        <v>276</v>
      </c>
      <c r="E148" s="6" t="n">
        <v>28530</v>
      </c>
      <c r="F148" s="6" t="n">
        <v>73</v>
      </c>
      <c r="G148" s="6" t="n">
        <v>65879</v>
      </c>
      <c r="H148" s="8" t="n">
        <f aca="false">C148-E148-G148</f>
        <v>51146</v>
      </c>
      <c r="I148" s="2" t="e">
        <f aca="false">#REF!</f>
        <v>#REF!</v>
      </c>
      <c r="J148" s="11" t="n">
        <f aca="false">C148/65273511*1000000</f>
        <v>2229.92447885943</v>
      </c>
      <c r="K148" s="11" t="n">
        <f aca="false">E148/65273511*1000000</f>
        <v>437.08388843983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17</v>
      </c>
      <c r="B149" s="1" t="n">
        <v>43978</v>
      </c>
      <c r="C149" s="6" t="n">
        <v>145746</v>
      </c>
      <c r="D149" s="6" t="n">
        <f aca="false">C149-C148</f>
        <v>191</v>
      </c>
      <c r="E149" s="6" t="n">
        <v>28596</v>
      </c>
      <c r="F149" s="6" t="n">
        <v>66</v>
      </c>
      <c r="G149" s="6" t="n">
        <v>66584</v>
      </c>
      <c r="H149" s="8" t="n">
        <f aca="false">C149-E149-G149</f>
        <v>50566</v>
      </c>
      <c r="I149" s="2" t="e">
        <f aca="false">#REF!</f>
        <v>#REF!</v>
      </c>
      <c r="J149" s="11" t="n">
        <f aca="false">C149/65273511*1000000</f>
        <v>2232.85062756928</v>
      </c>
      <c r="K149" s="11" t="n">
        <f aca="false">E149/65273511*1000000</f>
        <v>438.095018360511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17</v>
      </c>
      <c r="B150" s="1" t="n">
        <v>43979</v>
      </c>
      <c r="C150" s="6" t="n">
        <v>149071</v>
      </c>
      <c r="D150" s="6" t="n">
        <f aca="false">C150-C149</f>
        <v>3325</v>
      </c>
      <c r="E150" s="6" t="n">
        <v>28662</v>
      </c>
      <c r="F150" s="6" t="n">
        <v>66</v>
      </c>
      <c r="G150" s="6" t="n">
        <v>67191</v>
      </c>
      <c r="H150" s="8" t="n">
        <f aca="false">C150-E150-G150</f>
        <v>53218</v>
      </c>
      <c r="I150" s="2" t="e">
        <f aca="false">#REF!</f>
        <v>#REF!</v>
      </c>
      <c r="J150" s="11" t="n">
        <f aca="false">C150/65273511*1000000</f>
        <v>2283.79012736116</v>
      </c>
      <c r="K150" s="11" t="n">
        <f aca="false">E150/65273511*1000000</f>
        <v>439.106148281192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17</v>
      </c>
      <c r="B151" s="1" t="n">
        <v>43980</v>
      </c>
      <c r="C151" s="6" t="n">
        <v>149668</v>
      </c>
      <c r="D151" s="6" t="n">
        <f aca="false">C151-C150</f>
        <v>597</v>
      </c>
      <c r="E151" s="6" t="n">
        <v>28714</v>
      </c>
      <c r="F151" s="6" t="n">
        <v>52</v>
      </c>
      <c r="G151" s="6" t="n">
        <v>67803</v>
      </c>
      <c r="H151" s="8" t="n">
        <f aca="false">C151-E151-G151</f>
        <v>53151</v>
      </c>
      <c r="I151" s="2" t="e">
        <f aca="false">#REF!</f>
        <v>#REF!</v>
      </c>
      <c r="J151" s="11" t="n">
        <f aca="false">C151/65273511*1000000</f>
        <v>2292.93625709823</v>
      </c>
      <c r="K151" s="11" t="n">
        <f aca="false">E151/65273511*1000000</f>
        <v>439.902796097486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17</v>
      </c>
      <c r="B152" s="1" t="n">
        <v>43981</v>
      </c>
      <c r="C152" s="6" t="n">
        <v>151325</v>
      </c>
      <c r="D152" s="6" t="n">
        <f aca="false">C152-C151</f>
        <v>1657</v>
      </c>
      <c r="E152" s="6" t="n">
        <v>28771</v>
      </c>
      <c r="F152" s="6" t="n">
        <v>57</v>
      </c>
      <c r="G152" s="6" t="n">
        <v>68268</v>
      </c>
      <c r="H152" s="8" t="n">
        <f aca="false">C152-E152-G152</f>
        <v>54286</v>
      </c>
      <c r="I152" s="2" t="e">
        <f aca="false">#REF!</f>
        <v>#REF!</v>
      </c>
      <c r="J152" s="11" t="n">
        <f aca="false">C152/65273511*1000000</f>
        <v>2318.32174616745</v>
      </c>
      <c r="K152" s="11" t="n">
        <f aca="false">E152/65273511*1000000</f>
        <v>440.776044665347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17</v>
      </c>
      <c r="B153" s="1" t="n">
        <v>43982</v>
      </c>
      <c r="C153" s="6" t="n">
        <v>151325</v>
      </c>
      <c r="D153" s="6" t="n">
        <v>0</v>
      </c>
      <c r="E153" s="6" t="n">
        <v>28802</v>
      </c>
      <c r="F153" s="6" t="n">
        <v>31</v>
      </c>
      <c r="G153" s="6" t="n">
        <v>68355</v>
      </c>
      <c r="H153" s="8" t="n">
        <f aca="false">C153-E153-G153</f>
        <v>54168</v>
      </c>
      <c r="I153" s="2" t="e">
        <f aca="false">#REF!</f>
        <v>#REF!</v>
      </c>
      <c r="J153" s="11" t="n">
        <f aca="false">C153/65273511*1000000</f>
        <v>2318.32174616745</v>
      </c>
      <c r="K153" s="11" t="n">
        <f aca="false">E153/65273511*1000000</f>
        <v>441.250969325061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17</v>
      </c>
      <c r="B154" s="1" t="n">
        <v>43983</v>
      </c>
      <c r="C154" s="6" t="n">
        <v>151325</v>
      </c>
      <c r="D154" s="6" t="n">
        <v>0</v>
      </c>
      <c r="E154" s="6" t="n">
        <v>28833</v>
      </c>
      <c r="F154" s="6" t="n">
        <v>31</v>
      </c>
      <c r="G154" s="6" t="n">
        <v>68440</v>
      </c>
      <c r="H154" s="8" t="n">
        <f aca="false">C154-E154-G154</f>
        <v>54052</v>
      </c>
      <c r="I154" s="2" t="e">
        <f aca="false">#REF!</f>
        <v>#REF!</v>
      </c>
      <c r="J154" s="11" t="n">
        <f aca="false">C154/65273511*1000000</f>
        <v>2318.32174616745</v>
      </c>
      <c r="K154" s="11" t="n">
        <f aca="false">E154/65273511*1000000</f>
        <v>441.725893984774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17</v>
      </c>
      <c r="B155" s="1" t="n">
        <v>43984</v>
      </c>
      <c r="C155" s="6" t="n">
        <v>151325</v>
      </c>
      <c r="D155" s="6" t="n">
        <v>0</v>
      </c>
      <c r="E155" s="6" t="n">
        <v>28940</v>
      </c>
      <c r="F155" s="6" t="n">
        <v>107</v>
      </c>
      <c r="G155" s="6" t="n">
        <v>68812</v>
      </c>
      <c r="H155" s="8" t="n">
        <f aca="false">C155-E155-G155</f>
        <v>53573</v>
      </c>
      <c r="I155" s="2" t="e">
        <f aca="false">#REF!</f>
        <v>#REF!</v>
      </c>
      <c r="J155" s="11" t="n">
        <f aca="false">C155/65273511*1000000</f>
        <v>2318.32174616745</v>
      </c>
      <c r="K155" s="11" t="n">
        <f aca="false">E155/65273511*1000000</f>
        <v>443.365150068303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17</v>
      </c>
      <c r="B156" s="1" t="n">
        <v>43985</v>
      </c>
      <c r="C156" s="6" t="n">
        <v>151677</v>
      </c>
      <c r="D156" s="6" t="n">
        <v>352</v>
      </c>
      <c r="E156" s="6" t="n">
        <v>29021</v>
      </c>
      <c r="F156" s="6" t="n">
        <v>81</v>
      </c>
      <c r="G156" s="6" t="n">
        <v>69455</v>
      </c>
      <c r="H156" s="8" t="n">
        <f aca="false">C156-E156-G156</f>
        <v>53201</v>
      </c>
      <c r="I156" s="2" t="e">
        <f aca="false">#REF!</f>
        <v>#REF!</v>
      </c>
      <c r="J156" s="11" t="n">
        <f aca="false">C156/65273511*1000000</f>
        <v>2323.71443907774</v>
      </c>
      <c r="K156" s="11" t="n">
        <f aca="false">E156/65273511*1000000</f>
        <v>444.606082243684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17</v>
      </c>
      <c r="B157" s="1" t="n">
        <v>43986</v>
      </c>
      <c r="C157" s="6" t="n">
        <v>152444</v>
      </c>
      <c r="D157" s="6" t="n">
        <v>767</v>
      </c>
      <c r="E157" s="6" t="n">
        <v>29065</v>
      </c>
      <c r="F157" s="6" t="n">
        <v>44</v>
      </c>
      <c r="G157" s="6" t="n">
        <v>69976</v>
      </c>
      <c r="H157" s="6" t="n">
        <f aca="false">C157-E157-G157</f>
        <v>53403</v>
      </c>
      <c r="I157" s="6" t="e">
        <f aca="false">#REF!</f>
        <v>#REF!</v>
      </c>
      <c r="J157" s="6" t="n">
        <f aca="false">C157/65273511*1000000</f>
        <v>2335.46499436808</v>
      </c>
      <c r="K157" s="6" t="n">
        <f aca="false">E157/65273511*1000000</f>
        <v>445.280168857471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17</v>
      </c>
      <c r="B158" s="1" t="n">
        <v>43987</v>
      </c>
      <c r="C158" s="6" t="n">
        <v>153055</v>
      </c>
      <c r="D158" s="6" t="n">
        <v>611</v>
      </c>
      <c r="E158" s="6" t="n">
        <v>29111</v>
      </c>
      <c r="F158" s="6" t="n">
        <v>46</v>
      </c>
      <c r="G158" s="6" t="n">
        <v>70704</v>
      </c>
      <c r="H158" s="6" t="n">
        <f aca="false">C158-E158-G158</f>
        <v>53240</v>
      </c>
      <c r="I158" s="6" t="e">
        <f aca="false">#REF!</f>
        <v>#REF!</v>
      </c>
      <c r="J158" s="6" t="n">
        <f aca="false">C158/65273511*1000000</f>
        <v>2344.82560620954</v>
      </c>
      <c r="K158" s="6" t="n">
        <f aca="false">E158/65273511*1000000</f>
        <v>445.984895771885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17</v>
      </c>
      <c r="B159" s="1" t="n">
        <v>43988</v>
      </c>
      <c r="C159" s="6" t="n">
        <v>153634</v>
      </c>
      <c r="D159" s="6" t="n">
        <v>579</v>
      </c>
      <c r="E159" s="6" t="n">
        <v>29142</v>
      </c>
      <c r="F159" s="6" t="n">
        <v>31</v>
      </c>
      <c r="G159" s="6" t="n">
        <v>70806</v>
      </c>
      <c r="H159" s="6" t="n">
        <v>53686</v>
      </c>
      <c r="I159" s="6" t="n">
        <v>1059</v>
      </c>
      <c r="J159" s="6" t="n">
        <v>2354</v>
      </c>
      <c r="K159" s="6" t="n">
        <v>447</v>
      </c>
      <c r="L159" s="6" t="n">
        <v>1384633</v>
      </c>
      <c r="M159" s="6" t="n">
        <v>21216</v>
      </c>
    </row>
    <row r="160" customFormat="false" ht="15.75" hidden="false" customHeight="false" outlineLevel="0" collapsed="false">
      <c r="A160" s="0" t="s">
        <v>17</v>
      </c>
      <c r="B160" s="1" t="n">
        <v>43989</v>
      </c>
      <c r="C160" s="6" t="n">
        <v>153977</v>
      </c>
      <c r="D160" s="6" t="n">
        <v>343</v>
      </c>
      <c r="E160" s="6" t="n">
        <v>29155</v>
      </c>
      <c r="F160" s="6" t="n">
        <v>13</v>
      </c>
      <c r="G160" s="6" t="n">
        <v>70842</v>
      </c>
      <c r="H160" s="6" t="n">
        <v>53980</v>
      </c>
      <c r="I160" s="6" t="n">
        <v>1053</v>
      </c>
      <c r="J160" s="6" t="n">
        <v>2359</v>
      </c>
      <c r="K160" s="6" t="n">
        <v>447</v>
      </c>
      <c r="L160" s="6" t="n">
        <v>1384633</v>
      </c>
      <c r="M160" s="6" t="n">
        <v>21216</v>
      </c>
    </row>
    <row r="161" customFormat="false" ht="15.75" hidden="false" customHeight="false" outlineLevel="0" collapsed="false">
      <c r="A161" s="0" t="s">
        <v>17</v>
      </c>
      <c r="B161" s="1" t="n">
        <v>43990</v>
      </c>
      <c r="C161" s="6" t="n">
        <v>154188</v>
      </c>
      <c r="D161" s="6" t="n">
        <v>211</v>
      </c>
      <c r="E161" s="6" t="n">
        <v>29209</v>
      </c>
      <c r="F161" s="6" t="n">
        <v>54</v>
      </c>
      <c r="G161" s="6" t="n">
        <v>71062</v>
      </c>
      <c r="H161" s="6" t="n">
        <v>53917</v>
      </c>
      <c r="I161" s="6" t="n">
        <v>1024</v>
      </c>
      <c r="J161" s="6" t="n">
        <v>2363</v>
      </c>
      <c r="K161" s="6" t="n">
        <v>448</v>
      </c>
      <c r="L161" s="6" t="n">
        <v>1384633</v>
      </c>
      <c r="M161" s="6" t="n">
        <v>21216</v>
      </c>
    </row>
    <row r="162" customFormat="false" ht="15.75" hidden="false" customHeight="false" outlineLevel="0" collapsed="false">
      <c r="A162" s="0" t="s">
        <v>17</v>
      </c>
      <c r="B162" s="1" t="n">
        <v>43991</v>
      </c>
      <c r="C162" s="6" t="n">
        <v>154591</v>
      </c>
      <c r="D162" s="6" t="n">
        <v>403</v>
      </c>
      <c r="E162" s="6" t="n">
        <v>29296</v>
      </c>
      <c r="F162" s="6" t="n">
        <v>87</v>
      </c>
      <c r="G162" s="6" t="n">
        <v>71506</v>
      </c>
      <c r="H162" s="6" t="n">
        <v>53789</v>
      </c>
      <c r="I162" s="6" t="n">
        <v>955</v>
      </c>
      <c r="J162" s="6" t="n">
        <v>2369</v>
      </c>
      <c r="K162" s="6" t="n">
        <v>449</v>
      </c>
      <c r="L162" s="6" t="n">
        <v>1384633</v>
      </c>
      <c r="M162" s="6" t="n">
        <v>21216</v>
      </c>
    </row>
    <row r="163" customFormat="false" ht="15.75" hidden="false" customHeight="false" outlineLevel="0" collapsed="false">
      <c r="A163" s="0" t="s">
        <v>17</v>
      </c>
      <c r="B163" s="1" t="n">
        <v>43992</v>
      </c>
      <c r="C163" s="6" t="n">
        <v>155136</v>
      </c>
      <c r="D163" s="6" t="n">
        <v>545</v>
      </c>
      <c r="E163" s="6" t="n">
        <v>29319</v>
      </c>
      <c r="F163" s="6" t="n">
        <v>23</v>
      </c>
      <c r="G163" s="6" t="n">
        <v>71832</v>
      </c>
      <c r="H163" s="6" t="n">
        <v>53985</v>
      </c>
      <c r="I163" s="6" t="n">
        <v>933</v>
      </c>
      <c r="J163" s="6" t="n">
        <v>2377</v>
      </c>
      <c r="K163" s="6" t="n">
        <v>449</v>
      </c>
      <c r="L163" s="6" t="n">
        <v>1384633</v>
      </c>
      <c r="M163" s="6" t="n">
        <v>21215</v>
      </c>
    </row>
    <row r="164" customFormat="false" ht="15.75" hidden="false" customHeight="false" outlineLevel="0" collapsed="false">
      <c r="A164" s="0" t="s">
        <v>17</v>
      </c>
      <c r="B164" s="1" t="n">
        <v>43993</v>
      </c>
      <c r="C164" s="6" t="n">
        <v>155561</v>
      </c>
      <c r="D164" s="6" t="n">
        <v>425</v>
      </c>
      <c r="E164" s="6" t="n">
        <v>29346</v>
      </c>
      <c r="F164" s="6" t="n">
        <v>27</v>
      </c>
      <c r="G164" s="6" t="n">
        <v>72149</v>
      </c>
      <c r="H164" s="6" t="n">
        <v>54066</v>
      </c>
      <c r="I164" s="6" t="n">
        <v>903</v>
      </c>
      <c r="J164" s="6" t="n">
        <v>2383</v>
      </c>
      <c r="K164" s="6" t="n">
        <v>450</v>
      </c>
      <c r="L164" s="6" t="n">
        <v>1384633</v>
      </c>
      <c r="M164" s="6" t="n">
        <v>21215</v>
      </c>
    </row>
    <row r="165" customFormat="false" ht="15.75" hidden="false" customHeight="false" outlineLevel="0" collapsed="false">
      <c r="A165" s="0" t="s">
        <v>17</v>
      </c>
      <c r="B165" s="1" t="n">
        <v>43994</v>
      </c>
      <c r="C165" s="6" t="n">
        <v>156287</v>
      </c>
      <c r="D165" s="6" t="n">
        <v>726</v>
      </c>
      <c r="E165" s="6" t="n">
        <v>29374</v>
      </c>
      <c r="F165" s="6" t="n">
        <v>28</v>
      </c>
      <c r="G165" s="6" t="n">
        <v>72572</v>
      </c>
      <c r="H165" s="6" t="n">
        <v>54341</v>
      </c>
      <c r="I165" s="6" t="n">
        <v>879</v>
      </c>
      <c r="J165" s="6" t="n">
        <v>2395</v>
      </c>
      <c r="K165" s="6" t="n">
        <v>450</v>
      </c>
      <c r="L165" s="6" t="n">
        <v>1384633</v>
      </c>
      <c r="M165" s="6" t="n">
        <v>21215</v>
      </c>
    </row>
    <row r="166" customFormat="false" ht="13.5" hidden="false" customHeight="false" outlineLevel="0" collapsed="false">
      <c r="A166" s="0" t="s">
        <v>17</v>
      </c>
      <c r="B166" s="1" t="n">
        <v>43995</v>
      </c>
      <c r="C166" s="2" t="n">
        <v>156813</v>
      </c>
      <c r="D166" s="2" t="n">
        <v>526</v>
      </c>
      <c r="E166" s="2" t="n">
        <v>29398</v>
      </c>
      <c r="F166" s="2" t="n">
        <v>24</v>
      </c>
      <c r="G166" s="2" t="n">
        <v>72808</v>
      </c>
      <c r="H166" s="2" t="n">
        <v>54607</v>
      </c>
      <c r="I166" s="2" t="n">
        <v>871</v>
      </c>
      <c r="J166" s="2" t="n">
        <v>2403</v>
      </c>
      <c r="K166" s="18" t="n">
        <v>450</v>
      </c>
      <c r="L166" s="2" t="n">
        <v>1384633</v>
      </c>
      <c r="M166" s="2" t="n">
        <v>21215</v>
      </c>
    </row>
    <row r="167" customFormat="false" ht="13.5" hidden="false" customHeight="false" outlineLevel="0" collapsed="false">
      <c r="A167" s="0" t="s">
        <v>17</v>
      </c>
      <c r="B167" s="1" t="n">
        <v>43996</v>
      </c>
      <c r="C167" s="2" t="n">
        <v>157220</v>
      </c>
      <c r="D167" s="2" t="n">
        <v>407</v>
      </c>
      <c r="E167" s="2" t="n">
        <v>29407</v>
      </c>
      <c r="F167" s="2" t="n">
        <v>9</v>
      </c>
      <c r="G167" s="2" t="n">
        <v>72859</v>
      </c>
      <c r="H167" s="2" t="n">
        <v>54954</v>
      </c>
      <c r="I167" s="2" t="n">
        <v>869</v>
      </c>
      <c r="J167" s="2" t="n">
        <v>2409</v>
      </c>
      <c r="K167" s="18" t="n">
        <v>451</v>
      </c>
      <c r="L167" s="2" t="n">
        <v>1384633</v>
      </c>
      <c r="M167" s="2" t="n">
        <v>21215</v>
      </c>
    </row>
    <row r="168" customFormat="false" ht="13.5" hidden="false" customHeight="false" outlineLevel="0" collapsed="false">
      <c r="A168" s="0" t="s">
        <v>17</v>
      </c>
      <c r="B168" s="1" t="n">
        <v>43997</v>
      </c>
      <c r="C168" s="2" t="n">
        <v>157372</v>
      </c>
      <c r="D168" s="2" t="n">
        <v>152</v>
      </c>
      <c r="E168" s="2" t="n">
        <v>29436</v>
      </c>
      <c r="F168" s="2" t="n">
        <v>29</v>
      </c>
      <c r="G168" s="2" t="n">
        <v>73044</v>
      </c>
      <c r="H168" s="2" t="n">
        <v>54892</v>
      </c>
      <c r="I168" s="2" t="n">
        <v>846</v>
      </c>
      <c r="J168" s="2" t="n">
        <v>2411</v>
      </c>
      <c r="K168" s="18" t="n">
        <v>451</v>
      </c>
      <c r="L168" s="2" t="n">
        <v>1384633</v>
      </c>
      <c r="M168" s="2" t="n">
        <v>21215</v>
      </c>
    </row>
    <row r="169" customFormat="false" ht="13.5" hidden="false" customHeight="false" outlineLevel="0" collapsed="false">
      <c r="A169" s="0" t="s">
        <v>17</v>
      </c>
      <c r="B169" s="1" t="n">
        <v>43998</v>
      </c>
      <c r="C169" s="2" t="n">
        <v>157716</v>
      </c>
      <c r="D169" s="2" t="n">
        <v>344</v>
      </c>
      <c r="E169" s="2" t="n">
        <v>29547</v>
      </c>
      <c r="F169" s="2" t="n">
        <v>111</v>
      </c>
      <c r="G169" s="2" t="n">
        <v>73335</v>
      </c>
      <c r="H169" s="2" t="n">
        <v>54834</v>
      </c>
      <c r="I169" s="2" t="n">
        <v>820</v>
      </c>
      <c r="J169" s="2" t="n">
        <v>2416</v>
      </c>
      <c r="K169" s="18" t="n">
        <v>453</v>
      </c>
      <c r="L169" s="2" t="n">
        <v>1384633</v>
      </c>
      <c r="M169" s="2" t="n">
        <v>21215</v>
      </c>
    </row>
    <row r="170" customFormat="false" ht="13.5" hidden="false" customHeight="false" outlineLevel="0" collapsed="false">
      <c r="A170" s="0" t="s">
        <v>17</v>
      </c>
      <c r="B170" s="1" t="n">
        <v>43999</v>
      </c>
      <c r="C170" s="2" t="n">
        <v>158174</v>
      </c>
      <c r="D170" s="2" t="n">
        <v>458</v>
      </c>
      <c r="E170" s="2" t="n">
        <v>29575</v>
      </c>
      <c r="F170" s="2" t="n">
        <v>28</v>
      </c>
      <c r="G170" s="2" t="n">
        <v>73667</v>
      </c>
      <c r="H170" s="2" t="n">
        <v>54932</v>
      </c>
      <c r="I170" s="2" t="n">
        <v>772</v>
      </c>
      <c r="J170" s="2" t="n">
        <v>2423</v>
      </c>
      <c r="K170" s="18" t="n">
        <v>453</v>
      </c>
      <c r="L170" s="2" t="n">
        <v>1384633</v>
      </c>
      <c r="M170" s="2" t="n">
        <v>21214</v>
      </c>
    </row>
    <row r="171" customFormat="false" ht="13.5" hidden="false" customHeight="false" outlineLevel="0" collapsed="false">
      <c r="A171" s="0" t="s">
        <v>17</v>
      </c>
      <c r="B171" s="1" t="n">
        <v>44000</v>
      </c>
      <c r="C171" s="2" t="n">
        <v>158641</v>
      </c>
      <c r="D171" s="2" t="n">
        <v>467</v>
      </c>
      <c r="E171" s="2" t="n">
        <v>29603</v>
      </c>
      <c r="F171" s="2" t="n">
        <v>28</v>
      </c>
      <c r="G171" s="2" t="n">
        <v>73887</v>
      </c>
      <c r="H171" s="2" t="n">
        <v>55151</v>
      </c>
      <c r="I171" s="2" t="n">
        <v>752</v>
      </c>
      <c r="J171" s="2" t="n">
        <v>2431</v>
      </c>
      <c r="K171" s="18" t="n">
        <v>454</v>
      </c>
      <c r="L171" s="2" t="n">
        <v>1384633</v>
      </c>
      <c r="M171" s="2" t="n">
        <v>21214</v>
      </c>
    </row>
    <row r="172" customFormat="false" ht="13.5" hidden="false" customHeight="false" outlineLevel="0" collapsed="false">
      <c r="A172" s="0" t="s">
        <v>17</v>
      </c>
      <c r="B172" s="1" t="n">
        <v>44001</v>
      </c>
      <c r="C172" s="2" t="n">
        <v>159452</v>
      </c>
      <c r="D172" s="2" t="n">
        <v>811</v>
      </c>
      <c r="E172" s="2" t="n">
        <v>29617</v>
      </c>
      <c r="F172" s="2" t="n">
        <v>14</v>
      </c>
      <c r="G172" s="2" t="n">
        <v>74117</v>
      </c>
      <c r="H172" s="2" t="n">
        <v>55718</v>
      </c>
      <c r="I172" s="2" t="n">
        <v>727</v>
      </c>
      <c r="J172" s="2" t="n">
        <v>2443</v>
      </c>
      <c r="K172" s="18" t="n">
        <v>454</v>
      </c>
      <c r="L172" s="2" t="n">
        <v>1384633</v>
      </c>
      <c r="M172" s="2" t="n">
        <v>21214</v>
      </c>
    </row>
    <row r="173" customFormat="false" ht="13.5" hidden="false" customHeight="false" outlineLevel="0" collapsed="false">
      <c r="A173" s="0" t="s">
        <v>17</v>
      </c>
      <c r="B173" s="1" t="n">
        <v>44002</v>
      </c>
      <c r="C173" s="2" t="n">
        <v>160093</v>
      </c>
      <c r="D173" s="2" t="n">
        <v>641</v>
      </c>
      <c r="E173" s="2" t="n">
        <v>29633</v>
      </c>
      <c r="F173" s="2" t="n">
        <v>16</v>
      </c>
      <c r="G173" s="2" t="n">
        <v>74312</v>
      </c>
      <c r="H173" s="2" t="n">
        <v>56148</v>
      </c>
      <c r="I173" s="2" t="n">
        <v>715</v>
      </c>
      <c r="J173" s="2" t="n">
        <v>2453</v>
      </c>
      <c r="K173" s="18" t="n">
        <v>454</v>
      </c>
      <c r="L173" s="2" t="n">
        <v>1384633</v>
      </c>
      <c r="M173" s="2" t="n">
        <v>21214</v>
      </c>
    </row>
    <row r="174" customFormat="false" ht="13.5" hidden="false" customHeight="false" outlineLevel="0" collapsed="false">
      <c r="A174" s="0" t="s">
        <v>17</v>
      </c>
      <c r="B174" s="1" t="n">
        <v>44003</v>
      </c>
      <c r="C174" s="2" t="n">
        <v>160377</v>
      </c>
      <c r="D174" s="2" t="n">
        <v>284</v>
      </c>
      <c r="E174" s="2" t="n">
        <v>29640</v>
      </c>
      <c r="F174" s="2" t="n">
        <v>7</v>
      </c>
      <c r="G174" s="2" t="n">
        <v>74372</v>
      </c>
      <c r="H174" s="2" t="n">
        <v>56365</v>
      </c>
      <c r="I174" s="2" t="n">
        <v>715</v>
      </c>
      <c r="J174" s="2" t="n">
        <v>2457</v>
      </c>
      <c r="K174" s="18" t="n">
        <v>454</v>
      </c>
      <c r="L174" s="2" t="n">
        <v>1384633</v>
      </c>
      <c r="M174" s="2" t="n">
        <v>21214</v>
      </c>
    </row>
    <row r="175" customFormat="false" ht="13.5" hidden="false" customHeight="false" outlineLevel="0" collapsed="false">
      <c r="A175" s="0" t="s">
        <v>17</v>
      </c>
      <c r="B175" s="1" t="n">
        <v>44004</v>
      </c>
      <c r="C175" s="2" t="n">
        <v>160750</v>
      </c>
      <c r="D175" s="2" t="n">
        <v>373</v>
      </c>
      <c r="E175" s="2" t="n">
        <v>29663</v>
      </c>
      <c r="F175" s="2" t="n">
        <v>23</v>
      </c>
      <c r="G175" s="2" t="n">
        <v>74612</v>
      </c>
      <c r="H175" s="2" t="n">
        <v>56475</v>
      </c>
      <c r="I175" s="2" t="n">
        <v>701</v>
      </c>
      <c r="J175" s="2" t="n">
        <v>2463</v>
      </c>
      <c r="K175" s="18" t="n">
        <v>454</v>
      </c>
      <c r="L175" s="2" t="n">
        <v>1384633</v>
      </c>
      <c r="M175" s="2" t="n">
        <v>21214</v>
      </c>
    </row>
    <row r="176" customFormat="false" ht="13.5" hidden="false" customHeight="false" outlineLevel="0" collapsed="false">
      <c r="A176" s="0" t="s">
        <v>17</v>
      </c>
      <c r="B176" s="1" t="n">
        <v>44005</v>
      </c>
      <c r="C176" s="2" t="n">
        <v>161267</v>
      </c>
      <c r="D176" s="2" t="n">
        <v>517</v>
      </c>
      <c r="E176" s="2" t="n">
        <v>29720</v>
      </c>
      <c r="F176" s="2" t="n">
        <v>57</v>
      </c>
      <c r="G176" s="2" t="n">
        <v>74871</v>
      </c>
      <c r="H176" s="2" t="n">
        <v>56676</v>
      </c>
      <c r="I176" s="2" t="n">
        <v>682</v>
      </c>
      <c r="J176" s="2" t="n">
        <v>2471</v>
      </c>
      <c r="K176" s="18" t="n">
        <v>455</v>
      </c>
      <c r="L176" s="2" t="n">
        <v>1384633</v>
      </c>
      <c r="M176" s="2" t="n">
        <v>21214</v>
      </c>
    </row>
    <row r="177" customFormat="false" ht="13.5" hidden="false" customHeight="false" outlineLevel="0" collapsed="false">
      <c r="A177" s="0" t="s">
        <v>17</v>
      </c>
      <c r="B177" s="1" t="n">
        <v>44006</v>
      </c>
      <c r="C177" s="2" t="n">
        <v>161348</v>
      </c>
      <c r="D177" s="2" t="n">
        <v>81</v>
      </c>
      <c r="E177" s="2" t="n">
        <v>29731</v>
      </c>
      <c r="F177" s="2" t="n">
        <v>11</v>
      </c>
      <c r="G177" s="2" t="n">
        <v>75127</v>
      </c>
      <c r="H177" s="2" t="n">
        <v>56490</v>
      </c>
      <c r="I177" s="2" t="n">
        <v>658</v>
      </c>
      <c r="J177" s="2" t="n">
        <v>2472</v>
      </c>
      <c r="K177" s="18" t="n">
        <v>456</v>
      </c>
      <c r="L177" s="2" t="n">
        <v>1384633</v>
      </c>
      <c r="M177" s="2" t="n">
        <v>21214</v>
      </c>
    </row>
    <row r="178" customFormat="false" ht="13.5" hidden="false" customHeight="false" outlineLevel="0" collapsed="false">
      <c r="A178" s="0" t="s">
        <v>17</v>
      </c>
      <c r="B178" s="1" t="n">
        <v>44007</v>
      </c>
      <c r="C178" s="2" t="n">
        <v>161348</v>
      </c>
      <c r="D178" s="2" t="n">
        <v>0</v>
      </c>
      <c r="E178" s="2" t="n">
        <v>29752</v>
      </c>
      <c r="F178" s="2" t="n">
        <v>21</v>
      </c>
      <c r="G178" s="2" t="n">
        <v>75351</v>
      </c>
      <c r="H178" s="2" t="n">
        <v>56245</v>
      </c>
      <c r="I178" s="2" t="n">
        <v>651</v>
      </c>
      <c r="J178" s="2" t="n">
        <v>2472</v>
      </c>
      <c r="K178" s="18" t="n">
        <v>456</v>
      </c>
      <c r="L178" s="2" t="n">
        <v>1384633</v>
      </c>
      <c r="M178" s="2" t="n">
        <v>21213</v>
      </c>
    </row>
    <row r="179" customFormat="false" ht="13.5" hidden="false" customHeight="false" outlineLevel="0" collapsed="false">
      <c r="A179" s="0" t="s">
        <v>17</v>
      </c>
      <c r="B179" s="1" t="n">
        <v>44008</v>
      </c>
      <c r="C179" s="2" t="n">
        <v>162936</v>
      </c>
      <c r="D179" s="2" t="n">
        <v>1588</v>
      </c>
      <c r="E179" s="2" t="n">
        <v>29778</v>
      </c>
      <c r="F179" s="2" t="n">
        <v>26</v>
      </c>
      <c r="G179" s="2" t="n">
        <v>75351</v>
      </c>
      <c r="H179" s="2" t="n">
        <v>57807</v>
      </c>
      <c r="I179" s="2" t="n">
        <v>651</v>
      </c>
      <c r="J179" s="2" t="n">
        <v>2496</v>
      </c>
      <c r="K179" s="18" t="n">
        <v>456</v>
      </c>
      <c r="L179" s="2" t="n">
        <v>1384633</v>
      </c>
      <c r="M179" s="2" t="n">
        <v>21213</v>
      </c>
    </row>
    <row r="180" customFormat="false" ht="13.5" hidden="false" customHeight="false" outlineLevel="0" collapsed="false">
      <c r="A180" s="0" t="s">
        <v>17</v>
      </c>
      <c r="B180" s="1" t="n">
        <v>44009</v>
      </c>
      <c r="C180" s="2" t="n">
        <v>162936</v>
      </c>
      <c r="D180" s="2" t="n">
        <v>0</v>
      </c>
      <c r="E180" s="2" t="n">
        <v>29778</v>
      </c>
      <c r="F180" s="2" t="n">
        <v>0</v>
      </c>
      <c r="G180" s="2" t="n">
        <v>75649</v>
      </c>
      <c r="H180" s="2" t="n">
        <v>57509</v>
      </c>
      <c r="I180" s="2" t="n">
        <v>634</v>
      </c>
      <c r="J180" s="2" t="n">
        <v>2496</v>
      </c>
      <c r="K180" s="18" t="n">
        <v>456</v>
      </c>
      <c r="L180" s="2" t="n">
        <v>1384633</v>
      </c>
      <c r="M180" s="2" t="n">
        <v>21213</v>
      </c>
    </row>
    <row r="181" customFormat="false" ht="13.5" hidden="false" customHeight="false" outlineLevel="0" collapsed="false">
      <c r="A181" s="0" t="s">
        <v>17</v>
      </c>
      <c r="B181" s="1" t="n">
        <v>44010</v>
      </c>
      <c r="C181" s="2" t="n">
        <v>162936</v>
      </c>
      <c r="D181" s="2" t="n">
        <v>0</v>
      </c>
      <c r="E181" s="2" t="n">
        <v>29778</v>
      </c>
      <c r="F181" s="2" t="n">
        <v>0</v>
      </c>
      <c r="G181" s="2" t="n">
        <v>75649</v>
      </c>
      <c r="H181" s="2" t="n">
        <v>57509</v>
      </c>
      <c r="I181" s="2" t="n">
        <v>634</v>
      </c>
      <c r="J181" s="2" t="n">
        <v>2496</v>
      </c>
      <c r="K181" s="18" t="n">
        <v>456</v>
      </c>
      <c r="L181" s="2" t="n">
        <v>1384633</v>
      </c>
      <c r="M181" s="2" t="n">
        <v>21213</v>
      </c>
    </row>
    <row r="182" customFormat="false" ht="13.5" hidden="false" customHeight="false" outlineLevel="0" collapsed="false">
      <c r="A182" s="0" t="s">
        <v>17</v>
      </c>
      <c r="B182" s="1" t="n">
        <v>44011</v>
      </c>
    </row>
    <row r="183" customFormat="false" ht="13.5" hidden="false" customHeight="false" outlineLevel="0" collapsed="false">
      <c r="A183" s="0" t="s">
        <v>17</v>
      </c>
      <c r="B183" s="1" t="n">
        <v>44012</v>
      </c>
    </row>
    <row r="184" customFormat="false" ht="13.5" hidden="false" customHeight="false" outlineLevel="0" collapsed="false">
      <c r="A184" s="0" t="s">
        <v>17</v>
      </c>
      <c r="B184" s="1" t="n">
        <v>44013</v>
      </c>
    </row>
    <row r="185" customFormat="false" ht="13.5" hidden="false" customHeight="false" outlineLevel="0" collapsed="false">
      <c r="A185" s="0" t="s">
        <v>17</v>
      </c>
      <c r="B185" s="1" t="n">
        <v>44014</v>
      </c>
    </row>
    <row r="186" customFormat="false" ht="13.5" hidden="false" customHeight="false" outlineLevel="0" collapsed="false">
      <c r="A186" s="0" t="s">
        <v>17</v>
      </c>
      <c r="B186" s="1" t="n">
        <v>44015</v>
      </c>
    </row>
    <row r="187" customFormat="false" ht="13.5" hidden="false" customHeight="false" outlineLevel="0" collapsed="false">
      <c r="A187" s="0" t="s">
        <v>17</v>
      </c>
      <c r="B187" s="1" t="n">
        <v>44016</v>
      </c>
    </row>
    <row r="188" customFormat="false" ht="13.5" hidden="false" customHeight="false" outlineLevel="0" collapsed="false">
      <c r="A188" s="0" t="s">
        <v>17</v>
      </c>
      <c r="B188" s="1" t="n">
        <v>44017</v>
      </c>
    </row>
    <row r="189" customFormat="false" ht="13.5" hidden="false" customHeight="false" outlineLevel="0" collapsed="false">
      <c r="A189" s="0" t="s">
        <v>17</v>
      </c>
      <c r="B189" s="1" t="n">
        <v>44018</v>
      </c>
    </row>
    <row r="190" customFormat="false" ht="13.5" hidden="false" customHeight="false" outlineLevel="0" collapsed="false">
      <c r="A190" s="0" t="s">
        <v>17</v>
      </c>
      <c r="B190" s="1" t="n">
        <v>44019</v>
      </c>
    </row>
    <row r="191" customFormat="false" ht="13.5" hidden="false" customHeight="false" outlineLevel="0" collapsed="false">
      <c r="A191" s="0" t="s">
        <v>17</v>
      </c>
      <c r="B191" s="1" t="n">
        <v>44020</v>
      </c>
    </row>
    <row r="192" customFormat="false" ht="13.5" hidden="false" customHeight="false" outlineLevel="0" collapsed="false">
      <c r="A192" s="0" t="s">
        <v>17</v>
      </c>
      <c r="B192" s="1" t="n">
        <v>44021</v>
      </c>
    </row>
    <row r="193" customFormat="false" ht="13.5" hidden="false" customHeight="false" outlineLevel="0" collapsed="false">
      <c r="A193" s="0" t="s">
        <v>17</v>
      </c>
      <c r="B193" s="1" t="n">
        <v>44022</v>
      </c>
    </row>
    <row r="194" customFormat="false" ht="13.5" hidden="false" customHeight="false" outlineLevel="0" collapsed="false">
      <c r="A194" s="0" t="s">
        <v>17</v>
      </c>
      <c r="B194" s="1" t="n">
        <v>44023</v>
      </c>
    </row>
    <row r="195" customFormat="false" ht="13.5" hidden="false" customHeight="false" outlineLevel="0" collapsed="false">
      <c r="A195" s="0" t="s">
        <v>17</v>
      </c>
      <c r="B195" s="1" t="n">
        <v>44024</v>
      </c>
    </row>
    <row r="196" customFormat="false" ht="13.5" hidden="false" customHeight="false" outlineLevel="0" collapsed="false">
      <c r="A196" s="0" t="s">
        <v>17</v>
      </c>
      <c r="B196" s="1" t="n">
        <v>44025</v>
      </c>
    </row>
    <row r="197" customFormat="false" ht="13.5" hidden="false" customHeight="false" outlineLevel="0" collapsed="false">
      <c r="A197" s="0" t="s">
        <v>17</v>
      </c>
      <c r="B197" s="1" t="n">
        <v>44026</v>
      </c>
    </row>
    <row r="198" customFormat="false" ht="13.5" hidden="false" customHeight="false" outlineLevel="0" collapsed="false">
      <c r="A198" s="0" t="s">
        <v>17</v>
      </c>
      <c r="B198" s="1" t="n">
        <v>44027</v>
      </c>
    </row>
    <row r="199" customFormat="false" ht="13.5" hidden="false" customHeight="false" outlineLevel="0" collapsed="false">
      <c r="A199" s="0" t="s">
        <v>17</v>
      </c>
      <c r="B199" s="1" t="n">
        <v>44028</v>
      </c>
    </row>
    <row r="200" customFormat="false" ht="13.5" hidden="false" customHeight="false" outlineLevel="0" collapsed="false">
      <c r="A200" s="0" t="s">
        <v>17</v>
      </c>
      <c r="B200" s="1" t="n">
        <v>44029</v>
      </c>
    </row>
    <row r="201" customFormat="false" ht="13.5" hidden="false" customHeight="false" outlineLevel="0" collapsed="false">
      <c r="A201" s="0" t="s">
        <v>17</v>
      </c>
      <c r="B201" s="1" t="n">
        <v>44030</v>
      </c>
    </row>
    <row r="202" customFormat="false" ht="13.5" hidden="false" customHeight="false" outlineLevel="0" collapsed="false">
      <c r="A202" s="0" t="s">
        <v>17</v>
      </c>
      <c r="B202" s="1" t="n">
        <v>44031</v>
      </c>
    </row>
    <row r="203" customFormat="false" ht="13.5" hidden="false" customHeight="false" outlineLevel="0" collapsed="false">
      <c r="A203" s="0" t="s">
        <v>17</v>
      </c>
      <c r="B203" s="1" t="n">
        <v>44032</v>
      </c>
    </row>
    <row r="204" customFormat="false" ht="13.5" hidden="false" customHeight="false" outlineLevel="0" collapsed="false">
      <c r="A204" s="0" t="s">
        <v>17</v>
      </c>
      <c r="B204" s="1" t="n">
        <v>44033</v>
      </c>
    </row>
    <row r="205" customFormat="false" ht="13.5" hidden="false" customHeight="false" outlineLevel="0" collapsed="false">
      <c r="A205" s="0" t="s">
        <v>17</v>
      </c>
      <c r="B205" s="1" t="n">
        <v>44034</v>
      </c>
    </row>
    <row r="206" customFormat="false" ht="13.5" hidden="false" customHeight="false" outlineLevel="0" collapsed="false">
      <c r="A206" s="0" t="s">
        <v>17</v>
      </c>
      <c r="B206" s="1" t="n">
        <v>44035</v>
      </c>
    </row>
    <row r="207" customFormat="false" ht="13.5" hidden="false" customHeight="false" outlineLevel="0" collapsed="false">
      <c r="A207" s="0" t="s">
        <v>17</v>
      </c>
      <c r="B207" s="1" t="n">
        <v>44036</v>
      </c>
    </row>
    <row r="208" customFormat="false" ht="13.5" hidden="false" customHeight="false" outlineLevel="0" collapsed="false">
      <c r="A208" s="0" t="s">
        <v>17</v>
      </c>
      <c r="B208" s="1" t="n">
        <v>44037</v>
      </c>
    </row>
    <row r="209" customFormat="false" ht="13.5" hidden="false" customHeight="false" outlineLevel="0" collapsed="false">
      <c r="A209" s="0" t="s">
        <v>17</v>
      </c>
      <c r="B209" s="1" t="n">
        <v>44038</v>
      </c>
    </row>
    <row r="210" customFormat="false" ht="13.5" hidden="false" customHeight="false" outlineLevel="0" collapsed="false">
      <c r="A210" s="0" t="s">
        <v>17</v>
      </c>
      <c r="B210" s="1" t="n">
        <v>44039</v>
      </c>
    </row>
    <row r="211" customFormat="false" ht="13.5" hidden="false" customHeight="false" outlineLevel="0" collapsed="false">
      <c r="A211" s="0" t="s">
        <v>17</v>
      </c>
      <c r="B211" s="1" t="n">
        <v>44040</v>
      </c>
    </row>
    <row r="212" customFormat="false" ht="13.5" hidden="false" customHeight="false" outlineLevel="0" collapsed="false">
      <c r="A212" s="0" t="s">
        <v>17</v>
      </c>
      <c r="B212" s="1" t="n">
        <v>44041</v>
      </c>
    </row>
    <row r="213" customFormat="false" ht="13.5" hidden="false" customHeight="false" outlineLevel="0" collapsed="false">
      <c r="A213" s="0" t="s">
        <v>17</v>
      </c>
      <c r="B213" s="1" t="n">
        <v>44042</v>
      </c>
    </row>
    <row r="214" customFormat="false" ht="13.5" hidden="false" customHeight="false" outlineLevel="0" collapsed="false">
      <c r="A214" s="0" t="s">
        <v>17</v>
      </c>
      <c r="B214" s="1" t="n">
        <v>44043</v>
      </c>
    </row>
    <row r="215" customFormat="false" ht="13.5" hidden="false" customHeight="false" outlineLevel="0" collapsed="false">
      <c r="A215" s="0" t="s">
        <v>17</v>
      </c>
      <c r="B215" s="1" t="n">
        <v>44044</v>
      </c>
    </row>
    <row r="216" customFormat="false" ht="13.5" hidden="false" customHeight="false" outlineLevel="0" collapsed="false">
      <c r="A216" s="0" t="s">
        <v>17</v>
      </c>
      <c r="B216" s="1" t="n">
        <v>44045</v>
      </c>
    </row>
    <row r="217" customFormat="false" ht="13.5" hidden="false" customHeight="false" outlineLevel="0" collapsed="false">
      <c r="A217" s="0" t="s">
        <v>17</v>
      </c>
      <c r="B217" s="1" t="n">
        <v>44046</v>
      </c>
    </row>
    <row r="218" customFormat="false" ht="13.5" hidden="false" customHeight="false" outlineLevel="0" collapsed="false">
      <c r="A218" s="0" t="s">
        <v>17</v>
      </c>
      <c r="B218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P163" activeCellId="0" sqref="P163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18</v>
      </c>
      <c r="B2" s="1" t="n">
        <v>43862</v>
      </c>
      <c r="C2" s="6" t="n">
        <v>7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18</v>
      </c>
      <c r="B3" s="1" t="n">
        <v>43863</v>
      </c>
      <c r="C3" s="6" t="n">
        <v>8</v>
      </c>
      <c r="D3" s="6" t="n">
        <v>1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18</v>
      </c>
      <c r="B4" s="1" t="n">
        <v>43864</v>
      </c>
      <c r="C4" s="6" t="n">
        <v>10</v>
      </c>
      <c r="D4" s="6" t="n">
        <v>2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18</v>
      </c>
      <c r="B5" s="1" t="n">
        <v>43865</v>
      </c>
      <c r="C5" s="6" t="n">
        <v>12</v>
      </c>
      <c r="D5" s="6" t="n">
        <v>2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18</v>
      </c>
      <c r="B6" s="1" t="n">
        <v>43866</v>
      </c>
      <c r="C6" s="6" t="n">
        <v>12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18</v>
      </c>
      <c r="B7" s="1" t="n">
        <v>43867</v>
      </c>
      <c r="C7" s="6" t="n">
        <v>12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18</v>
      </c>
      <c r="B8" s="1" t="n">
        <v>43868</v>
      </c>
      <c r="C8" s="6" t="n">
        <v>13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18</v>
      </c>
      <c r="B9" s="1" t="n">
        <v>43869</v>
      </c>
      <c r="C9" s="6" t="n">
        <v>14</v>
      </c>
      <c r="D9" s="6" t="n">
        <v>1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18</v>
      </c>
      <c r="B10" s="1" t="n">
        <v>43870</v>
      </c>
      <c r="C10" s="6" t="n">
        <v>14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18</v>
      </c>
      <c r="B11" s="1" t="n">
        <v>43871</v>
      </c>
      <c r="C11" s="6" t="n">
        <v>14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18</v>
      </c>
      <c r="B12" s="1" t="n">
        <v>43872</v>
      </c>
      <c r="C12" s="6" t="n">
        <v>14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18</v>
      </c>
      <c r="B13" s="1" t="n">
        <v>43873</v>
      </c>
      <c r="C13" s="6" t="n">
        <v>16</v>
      </c>
      <c r="D13" s="6" t="n">
        <v>2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18</v>
      </c>
      <c r="B14" s="1" t="n">
        <v>43874</v>
      </c>
      <c r="C14" s="6" t="n">
        <v>16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18</v>
      </c>
      <c r="B15" s="1" t="n">
        <v>43875</v>
      </c>
      <c r="C15" s="6" t="n">
        <v>16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18</v>
      </c>
      <c r="B16" s="1" t="n">
        <v>43876</v>
      </c>
      <c r="C16" s="6" t="n">
        <v>16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18</v>
      </c>
      <c r="B17" s="1" t="n">
        <v>43877</v>
      </c>
      <c r="C17" s="6" t="n">
        <v>16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18</v>
      </c>
      <c r="B18" s="1" t="n">
        <v>43878</v>
      </c>
      <c r="C18" s="6" t="n">
        <v>16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18</v>
      </c>
      <c r="B19" s="1" t="n">
        <v>43879</v>
      </c>
      <c r="C19" s="6" t="n">
        <v>16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18</v>
      </c>
      <c r="B20" s="1" t="n">
        <v>43880</v>
      </c>
      <c r="C20" s="6" t="n">
        <v>16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18</v>
      </c>
      <c r="B21" s="1" t="n">
        <v>43881</v>
      </c>
      <c r="C21" s="6" t="n">
        <v>16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18</v>
      </c>
      <c r="B22" s="1" t="n">
        <v>43882</v>
      </c>
      <c r="C22" s="6" t="n">
        <v>16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18</v>
      </c>
      <c r="B23" s="1" t="n">
        <v>43883</v>
      </c>
      <c r="C23" s="6" t="n">
        <v>16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18</v>
      </c>
      <c r="B24" s="1" t="n">
        <v>43884</v>
      </c>
      <c r="C24" s="6" t="n">
        <v>16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18</v>
      </c>
      <c r="B25" s="1" t="n">
        <v>43885</v>
      </c>
      <c r="C25" s="6" t="n">
        <v>16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18</v>
      </c>
      <c r="B26" s="1" t="n">
        <v>43886</v>
      </c>
      <c r="C26" s="6" t="n">
        <v>16</v>
      </c>
      <c r="D26" s="6" t="n">
        <v>0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18</v>
      </c>
      <c r="B27" s="1" t="n">
        <v>43887</v>
      </c>
      <c r="C27" s="6" t="n">
        <v>18</v>
      </c>
      <c r="D27" s="6" t="n">
        <v>2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18</v>
      </c>
      <c r="B28" s="1" t="n">
        <v>43888</v>
      </c>
      <c r="C28" s="6" t="n">
        <v>21</v>
      </c>
      <c r="D28" s="6" t="n">
        <v>3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18</v>
      </c>
      <c r="B29" s="1" t="n">
        <v>43889</v>
      </c>
      <c r="C29" s="6" t="n">
        <v>26</v>
      </c>
      <c r="D29" s="6" t="n">
        <v>5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18</v>
      </c>
      <c r="B30" s="1" t="n">
        <v>43890</v>
      </c>
      <c r="C30" s="6" t="n">
        <v>57</v>
      </c>
      <c r="D30" s="6" t="n">
        <v>31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18</v>
      </c>
      <c r="B31" s="1" t="n">
        <v>43891</v>
      </c>
      <c r="C31" s="6" t="n">
        <v>57</v>
      </c>
      <c r="D31" s="6" t="n">
        <v>0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18</v>
      </c>
      <c r="B32" s="1" t="n">
        <v>43892</v>
      </c>
      <c r="C32" s="6" t="n">
        <v>129</v>
      </c>
      <c r="D32" s="6" t="n">
        <v>72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18</v>
      </c>
      <c r="B33" s="1" t="n">
        <v>43893</v>
      </c>
      <c r="C33" s="6" t="n">
        <v>157</v>
      </c>
      <c r="D33" s="6" t="n">
        <v>28</v>
      </c>
      <c r="E33" s="6" t="n">
        <v>0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18</v>
      </c>
      <c r="B34" s="1" t="n">
        <v>43894</v>
      </c>
      <c r="C34" s="6" t="n">
        <v>196</v>
      </c>
      <c r="D34" s="6" t="n">
        <v>39</v>
      </c>
      <c r="E34" s="6" t="n">
        <v>0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18</v>
      </c>
      <c r="B35" s="1" t="n">
        <v>43895</v>
      </c>
      <c r="C35" s="6" t="n">
        <v>262</v>
      </c>
      <c r="D35" s="6" t="n">
        <v>66</v>
      </c>
      <c r="E35" s="6" t="n">
        <v>0</v>
      </c>
      <c r="F35" s="6" t="n">
        <v>0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18</v>
      </c>
      <c r="B36" s="1" t="n">
        <v>43896</v>
      </c>
      <c r="C36" s="6" t="n">
        <v>534</v>
      </c>
      <c r="D36" s="6" t="n">
        <v>272</v>
      </c>
      <c r="E36" s="6" t="n">
        <v>0</v>
      </c>
      <c r="F36" s="6" t="n">
        <v>0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18</v>
      </c>
      <c r="B37" s="1" t="n">
        <v>43897</v>
      </c>
      <c r="C37" s="8" t="n">
        <v>670</v>
      </c>
      <c r="D37" s="8" t="n">
        <v>136</v>
      </c>
      <c r="E37" s="8" t="n">
        <v>0</v>
      </c>
      <c r="F37" s="8" t="n">
        <v>0</v>
      </c>
      <c r="G37" s="8" t="n">
        <v>17</v>
      </c>
      <c r="H37" s="8" t="n">
        <v>653</v>
      </c>
      <c r="I37" s="8" t="n">
        <v>8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18</v>
      </c>
      <c r="B38" s="1" t="n">
        <v>43898</v>
      </c>
      <c r="C38" s="6" t="n">
        <v>800</v>
      </c>
      <c r="D38" s="6" t="n">
        <v>130</v>
      </c>
      <c r="E38" s="6" t="n">
        <v>0</v>
      </c>
      <c r="F38" s="6" t="n">
        <v>0</v>
      </c>
      <c r="G38" s="6" t="n">
        <v>18</v>
      </c>
      <c r="H38" s="6" t="n">
        <v>782</v>
      </c>
      <c r="I38" s="6" t="n">
        <v>9</v>
      </c>
      <c r="J38" s="6" t="n">
        <v>9.5</v>
      </c>
      <c r="K38" s="6"/>
      <c r="L38" s="6"/>
      <c r="M38" s="6"/>
    </row>
    <row r="39" customFormat="false" ht="15.75" hidden="false" customHeight="false" outlineLevel="0" collapsed="false">
      <c r="A39" s="0" t="s">
        <v>18</v>
      </c>
      <c r="B39" s="1" t="n">
        <v>43899</v>
      </c>
      <c r="C39" s="6" t="n">
        <v>1040</v>
      </c>
      <c r="D39" s="6" t="n">
        <v>240</v>
      </c>
      <c r="E39" s="6" t="n">
        <v>0</v>
      </c>
      <c r="F39" s="6" t="n">
        <v>0</v>
      </c>
      <c r="G39" s="6" t="n">
        <v>18</v>
      </c>
      <c r="H39" s="6" t="n">
        <v>1022</v>
      </c>
      <c r="I39" s="6" t="n">
        <v>9</v>
      </c>
      <c r="J39" s="6" t="n">
        <v>12.4</v>
      </c>
      <c r="K39" s="6"/>
      <c r="L39" s="6"/>
      <c r="M39" s="6"/>
    </row>
    <row r="40" customFormat="false" ht="15.75" hidden="false" customHeight="false" outlineLevel="0" collapsed="false">
      <c r="A40" s="0" t="s">
        <v>18</v>
      </c>
      <c r="B40" s="1" t="n">
        <v>43900</v>
      </c>
      <c r="C40" s="6" t="n">
        <v>1224</v>
      </c>
      <c r="D40" s="6" t="n">
        <v>184</v>
      </c>
      <c r="E40" s="6" t="n">
        <v>2</v>
      </c>
      <c r="F40" s="6" t="n">
        <v>2</v>
      </c>
      <c r="G40" s="6" t="n">
        <v>18</v>
      </c>
      <c r="H40" s="6" t="n">
        <v>1204</v>
      </c>
      <c r="I40" s="6" t="n">
        <v>9</v>
      </c>
      <c r="J40" s="6" t="n">
        <v>14.6</v>
      </c>
      <c r="K40" s="6"/>
      <c r="L40" s="6"/>
      <c r="M40" s="6"/>
    </row>
    <row r="41" customFormat="false" ht="15.75" hidden="false" customHeight="false" outlineLevel="0" collapsed="false">
      <c r="A41" s="0" t="s">
        <v>18</v>
      </c>
      <c r="B41" s="1" t="n">
        <v>43901</v>
      </c>
      <c r="C41" s="6" t="n">
        <v>1565</v>
      </c>
      <c r="D41" s="6" t="n">
        <v>341</v>
      </c>
      <c r="E41" s="6" t="n">
        <v>2</v>
      </c>
      <c r="F41" s="6" t="n">
        <v>0</v>
      </c>
      <c r="G41" s="6" t="n">
        <v>18</v>
      </c>
      <c r="H41" s="6" t="n">
        <v>1545</v>
      </c>
      <c r="I41" s="6" t="n">
        <v>9</v>
      </c>
      <c r="J41" s="6" t="n">
        <v>18.7</v>
      </c>
      <c r="K41" s="6"/>
      <c r="L41" s="6"/>
      <c r="M41" s="6"/>
    </row>
    <row r="42" customFormat="false" ht="15.75" hidden="false" customHeight="false" outlineLevel="0" collapsed="false">
      <c r="A42" s="0" t="s">
        <v>18</v>
      </c>
      <c r="B42" s="1" t="n">
        <v>43902</v>
      </c>
      <c r="C42" s="6" t="n">
        <v>1908</v>
      </c>
      <c r="D42" s="6" t="n">
        <v>343</v>
      </c>
      <c r="E42" s="6" t="n">
        <v>3</v>
      </c>
      <c r="F42" s="6" t="n">
        <v>1</v>
      </c>
      <c r="G42" s="6" t="n">
        <v>25</v>
      </c>
      <c r="H42" s="6" t="n">
        <v>1880</v>
      </c>
      <c r="I42" s="6" t="n">
        <v>9</v>
      </c>
      <c r="J42" s="6" t="n">
        <v>22.8</v>
      </c>
      <c r="K42" s="6"/>
      <c r="L42" s="6"/>
      <c r="M42" s="6"/>
    </row>
    <row r="43" customFormat="false" ht="15.75" hidden="false" customHeight="false" outlineLevel="0" collapsed="false">
      <c r="A43" s="0" t="s">
        <v>18</v>
      </c>
      <c r="B43" s="1" t="n">
        <v>43903</v>
      </c>
      <c r="C43" s="6" t="n">
        <v>2745</v>
      </c>
      <c r="D43" s="6" t="n">
        <v>837</v>
      </c>
      <c r="E43" s="6" t="n">
        <v>6</v>
      </c>
      <c r="F43" s="6" t="n">
        <v>3</v>
      </c>
      <c r="G43" s="6" t="n">
        <v>25</v>
      </c>
      <c r="H43" s="6" t="n">
        <v>2714</v>
      </c>
      <c r="I43" s="6" t="n">
        <v>9</v>
      </c>
      <c r="J43" s="6" t="n">
        <v>32.8</v>
      </c>
      <c r="K43" s="6"/>
      <c r="L43" s="6"/>
      <c r="M43" s="6"/>
    </row>
    <row r="44" customFormat="false" ht="15.75" hidden="false" customHeight="false" outlineLevel="0" collapsed="false">
      <c r="A44" s="0" t="s">
        <v>18</v>
      </c>
      <c r="B44" s="1" t="n">
        <v>43904</v>
      </c>
      <c r="C44" s="6" t="n">
        <v>3675</v>
      </c>
      <c r="D44" s="6" t="n">
        <v>930</v>
      </c>
      <c r="E44" s="6" t="n">
        <v>8</v>
      </c>
      <c r="F44" s="6" t="n">
        <v>2</v>
      </c>
      <c r="G44" s="6" t="n">
        <v>46</v>
      </c>
      <c r="H44" s="6" t="n">
        <v>3621</v>
      </c>
      <c r="I44" s="6" t="n">
        <v>9</v>
      </c>
      <c r="J44" s="6" t="n">
        <v>43.9</v>
      </c>
      <c r="K44" s="6"/>
      <c r="L44" s="6"/>
      <c r="M44" s="6"/>
    </row>
    <row r="45" customFormat="false" ht="15.75" hidden="false" customHeight="false" outlineLevel="0" collapsed="false">
      <c r="A45" s="0" t="s">
        <v>18</v>
      </c>
      <c r="B45" s="1" t="n">
        <v>43905</v>
      </c>
      <c r="C45" s="6" t="n">
        <v>4599</v>
      </c>
      <c r="D45" s="6" t="n">
        <v>924</v>
      </c>
      <c r="E45" s="6" t="n">
        <v>9</v>
      </c>
      <c r="F45" s="6" t="n">
        <v>1</v>
      </c>
      <c r="G45" s="6" t="n">
        <v>46</v>
      </c>
      <c r="H45" s="6" t="n">
        <v>4544</v>
      </c>
      <c r="I45" s="6" t="n">
        <v>9</v>
      </c>
      <c r="J45" s="6" t="n">
        <v>54.9</v>
      </c>
      <c r="K45" s="6"/>
      <c r="L45" s="6"/>
      <c r="M45" s="6"/>
    </row>
    <row r="46" customFormat="false" ht="15.75" hidden="false" customHeight="false" outlineLevel="0" collapsed="false">
      <c r="A46" s="0" t="s">
        <v>18</v>
      </c>
      <c r="B46" s="1" t="n">
        <v>43906</v>
      </c>
      <c r="C46" s="6" t="n">
        <v>5813</v>
      </c>
      <c r="D46" s="6" t="n">
        <v>1214</v>
      </c>
      <c r="E46" s="6" t="n">
        <v>11</v>
      </c>
      <c r="F46" s="6" t="n">
        <v>2</v>
      </c>
      <c r="G46" s="6" t="n">
        <v>46</v>
      </c>
      <c r="H46" s="6" t="n">
        <v>5756</v>
      </c>
      <c r="I46" s="6" t="n">
        <v>2</v>
      </c>
      <c r="J46" s="6" t="n">
        <v>69.4</v>
      </c>
      <c r="K46" s="6"/>
      <c r="L46" s="6"/>
      <c r="M46" s="6"/>
    </row>
    <row r="47" customFormat="false" ht="15.75" hidden="false" customHeight="false" outlineLevel="0" collapsed="false">
      <c r="A47" s="0" t="s">
        <v>18</v>
      </c>
      <c r="B47" s="1" t="n">
        <v>43907</v>
      </c>
      <c r="C47" s="6" t="n">
        <v>7241</v>
      </c>
      <c r="D47" s="6" t="n">
        <v>1428</v>
      </c>
      <c r="E47" s="6" t="n">
        <v>15</v>
      </c>
      <c r="F47" s="6" t="n">
        <v>4</v>
      </c>
      <c r="G47" s="6" t="n">
        <v>65</v>
      </c>
      <c r="H47" s="6" t="n">
        <v>7161</v>
      </c>
      <c r="I47" s="6" t="n">
        <v>2</v>
      </c>
      <c r="J47" s="6" t="n">
        <v>86.4</v>
      </c>
      <c r="K47" s="6"/>
      <c r="L47" s="6"/>
      <c r="M47" s="6"/>
    </row>
    <row r="48" customFormat="false" ht="15.75" hidden="false" customHeight="false" outlineLevel="0" collapsed="false">
      <c r="A48" s="0" t="s">
        <v>18</v>
      </c>
      <c r="B48" s="1" t="n">
        <v>43908</v>
      </c>
      <c r="C48" s="6" t="n">
        <v>9367</v>
      </c>
      <c r="D48" s="6" t="n">
        <v>2126</v>
      </c>
      <c r="E48" s="6" t="n">
        <v>26</v>
      </c>
      <c r="F48" s="6" t="n">
        <v>11</v>
      </c>
      <c r="G48" s="6" t="n">
        <v>67</v>
      </c>
      <c r="H48" s="6" t="n">
        <v>9274</v>
      </c>
      <c r="I48" s="6" t="n">
        <v>2</v>
      </c>
      <c r="J48" s="6" t="n">
        <v>111.8</v>
      </c>
      <c r="K48" s="6"/>
      <c r="L48" s="6"/>
      <c r="M48" s="6"/>
    </row>
    <row r="49" customFormat="false" ht="15.75" hidden="false" customHeight="false" outlineLevel="0" collapsed="false">
      <c r="A49" s="0" t="s">
        <v>18</v>
      </c>
      <c r="B49" s="1" t="n">
        <v>43909</v>
      </c>
      <c r="C49" s="6" t="n">
        <v>12327</v>
      </c>
      <c r="D49" s="6" t="n">
        <v>2960</v>
      </c>
      <c r="E49" s="6" t="n">
        <v>28</v>
      </c>
      <c r="F49" s="6" t="n">
        <v>2</v>
      </c>
      <c r="G49" s="6" t="n">
        <v>105</v>
      </c>
      <c r="H49" s="6" t="n">
        <v>12194</v>
      </c>
      <c r="I49" s="6" t="n">
        <v>2</v>
      </c>
      <c r="J49" s="6" t="n">
        <v>147</v>
      </c>
      <c r="K49" s="6"/>
      <c r="L49" s="6"/>
      <c r="M49" s="6"/>
    </row>
    <row r="50" customFormat="false" ht="15.75" hidden="false" customHeight="false" outlineLevel="0" collapsed="false">
      <c r="A50" s="0" t="s">
        <v>18</v>
      </c>
      <c r="B50" s="1" t="n">
        <v>43910</v>
      </c>
      <c r="C50" s="6" t="n">
        <v>15320</v>
      </c>
      <c r="D50" s="6" t="n">
        <v>2993</v>
      </c>
      <c r="E50" s="6" t="n">
        <v>44</v>
      </c>
      <c r="F50" s="6" t="n">
        <v>16</v>
      </c>
      <c r="G50" s="6" t="n">
        <v>115</v>
      </c>
      <c r="H50" s="6" t="n">
        <v>15161</v>
      </c>
      <c r="I50" s="6" t="n">
        <v>2</v>
      </c>
      <c r="J50" s="6" t="n">
        <v>183</v>
      </c>
      <c r="K50" s="6"/>
      <c r="L50" s="6"/>
      <c r="M50" s="6"/>
    </row>
    <row r="51" customFormat="false" ht="15.75" hidden="false" customHeight="false" outlineLevel="0" collapsed="false">
      <c r="A51" s="0" t="s">
        <v>18</v>
      </c>
      <c r="B51" s="1" t="n">
        <v>43911</v>
      </c>
      <c r="C51" s="6" t="n">
        <v>19848</v>
      </c>
      <c r="D51" s="6" t="n">
        <v>4528</v>
      </c>
      <c r="E51" s="6" t="n">
        <v>70</v>
      </c>
      <c r="F51" s="6" t="n">
        <v>26</v>
      </c>
      <c r="G51" s="6" t="n">
        <v>180</v>
      </c>
      <c r="H51" s="6" t="n">
        <v>19892</v>
      </c>
      <c r="I51" s="6" t="n">
        <v>2</v>
      </c>
      <c r="J51" s="6" t="n">
        <v>240</v>
      </c>
      <c r="K51" s="6"/>
      <c r="L51" s="6"/>
      <c r="M51" s="6"/>
    </row>
    <row r="52" customFormat="false" ht="15.75" hidden="false" customHeight="false" outlineLevel="0" collapsed="false">
      <c r="A52" s="0" t="s">
        <v>18</v>
      </c>
      <c r="B52" s="1" t="n">
        <v>43912</v>
      </c>
      <c r="C52" s="6" t="n">
        <v>22364</v>
      </c>
      <c r="D52" s="6" t="n">
        <v>2516</v>
      </c>
      <c r="E52" s="6" t="n">
        <v>84</v>
      </c>
      <c r="F52" s="6" t="n">
        <v>14</v>
      </c>
      <c r="G52" s="6" t="n">
        <v>209</v>
      </c>
      <c r="H52" s="6" t="n">
        <v>22071</v>
      </c>
      <c r="I52" s="6" t="n">
        <v>2</v>
      </c>
      <c r="J52" s="6" t="n">
        <v>267</v>
      </c>
      <c r="K52" s="6"/>
      <c r="L52" s="6"/>
      <c r="M52" s="6"/>
    </row>
    <row r="53" customFormat="false" ht="15.75" hidden="false" customHeight="false" outlineLevel="0" collapsed="false">
      <c r="A53" s="0" t="s">
        <v>18</v>
      </c>
      <c r="B53" s="1" t="n">
        <v>43913</v>
      </c>
      <c r="C53" s="6" t="n">
        <v>24852</v>
      </c>
      <c r="D53" s="6" t="n">
        <v>2488</v>
      </c>
      <c r="E53" s="6" t="n">
        <v>94</v>
      </c>
      <c r="F53" s="6" t="n">
        <v>10</v>
      </c>
      <c r="G53" s="6" t="n">
        <v>266</v>
      </c>
      <c r="H53" s="6" t="n">
        <v>24492</v>
      </c>
      <c r="I53" s="6" t="n">
        <v>23</v>
      </c>
      <c r="J53" s="6" t="n">
        <v>297</v>
      </c>
      <c r="K53" s="6"/>
      <c r="L53" s="6"/>
      <c r="M53" s="6"/>
    </row>
    <row r="54" customFormat="false" ht="15.75" hidden="false" customHeight="false" outlineLevel="0" collapsed="false">
      <c r="A54" s="0" t="s">
        <v>18</v>
      </c>
      <c r="B54" s="1" t="n">
        <v>43914</v>
      </c>
      <c r="C54" s="6" t="n">
        <v>29056</v>
      </c>
      <c r="D54" s="6" t="n">
        <v>4204</v>
      </c>
      <c r="E54" s="6" t="n">
        <v>123</v>
      </c>
      <c r="F54" s="6" t="n">
        <v>29</v>
      </c>
      <c r="G54" s="6" t="n">
        <v>453</v>
      </c>
      <c r="H54" s="6" t="n">
        <v>28480</v>
      </c>
      <c r="I54" s="6" t="n">
        <v>23</v>
      </c>
      <c r="J54" s="6" t="n">
        <v>347</v>
      </c>
      <c r="K54" s="6"/>
      <c r="L54" s="6"/>
      <c r="M54" s="6"/>
    </row>
    <row r="55" customFormat="false" ht="15.75" hidden="false" customHeight="false" outlineLevel="0" collapsed="false">
      <c r="A55" s="0" t="s">
        <v>18</v>
      </c>
      <c r="B55" s="1" t="n">
        <v>43915</v>
      </c>
      <c r="C55" s="7" t="n">
        <v>32986</v>
      </c>
      <c r="D55" s="7" t="n">
        <v>3930</v>
      </c>
      <c r="E55" s="7" t="n">
        <v>157</v>
      </c>
      <c r="F55" s="7" t="n">
        <v>34</v>
      </c>
      <c r="G55" s="7" t="n">
        <v>3243</v>
      </c>
      <c r="H55" s="7" t="n">
        <v>29586</v>
      </c>
      <c r="I55" s="7" t="n">
        <v>23</v>
      </c>
      <c r="J55" s="7" t="n">
        <v>394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18</v>
      </c>
      <c r="B56" s="1" t="n">
        <v>43916</v>
      </c>
      <c r="C56" s="7" t="n">
        <v>37323</v>
      </c>
      <c r="D56" s="7" t="n">
        <v>4337</v>
      </c>
      <c r="E56" s="7" t="n">
        <v>206</v>
      </c>
      <c r="F56" s="7" t="n">
        <v>49</v>
      </c>
      <c r="G56" s="7" t="n">
        <v>3547</v>
      </c>
      <c r="H56" s="7" t="n">
        <v>33570</v>
      </c>
      <c r="I56" s="7" t="n">
        <v>23</v>
      </c>
      <c r="J56" s="7" t="n">
        <v>445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18</v>
      </c>
      <c r="B57" s="1" t="n">
        <v>43917</v>
      </c>
      <c r="C57" s="7" t="n">
        <v>43646</v>
      </c>
      <c r="D57" s="7" t="n">
        <v>6323</v>
      </c>
      <c r="E57" s="7" t="n">
        <v>262</v>
      </c>
      <c r="F57" s="7" t="n">
        <v>56</v>
      </c>
      <c r="G57" s="7" t="n">
        <v>5673</v>
      </c>
      <c r="H57" s="7" t="n">
        <v>37711</v>
      </c>
      <c r="I57" s="7" t="n">
        <v>23</v>
      </c>
      <c r="J57" s="7" t="n">
        <v>521</v>
      </c>
      <c r="K57" s="7" t="n">
        <v>3</v>
      </c>
      <c r="L57" s="7"/>
      <c r="M57" s="7"/>
    </row>
    <row r="58" customFormat="false" ht="15.75" hidden="false" customHeight="false" outlineLevel="0" collapsed="false">
      <c r="A58" s="0" t="s">
        <v>18</v>
      </c>
      <c r="B58" s="1" t="n">
        <v>43918</v>
      </c>
      <c r="C58" s="7" t="n">
        <v>50871</v>
      </c>
      <c r="D58" s="7" t="n">
        <v>7225</v>
      </c>
      <c r="E58" s="7" t="n">
        <v>342</v>
      </c>
      <c r="F58" s="7" t="n">
        <v>80</v>
      </c>
      <c r="G58" s="7" t="n">
        <v>6658</v>
      </c>
      <c r="H58" s="7" t="n">
        <v>43871</v>
      </c>
      <c r="I58" s="7" t="n">
        <v>23</v>
      </c>
      <c r="J58" s="7" t="n">
        <v>607</v>
      </c>
      <c r="K58" s="7" t="n">
        <v>4</v>
      </c>
      <c r="L58" s="7"/>
      <c r="M58" s="7"/>
    </row>
    <row r="59" customFormat="false" ht="15.75" hidden="false" customHeight="false" outlineLevel="0" collapsed="false">
      <c r="A59" s="0" t="s">
        <v>18</v>
      </c>
      <c r="B59" s="1" t="n">
        <v>43919</v>
      </c>
      <c r="C59" s="7" t="n">
        <v>57695</v>
      </c>
      <c r="D59" s="7" t="n">
        <v>6824</v>
      </c>
      <c r="E59" s="7" t="n">
        <v>433</v>
      </c>
      <c r="F59" s="7" t="n">
        <v>91</v>
      </c>
      <c r="G59" s="7" t="n">
        <v>8481</v>
      </c>
      <c r="H59" s="7" t="n">
        <v>48781</v>
      </c>
      <c r="I59" s="7" t="n">
        <v>1581</v>
      </c>
      <c r="J59" s="7" t="n">
        <v>689</v>
      </c>
      <c r="K59" s="7" t="n">
        <v>5</v>
      </c>
      <c r="L59" s="7"/>
      <c r="M59" s="7"/>
    </row>
    <row r="60" customFormat="false" ht="15.75" hidden="false" customHeight="false" outlineLevel="0" collapsed="false">
      <c r="A60" s="0" t="s">
        <v>18</v>
      </c>
      <c r="B60" s="1" t="n">
        <v>43920</v>
      </c>
      <c r="C60" s="7" t="n">
        <v>62095</v>
      </c>
      <c r="D60" s="7" t="n">
        <v>4400</v>
      </c>
      <c r="E60" s="7" t="n">
        <v>525</v>
      </c>
      <c r="F60" s="7" t="n">
        <v>92</v>
      </c>
      <c r="G60" s="7" t="n">
        <v>9211</v>
      </c>
      <c r="H60" s="7" t="n">
        <v>52359</v>
      </c>
      <c r="I60" s="7" t="n">
        <v>1979</v>
      </c>
      <c r="J60" s="7" t="n">
        <v>741</v>
      </c>
      <c r="K60" s="7" t="n">
        <v>6</v>
      </c>
      <c r="L60" s="7"/>
      <c r="M60" s="7"/>
    </row>
    <row r="61" customFormat="false" ht="15.75" hidden="false" customHeight="false" outlineLevel="0" collapsed="false">
      <c r="A61" s="0" t="s">
        <v>18</v>
      </c>
      <c r="B61" s="1" t="n">
        <v>43921</v>
      </c>
      <c r="C61" s="7" t="n">
        <v>66711</v>
      </c>
      <c r="D61" s="7" t="n">
        <v>4616</v>
      </c>
      <c r="E61" s="7" t="n">
        <v>645</v>
      </c>
      <c r="F61" s="7" t="n">
        <v>120</v>
      </c>
      <c r="G61" s="7" t="n">
        <v>13500</v>
      </c>
      <c r="H61" s="7" t="n">
        <v>52566</v>
      </c>
      <c r="I61" s="7" t="n">
        <v>1979</v>
      </c>
      <c r="J61" s="7" t="n">
        <v>796</v>
      </c>
      <c r="K61" s="7" t="n">
        <v>8</v>
      </c>
      <c r="L61" s="7"/>
      <c r="M61" s="7"/>
    </row>
    <row r="62" customFormat="false" ht="15.75" hidden="false" customHeight="false" outlineLevel="0" collapsed="false">
      <c r="A62" s="0" t="s">
        <v>18</v>
      </c>
      <c r="B62" s="1" t="n">
        <v>43922</v>
      </c>
      <c r="C62" s="7" t="n">
        <v>71690</v>
      </c>
      <c r="D62" s="7" t="n">
        <v>4979</v>
      </c>
      <c r="E62" s="7" t="n">
        <v>774</v>
      </c>
      <c r="F62" s="7" t="n">
        <v>129</v>
      </c>
      <c r="G62" s="7" t="n">
        <v>16100</v>
      </c>
      <c r="H62" s="7" t="n">
        <v>54816</v>
      </c>
      <c r="I62" s="7" t="n">
        <v>2675</v>
      </c>
      <c r="J62" s="7" t="n">
        <v>856</v>
      </c>
      <c r="K62" s="7" t="n">
        <v>9</v>
      </c>
      <c r="L62" s="7"/>
      <c r="M62" s="7"/>
    </row>
    <row r="63" customFormat="false" ht="15.75" hidden="false" customHeight="false" outlineLevel="0" collapsed="false">
      <c r="A63" s="0" t="s">
        <v>18</v>
      </c>
      <c r="B63" s="1" t="n">
        <v>43923</v>
      </c>
      <c r="C63" s="7" t="n">
        <v>77921</v>
      </c>
      <c r="D63" s="7" t="n">
        <v>6231</v>
      </c>
      <c r="E63" s="7" t="n">
        <v>925</v>
      </c>
      <c r="F63" s="7" t="n">
        <v>151</v>
      </c>
      <c r="G63" s="7" t="n">
        <v>18700</v>
      </c>
      <c r="H63" s="7" t="n">
        <v>58296</v>
      </c>
      <c r="I63" s="7" t="n">
        <v>3408</v>
      </c>
      <c r="J63" s="7" t="n">
        <v>930</v>
      </c>
      <c r="K63" s="7" t="n">
        <v>11</v>
      </c>
      <c r="L63" s="7"/>
      <c r="M63" s="7"/>
    </row>
    <row r="64" customFormat="false" ht="15.75" hidden="false" customHeight="false" outlineLevel="0" collapsed="false">
      <c r="A64" s="0" t="s">
        <v>18</v>
      </c>
      <c r="B64" s="1" t="n">
        <v>43924</v>
      </c>
      <c r="C64" s="7" t="n">
        <v>84788</v>
      </c>
      <c r="D64" s="7" t="n">
        <v>6867</v>
      </c>
      <c r="E64" s="7" t="n">
        <v>1107</v>
      </c>
      <c r="F64" s="7" t="n">
        <v>182</v>
      </c>
      <c r="G64" s="7" t="n">
        <v>22440</v>
      </c>
      <c r="H64" s="7" t="n">
        <v>61241</v>
      </c>
      <c r="I64" s="7" t="n">
        <v>3936</v>
      </c>
      <c r="J64" s="7" t="n">
        <v>1012</v>
      </c>
      <c r="K64" s="7" t="n">
        <v>13</v>
      </c>
      <c r="L64" s="7"/>
      <c r="M64" s="7"/>
    </row>
    <row r="65" customFormat="false" ht="15.75" hidden="false" customHeight="false" outlineLevel="0" collapsed="false">
      <c r="A65" s="0" t="s">
        <v>18</v>
      </c>
      <c r="B65" s="1" t="n">
        <v>43925</v>
      </c>
      <c r="C65" s="7" t="n">
        <v>91159</v>
      </c>
      <c r="D65" s="7" t="n">
        <v>6371</v>
      </c>
      <c r="E65" s="7" t="n">
        <v>1275</v>
      </c>
      <c r="F65" s="7" t="n">
        <v>168</v>
      </c>
      <c r="G65" s="7" t="n">
        <v>24575</v>
      </c>
      <c r="H65" s="7" t="n">
        <v>65309</v>
      </c>
      <c r="I65" s="7" t="n">
        <v>3936</v>
      </c>
      <c r="J65" s="7" t="n">
        <v>1088</v>
      </c>
      <c r="K65" s="7" t="n">
        <v>15</v>
      </c>
      <c r="L65" s="7"/>
      <c r="M65" s="7"/>
    </row>
    <row r="66" customFormat="false" ht="15.75" hidden="false" customHeight="false" outlineLevel="0" collapsed="false">
      <c r="A66" s="0" t="s">
        <v>18</v>
      </c>
      <c r="B66" s="1" t="n">
        <v>43926</v>
      </c>
      <c r="C66" s="7" t="n">
        <v>96092</v>
      </c>
      <c r="D66" s="7" t="n">
        <v>4933</v>
      </c>
      <c r="E66" s="7" t="n">
        <v>1444</v>
      </c>
      <c r="F66" s="7" t="n">
        <v>169</v>
      </c>
      <c r="G66" s="7" t="n">
        <v>26400</v>
      </c>
      <c r="H66" s="7" t="n">
        <v>68248</v>
      </c>
      <c r="I66" s="7" t="n">
        <v>3936</v>
      </c>
      <c r="J66" s="7" t="n">
        <v>1147</v>
      </c>
      <c r="K66" s="7" t="n">
        <v>17</v>
      </c>
      <c r="L66" s="7" t="n">
        <v>918460</v>
      </c>
      <c r="M66" s="7" t="n">
        <v>10962</v>
      </c>
    </row>
    <row r="67" customFormat="false" ht="15.75" hidden="false" customHeight="false" outlineLevel="0" collapsed="false">
      <c r="A67" s="0" t="s">
        <v>18</v>
      </c>
      <c r="B67" s="1" t="n">
        <v>43927</v>
      </c>
      <c r="C67" s="7" t="n">
        <v>100024</v>
      </c>
      <c r="D67" s="7" t="n">
        <v>3932</v>
      </c>
      <c r="E67" s="7" t="n">
        <v>1576</v>
      </c>
      <c r="F67" s="7" t="n">
        <v>132</v>
      </c>
      <c r="G67" s="7" t="n">
        <v>28700</v>
      </c>
      <c r="H67" s="7" t="n">
        <v>69748</v>
      </c>
      <c r="I67" s="7" t="n">
        <v>3936</v>
      </c>
      <c r="J67" s="7" t="n">
        <v>1194</v>
      </c>
      <c r="K67" s="7" t="n">
        <v>19</v>
      </c>
      <c r="L67" s="7" t="n">
        <v>918460</v>
      </c>
      <c r="M67" s="7" t="n">
        <v>10962</v>
      </c>
    </row>
    <row r="68" customFormat="false" ht="15.75" hidden="false" customHeight="false" outlineLevel="0" collapsed="false">
      <c r="A68" s="0" t="s">
        <v>18</v>
      </c>
      <c r="B68" s="1" t="n">
        <v>43928</v>
      </c>
      <c r="C68" s="12" t="n">
        <v>102453</v>
      </c>
      <c r="D68" s="12" t="n">
        <v>2429</v>
      </c>
      <c r="E68" s="12" t="n">
        <v>1735</v>
      </c>
      <c r="F68" s="12" t="n">
        <v>159</v>
      </c>
      <c r="G68" s="12" t="n">
        <v>28700</v>
      </c>
      <c r="H68" s="12" t="n">
        <v>72018</v>
      </c>
      <c r="I68" s="12" t="n">
        <v>4895</v>
      </c>
      <c r="J68" s="12" t="n">
        <v>1223</v>
      </c>
      <c r="K68" s="12" t="n">
        <v>21</v>
      </c>
      <c r="L68" s="12" t="n">
        <v>918460</v>
      </c>
      <c r="M68" s="12" t="n">
        <v>10962</v>
      </c>
    </row>
    <row r="69" customFormat="false" ht="15.75" hidden="false" customHeight="false" outlineLevel="0" collapsed="false">
      <c r="A69" s="0" t="s">
        <v>18</v>
      </c>
      <c r="B69" s="1" t="n">
        <v>43929</v>
      </c>
      <c r="C69" s="14" t="n">
        <v>107663</v>
      </c>
      <c r="D69" s="14" t="n">
        <v>5210</v>
      </c>
      <c r="E69" s="14" t="n">
        <v>2016</v>
      </c>
      <c r="F69" s="14" t="n">
        <v>281</v>
      </c>
      <c r="G69" s="14" t="n">
        <v>36081</v>
      </c>
      <c r="H69" s="14" t="n">
        <v>69566</v>
      </c>
      <c r="I69" s="14" t="n">
        <v>4895</v>
      </c>
      <c r="J69" s="14" t="n">
        <v>1285</v>
      </c>
      <c r="K69" s="14" t="n">
        <v>24</v>
      </c>
      <c r="L69" s="14" t="n">
        <v>918460</v>
      </c>
      <c r="M69" s="14" t="n">
        <v>10962</v>
      </c>
    </row>
    <row r="70" customFormat="false" ht="15.75" hidden="false" customHeight="false" outlineLevel="0" collapsed="false">
      <c r="A70" s="0" t="s">
        <v>18</v>
      </c>
      <c r="B70" s="1" t="n">
        <v>43930</v>
      </c>
      <c r="C70" s="14" t="n">
        <v>112113</v>
      </c>
      <c r="D70" s="14" t="n">
        <v>4450</v>
      </c>
      <c r="E70" s="14" t="n">
        <v>2208</v>
      </c>
      <c r="F70" s="14" t="n">
        <v>192</v>
      </c>
      <c r="G70" s="14" t="n">
        <v>36081</v>
      </c>
      <c r="H70" s="14" t="n">
        <v>73824</v>
      </c>
      <c r="I70" s="14" t="n">
        <v>4895</v>
      </c>
      <c r="J70" s="14" t="n">
        <v>1338</v>
      </c>
      <c r="K70" s="14" t="n">
        <v>26</v>
      </c>
      <c r="L70" s="14" t="n">
        <v>918460</v>
      </c>
      <c r="M70" s="14" t="n">
        <v>10962</v>
      </c>
    </row>
    <row r="71" customFormat="false" ht="15.75" hidden="false" customHeight="false" outlineLevel="0" collapsed="false">
      <c r="A71" s="0" t="s">
        <v>18</v>
      </c>
      <c r="B71" s="1" t="n">
        <v>43931</v>
      </c>
      <c r="C71" s="14" t="n">
        <v>116801</v>
      </c>
      <c r="D71" s="14" t="n">
        <v>4688</v>
      </c>
      <c r="E71" s="14" t="n">
        <v>2529</v>
      </c>
      <c r="F71" s="14" t="n">
        <v>321</v>
      </c>
      <c r="G71" s="14" t="n">
        <v>52407</v>
      </c>
      <c r="H71" s="14" t="n">
        <v>61865</v>
      </c>
      <c r="I71" s="14" t="n">
        <v>4895</v>
      </c>
      <c r="J71" s="14" t="n">
        <v>1394</v>
      </c>
      <c r="K71" s="14" t="n">
        <v>30</v>
      </c>
      <c r="L71" s="14" t="n">
        <v>1317887</v>
      </c>
      <c r="M71" s="14" t="n">
        <v>15730</v>
      </c>
    </row>
    <row r="72" customFormat="false" ht="15.75" hidden="false" customHeight="false" outlineLevel="0" collapsed="false">
      <c r="A72" s="0" t="s">
        <v>18</v>
      </c>
      <c r="B72" s="1" t="n">
        <v>43932</v>
      </c>
      <c r="C72" s="14" t="n">
        <v>121045</v>
      </c>
      <c r="D72" s="14" t="n">
        <v>4244</v>
      </c>
      <c r="E72" s="14" t="n">
        <v>2728</v>
      </c>
      <c r="F72" s="14" t="n">
        <v>199</v>
      </c>
      <c r="G72" s="14" t="n">
        <v>53913</v>
      </c>
      <c r="H72" s="14" t="n">
        <v>64404</v>
      </c>
      <c r="I72" s="14" t="n">
        <v>4895</v>
      </c>
      <c r="J72" s="14" t="n">
        <v>1445</v>
      </c>
      <c r="K72" s="14" t="n">
        <v>33</v>
      </c>
      <c r="L72" s="14" t="n">
        <v>1317887</v>
      </c>
      <c r="M72" s="14" t="n">
        <v>15730</v>
      </c>
    </row>
    <row r="73" customFormat="false" ht="15.75" hidden="false" customHeight="false" outlineLevel="0" collapsed="false">
      <c r="A73" s="0" t="s">
        <v>18</v>
      </c>
      <c r="B73" s="1" t="n">
        <v>43933</v>
      </c>
      <c r="C73" s="14" t="n">
        <v>124288</v>
      </c>
      <c r="D73" s="14" t="n">
        <v>3243</v>
      </c>
      <c r="E73" s="14" t="n">
        <v>2736</v>
      </c>
      <c r="F73" s="14" t="n">
        <v>8</v>
      </c>
      <c r="G73" s="14" t="n">
        <v>57400</v>
      </c>
      <c r="H73" s="14" t="n">
        <v>64152</v>
      </c>
      <c r="I73" s="14" t="n">
        <v>4895</v>
      </c>
      <c r="J73" s="14" t="n">
        <v>1483</v>
      </c>
      <c r="K73" s="14" t="n">
        <v>33</v>
      </c>
      <c r="L73" s="14" t="n">
        <v>1317887</v>
      </c>
      <c r="M73" s="14" t="n">
        <v>15730</v>
      </c>
    </row>
    <row r="74" customFormat="false" ht="15.75" hidden="false" customHeight="false" outlineLevel="0" collapsed="false">
      <c r="A74" s="0" t="s">
        <v>18</v>
      </c>
      <c r="B74" s="1" t="n">
        <v>43934</v>
      </c>
      <c r="C74" s="14" t="n">
        <v>127574</v>
      </c>
      <c r="D74" s="14" t="n">
        <v>3286</v>
      </c>
      <c r="E74" s="14" t="n">
        <v>3011</v>
      </c>
      <c r="F74" s="14" t="n">
        <v>275</v>
      </c>
      <c r="G74" s="14" t="n">
        <v>60300</v>
      </c>
      <c r="H74" s="14" t="n">
        <v>64263</v>
      </c>
      <c r="I74" s="14" t="n">
        <v>4895</v>
      </c>
      <c r="J74" s="14" t="n">
        <v>1523</v>
      </c>
      <c r="K74" s="14" t="n">
        <v>36</v>
      </c>
      <c r="L74" s="14" t="n">
        <v>1317887</v>
      </c>
      <c r="M74" s="14" t="n">
        <v>15730</v>
      </c>
    </row>
    <row r="75" customFormat="false" ht="15.75" hidden="false" customHeight="false" outlineLevel="0" collapsed="false">
      <c r="A75" s="0" t="s">
        <v>18</v>
      </c>
      <c r="B75" s="1" t="n">
        <v>43935</v>
      </c>
      <c r="C75" s="14" t="n">
        <v>129207</v>
      </c>
      <c r="D75" s="14" t="n">
        <v>1633</v>
      </c>
      <c r="E75" s="14" t="n">
        <v>3118</v>
      </c>
      <c r="F75" s="14" t="n">
        <v>107</v>
      </c>
      <c r="G75" s="14" t="n">
        <v>64300</v>
      </c>
      <c r="H75" s="14" t="n">
        <v>61789</v>
      </c>
      <c r="I75" s="14" t="n">
        <v>4895</v>
      </c>
      <c r="J75" s="14" t="n">
        <v>1542</v>
      </c>
      <c r="K75" s="14" t="n">
        <v>37</v>
      </c>
      <c r="L75" s="14" t="n">
        <v>1317887</v>
      </c>
      <c r="M75" s="14" t="n">
        <v>15730</v>
      </c>
    </row>
    <row r="76" customFormat="false" ht="15.75" hidden="false" customHeight="false" outlineLevel="0" collapsed="false">
      <c r="A76" s="0" t="s">
        <v>18</v>
      </c>
      <c r="B76" s="1" t="n">
        <v>43936</v>
      </c>
      <c r="C76" s="14" t="n">
        <v>131359</v>
      </c>
      <c r="D76" s="14" t="n">
        <v>2152</v>
      </c>
      <c r="E76" s="14" t="n">
        <v>3294</v>
      </c>
      <c r="F76" s="14" t="n">
        <v>176</v>
      </c>
      <c r="G76" s="14" t="n">
        <v>68200</v>
      </c>
      <c r="H76" s="14" t="n">
        <v>59865</v>
      </c>
      <c r="I76" s="14" t="n">
        <v>4288</v>
      </c>
      <c r="J76" s="14" t="n">
        <v>1568</v>
      </c>
      <c r="K76" s="14" t="n">
        <v>39</v>
      </c>
      <c r="L76" s="14" t="n">
        <v>1317887</v>
      </c>
      <c r="M76" s="14" t="n">
        <v>15730</v>
      </c>
    </row>
    <row r="77" customFormat="false" ht="15.75" hidden="false" customHeight="false" outlineLevel="0" collapsed="false">
      <c r="A77" s="0" t="s">
        <v>18</v>
      </c>
      <c r="B77" s="1" t="n">
        <v>43937</v>
      </c>
      <c r="C77" s="14" t="n">
        <v>133456</v>
      </c>
      <c r="D77" s="14" t="n">
        <v>2097</v>
      </c>
      <c r="E77" s="14" t="n">
        <v>3592</v>
      </c>
      <c r="F77" s="14" t="n">
        <v>298</v>
      </c>
      <c r="G77" s="14" t="n">
        <v>72600</v>
      </c>
      <c r="H77" s="14" t="n">
        <v>57264</v>
      </c>
      <c r="I77" s="14" t="n">
        <v>4288</v>
      </c>
      <c r="J77" s="14" t="n">
        <v>1593</v>
      </c>
      <c r="K77" s="14" t="n">
        <v>43</v>
      </c>
      <c r="L77" s="14" t="n">
        <v>1728357</v>
      </c>
      <c r="M77" s="14" t="n">
        <v>20629</v>
      </c>
    </row>
    <row r="78" customFormat="false" ht="15.75" hidden="false" customHeight="false" outlineLevel="0" collapsed="false">
      <c r="A78" s="0" t="s">
        <v>18</v>
      </c>
      <c r="B78" s="1" t="n">
        <v>43938</v>
      </c>
      <c r="C78" s="14" t="n">
        <v>137698</v>
      </c>
      <c r="D78" s="14" t="n">
        <v>4242</v>
      </c>
      <c r="E78" s="14" t="n">
        <v>4052</v>
      </c>
      <c r="F78" s="14" t="n">
        <v>460</v>
      </c>
      <c r="G78" s="14" t="n">
        <v>77000</v>
      </c>
      <c r="H78" s="14" t="n">
        <v>56646</v>
      </c>
      <c r="I78" s="14" t="n">
        <v>4288</v>
      </c>
      <c r="J78" s="14" t="n">
        <v>1643</v>
      </c>
      <c r="K78" s="14" t="n">
        <v>48</v>
      </c>
      <c r="L78" s="14" t="n">
        <v>1728357</v>
      </c>
      <c r="M78" s="14" t="n">
        <v>20629</v>
      </c>
    </row>
    <row r="79" customFormat="false" ht="15.75" hidden="false" customHeight="false" outlineLevel="0" collapsed="false">
      <c r="A79" s="0" t="s">
        <v>18</v>
      </c>
      <c r="B79" s="1" t="n">
        <v>43939</v>
      </c>
      <c r="C79" s="14" t="n">
        <v>140886</v>
      </c>
      <c r="D79" s="14" t="n">
        <v>3188</v>
      </c>
      <c r="E79" s="14" t="n">
        <v>4326</v>
      </c>
      <c r="F79" s="14" t="n">
        <v>274</v>
      </c>
      <c r="G79" s="14" t="n">
        <v>83114</v>
      </c>
      <c r="H79" s="14" t="n">
        <v>53446</v>
      </c>
      <c r="I79" s="14" t="n">
        <v>5013</v>
      </c>
      <c r="J79" s="14" t="n">
        <v>1682</v>
      </c>
      <c r="K79" s="14" t="n">
        <v>52</v>
      </c>
      <c r="L79" s="14" t="n">
        <v>1728357</v>
      </c>
      <c r="M79" s="14" t="n">
        <v>20629</v>
      </c>
    </row>
    <row r="80" customFormat="false" ht="15.75" hidden="false" customHeight="false" outlineLevel="0" collapsed="false">
      <c r="A80" s="0" t="s">
        <v>18</v>
      </c>
      <c r="B80" s="1" t="n">
        <v>43940</v>
      </c>
      <c r="C80" s="14" t="n">
        <v>143342</v>
      </c>
      <c r="D80" s="14" t="n">
        <v>2456</v>
      </c>
      <c r="E80" s="14" t="n">
        <v>4459</v>
      </c>
      <c r="F80" s="14" t="n">
        <v>133</v>
      </c>
      <c r="G80" s="14" t="n">
        <v>85400</v>
      </c>
      <c r="H80" s="14" t="n">
        <v>53483</v>
      </c>
      <c r="I80" s="14" t="n">
        <v>2922</v>
      </c>
      <c r="J80" s="14" t="n">
        <v>1711</v>
      </c>
      <c r="K80" s="14" t="n">
        <v>53</v>
      </c>
      <c r="L80" s="14" t="n">
        <v>1728357</v>
      </c>
      <c r="M80" s="14" t="n">
        <v>20629</v>
      </c>
    </row>
    <row r="81" customFormat="false" ht="15.75" hidden="false" customHeight="false" outlineLevel="0" collapsed="false">
      <c r="A81" s="0" t="s">
        <v>18</v>
      </c>
      <c r="B81" s="1" t="n">
        <v>43941</v>
      </c>
      <c r="C81" s="14" t="n">
        <v>145184</v>
      </c>
      <c r="D81" s="14" t="n">
        <v>1842</v>
      </c>
      <c r="E81" s="14" t="n">
        <v>4586</v>
      </c>
      <c r="F81" s="14" t="n">
        <v>127</v>
      </c>
      <c r="G81" s="14" t="n">
        <v>88000</v>
      </c>
      <c r="H81" s="14" t="n">
        <v>52598</v>
      </c>
      <c r="I81" s="14" t="n">
        <v>2889</v>
      </c>
      <c r="J81" s="14" t="n">
        <v>1733</v>
      </c>
      <c r="K81" s="14" t="n">
        <v>55</v>
      </c>
      <c r="L81" s="14" t="n">
        <v>1728357</v>
      </c>
      <c r="M81" s="14" t="n">
        <v>20629</v>
      </c>
    </row>
    <row r="82" customFormat="false" ht="15.75" hidden="false" customHeight="false" outlineLevel="0" collapsed="false">
      <c r="A82" s="0" t="s">
        <v>18</v>
      </c>
      <c r="B82" s="1" t="n">
        <v>43942</v>
      </c>
      <c r="C82" s="6" t="n">
        <v>146653</v>
      </c>
      <c r="D82" s="6" t="n">
        <v>1469</v>
      </c>
      <c r="E82" s="6" t="n">
        <v>4706</v>
      </c>
      <c r="F82" s="6" t="n">
        <v>120</v>
      </c>
      <c r="G82" s="6" t="n">
        <v>91500</v>
      </c>
      <c r="H82" s="6" t="n">
        <v>50447</v>
      </c>
      <c r="I82" s="6" t="n">
        <v>2889</v>
      </c>
      <c r="J82" s="6" t="n">
        <v>1750</v>
      </c>
      <c r="K82" s="6" t="n">
        <v>56</v>
      </c>
      <c r="L82" s="6" t="n">
        <v>1728357</v>
      </c>
      <c r="M82" s="6" t="n">
        <v>20629</v>
      </c>
    </row>
    <row r="83" customFormat="false" ht="15.75" hidden="false" customHeight="false" outlineLevel="0" collapsed="false">
      <c r="A83" s="0" t="s">
        <v>18</v>
      </c>
      <c r="B83" s="1" t="n">
        <v>43943</v>
      </c>
      <c r="C83" s="6" t="n">
        <v>148291</v>
      </c>
      <c r="D83" s="6" t="n">
        <v>1638</v>
      </c>
      <c r="E83" s="6" t="n">
        <v>5033</v>
      </c>
      <c r="F83" s="6" t="n">
        <v>327</v>
      </c>
      <c r="G83" s="6" t="n">
        <v>95200</v>
      </c>
      <c r="H83" s="6" t="n">
        <v>48058</v>
      </c>
      <c r="I83" s="6" t="n">
        <v>2889</v>
      </c>
      <c r="J83" s="6" t="n">
        <v>1770</v>
      </c>
      <c r="K83" s="6" t="n">
        <v>60</v>
      </c>
      <c r="L83" s="6" t="n">
        <v>1728357</v>
      </c>
      <c r="M83" s="6" t="n">
        <v>20629</v>
      </c>
    </row>
    <row r="84" customFormat="false" ht="15.75" hidden="false" customHeight="false" outlineLevel="0" collapsed="false">
      <c r="A84" s="0" t="s">
        <v>18</v>
      </c>
      <c r="B84" s="1" t="n">
        <v>43944</v>
      </c>
      <c r="C84" s="6" t="n">
        <v>150062</v>
      </c>
      <c r="D84" s="6" t="n">
        <v>1771</v>
      </c>
      <c r="E84" s="6" t="n">
        <v>5250</v>
      </c>
      <c r="F84" s="6" t="n">
        <v>217</v>
      </c>
      <c r="G84" s="6" t="n">
        <v>99400</v>
      </c>
      <c r="H84" s="6" t="n">
        <v>45412</v>
      </c>
      <c r="I84" s="6" t="n">
        <v>2908</v>
      </c>
      <c r="J84" s="6" t="n">
        <v>1791</v>
      </c>
      <c r="K84" s="6" t="n">
        <v>63</v>
      </c>
      <c r="L84" s="6" t="n">
        <v>2072669</v>
      </c>
      <c r="M84" s="6" t="n">
        <v>24738</v>
      </c>
    </row>
    <row r="85" customFormat="false" ht="15.75" hidden="false" customHeight="false" outlineLevel="0" collapsed="false">
      <c r="A85" s="0" t="s">
        <v>18</v>
      </c>
      <c r="B85" s="1" t="n">
        <v>43945</v>
      </c>
      <c r="C85" s="6" t="n">
        <v>151784</v>
      </c>
      <c r="D85" s="6" t="n">
        <v>1722</v>
      </c>
      <c r="E85" s="6" t="n">
        <v>5404</v>
      </c>
      <c r="F85" s="6" t="n">
        <v>154</v>
      </c>
      <c r="G85" s="6" t="n">
        <v>103300</v>
      </c>
      <c r="H85" s="6" t="n">
        <v>43080</v>
      </c>
      <c r="I85" s="6" t="n">
        <v>2908</v>
      </c>
      <c r="J85" s="6" t="n">
        <v>1812</v>
      </c>
      <c r="K85" s="6" t="n">
        <v>64</v>
      </c>
      <c r="L85" s="6" t="n">
        <v>2072669</v>
      </c>
      <c r="M85" s="6" t="n">
        <v>24738</v>
      </c>
    </row>
    <row r="86" customFormat="false" ht="15.75" hidden="false" customHeight="false" outlineLevel="0" collapsed="false">
      <c r="A86" s="0" t="s">
        <v>18</v>
      </c>
      <c r="B86" s="1" t="n">
        <v>43946</v>
      </c>
      <c r="C86" s="6" t="n">
        <v>154545</v>
      </c>
      <c r="D86" s="6" t="n">
        <v>2761</v>
      </c>
      <c r="E86" s="6" t="n">
        <v>5723</v>
      </c>
      <c r="F86" s="6" t="n">
        <v>319</v>
      </c>
      <c r="G86" s="6" t="n">
        <v>106800</v>
      </c>
      <c r="H86" s="6" t="n">
        <v>42022</v>
      </c>
      <c r="I86" s="6" t="n">
        <v>2908</v>
      </c>
      <c r="J86" s="6" t="n">
        <v>1845</v>
      </c>
      <c r="K86" s="6" t="n">
        <v>68</v>
      </c>
      <c r="L86" s="6" t="n">
        <v>2072669</v>
      </c>
      <c r="M86" s="6" t="n">
        <v>24738</v>
      </c>
    </row>
    <row r="87" customFormat="false" ht="15.75" hidden="false" customHeight="false" outlineLevel="0" collapsed="false">
      <c r="A87" s="0" t="s">
        <v>18</v>
      </c>
      <c r="B87" s="1" t="n">
        <v>43947</v>
      </c>
      <c r="C87" s="6" t="n">
        <v>156126</v>
      </c>
      <c r="D87" s="6" t="n">
        <v>1581</v>
      </c>
      <c r="E87" s="6" t="n">
        <v>5846</v>
      </c>
      <c r="F87" s="6" t="n">
        <v>123</v>
      </c>
      <c r="G87" s="6" t="n">
        <v>109800</v>
      </c>
      <c r="H87" s="6" t="n">
        <v>40480</v>
      </c>
      <c r="I87" s="6" t="n">
        <v>2908</v>
      </c>
      <c r="J87" s="6" t="n">
        <v>1863</v>
      </c>
      <c r="K87" s="6" t="n">
        <v>70</v>
      </c>
      <c r="L87" s="6" t="n">
        <v>2072669</v>
      </c>
      <c r="M87" s="6" t="n">
        <v>24738</v>
      </c>
    </row>
    <row r="88" customFormat="false" ht="15.75" hidden="false" customHeight="false" outlineLevel="0" collapsed="false">
      <c r="A88" s="0" t="s">
        <v>18</v>
      </c>
      <c r="B88" s="1" t="n">
        <v>43948</v>
      </c>
      <c r="C88" s="6" t="n">
        <v>157495</v>
      </c>
      <c r="D88" s="6" t="n">
        <v>1369</v>
      </c>
      <c r="E88" s="6" t="n">
        <v>5944</v>
      </c>
      <c r="F88" s="6" t="n">
        <v>98</v>
      </c>
      <c r="G88" s="6" t="n">
        <v>112000</v>
      </c>
      <c r="H88" s="6" t="n">
        <v>39551</v>
      </c>
      <c r="I88" s="6" t="n">
        <v>2570</v>
      </c>
      <c r="J88" s="6" t="n">
        <v>1880</v>
      </c>
      <c r="K88" s="6" t="n">
        <v>71</v>
      </c>
      <c r="L88" s="6" t="n">
        <v>2072669</v>
      </c>
      <c r="M88" s="6" t="n">
        <v>24738</v>
      </c>
    </row>
    <row r="89" customFormat="false" ht="15.75" hidden="false" customHeight="false" outlineLevel="0" collapsed="false">
      <c r="A89" s="0" t="s">
        <v>18</v>
      </c>
      <c r="B89" s="1" t="n">
        <v>43949</v>
      </c>
      <c r="C89" s="6" t="n">
        <v>158389</v>
      </c>
      <c r="D89" s="6" t="n">
        <v>894</v>
      </c>
      <c r="E89" s="6" t="n">
        <v>6050</v>
      </c>
      <c r="F89" s="6" t="n">
        <v>106</v>
      </c>
      <c r="G89" s="6" t="n">
        <v>114500</v>
      </c>
      <c r="H89" s="6" t="n">
        <v>37839</v>
      </c>
      <c r="I89" s="6" t="n">
        <v>2570</v>
      </c>
      <c r="J89" s="6" t="n">
        <v>1890</v>
      </c>
      <c r="K89" s="6" t="n">
        <v>72</v>
      </c>
      <c r="L89" s="6" t="n">
        <v>2072669</v>
      </c>
      <c r="M89" s="6" t="n">
        <v>24738</v>
      </c>
    </row>
    <row r="90" customFormat="false" ht="15.75" hidden="false" customHeight="false" outlineLevel="0" collapsed="false">
      <c r="A90" s="0" t="s">
        <v>18</v>
      </c>
      <c r="B90" s="1" t="n">
        <v>43950</v>
      </c>
      <c r="C90" s="6" t="n">
        <v>159431</v>
      </c>
      <c r="D90" s="6" t="n">
        <v>1042</v>
      </c>
      <c r="E90" s="6" t="n">
        <v>6215</v>
      </c>
      <c r="F90" s="6" t="n">
        <v>165</v>
      </c>
      <c r="G90" s="6" t="n">
        <v>117400</v>
      </c>
      <c r="H90" s="6" t="n">
        <v>35816</v>
      </c>
      <c r="I90" s="6" t="n">
        <v>2409</v>
      </c>
      <c r="J90" s="6" t="n">
        <v>1903</v>
      </c>
      <c r="K90" s="6" t="n">
        <v>74</v>
      </c>
      <c r="L90" s="6" t="n">
        <v>2072669</v>
      </c>
      <c r="M90" s="6" t="n">
        <v>24738</v>
      </c>
    </row>
    <row r="91" customFormat="false" ht="15.75" hidden="false" customHeight="false" outlineLevel="0" collapsed="false">
      <c r="A91" s="0" t="s">
        <v>18</v>
      </c>
      <c r="B91" s="1" t="n">
        <v>43951</v>
      </c>
      <c r="C91" s="6" t="n">
        <v>161197</v>
      </c>
      <c r="D91" s="6" t="n">
        <v>1766</v>
      </c>
      <c r="E91" s="6" t="n">
        <v>6405</v>
      </c>
      <c r="F91" s="6" t="n">
        <v>190</v>
      </c>
      <c r="G91" s="6" t="n">
        <v>120400</v>
      </c>
      <c r="H91" s="6" t="n">
        <v>34392</v>
      </c>
      <c r="I91" s="6" t="n">
        <v>2415</v>
      </c>
      <c r="J91" s="6" t="n">
        <v>1924</v>
      </c>
      <c r="K91" s="6" t="n">
        <v>76</v>
      </c>
      <c r="L91" s="6" t="n">
        <v>2547052</v>
      </c>
      <c r="M91" s="6" t="n">
        <v>30400</v>
      </c>
    </row>
    <row r="92" customFormat="false" ht="15.75" hidden="false" customHeight="false" outlineLevel="0" collapsed="false">
      <c r="A92" s="0" t="s">
        <v>18</v>
      </c>
      <c r="B92" s="1" t="n">
        <v>43952</v>
      </c>
      <c r="C92" s="6" t="n">
        <v>162530</v>
      </c>
      <c r="D92" s="6" t="n">
        <v>1333</v>
      </c>
      <c r="E92" s="6" t="n">
        <v>6572</v>
      </c>
      <c r="F92" s="6" t="n">
        <v>167</v>
      </c>
      <c r="G92" s="6" t="n">
        <v>123500</v>
      </c>
      <c r="H92" s="6" t="n">
        <v>32458</v>
      </c>
      <c r="I92" s="6" t="n">
        <v>2415</v>
      </c>
      <c r="J92" s="6" t="n">
        <v>1940</v>
      </c>
      <c r="K92" s="6" t="n">
        <v>78</v>
      </c>
      <c r="L92" s="6" t="n">
        <v>2547052</v>
      </c>
      <c r="M92" s="6" t="n">
        <v>30400</v>
      </c>
    </row>
    <row r="93" customFormat="false" ht="15.75" hidden="false" customHeight="false" outlineLevel="0" collapsed="false">
      <c r="A93" s="0" t="s">
        <v>18</v>
      </c>
      <c r="B93" s="1" t="n">
        <v>43953</v>
      </c>
      <c r="C93" s="6" t="n">
        <v>164077</v>
      </c>
      <c r="D93" s="6" t="n">
        <v>1547</v>
      </c>
      <c r="E93" s="6" t="n">
        <v>6736</v>
      </c>
      <c r="F93" s="6" t="n">
        <v>164</v>
      </c>
      <c r="G93" s="6" t="n">
        <v>126900</v>
      </c>
      <c r="H93" s="6" t="n">
        <v>30441</v>
      </c>
      <c r="I93" s="6" t="n">
        <v>2189</v>
      </c>
      <c r="J93" s="6" t="n">
        <v>1958</v>
      </c>
      <c r="K93" s="6" t="n">
        <v>80</v>
      </c>
      <c r="L93" s="6" t="n">
        <v>2547052</v>
      </c>
      <c r="M93" s="6" t="n">
        <v>30400</v>
      </c>
    </row>
    <row r="94" customFormat="false" ht="15.75" hidden="false" customHeight="false" outlineLevel="0" collapsed="false">
      <c r="A94" s="0" t="s">
        <v>18</v>
      </c>
      <c r="B94" s="1" t="n">
        <v>43954</v>
      </c>
      <c r="C94" s="6" t="n">
        <v>164967</v>
      </c>
      <c r="D94" s="6" t="n">
        <v>890</v>
      </c>
      <c r="E94" s="6" t="n">
        <v>6812</v>
      </c>
      <c r="F94" s="6" t="n">
        <v>76</v>
      </c>
      <c r="G94" s="6" t="n">
        <v>129000</v>
      </c>
      <c r="H94" s="6" t="n">
        <v>29155</v>
      </c>
      <c r="I94" s="6" t="n">
        <v>2105</v>
      </c>
      <c r="J94" s="6" t="n">
        <v>1969</v>
      </c>
      <c r="K94" s="6" t="n">
        <v>81</v>
      </c>
      <c r="L94" s="6" t="n">
        <v>2547052</v>
      </c>
      <c r="M94" s="6" t="n">
        <v>30400</v>
      </c>
    </row>
    <row r="95" customFormat="false" ht="15.75" hidden="false" customHeight="false" outlineLevel="0" collapsed="false">
      <c r="A95" s="0" t="s">
        <v>18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18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18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18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18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18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18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18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18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18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18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18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18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18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18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18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18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18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18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18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18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18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18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18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18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18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18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18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18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18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18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18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18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18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18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18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18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18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18</v>
      </c>
      <c r="B133" s="1" t="n">
        <v>43993</v>
      </c>
      <c r="C133" s="6" t="n">
        <v>186795</v>
      </c>
      <c r="D133" s="6" t="e">
        <f aca="false">C133-C132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18</v>
      </c>
      <c r="B134" s="1" t="n">
        <v>43994</v>
      </c>
      <c r="C134" s="6" t="n">
        <v>186795</v>
      </c>
      <c r="D134" s="6" t="n">
        <v>0</v>
      </c>
      <c r="E134" s="6" t="n">
        <v>8851</v>
      </c>
      <c r="F134" s="6" t="n">
        <v>7</v>
      </c>
      <c r="G134" s="6" t="n">
        <v>171200</v>
      </c>
      <c r="H134" s="6" t="n">
        <v>6744</v>
      </c>
      <c r="I134" s="6" t="n">
        <v>462</v>
      </c>
      <c r="J134" s="6" t="n">
        <v>2230</v>
      </c>
      <c r="K134" s="6" t="n">
        <v>106</v>
      </c>
      <c r="L134" s="6" t="n">
        <v>4694147</v>
      </c>
      <c r="M134" s="6" t="n">
        <v>56036</v>
      </c>
    </row>
    <row r="135" customFormat="false" ht="15.75" hidden="false" customHeight="false" outlineLevel="0" collapsed="false">
      <c r="A135" s="0" t="s">
        <v>18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18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18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18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18</v>
      </c>
      <c r="B139" s="1" t="n">
        <v>43999</v>
      </c>
      <c r="C139" s="6" t="e">
        <f aca="false">#REF!</f>
        <v>#REF!</v>
      </c>
      <c r="D139" s="6" t="e">
        <f aca="false">C139-C138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18</v>
      </c>
      <c r="B140" s="1" t="n">
        <v>44000</v>
      </c>
      <c r="C140" s="6" t="n">
        <v>189504</v>
      </c>
      <c r="D140" s="6" t="e">
        <f aca="false">C140-C139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18</v>
      </c>
      <c r="B141" s="1" t="n">
        <v>44001</v>
      </c>
      <c r="C141" s="6" t="n">
        <v>190050</v>
      </c>
      <c r="D141" s="6" t="n">
        <f aca="false">C141-C140</f>
        <v>546</v>
      </c>
      <c r="E141" s="6" t="n">
        <v>8944</v>
      </c>
      <c r="F141" s="6" t="n">
        <v>17</v>
      </c>
      <c r="G141" s="6" t="n">
        <v>174100</v>
      </c>
      <c r="H141" s="6" t="n">
        <v>7006</v>
      </c>
      <c r="I141" s="6" t="n">
        <v>396</v>
      </c>
      <c r="J141" s="6" t="n">
        <v>2269</v>
      </c>
      <c r="K141" s="6" t="n">
        <v>107</v>
      </c>
      <c r="L141" s="6" t="n">
        <v>5029696</v>
      </c>
      <c r="M141" s="6" t="n">
        <v>60038</v>
      </c>
    </row>
    <row r="142" customFormat="false" ht="15.75" hidden="false" customHeight="false" outlineLevel="0" collapsed="false">
      <c r="A142" s="0" t="s">
        <v>18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18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18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18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18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18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18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18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18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18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18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18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18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18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18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18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18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18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18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18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18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18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18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18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18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18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18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18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18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18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18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18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18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18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18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18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18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18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18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18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18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18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18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18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18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18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4" colorId="64" zoomScale="100" zoomScaleNormal="100" zoomScalePageLayoutView="100" workbookViewId="0">
      <selection pane="topLeft" activeCell="O155" activeCellId="0" sqref="O155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19</v>
      </c>
      <c r="B2" s="1" t="n">
        <v>43862</v>
      </c>
      <c r="C2" s="6" t="n">
        <v>2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19</v>
      </c>
      <c r="B3" s="1" t="n">
        <v>43863</v>
      </c>
      <c r="C3" s="6" t="n">
        <v>2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19</v>
      </c>
      <c r="B4" s="1" t="n">
        <v>43864</v>
      </c>
      <c r="C4" s="6" t="n">
        <v>2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19</v>
      </c>
      <c r="B5" s="1" t="n">
        <v>43865</v>
      </c>
      <c r="C5" s="6" t="n">
        <v>2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19</v>
      </c>
      <c r="B6" s="1" t="n">
        <v>43866</v>
      </c>
      <c r="C6" s="6" t="n">
        <v>2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19</v>
      </c>
      <c r="B7" s="1" t="n">
        <v>43867</v>
      </c>
      <c r="C7" s="6" t="n">
        <v>2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19</v>
      </c>
      <c r="B8" s="1" t="n">
        <v>43868</v>
      </c>
      <c r="C8" s="6" t="n">
        <v>3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19</v>
      </c>
      <c r="B9" s="1" t="n">
        <v>43869</v>
      </c>
      <c r="C9" s="6" t="n">
        <v>3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19</v>
      </c>
      <c r="B10" s="1" t="n">
        <v>43870</v>
      </c>
      <c r="C10" s="6" t="n">
        <v>3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19</v>
      </c>
      <c r="B11" s="1" t="n">
        <v>43871</v>
      </c>
      <c r="C11" s="6" t="n">
        <v>4</v>
      </c>
      <c r="D11" s="6" t="n">
        <v>1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19</v>
      </c>
      <c r="B12" s="1" t="n">
        <v>43872</v>
      </c>
      <c r="C12" s="6" t="n">
        <v>8</v>
      </c>
      <c r="D12" s="6" t="n">
        <v>4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19</v>
      </c>
      <c r="B13" s="1" t="n">
        <v>43873</v>
      </c>
      <c r="C13" s="6" t="n">
        <v>8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19</v>
      </c>
      <c r="B14" s="1" t="n">
        <v>43874</v>
      </c>
      <c r="C14" s="6" t="n">
        <v>9</v>
      </c>
      <c r="D14" s="6" t="n">
        <v>1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19</v>
      </c>
      <c r="B15" s="1" t="n">
        <v>43875</v>
      </c>
      <c r="C15" s="6" t="n">
        <v>9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19</v>
      </c>
      <c r="B16" s="1" t="n">
        <v>43876</v>
      </c>
      <c r="C16" s="6" t="n">
        <v>9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19</v>
      </c>
      <c r="B17" s="1" t="n">
        <v>43877</v>
      </c>
      <c r="C17" s="6" t="n">
        <v>9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19</v>
      </c>
      <c r="B18" s="1" t="n">
        <v>43878</v>
      </c>
      <c r="C18" s="6" t="n">
        <v>9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19</v>
      </c>
      <c r="B19" s="1" t="n">
        <v>43879</v>
      </c>
      <c r="C19" s="6" t="n">
        <v>9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19</v>
      </c>
      <c r="B20" s="1" t="n">
        <v>43880</v>
      </c>
      <c r="C20" s="6" t="n">
        <v>9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19</v>
      </c>
      <c r="B21" s="1" t="n">
        <v>43881</v>
      </c>
      <c r="C21" s="6" t="n">
        <v>9</v>
      </c>
      <c r="D21" s="6" t="n">
        <v>0</v>
      </c>
      <c r="E21" s="6" t="n">
        <v>0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19</v>
      </c>
      <c r="B22" s="1" t="n">
        <v>43882</v>
      </c>
      <c r="C22" s="6" t="n">
        <v>9</v>
      </c>
      <c r="D22" s="6" t="n">
        <v>0</v>
      </c>
      <c r="E22" s="6" t="n">
        <v>0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19</v>
      </c>
      <c r="B23" s="1" t="n">
        <v>43883</v>
      </c>
      <c r="C23" s="6" t="n">
        <v>9</v>
      </c>
      <c r="D23" s="6" t="n">
        <v>0</v>
      </c>
      <c r="E23" s="6" t="n">
        <v>0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19</v>
      </c>
      <c r="B24" s="1" t="n">
        <v>43884</v>
      </c>
      <c r="C24" s="6" t="n">
        <v>9</v>
      </c>
      <c r="D24" s="6" t="n">
        <v>0</v>
      </c>
      <c r="E24" s="6" t="n">
        <v>0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19</v>
      </c>
      <c r="B25" s="1" t="n">
        <v>43885</v>
      </c>
      <c r="C25" s="6" t="n">
        <v>9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19</v>
      </c>
      <c r="B26" s="1" t="n">
        <v>43886</v>
      </c>
      <c r="C26" s="6" t="n">
        <v>13</v>
      </c>
      <c r="D26" s="6" t="n">
        <v>4</v>
      </c>
      <c r="E26" s="6" t="n">
        <v>0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19</v>
      </c>
      <c r="B27" s="1" t="n">
        <v>43887</v>
      </c>
      <c r="C27" s="6" t="n">
        <v>13</v>
      </c>
      <c r="D27" s="6" t="n">
        <v>0</v>
      </c>
      <c r="E27" s="6" t="n">
        <v>0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19</v>
      </c>
      <c r="B28" s="1" t="n">
        <v>43888</v>
      </c>
      <c r="C28" s="6" t="n">
        <v>13</v>
      </c>
      <c r="D28" s="6" t="n">
        <v>0</v>
      </c>
      <c r="E28" s="6" t="n">
        <v>0</v>
      </c>
      <c r="F28" s="6" t="n">
        <v>0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19</v>
      </c>
      <c r="B29" s="1" t="n">
        <v>43889</v>
      </c>
      <c r="C29" s="6" t="n">
        <v>16</v>
      </c>
      <c r="D29" s="6" t="n">
        <v>3</v>
      </c>
      <c r="E29" s="6" t="n">
        <v>0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19</v>
      </c>
      <c r="B30" s="1" t="n">
        <v>43890</v>
      </c>
      <c r="C30" s="6" t="n">
        <v>20</v>
      </c>
      <c r="D30" s="6" t="n">
        <v>4</v>
      </c>
      <c r="E30" s="6" t="n">
        <v>0</v>
      </c>
      <c r="F30" s="6" t="n">
        <v>0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19</v>
      </c>
      <c r="B31" s="1" t="n">
        <v>43891</v>
      </c>
      <c r="C31" s="6" t="n">
        <v>23</v>
      </c>
      <c r="D31" s="6" t="n">
        <v>3</v>
      </c>
      <c r="E31" s="6" t="n">
        <v>0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19</v>
      </c>
      <c r="B32" s="1" t="n">
        <v>43892</v>
      </c>
      <c r="C32" s="6" t="n">
        <v>36</v>
      </c>
      <c r="D32" s="6" t="n">
        <v>13</v>
      </c>
      <c r="E32" s="6" t="n">
        <v>0</v>
      </c>
      <c r="F32" s="6" t="n">
        <v>0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19</v>
      </c>
      <c r="B33" s="1" t="n">
        <v>43893</v>
      </c>
      <c r="C33" s="6" t="n">
        <v>39</v>
      </c>
      <c r="D33" s="6" t="n">
        <v>3</v>
      </c>
      <c r="E33" s="6" t="n">
        <v>0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19</v>
      </c>
      <c r="B34" s="1" t="n">
        <v>43894</v>
      </c>
      <c r="C34" s="6" t="n">
        <v>51</v>
      </c>
      <c r="D34" s="6" t="n">
        <v>12</v>
      </c>
      <c r="E34" s="6" t="n">
        <v>0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19</v>
      </c>
      <c r="B35" s="1" t="n">
        <v>43895</v>
      </c>
      <c r="C35" s="6" t="n">
        <v>89</v>
      </c>
      <c r="D35" s="6" t="n">
        <v>38</v>
      </c>
      <c r="E35" s="6" t="n">
        <v>0</v>
      </c>
      <c r="F35" s="6" t="n">
        <v>0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19</v>
      </c>
      <c r="B36" s="1" t="n">
        <v>43896</v>
      </c>
      <c r="C36" s="6" t="n">
        <v>118</v>
      </c>
      <c r="D36" s="6" t="n">
        <v>29</v>
      </c>
      <c r="E36" s="6" t="n">
        <v>0</v>
      </c>
      <c r="F36" s="6" t="n">
        <v>0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19</v>
      </c>
      <c r="B37" s="1" t="n">
        <v>43897</v>
      </c>
      <c r="C37" s="8" t="n">
        <v>164</v>
      </c>
      <c r="D37" s="8" t="n">
        <v>46</v>
      </c>
      <c r="E37" s="8" t="n">
        <v>2</v>
      </c>
      <c r="F37" s="8" t="n">
        <v>2</v>
      </c>
      <c r="G37" s="8" t="n">
        <v>18</v>
      </c>
      <c r="H37" s="8" t="n">
        <v>144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19</v>
      </c>
      <c r="B38" s="1" t="n">
        <v>43898</v>
      </c>
      <c r="C38" s="6" t="n">
        <v>209</v>
      </c>
      <c r="D38" s="6" t="n">
        <v>45</v>
      </c>
      <c r="E38" s="6" t="n">
        <v>2</v>
      </c>
      <c r="F38" s="6" t="n">
        <v>0</v>
      </c>
      <c r="G38" s="6" t="n">
        <v>18</v>
      </c>
      <c r="H38" s="6" t="n">
        <v>189</v>
      </c>
      <c r="I38" s="6" t="n">
        <v>0</v>
      </c>
      <c r="J38" s="6" t="n">
        <v>3.1</v>
      </c>
      <c r="K38" s="6"/>
      <c r="L38" s="6"/>
      <c r="M38" s="6"/>
    </row>
    <row r="39" customFormat="false" ht="15.75" hidden="false" customHeight="false" outlineLevel="0" collapsed="false">
      <c r="A39" s="0" t="s">
        <v>19</v>
      </c>
      <c r="B39" s="1" t="n">
        <v>43899</v>
      </c>
      <c r="C39" s="6" t="n">
        <v>273</v>
      </c>
      <c r="D39" s="6" t="n">
        <v>64</v>
      </c>
      <c r="E39" s="6" t="n">
        <v>3</v>
      </c>
      <c r="F39" s="6" t="n">
        <v>1</v>
      </c>
      <c r="G39" s="6" t="n">
        <v>18</v>
      </c>
      <c r="H39" s="6" t="n">
        <v>252</v>
      </c>
      <c r="I39" s="6" t="n">
        <v>0</v>
      </c>
      <c r="J39" s="6" t="n">
        <v>4</v>
      </c>
      <c r="K39" s="6"/>
      <c r="L39" s="6"/>
      <c r="M39" s="6"/>
    </row>
    <row r="40" customFormat="false" ht="15.75" hidden="false" customHeight="false" outlineLevel="0" collapsed="false">
      <c r="A40" s="0" t="s">
        <v>19</v>
      </c>
      <c r="B40" s="1" t="n">
        <v>43900</v>
      </c>
      <c r="C40" s="6" t="n">
        <v>321</v>
      </c>
      <c r="D40" s="6" t="n">
        <v>48</v>
      </c>
      <c r="E40" s="6" t="n">
        <v>5</v>
      </c>
      <c r="F40" s="6" t="n">
        <v>2</v>
      </c>
      <c r="G40" s="6" t="n">
        <v>18</v>
      </c>
      <c r="H40" s="6" t="n">
        <v>298</v>
      </c>
      <c r="I40" s="6" t="n">
        <v>0</v>
      </c>
      <c r="J40" s="6" t="n">
        <v>4.7</v>
      </c>
      <c r="K40" s="6"/>
      <c r="L40" s="6"/>
      <c r="M40" s="6"/>
    </row>
    <row r="41" customFormat="false" ht="15.75" hidden="false" customHeight="false" outlineLevel="0" collapsed="false">
      <c r="A41" s="0" t="s">
        <v>19</v>
      </c>
      <c r="B41" s="1" t="n">
        <v>43901</v>
      </c>
      <c r="C41" s="6" t="n">
        <v>383</v>
      </c>
      <c r="D41" s="6" t="n">
        <v>62</v>
      </c>
      <c r="E41" s="6" t="n">
        <v>6</v>
      </c>
      <c r="F41" s="6" t="n">
        <v>1</v>
      </c>
      <c r="G41" s="6" t="n">
        <v>18</v>
      </c>
      <c r="H41" s="6" t="n">
        <v>359</v>
      </c>
      <c r="I41" s="6" t="n">
        <v>0</v>
      </c>
      <c r="J41" s="6" t="n">
        <v>5.6</v>
      </c>
      <c r="K41" s="6"/>
      <c r="L41" s="6"/>
      <c r="M41" s="6"/>
    </row>
    <row r="42" customFormat="false" ht="15.75" hidden="false" customHeight="false" outlineLevel="0" collapsed="false">
      <c r="A42" s="0" t="s">
        <v>19</v>
      </c>
      <c r="B42" s="1" t="n">
        <v>43902</v>
      </c>
      <c r="C42" s="6" t="n">
        <v>456</v>
      </c>
      <c r="D42" s="6" t="n">
        <v>73</v>
      </c>
      <c r="E42" s="6" t="n">
        <v>8</v>
      </c>
      <c r="F42" s="6" t="n">
        <v>2</v>
      </c>
      <c r="G42" s="6" t="n">
        <v>18</v>
      </c>
      <c r="H42" s="6" t="n">
        <v>430</v>
      </c>
      <c r="I42" s="6" t="n">
        <v>0</v>
      </c>
      <c r="J42" s="6" t="n">
        <v>6.7</v>
      </c>
      <c r="K42" s="6"/>
      <c r="L42" s="6"/>
      <c r="M42" s="6"/>
    </row>
    <row r="43" customFormat="false" ht="15.75" hidden="false" customHeight="false" outlineLevel="0" collapsed="false">
      <c r="A43" s="0" t="s">
        <v>19</v>
      </c>
      <c r="B43" s="1" t="n">
        <v>43903</v>
      </c>
      <c r="C43" s="6" t="n">
        <v>590</v>
      </c>
      <c r="D43" s="6" t="n">
        <v>134</v>
      </c>
      <c r="E43" s="6" t="n">
        <v>10</v>
      </c>
      <c r="F43" s="6" t="n">
        <v>2</v>
      </c>
      <c r="G43" s="6" t="n">
        <v>18</v>
      </c>
      <c r="H43" s="6" t="n">
        <v>562</v>
      </c>
      <c r="I43" s="6" t="n">
        <v>20</v>
      </c>
      <c r="J43" s="6" t="n">
        <v>8.7</v>
      </c>
      <c r="K43" s="6"/>
      <c r="L43" s="6"/>
      <c r="M43" s="6"/>
    </row>
    <row r="44" customFormat="false" ht="15.75" hidden="false" customHeight="false" outlineLevel="0" collapsed="false">
      <c r="A44" s="0" t="s">
        <v>19</v>
      </c>
      <c r="B44" s="1" t="n">
        <v>43904</v>
      </c>
      <c r="C44" s="6" t="n">
        <v>798</v>
      </c>
      <c r="D44" s="6" t="n">
        <v>208</v>
      </c>
      <c r="E44" s="6" t="n">
        <v>11</v>
      </c>
      <c r="F44" s="6" t="n">
        <v>1</v>
      </c>
      <c r="G44" s="6" t="n">
        <v>18</v>
      </c>
      <c r="H44" s="6" t="n">
        <v>769</v>
      </c>
      <c r="I44" s="6" t="n">
        <v>20</v>
      </c>
      <c r="J44" s="6" t="n">
        <v>11.8</v>
      </c>
      <c r="K44" s="6"/>
      <c r="L44" s="6"/>
      <c r="M44" s="6"/>
    </row>
    <row r="45" customFormat="false" ht="15.75" hidden="false" customHeight="false" outlineLevel="0" collapsed="false">
      <c r="A45" s="0" t="s">
        <v>19</v>
      </c>
      <c r="B45" s="1" t="n">
        <v>43905</v>
      </c>
      <c r="C45" s="6" t="n">
        <v>1140</v>
      </c>
      <c r="D45" s="6" t="n">
        <v>342</v>
      </c>
      <c r="E45" s="6" t="n">
        <v>21</v>
      </c>
      <c r="F45" s="6" t="n">
        <v>10</v>
      </c>
      <c r="G45" s="6" t="n">
        <v>18</v>
      </c>
      <c r="H45" s="6" t="n">
        <v>1101</v>
      </c>
      <c r="I45" s="6" t="n">
        <v>20</v>
      </c>
      <c r="J45" s="6" t="n">
        <v>16.8</v>
      </c>
      <c r="K45" s="6"/>
      <c r="L45" s="6"/>
      <c r="M45" s="6"/>
    </row>
    <row r="46" customFormat="false" ht="15.75" hidden="false" customHeight="false" outlineLevel="0" collapsed="false">
      <c r="A46" s="0" t="s">
        <v>19</v>
      </c>
      <c r="B46" s="1" t="n">
        <v>43906</v>
      </c>
      <c r="C46" s="6" t="n">
        <v>1391</v>
      </c>
      <c r="D46" s="6" t="n">
        <v>251</v>
      </c>
      <c r="E46" s="6" t="n">
        <v>35</v>
      </c>
      <c r="F46" s="6" t="n">
        <v>14</v>
      </c>
      <c r="G46" s="6" t="n">
        <v>20</v>
      </c>
      <c r="H46" s="6" t="n">
        <v>1336</v>
      </c>
      <c r="I46" s="6" t="n">
        <v>20</v>
      </c>
      <c r="J46" s="6" t="n">
        <v>20.5</v>
      </c>
      <c r="K46" s="6"/>
      <c r="L46" s="6"/>
      <c r="M46" s="6"/>
    </row>
    <row r="47" customFormat="false" ht="15.75" hidden="false" customHeight="false" outlineLevel="0" collapsed="false">
      <c r="A47" s="0" t="s">
        <v>19</v>
      </c>
      <c r="B47" s="1" t="n">
        <v>43907</v>
      </c>
      <c r="C47" s="6" t="n">
        <v>1543</v>
      </c>
      <c r="D47" s="6" t="n">
        <v>152</v>
      </c>
      <c r="E47" s="6" t="n">
        <v>55</v>
      </c>
      <c r="F47" s="6" t="n">
        <v>20</v>
      </c>
      <c r="G47" s="6" t="n">
        <v>52</v>
      </c>
      <c r="H47" s="6" t="n">
        <v>1436</v>
      </c>
      <c r="I47" s="6" t="n">
        <v>20</v>
      </c>
      <c r="J47" s="6" t="n">
        <v>22.7</v>
      </c>
      <c r="K47" s="6"/>
      <c r="L47" s="6"/>
      <c r="M47" s="6"/>
    </row>
    <row r="48" customFormat="false" ht="15.75" hidden="false" customHeight="false" outlineLevel="0" collapsed="false">
      <c r="A48" s="0" t="s">
        <v>19</v>
      </c>
      <c r="B48" s="1" t="n">
        <v>43908</v>
      </c>
      <c r="C48" s="6" t="n">
        <v>1950</v>
      </c>
      <c r="D48" s="6" t="n">
        <v>407</v>
      </c>
      <c r="E48" s="6" t="n">
        <v>71</v>
      </c>
      <c r="F48" s="6" t="n">
        <v>16</v>
      </c>
      <c r="G48" s="6" t="n">
        <v>65</v>
      </c>
      <c r="H48" s="6" t="n">
        <v>1814</v>
      </c>
      <c r="I48" s="6" t="n">
        <v>20</v>
      </c>
      <c r="J48" s="6" t="n">
        <v>28.7</v>
      </c>
      <c r="K48" s="6"/>
      <c r="L48" s="6"/>
      <c r="M48" s="6"/>
    </row>
    <row r="49" customFormat="false" ht="15.75" hidden="false" customHeight="false" outlineLevel="0" collapsed="false">
      <c r="A49" s="0" t="s">
        <v>19</v>
      </c>
      <c r="B49" s="1" t="n">
        <v>43909</v>
      </c>
      <c r="C49" s="6" t="n">
        <v>2626</v>
      </c>
      <c r="D49" s="6" t="n">
        <v>676</v>
      </c>
      <c r="E49" s="6" t="n">
        <v>104</v>
      </c>
      <c r="F49" s="6" t="n">
        <v>33</v>
      </c>
      <c r="G49" s="6" t="n">
        <v>65</v>
      </c>
      <c r="H49" s="6" t="n">
        <v>2457</v>
      </c>
      <c r="I49" s="6" t="n">
        <v>20</v>
      </c>
      <c r="J49" s="6" t="n">
        <v>39</v>
      </c>
      <c r="K49" s="6"/>
      <c r="L49" s="6"/>
      <c r="M49" s="6"/>
    </row>
    <row r="50" customFormat="false" ht="15.75" hidden="false" customHeight="false" outlineLevel="0" collapsed="false">
      <c r="A50" s="0" t="s">
        <v>19</v>
      </c>
      <c r="B50" s="1" t="n">
        <v>43910</v>
      </c>
      <c r="C50" s="6" t="n">
        <v>3269</v>
      </c>
      <c r="D50" s="6" t="n">
        <v>643</v>
      </c>
      <c r="E50" s="6" t="n">
        <v>144</v>
      </c>
      <c r="F50" s="6" t="n">
        <v>40</v>
      </c>
      <c r="G50" s="6" t="n">
        <v>65</v>
      </c>
      <c r="H50" s="6" t="n">
        <v>3060</v>
      </c>
      <c r="I50" s="6" t="n">
        <v>20</v>
      </c>
      <c r="J50" s="6" t="n">
        <v>48</v>
      </c>
      <c r="K50" s="6"/>
      <c r="L50" s="6"/>
      <c r="M50" s="6"/>
    </row>
    <row r="51" customFormat="false" ht="15.75" hidden="false" customHeight="false" outlineLevel="0" collapsed="false">
      <c r="A51" s="0" t="s">
        <v>19</v>
      </c>
      <c r="B51" s="1" t="n">
        <v>43911</v>
      </c>
      <c r="C51" s="6" t="n">
        <v>3983</v>
      </c>
      <c r="D51" s="6" t="n">
        <v>714</v>
      </c>
      <c r="E51" s="6" t="n">
        <v>177</v>
      </c>
      <c r="F51" s="6" t="n">
        <v>33</v>
      </c>
      <c r="G51" s="6" t="n">
        <v>65</v>
      </c>
      <c r="H51" s="6" t="n">
        <v>3741</v>
      </c>
      <c r="I51" s="6" t="n">
        <v>20</v>
      </c>
      <c r="J51" s="6" t="n">
        <v>59</v>
      </c>
      <c r="K51" s="6"/>
      <c r="L51" s="6"/>
      <c r="M51" s="6"/>
    </row>
    <row r="52" customFormat="false" ht="15.75" hidden="false" customHeight="false" outlineLevel="0" collapsed="false">
      <c r="A52" s="0" t="s">
        <v>19</v>
      </c>
      <c r="B52" s="1" t="n">
        <v>43912</v>
      </c>
      <c r="C52" s="6" t="n">
        <v>5018</v>
      </c>
      <c r="D52" s="6" t="n">
        <v>1035</v>
      </c>
      <c r="E52" s="6" t="n">
        <v>233</v>
      </c>
      <c r="F52" s="6" t="n">
        <v>56</v>
      </c>
      <c r="G52" s="6" t="n">
        <v>93</v>
      </c>
      <c r="H52" s="6" t="n">
        <v>4692</v>
      </c>
      <c r="I52" s="6" t="n">
        <v>20</v>
      </c>
      <c r="J52" s="6" t="n">
        <v>74</v>
      </c>
      <c r="K52" s="6"/>
      <c r="L52" s="6"/>
      <c r="M52" s="6"/>
    </row>
    <row r="53" customFormat="false" ht="15.75" hidden="false" customHeight="false" outlineLevel="0" collapsed="false">
      <c r="A53" s="0" t="s">
        <v>19</v>
      </c>
      <c r="B53" s="1" t="n">
        <v>43913</v>
      </c>
      <c r="C53" s="6" t="n">
        <v>5683</v>
      </c>
      <c r="D53" s="6" t="n">
        <v>665</v>
      </c>
      <c r="E53" s="6" t="n">
        <v>281</v>
      </c>
      <c r="F53" s="6" t="n">
        <v>48</v>
      </c>
      <c r="G53" s="6" t="n">
        <v>93</v>
      </c>
      <c r="H53" s="6" t="n">
        <v>5309</v>
      </c>
      <c r="I53" s="6" t="n">
        <v>20</v>
      </c>
      <c r="J53" s="6" t="n">
        <v>84</v>
      </c>
      <c r="K53" s="6"/>
      <c r="L53" s="6"/>
      <c r="M53" s="6"/>
    </row>
    <row r="54" customFormat="false" ht="15.75" hidden="false" customHeight="false" outlineLevel="0" collapsed="false">
      <c r="A54" s="0" t="s">
        <v>19</v>
      </c>
      <c r="B54" s="1" t="n">
        <v>43914</v>
      </c>
      <c r="C54" s="6" t="n">
        <v>6650</v>
      </c>
      <c r="D54" s="6" t="n">
        <v>967</v>
      </c>
      <c r="E54" s="6" t="n">
        <v>335</v>
      </c>
      <c r="F54" s="6" t="n">
        <v>54</v>
      </c>
      <c r="G54" s="6" t="n">
        <v>135</v>
      </c>
      <c r="H54" s="6" t="n">
        <v>6180</v>
      </c>
      <c r="I54" s="6" t="n">
        <v>20</v>
      </c>
      <c r="J54" s="6" t="n">
        <v>98</v>
      </c>
      <c r="K54" s="6"/>
      <c r="L54" s="6"/>
      <c r="M54" s="6"/>
    </row>
    <row r="55" customFormat="false" ht="15.75" hidden="false" customHeight="false" outlineLevel="0" collapsed="false">
      <c r="A55" s="0" t="s">
        <v>19</v>
      </c>
      <c r="B55" s="1" t="n">
        <v>43915</v>
      </c>
      <c r="C55" s="7" t="n">
        <v>8077</v>
      </c>
      <c r="D55" s="7" t="n">
        <v>1427</v>
      </c>
      <c r="E55" s="7" t="n">
        <v>422</v>
      </c>
      <c r="F55" s="7" t="n">
        <v>87</v>
      </c>
      <c r="G55" s="7" t="n">
        <v>135</v>
      </c>
      <c r="H55" s="7" t="n">
        <v>7520</v>
      </c>
      <c r="I55" s="7" t="n">
        <v>20</v>
      </c>
      <c r="J55" s="7" t="n">
        <v>119</v>
      </c>
      <c r="K55" s="7" t="n">
        <v>6</v>
      </c>
      <c r="L55" s="7"/>
      <c r="M55" s="7"/>
    </row>
    <row r="56" customFormat="false" ht="15.75" hidden="false" customHeight="false" outlineLevel="0" collapsed="false">
      <c r="A56" s="0" t="s">
        <v>19</v>
      </c>
      <c r="B56" s="1" t="n">
        <v>43916</v>
      </c>
      <c r="C56" s="7" t="n">
        <v>9529</v>
      </c>
      <c r="D56" s="7" t="n">
        <v>1452</v>
      </c>
      <c r="E56" s="7" t="n">
        <v>465</v>
      </c>
      <c r="F56" s="7" t="n">
        <v>43</v>
      </c>
      <c r="G56" s="7" t="n">
        <v>135</v>
      </c>
      <c r="H56" s="7" t="n">
        <v>8929</v>
      </c>
      <c r="I56" s="7" t="n">
        <v>163</v>
      </c>
      <c r="J56" s="7" t="n">
        <v>140</v>
      </c>
      <c r="K56" s="7" t="n">
        <v>7</v>
      </c>
      <c r="L56" s="7"/>
      <c r="M56" s="7"/>
    </row>
    <row r="57" customFormat="false" ht="15.75" hidden="false" customHeight="false" outlineLevel="0" collapsed="false">
      <c r="A57" s="0" t="s">
        <v>19</v>
      </c>
      <c r="B57" s="1" t="n">
        <v>43917</v>
      </c>
      <c r="C57" s="7" t="n">
        <v>11658</v>
      </c>
      <c r="D57" s="7" t="n">
        <v>2129</v>
      </c>
      <c r="E57" s="7" t="n">
        <v>578</v>
      </c>
      <c r="F57" s="7" t="n">
        <v>113</v>
      </c>
      <c r="G57" s="7" t="n">
        <v>135</v>
      </c>
      <c r="H57" s="7" t="n">
        <v>10945</v>
      </c>
      <c r="I57" s="7" t="n">
        <v>163</v>
      </c>
      <c r="J57" s="7" t="n">
        <v>172</v>
      </c>
      <c r="K57" s="7" t="n">
        <v>9</v>
      </c>
      <c r="L57" s="7"/>
      <c r="M57" s="7"/>
    </row>
    <row r="58" customFormat="false" ht="15.75" hidden="false" customHeight="false" outlineLevel="0" collapsed="false">
      <c r="A58" s="0" t="s">
        <v>19</v>
      </c>
      <c r="B58" s="1" t="n">
        <v>43918</v>
      </c>
      <c r="C58" s="7" t="n">
        <v>14543</v>
      </c>
      <c r="D58" s="7" t="n">
        <v>2885</v>
      </c>
      <c r="E58" s="7" t="n">
        <v>759</v>
      </c>
      <c r="F58" s="7" t="n">
        <v>181</v>
      </c>
      <c r="G58" s="7" t="n">
        <v>135</v>
      </c>
      <c r="H58" s="7" t="n">
        <v>13649</v>
      </c>
      <c r="I58" s="7" t="n">
        <v>163</v>
      </c>
      <c r="J58" s="7" t="n">
        <v>214</v>
      </c>
      <c r="K58" s="7" t="n">
        <v>11</v>
      </c>
      <c r="L58" s="7"/>
      <c r="M58" s="7"/>
    </row>
    <row r="59" customFormat="false" ht="15.75" hidden="false" customHeight="false" outlineLevel="0" collapsed="false">
      <c r="A59" s="0" t="s">
        <v>19</v>
      </c>
      <c r="B59" s="1" t="n">
        <v>43919</v>
      </c>
      <c r="C59" s="7" t="n">
        <v>17089</v>
      </c>
      <c r="D59" s="7" t="n">
        <v>2546</v>
      </c>
      <c r="E59" s="7" t="n">
        <v>1019</v>
      </c>
      <c r="F59" s="7" t="n">
        <v>260</v>
      </c>
      <c r="G59" s="7" t="n">
        <v>135</v>
      </c>
      <c r="H59" s="7" t="n">
        <v>15935</v>
      </c>
      <c r="I59" s="7" t="n">
        <v>163</v>
      </c>
      <c r="J59" s="7" t="n">
        <v>252</v>
      </c>
      <c r="K59" s="7" t="n">
        <v>15</v>
      </c>
      <c r="L59" s="7"/>
      <c r="M59" s="7"/>
    </row>
    <row r="60" customFormat="false" ht="15.75" hidden="false" customHeight="false" outlineLevel="0" collapsed="false">
      <c r="A60" s="0" t="s">
        <v>19</v>
      </c>
      <c r="B60" s="1" t="n">
        <v>43920</v>
      </c>
      <c r="C60" s="7" t="n">
        <v>19522</v>
      </c>
      <c r="D60" s="7" t="n">
        <v>2433</v>
      </c>
      <c r="E60" s="7" t="n">
        <v>1228</v>
      </c>
      <c r="F60" s="7" t="n">
        <v>209</v>
      </c>
      <c r="G60" s="7" t="n">
        <v>135</v>
      </c>
      <c r="H60" s="7" t="n">
        <v>18159</v>
      </c>
      <c r="I60" s="7" t="n">
        <v>163</v>
      </c>
      <c r="J60" s="7" t="n">
        <v>288</v>
      </c>
      <c r="K60" s="7" t="n">
        <v>18</v>
      </c>
      <c r="L60" s="7"/>
      <c r="M60" s="7"/>
    </row>
    <row r="61" customFormat="false" ht="15.75" hidden="false" customHeight="false" outlineLevel="0" collapsed="false">
      <c r="A61" s="0" t="s">
        <v>19</v>
      </c>
      <c r="B61" s="1" t="n">
        <v>43921</v>
      </c>
      <c r="C61" s="7" t="n">
        <v>22141</v>
      </c>
      <c r="D61" s="7" t="n">
        <v>2619</v>
      </c>
      <c r="E61" s="7" t="n">
        <v>1408</v>
      </c>
      <c r="F61" s="7" t="n">
        <v>180</v>
      </c>
      <c r="G61" s="7" t="n">
        <v>135</v>
      </c>
      <c r="H61" s="7" t="n">
        <v>20598</v>
      </c>
      <c r="I61" s="7" t="n">
        <v>163</v>
      </c>
      <c r="J61" s="7" t="n">
        <v>326</v>
      </c>
      <c r="K61" s="7" t="n">
        <v>21</v>
      </c>
      <c r="L61" s="7"/>
      <c r="M61" s="7"/>
    </row>
    <row r="62" customFormat="false" ht="15.75" hidden="false" customHeight="false" outlineLevel="0" collapsed="false">
      <c r="A62" s="0" t="s">
        <v>19</v>
      </c>
      <c r="B62" s="1" t="n">
        <v>43922</v>
      </c>
      <c r="C62" s="7" t="n">
        <v>25150</v>
      </c>
      <c r="D62" s="7" t="n">
        <v>3009</v>
      </c>
      <c r="E62" s="7" t="n">
        <v>1789</v>
      </c>
      <c r="F62" s="7" t="n">
        <v>381</v>
      </c>
      <c r="G62" s="7" t="n">
        <v>135</v>
      </c>
      <c r="H62" s="7" t="n">
        <v>23226</v>
      </c>
      <c r="I62" s="7" t="n">
        <v>163</v>
      </c>
      <c r="J62" s="7" t="n">
        <v>370</v>
      </c>
      <c r="K62" s="7" t="n">
        <v>26</v>
      </c>
      <c r="L62" s="7"/>
      <c r="M62" s="7"/>
    </row>
    <row r="63" customFormat="false" ht="15.75" hidden="false" customHeight="false" outlineLevel="0" collapsed="false">
      <c r="A63" s="0" t="s">
        <v>19</v>
      </c>
      <c r="B63" s="1" t="n">
        <v>43923</v>
      </c>
      <c r="C63" s="7" t="n">
        <v>29474</v>
      </c>
      <c r="D63" s="7" t="n">
        <v>4324</v>
      </c>
      <c r="E63" s="7" t="n">
        <v>2352</v>
      </c>
      <c r="F63" s="7" t="n">
        <v>563</v>
      </c>
      <c r="G63" s="7" t="n">
        <v>135</v>
      </c>
      <c r="H63" s="7" t="n">
        <v>26987</v>
      </c>
      <c r="I63" s="7" t="n">
        <v>163</v>
      </c>
      <c r="J63" s="7" t="n">
        <v>434</v>
      </c>
      <c r="K63" s="7" t="n">
        <v>35</v>
      </c>
      <c r="L63" s="7"/>
      <c r="M63" s="7"/>
    </row>
    <row r="64" customFormat="false" ht="15.75" hidden="false" customHeight="false" outlineLevel="0" collapsed="false">
      <c r="A64" s="0" t="s">
        <v>19</v>
      </c>
      <c r="B64" s="1" t="n">
        <v>43924</v>
      </c>
      <c r="C64" s="7" t="n">
        <v>33718</v>
      </c>
      <c r="D64" s="7" t="n">
        <v>4244</v>
      </c>
      <c r="E64" s="7" t="n">
        <v>2921</v>
      </c>
      <c r="F64" s="7" t="n">
        <v>569</v>
      </c>
      <c r="G64" s="7" t="n">
        <v>135</v>
      </c>
      <c r="H64" s="7" t="n">
        <v>30662</v>
      </c>
      <c r="I64" s="7" t="n">
        <v>163</v>
      </c>
      <c r="J64" s="7" t="n">
        <v>497</v>
      </c>
      <c r="K64" s="7" t="n">
        <v>43</v>
      </c>
      <c r="L64" s="7"/>
      <c r="M64" s="7"/>
    </row>
    <row r="65" customFormat="false" ht="15.75" hidden="false" customHeight="false" outlineLevel="0" collapsed="false">
      <c r="A65" s="0" t="s">
        <v>19</v>
      </c>
      <c r="B65" s="1" t="n">
        <v>43925</v>
      </c>
      <c r="C65" s="7" t="n">
        <v>38168</v>
      </c>
      <c r="D65" s="7" t="n">
        <v>4450</v>
      </c>
      <c r="E65" s="7" t="n">
        <v>3605</v>
      </c>
      <c r="F65" s="7" t="n">
        <v>684</v>
      </c>
      <c r="G65" s="7" t="n">
        <v>135</v>
      </c>
      <c r="H65" s="7" t="n">
        <v>34428</v>
      </c>
      <c r="I65" s="7" t="n">
        <v>163</v>
      </c>
      <c r="J65" s="7" t="n">
        <v>562</v>
      </c>
      <c r="K65" s="7" t="n">
        <v>53</v>
      </c>
      <c r="L65" s="7"/>
      <c r="M65" s="7"/>
    </row>
    <row r="66" customFormat="false" ht="15.75" hidden="false" customHeight="false" outlineLevel="0" collapsed="false">
      <c r="A66" s="0" t="s">
        <v>19</v>
      </c>
      <c r="B66" s="1" t="n">
        <v>43926</v>
      </c>
      <c r="C66" s="7" t="n">
        <v>41903</v>
      </c>
      <c r="D66" s="7" t="n">
        <v>3735</v>
      </c>
      <c r="E66" s="7" t="n">
        <v>4313</v>
      </c>
      <c r="F66" s="7" t="n">
        <v>708</v>
      </c>
      <c r="G66" s="7" t="n">
        <v>135</v>
      </c>
      <c r="H66" s="7" t="n">
        <v>37455</v>
      </c>
      <c r="I66" s="7" t="n">
        <v>163</v>
      </c>
      <c r="J66" s="7" t="n">
        <v>617</v>
      </c>
      <c r="K66" s="7" t="n">
        <v>64</v>
      </c>
      <c r="L66" s="7" t="n">
        <v>183190</v>
      </c>
      <c r="M66" s="7" t="n">
        <v>2698</v>
      </c>
    </row>
    <row r="67" customFormat="false" ht="15.75" hidden="false" customHeight="false" outlineLevel="0" collapsed="false">
      <c r="A67" s="0" t="s">
        <v>19</v>
      </c>
      <c r="B67" s="1" t="n">
        <v>43927</v>
      </c>
      <c r="C67" s="7" t="n">
        <v>47806</v>
      </c>
      <c r="D67" s="7" t="n">
        <v>5903</v>
      </c>
      <c r="E67" s="7" t="n">
        <v>4934</v>
      </c>
      <c r="F67" s="7" t="n">
        <v>621</v>
      </c>
      <c r="G67" s="7" t="n">
        <v>135</v>
      </c>
      <c r="H67" s="7" t="n">
        <v>42737</v>
      </c>
      <c r="I67" s="7" t="n">
        <v>1559</v>
      </c>
      <c r="J67" s="7" t="n">
        <v>704</v>
      </c>
      <c r="K67" s="7" t="n">
        <v>73</v>
      </c>
      <c r="L67" s="7" t="n">
        <v>195524</v>
      </c>
      <c r="M67" s="7" t="n">
        <v>2880</v>
      </c>
    </row>
    <row r="68" customFormat="false" ht="15.75" hidden="false" customHeight="false" outlineLevel="0" collapsed="false">
      <c r="A68" s="0" t="s">
        <v>19</v>
      </c>
      <c r="B68" s="1" t="n">
        <v>43928</v>
      </c>
      <c r="C68" s="12" t="n">
        <v>51608</v>
      </c>
      <c r="D68" s="12" t="n">
        <v>3802</v>
      </c>
      <c r="E68" s="12" t="n">
        <v>5373</v>
      </c>
      <c r="F68" s="12" t="n">
        <v>439</v>
      </c>
      <c r="G68" s="12" t="n">
        <v>135</v>
      </c>
      <c r="H68" s="12" t="n">
        <v>46100</v>
      </c>
      <c r="I68" s="12" t="n">
        <v>1559</v>
      </c>
      <c r="J68" s="12" t="n">
        <v>760</v>
      </c>
      <c r="K68" s="12" t="n">
        <v>79</v>
      </c>
      <c r="L68" s="12" t="n">
        <v>252958</v>
      </c>
      <c r="M68" s="12" t="n">
        <v>3726</v>
      </c>
    </row>
    <row r="69" customFormat="false" ht="15.75" hidden="false" customHeight="false" outlineLevel="0" collapsed="false">
      <c r="A69" s="0" t="s">
        <v>19</v>
      </c>
      <c r="B69" s="1" t="n">
        <v>43929</v>
      </c>
      <c r="C69" s="14" t="n">
        <v>55242</v>
      </c>
      <c r="D69" s="14" t="n">
        <v>3634</v>
      </c>
      <c r="E69" s="14" t="n">
        <v>6159</v>
      </c>
      <c r="F69" s="14" t="n">
        <v>786</v>
      </c>
      <c r="G69" s="14" t="n">
        <v>135</v>
      </c>
      <c r="H69" s="14" t="n">
        <v>48948</v>
      </c>
      <c r="I69" s="14" t="n">
        <v>1559</v>
      </c>
      <c r="J69" s="14" t="n">
        <v>814</v>
      </c>
      <c r="K69" s="14" t="n">
        <v>91</v>
      </c>
      <c r="L69" s="14" t="n">
        <v>266694</v>
      </c>
      <c r="M69" s="14" t="n">
        <v>3929</v>
      </c>
    </row>
    <row r="70" customFormat="false" ht="15.75" hidden="false" customHeight="false" outlineLevel="0" collapsed="false">
      <c r="A70" s="0" t="s">
        <v>19</v>
      </c>
      <c r="B70" s="1" t="n">
        <v>43930</v>
      </c>
      <c r="C70" s="14" t="n">
        <v>60733</v>
      </c>
      <c r="D70" s="14" t="n">
        <v>5491</v>
      </c>
      <c r="E70" s="14" t="n">
        <v>7097</v>
      </c>
      <c r="F70" s="14" t="n">
        <v>938</v>
      </c>
      <c r="G70" s="14" t="n">
        <v>135</v>
      </c>
      <c r="H70" s="14" t="n">
        <v>53501</v>
      </c>
      <c r="I70" s="14" t="n">
        <v>1559</v>
      </c>
      <c r="J70" s="14" t="n">
        <v>895</v>
      </c>
      <c r="K70" s="14" t="n">
        <v>105</v>
      </c>
      <c r="L70" s="14" t="n">
        <v>282074</v>
      </c>
      <c r="M70" s="14" t="n">
        <v>4155</v>
      </c>
    </row>
    <row r="71" customFormat="false" ht="15.75" hidden="false" customHeight="false" outlineLevel="0" collapsed="false">
      <c r="A71" s="0" t="s">
        <v>19</v>
      </c>
      <c r="B71" s="1" t="n">
        <v>43931</v>
      </c>
      <c r="C71" s="14" t="n">
        <v>65077</v>
      </c>
      <c r="D71" s="14" t="n">
        <v>4344</v>
      </c>
      <c r="E71" s="14" t="n">
        <v>7978</v>
      </c>
      <c r="F71" s="14" t="n">
        <v>881</v>
      </c>
      <c r="G71" s="14" t="n">
        <v>135</v>
      </c>
      <c r="H71" s="14" t="n">
        <v>56964</v>
      </c>
      <c r="I71" s="14" t="n">
        <v>1559</v>
      </c>
      <c r="J71" s="14" t="n">
        <v>959</v>
      </c>
      <c r="K71" s="14" t="n">
        <v>118</v>
      </c>
      <c r="L71" s="14" t="n">
        <v>298169</v>
      </c>
      <c r="M71" s="14" t="n">
        <v>4392</v>
      </c>
    </row>
    <row r="72" customFormat="false" ht="15.75" hidden="false" customHeight="false" outlineLevel="0" collapsed="false">
      <c r="A72" s="0" t="s">
        <v>19</v>
      </c>
      <c r="B72" s="1" t="n">
        <v>43932</v>
      </c>
      <c r="C72" s="14" t="n">
        <v>73758</v>
      </c>
      <c r="D72" s="14" t="n">
        <v>8681</v>
      </c>
      <c r="E72" s="14" t="n">
        <v>8958</v>
      </c>
      <c r="F72" s="14" t="n">
        <v>980</v>
      </c>
      <c r="G72" s="14" t="n">
        <v>135</v>
      </c>
      <c r="H72" s="14" t="n">
        <v>64665</v>
      </c>
      <c r="I72" s="14" t="n">
        <v>1559</v>
      </c>
      <c r="J72" s="14" t="n">
        <v>1086</v>
      </c>
      <c r="K72" s="14" t="n">
        <v>132</v>
      </c>
      <c r="L72" s="14" t="n">
        <v>316836</v>
      </c>
      <c r="M72" s="14" t="n">
        <v>4667</v>
      </c>
    </row>
    <row r="73" customFormat="false" ht="15.75" hidden="false" customHeight="false" outlineLevel="0" collapsed="false">
      <c r="A73" s="0" t="s">
        <v>19</v>
      </c>
      <c r="B73" s="1" t="n">
        <v>43933</v>
      </c>
      <c r="C73" s="14" t="n">
        <v>78991</v>
      </c>
      <c r="D73" s="14" t="n">
        <v>5233</v>
      </c>
      <c r="E73" s="14" t="n">
        <v>9875</v>
      </c>
      <c r="F73" s="14" t="n">
        <v>917</v>
      </c>
      <c r="G73" s="14" t="n">
        <v>344</v>
      </c>
      <c r="H73" s="14" t="n">
        <v>68772</v>
      </c>
      <c r="I73" s="14" t="n">
        <v>1559</v>
      </c>
      <c r="J73" s="14" t="n">
        <v>1164</v>
      </c>
      <c r="K73" s="14" t="n">
        <v>145</v>
      </c>
      <c r="L73" s="14" t="n">
        <v>334974</v>
      </c>
      <c r="M73" s="14" t="n">
        <v>4934</v>
      </c>
    </row>
    <row r="74" customFormat="false" ht="15.75" hidden="false" customHeight="false" outlineLevel="0" collapsed="false">
      <c r="A74" s="0" t="s">
        <v>19</v>
      </c>
      <c r="B74" s="1" t="n">
        <v>43934</v>
      </c>
      <c r="C74" s="14" t="n">
        <v>84279</v>
      </c>
      <c r="D74" s="14" t="n">
        <v>5288</v>
      </c>
      <c r="E74" s="14" t="n">
        <v>10612</v>
      </c>
      <c r="F74" s="14" t="n">
        <v>737</v>
      </c>
      <c r="G74" s="14" t="n">
        <v>344</v>
      </c>
      <c r="H74" s="14" t="n">
        <v>73323</v>
      </c>
      <c r="I74" s="14" t="n">
        <v>1559</v>
      </c>
      <c r="J74" s="14" t="n">
        <v>1241</v>
      </c>
      <c r="K74" s="14" t="n">
        <v>156</v>
      </c>
      <c r="L74" s="14" t="n">
        <v>352974</v>
      </c>
      <c r="M74" s="14" t="n">
        <v>5200</v>
      </c>
    </row>
    <row r="75" customFormat="false" ht="15.75" hidden="false" customHeight="false" outlineLevel="0" collapsed="false">
      <c r="A75" s="0" t="s">
        <v>19</v>
      </c>
      <c r="B75" s="1" t="n">
        <v>43935</v>
      </c>
      <c r="C75" s="14" t="n">
        <v>88621</v>
      </c>
      <c r="D75" s="14" t="n">
        <v>4342</v>
      </c>
      <c r="E75" s="14" t="n">
        <v>11329</v>
      </c>
      <c r="F75" s="14" t="n">
        <v>717</v>
      </c>
      <c r="G75" s="14" t="s">
        <v>20</v>
      </c>
      <c r="H75" s="14" t="n">
        <v>76948</v>
      </c>
      <c r="I75" s="14" t="n">
        <v>1559</v>
      </c>
      <c r="J75" s="14" t="n">
        <v>1305</v>
      </c>
      <c r="K75" s="14" t="n">
        <v>167</v>
      </c>
      <c r="L75" s="14" t="n">
        <v>367667</v>
      </c>
      <c r="M75" s="14" t="n">
        <v>5416</v>
      </c>
    </row>
    <row r="76" customFormat="false" ht="15.75" hidden="false" customHeight="false" outlineLevel="0" collapsed="false">
      <c r="A76" s="0" t="s">
        <v>19</v>
      </c>
      <c r="B76" s="1" t="n">
        <v>43936</v>
      </c>
      <c r="C76" s="14" t="n">
        <v>93873</v>
      </c>
      <c r="D76" s="14" t="n">
        <v>5252</v>
      </c>
      <c r="E76" s="14" t="n">
        <v>12107</v>
      </c>
      <c r="F76" s="14" t="n">
        <v>778</v>
      </c>
      <c r="G76" s="14" t="s">
        <v>20</v>
      </c>
      <c r="H76" s="14" t="n">
        <v>81422</v>
      </c>
      <c r="I76" s="14" t="n">
        <v>1559</v>
      </c>
      <c r="J76" s="14" t="n">
        <v>1383</v>
      </c>
      <c r="K76" s="14" t="n">
        <v>178</v>
      </c>
      <c r="L76" s="14" t="n">
        <v>382650</v>
      </c>
      <c r="M76" s="14" t="n">
        <v>5637</v>
      </c>
    </row>
    <row r="77" customFormat="false" ht="15.75" hidden="false" customHeight="false" outlineLevel="0" collapsed="false">
      <c r="A77" s="0" t="s">
        <v>19</v>
      </c>
      <c r="B77" s="1" t="n">
        <v>43937</v>
      </c>
      <c r="C77" s="14" t="n">
        <v>98476</v>
      </c>
      <c r="D77" s="14" t="n">
        <v>4603</v>
      </c>
      <c r="E77" s="14" t="n">
        <v>12868</v>
      </c>
      <c r="F77" s="14" t="n">
        <v>761</v>
      </c>
      <c r="G77" s="14" t="s">
        <v>20</v>
      </c>
      <c r="H77" s="14" t="n">
        <v>85264</v>
      </c>
      <c r="I77" s="14" t="n">
        <v>1559</v>
      </c>
      <c r="J77" s="14" t="n">
        <v>1451</v>
      </c>
      <c r="K77" s="14" t="n">
        <v>190</v>
      </c>
      <c r="L77" s="14" t="n">
        <v>398916</v>
      </c>
      <c r="M77" s="14" t="n">
        <v>5876</v>
      </c>
    </row>
    <row r="78" customFormat="false" ht="15.75" hidden="false" customHeight="false" outlineLevel="0" collapsed="false">
      <c r="A78" s="0" t="s">
        <v>19</v>
      </c>
      <c r="B78" s="1" t="n">
        <v>43938</v>
      </c>
      <c r="C78" s="14" t="n">
        <v>103093</v>
      </c>
      <c r="D78" s="14" t="n">
        <v>4617</v>
      </c>
      <c r="E78" s="14" t="n">
        <v>13729</v>
      </c>
      <c r="F78" s="14" t="n">
        <v>861</v>
      </c>
      <c r="G78" s="14" t="s">
        <v>20</v>
      </c>
      <c r="H78" s="14" t="n">
        <v>89020</v>
      </c>
      <c r="I78" s="14" t="n">
        <v>1559</v>
      </c>
      <c r="J78" s="14" t="n">
        <v>1519</v>
      </c>
      <c r="K78" s="14" t="n">
        <v>202</v>
      </c>
      <c r="L78" s="14" t="n">
        <v>417649</v>
      </c>
      <c r="M78" s="14" t="n">
        <v>6152</v>
      </c>
    </row>
    <row r="79" customFormat="false" ht="15.75" hidden="false" customHeight="false" outlineLevel="0" collapsed="false">
      <c r="A79" s="0" t="s">
        <v>19</v>
      </c>
      <c r="B79" s="1" t="n">
        <v>43939</v>
      </c>
      <c r="C79" s="14" t="n">
        <v>108692</v>
      </c>
      <c r="D79" s="14" t="n">
        <v>5599</v>
      </c>
      <c r="E79" s="14" t="n">
        <v>14576</v>
      </c>
      <c r="F79" s="14" t="n">
        <v>847</v>
      </c>
      <c r="G79" s="14" t="s">
        <v>20</v>
      </c>
      <c r="H79" s="14" t="n">
        <v>93772</v>
      </c>
      <c r="I79" s="14" t="n">
        <v>1559</v>
      </c>
      <c r="J79" s="14" t="n">
        <v>1601</v>
      </c>
      <c r="K79" s="14" t="n">
        <v>215</v>
      </c>
      <c r="L79" s="14" t="n">
        <v>438991</v>
      </c>
      <c r="M79" s="14" t="n">
        <v>6467</v>
      </c>
    </row>
    <row r="80" customFormat="false" ht="15.75" hidden="false" customHeight="false" outlineLevel="0" collapsed="false">
      <c r="A80" s="0" t="s">
        <v>19</v>
      </c>
      <c r="B80" s="1" t="n">
        <v>43940</v>
      </c>
      <c r="C80" s="14" t="n">
        <v>114217</v>
      </c>
      <c r="D80" s="14" t="n">
        <v>5525</v>
      </c>
      <c r="E80" s="14" t="n">
        <v>15464</v>
      </c>
      <c r="F80" s="14" t="n">
        <v>888</v>
      </c>
      <c r="G80" s="14" t="s">
        <v>20</v>
      </c>
      <c r="H80" s="14" t="n">
        <v>98409</v>
      </c>
      <c r="I80" s="14" t="n">
        <v>1559</v>
      </c>
      <c r="J80" s="14" t="n">
        <v>1682</v>
      </c>
      <c r="K80" s="14" t="n">
        <v>228</v>
      </c>
      <c r="L80" s="14" t="n">
        <v>460437</v>
      </c>
      <c r="M80" s="14" t="n">
        <v>6783</v>
      </c>
    </row>
    <row r="81" customFormat="false" ht="15.75" hidden="false" customHeight="false" outlineLevel="0" collapsed="false">
      <c r="A81" s="0" t="s">
        <v>19</v>
      </c>
      <c r="B81" s="1" t="n">
        <v>43941</v>
      </c>
      <c r="C81" s="14" t="n">
        <v>120067</v>
      </c>
      <c r="D81" s="14" t="n">
        <v>5850</v>
      </c>
      <c r="E81" s="14" t="n">
        <v>16060</v>
      </c>
      <c r="F81" s="14" t="n">
        <v>596</v>
      </c>
      <c r="G81" s="14" t="s">
        <v>20</v>
      </c>
      <c r="H81" s="14" t="n">
        <v>103663</v>
      </c>
      <c r="I81" s="14" t="n">
        <v>1559</v>
      </c>
      <c r="J81" s="14" t="n">
        <v>1769</v>
      </c>
      <c r="K81" s="14" t="n">
        <v>237</v>
      </c>
      <c r="L81" s="14" t="n">
        <v>482063</v>
      </c>
      <c r="M81" s="14" t="n">
        <v>7101</v>
      </c>
    </row>
    <row r="82" customFormat="false" ht="15.75" hidden="false" customHeight="false" outlineLevel="0" collapsed="false">
      <c r="A82" s="0" t="s">
        <v>19</v>
      </c>
      <c r="B82" s="1" t="n">
        <v>43942</v>
      </c>
      <c r="C82" s="6" t="n">
        <v>124743</v>
      </c>
      <c r="D82" s="6" t="n">
        <v>4676</v>
      </c>
      <c r="E82" s="6" t="n">
        <v>16509</v>
      </c>
      <c r="F82" s="6" t="n">
        <v>449</v>
      </c>
      <c r="G82" s="6" t="s">
        <v>20</v>
      </c>
      <c r="H82" s="6" t="n">
        <v>107890</v>
      </c>
      <c r="I82" s="6" t="n">
        <v>1559</v>
      </c>
      <c r="J82" s="6" t="n">
        <v>1838</v>
      </c>
      <c r="K82" s="6" t="n">
        <v>243</v>
      </c>
      <c r="L82" s="6" t="n">
        <v>501379</v>
      </c>
      <c r="M82" s="6" t="n">
        <v>7386</v>
      </c>
    </row>
    <row r="83" customFormat="false" ht="15.75" hidden="false" customHeight="false" outlineLevel="0" collapsed="false">
      <c r="A83" s="0" t="s">
        <v>19</v>
      </c>
      <c r="B83" s="1" t="n">
        <v>43943</v>
      </c>
      <c r="C83" s="6" t="n">
        <v>129044</v>
      </c>
      <c r="D83" s="6" t="n">
        <v>4301</v>
      </c>
      <c r="E83" s="6" t="n">
        <v>17337</v>
      </c>
      <c r="F83" s="6" t="n">
        <v>828</v>
      </c>
      <c r="G83" s="6" t="s">
        <v>20</v>
      </c>
      <c r="H83" s="6" t="n">
        <v>111363</v>
      </c>
      <c r="I83" s="6" t="n">
        <v>1559</v>
      </c>
      <c r="J83" s="6" t="n">
        <v>1901</v>
      </c>
      <c r="K83" s="6" t="n">
        <v>255</v>
      </c>
      <c r="L83" s="6" t="n">
        <v>535342</v>
      </c>
      <c r="M83" s="6" t="n">
        <v>7886</v>
      </c>
    </row>
    <row r="84" customFormat="false" ht="15.75" hidden="false" customHeight="false" outlineLevel="0" collapsed="false">
      <c r="A84" s="0" t="s">
        <v>19</v>
      </c>
      <c r="B84" s="1" t="n">
        <v>43944</v>
      </c>
      <c r="C84" s="6" t="n">
        <v>133495</v>
      </c>
      <c r="D84" s="6" t="n">
        <v>4451</v>
      </c>
      <c r="E84" s="6" t="n">
        <v>18100</v>
      </c>
      <c r="F84" s="6" t="n">
        <v>763</v>
      </c>
      <c r="G84" s="6" t="s">
        <v>20</v>
      </c>
      <c r="H84" s="6" t="n">
        <v>115051</v>
      </c>
      <c r="I84" s="6" t="n">
        <v>1559</v>
      </c>
      <c r="J84" s="6" t="n">
        <v>1966</v>
      </c>
      <c r="K84" s="6" t="n">
        <v>267</v>
      </c>
      <c r="L84" s="6" t="n">
        <v>559935</v>
      </c>
      <c r="M84" s="6" t="n">
        <v>8248</v>
      </c>
    </row>
    <row r="85" customFormat="false" ht="15.75" hidden="false" customHeight="false" outlineLevel="0" collapsed="false">
      <c r="A85" s="0" t="s">
        <v>19</v>
      </c>
      <c r="B85" s="1" t="n">
        <v>43945</v>
      </c>
      <c r="C85" s="6" t="n">
        <v>138078</v>
      </c>
      <c r="D85" s="6" t="n">
        <v>4583</v>
      </c>
      <c r="E85" s="6" t="n">
        <v>18738</v>
      </c>
      <c r="F85" s="6" t="n">
        <v>638</v>
      </c>
      <c r="G85" s="6" t="s">
        <v>20</v>
      </c>
      <c r="H85" s="6" t="n">
        <v>118996</v>
      </c>
      <c r="I85" s="6" t="n">
        <v>1559</v>
      </c>
      <c r="J85" s="6" t="n">
        <v>2034</v>
      </c>
      <c r="K85" s="6" t="n">
        <v>276</v>
      </c>
      <c r="L85" s="6" t="n">
        <v>583496</v>
      </c>
      <c r="M85" s="6" t="n">
        <v>8595</v>
      </c>
    </row>
    <row r="86" customFormat="false" ht="15.75" hidden="false" customHeight="false" outlineLevel="0" collapsed="false">
      <c r="A86" s="0" t="s">
        <v>19</v>
      </c>
      <c r="B86" s="1" t="n">
        <v>43946</v>
      </c>
      <c r="C86" s="6" t="n">
        <v>143464</v>
      </c>
      <c r="D86" s="6" t="n">
        <v>5386</v>
      </c>
      <c r="E86" s="6" t="n">
        <v>19506</v>
      </c>
      <c r="F86" s="6" t="n">
        <v>768</v>
      </c>
      <c r="G86" s="6" t="s">
        <v>20</v>
      </c>
      <c r="H86" s="6" t="n">
        <v>123614</v>
      </c>
      <c r="I86" s="6" t="n">
        <v>1559</v>
      </c>
      <c r="J86" s="6" t="n">
        <v>2113</v>
      </c>
      <c r="K86" s="6" t="n">
        <v>287</v>
      </c>
      <c r="L86" s="6" t="n">
        <v>612031</v>
      </c>
      <c r="M86" s="6" t="n">
        <v>9016</v>
      </c>
    </row>
    <row r="87" customFormat="false" ht="15.75" hidden="false" customHeight="false" outlineLevel="0" collapsed="false">
      <c r="A87" s="0" t="s">
        <v>19</v>
      </c>
      <c r="B87" s="1" t="n">
        <v>43947</v>
      </c>
      <c r="C87" s="6" t="n">
        <v>148377</v>
      </c>
      <c r="D87" s="6" t="n">
        <v>4913</v>
      </c>
      <c r="E87" s="6" t="n">
        <v>20319</v>
      </c>
      <c r="F87" s="6" t="n">
        <v>813</v>
      </c>
      <c r="G87" s="6" t="s">
        <v>20</v>
      </c>
      <c r="H87" s="6" t="n">
        <v>127714</v>
      </c>
      <c r="I87" s="6" t="n">
        <v>1559</v>
      </c>
      <c r="J87" s="6" t="n">
        <v>2186</v>
      </c>
      <c r="K87" s="6" t="n">
        <v>299</v>
      </c>
      <c r="L87" s="6" t="n">
        <v>640792</v>
      </c>
      <c r="M87" s="6" t="n">
        <v>9439</v>
      </c>
    </row>
    <row r="88" customFormat="false" ht="15.75" hidden="false" customHeight="false" outlineLevel="0" collapsed="false">
      <c r="A88" s="0" t="s">
        <v>19</v>
      </c>
      <c r="B88" s="1" t="n">
        <v>43948</v>
      </c>
      <c r="C88" s="6" t="n">
        <v>152840</v>
      </c>
      <c r="D88" s="6" t="n">
        <v>4463</v>
      </c>
      <c r="E88" s="6" t="n">
        <v>20732</v>
      </c>
      <c r="F88" s="6" t="n">
        <v>413</v>
      </c>
      <c r="G88" s="6" t="s">
        <v>20</v>
      </c>
      <c r="H88" s="6" t="n">
        <v>131764</v>
      </c>
      <c r="I88" s="6" t="n">
        <v>1559</v>
      </c>
      <c r="J88" s="6" t="n">
        <v>2251</v>
      </c>
      <c r="K88" s="6" t="n">
        <v>305</v>
      </c>
      <c r="L88" s="6" t="n">
        <v>669850</v>
      </c>
      <c r="M88" s="6" t="n">
        <v>9867</v>
      </c>
    </row>
    <row r="89" customFormat="false" ht="15.75" hidden="false" customHeight="false" outlineLevel="0" collapsed="false">
      <c r="A89" s="0" t="s">
        <v>19</v>
      </c>
      <c r="B89" s="1" t="n">
        <v>43949</v>
      </c>
      <c r="C89" s="6" t="n">
        <v>157149</v>
      </c>
      <c r="D89" s="6" t="n">
        <v>4309</v>
      </c>
      <c r="E89" s="6" t="n">
        <v>21092</v>
      </c>
      <c r="F89" s="6" t="n">
        <v>360</v>
      </c>
      <c r="G89" s="6" t="s">
        <v>20</v>
      </c>
      <c r="H89" s="6" t="n">
        <v>135713</v>
      </c>
      <c r="I89" s="6" t="n">
        <v>1559</v>
      </c>
      <c r="J89" s="6" t="n">
        <v>2315</v>
      </c>
      <c r="K89" s="6" t="n">
        <v>311</v>
      </c>
      <c r="L89" s="6" t="n">
        <v>719910</v>
      </c>
      <c r="M89" s="6" t="n">
        <v>10605</v>
      </c>
    </row>
    <row r="90" customFormat="false" ht="15.75" hidden="false" customHeight="false" outlineLevel="0" collapsed="false">
      <c r="A90" s="0" t="s">
        <v>19</v>
      </c>
      <c r="B90" s="1" t="n">
        <v>43950</v>
      </c>
      <c r="C90" s="6" t="n">
        <v>161145</v>
      </c>
      <c r="D90" s="6" t="n">
        <v>3996</v>
      </c>
      <c r="E90" s="6" t="n">
        <v>21678</v>
      </c>
      <c r="F90" s="6" t="n">
        <v>586</v>
      </c>
      <c r="G90" s="6" t="s">
        <v>20</v>
      </c>
      <c r="H90" s="6" t="n">
        <v>139123</v>
      </c>
      <c r="I90" s="6" t="n">
        <v>1559</v>
      </c>
      <c r="J90" s="6" t="n">
        <v>2374</v>
      </c>
      <c r="K90" s="6" t="n">
        <v>319</v>
      </c>
      <c r="L90" s="6" t="n">
        <v>763387</v>
      </c>
      <c r="M90" s="6" t="n">
        <v>11245</v>
      </c>
    </row>
    <row r="91" customFormat="false" ht="15.75" hidden="false" customHeight="false" outlineLevel="0" collapsed="false">
      <c r="A91" s="0" t="s">
        <v>19</v>
      </c>
      <c r="B91" s="1" t="n">
        <v>43951</v>
      </c>
      <c r="C91" s="6" t="n">
        <v>165221</v>
      </c>
      <c r="D91" s="6" t="n">
        <v>4076</v>
      </c>
      <c r="E91" s="6" t="n">
        <v>26097</v>
      </c>
      <c r="F91" s="6" t="n">
        <v>4419</v>
      </c>
      <c r="G91" s="6" t="s">
        <v>20</v>
      </c>
      <c r="H91" s="6" t="n">
        <v>138780</v>
      </c>
      <c r="I91" s="6" t="n">
        <v>1559</v>
      </c>
      <c r="J91" s="6" t="n">
        <v>2434</v>
      </c>
      <c r="K91" s="6" t="n">
        <v>384</v>
      </c>
      <c r="L91" s="6" t="n">
        <v>818539</v>
      </c>
      <c r="M91" s="6" t="n">
        <v>12058</v>
      </c>
    </row>
    <row r="92" customFormat="false" ht="15.75" hidden="false" customHeight="false" outlineLevel="0" collapsed="false">
      <c r="A92" s="0" t="s">
        <v>19</v>
      </c>
      <c r="B92" s="1" t="n">
        <v>43952</v>
      </c>
      <c r="C92" s="6" t="n">
        <v>171253</v>
      </c>
      <c r="D92" s="6" t="n">
        <v>6032</v>
      </c>
      <c r="E92" s="6" t="n">
        <v>26771</v>
      </c>
      <c r="F92" s="6" t="n">
        <v>674</v>
      </c>
      <c r="G92" s="6" t="s">
        <v>20</v>
      </c>
      <c r="H92" s="6" t="n">
        <v>144138</v>
      </c>
      <c r="I92" s="6" t="n">
        <v>1559</v>
      </c>
      <c r="J92" s="6" t="n">
        <v>2523</v>
      </c>
      <c r="K92" s="6" t="n">
        <v>394</v>
      </c>
      <c r="L92" s="6" t="n">
        <v>901905</v>
      </c>
      <c r="M92" s="6" t="n">
        <v>13286</v>
      </c>
    </row>
    <row r="93" customFormat="false" ht="15.75" hidden="false" customHeight="false" outlineLevel="0" collapsed="false">
      <c r="A93" s="0" t="s">
        <v>19</v>
      </c>
      <c r="B93" s="1" t="n">
        <v>43953</v>
      </c>
      <c r="C93" s="6" t="n">
        <v>177454</v>
      </c>
      <c r="D93" s="6" t="n">
        <v>6201</v>
      </c>
      <c r="E93" s="6" t="n">
        <v>27510</v>
      </c>
      <c r="F93" s="6" t="n">
        <v>739</v>
      </c>
      <c r="G93" s="6" t="s">
        <v>20</v>
      </c>
      <c r="H93" s="6" t="n">
        <v>149600</v>
      </c>
      <c r="I93" s="6" t="n">
        <v>1559</v>
      </c>
      <c r="J93" s="6" t="n">
        <v>2614</v>
      </c>
      <c r="K93" s="6" t="n">
        <v>405</v>
      </c>
      <c r="L93" s="6" t="n">
        <v>1023824</v>
      </c>
      <c r="M93" s="6" t="n">
        <v>15082</v>
      </c>
    </row>
    <row r="94" customFormat="false" ht="15.75" hidden="false" customHeight="false" outlineLevel="0" collapsed="false">
      <c r="A94" s="0" t="s">
        <v>19</v>
      </c>
      <c r="B94" s="1" t="n">
        <v>43954</v>
      </c>
      <c r="C94" s="6" t="n">
        <v>182260</v>
      </c>
      <c r="D94" s="6" t="n">
        <v>4806</v>
      </c>
      <c r="E94" s="6" t="n">
        <v>28131</v>
      </c>
      <c r="F94" s="6" t="n">
        <v>621</v>
      </c>
      <c r="G94" s="6" t="s">
        <v>20</v>
      </c>
      <c r="H94" s="6" t="n">
        <v>153785</v>
      </c>
      <c r="I94" s="6" t="n">
        <v>1559</v>
      </c>
      <c r="J94" s="6" t="n">
        <v>2685</v>
      </c>
      <c r="K94" s="6" t="n">
        <v>414</v>
      </c>
      <c r="L94" s="6" t="n">
        <v>1129907</v>
      </c>
      <c r="M94" s="6" t="n">
        <v>16644</v>
      </c>
    </row>
    <row r="95" customFormat="false" ht="15.75" hidden="false" customHeight="false" outlineLevel="0" collapsed="false">
      <c r="A95" s="0" t="s">
        <v>19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19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19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19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19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19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19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19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19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19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19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19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19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19</v>
      </c>
      <c r="B108" s="1" t="n">
        <v>43968</v>
      </c>
      <c r="C108" s="6" t="e">
        <f aca="false">#REF!</f>
        <v>#REF!</v>
      </c>
      <c r="D108" s="6" t="e">
        <f aca="false">C108-C107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19</v>
      </c>
      <c r="B109" s="1" t="n">
        <v>43969</v>
      </c>
      <c r="C109" s="6" t="e">
        <f aca="false">#REF!</f>
        <v>#REF!</v>
      </c>
      <c r="D109" s="6" t="e">
        <f aca="false">C109-C108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19</v>
      </c>
      <c r="B110" s="1" t="n">
        <v>43970</v>
      </c>
      <c r="C110" s="6" t="e">
        <f aca="false">#REF!</f>
        <v>#REF!</v>
      </c>
      <c r="D110" s="6" t="e">
        <f aca="false">C110-C109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19</v>
      </c>
      <c r="B111" s="1" t="n">
        <v>43971</v>
      </c>
      <c r="C111" s="6" t="n">
        <v>248293</v>
      </c>
      <c r="D111" s="6" t="e">
        <f aca="false">C111-C110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19</v>
      </c>
      <c r="B112" s="1" t="n">
        <v>43972</v>
      </c>
      <c r="C112" s="6" t="n">
        <v>250332</v>
      </c>
      <c r="D112" s="6" t="n">
        <f aca="false">C112-C111</f>
        <v>2039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19</v>
      </c>
      <c r="B113" s="1" t="n">
        <v>43973</v>
      </c>
      <c r="C113" s="6" t="n">
        <v>252947</v>
      </c>
      <c r="D113" s="6" t="n">
        <f aca="false">C113-C112</f>
        <v>2615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19</v>
      </c>
      <c r="B114" s="1" t="n">
        <v>43974</v>
      </c>
      <c r="C114" s="6" t="n">
        <v>256234</v>
      </c>
      <c r="D114" s="6" t="n">
        <f aca="false">C114-C113</f>
        <v>3287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19</v>
      </c>
      <c r="B115" s="1" t="n">
        <v>43975</v>
      </c>
      <c r="C115" s="6" t="n">
        <v>259193</v>
      </c>
      <c r="D115" s="6" t="n">
        <f aca="false">C115-C114</f>
        <v>2959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19</v>
      </c>
      <c r="B116" s="1" t="n">
        <v>43976</v>
      </c>
      <c r="C116" s="6" t="n">
        <v>261598</v>
      </c>
      <c r="D116" s="6" t="n">
        <f aca="false">C116-C115</f>
        <v>2405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19</v>
      </c>
      <c r="B117" s="1" t="n">
        <v>43977</v>
      </c>
      <c r="C117" s="6" t="n">
        <v>263223</v>
      </c>
      <c r="D117" s="6" t="n">
        <f aca="false">C117-C116</f>
        <v>1625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19</v>
      </c>
      <c r="B118" s="1" t="n">
        <v>43978</v>
      </c>
      <c r="C118" s="6" t="e">
        <f aca="false">#REF!</f>
        <v>#REF!</v>
      </c>
      <c r="D118" s="6" t="e">
        <f aca="false">C118-C117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19</v>
      </c>
      <c r="B119" s="1" t="n">
        <v>43979</v>
      </c>
      <c r="C119" s="6" t="e">
        <f aca="false">#REF!</f>
        <v>#REF!</v>
      </c>
      <c r="D119" s="6" t="e">
        <f aca="false">C119-C118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19</v>
      </c>
      <c r="B120" s="1" t="n">
        <v>43980</v>
      </c>
      <c r="C120" s="6" t="e">
        <f aca="false">#REF!</f>
        <v>#REF!</v>
      </c>
      <c r="D120" s="6" t="e">
        <f aca="false">C120-C119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19</v>
      </c>
      <c r="B121" s="1" t="n">
        <v>43981</v>
      </c>
      <c r="C121" s="6" t="e">
        <f aca="false">#REF!</f>
        <v>#REF!</v>
      </c>
      <c r="D121" s="6" t="e">
        <f aca="false">C121-C120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19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19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19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19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19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19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19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19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19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19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19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19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19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19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19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19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19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19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19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19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19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19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19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19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19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19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19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19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19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19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19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19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19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19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19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19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19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19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19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19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19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19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19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19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19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19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19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19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19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19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19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19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19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19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19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19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19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19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19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19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19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19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19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19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19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19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O145" activeCellId="0" sqref="O145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21</v>
      </c>
      <c r="B2" s="1" t="n">
        <v>43862</v>
      </c>
      <c r="C2" s="6" t="n">
        <v>9723</v>
      </c>
      <c r="D2" s="6"/>
      <c r="E2" s="6" t="n">
        <v>213</v>
      </c>
      <c r="F2" s="6"/>
      <c r="G2" s="6" t="n">
        <v>171</v>
      </c>
      <c r="H2" s="6" t="n">
        <v>9339</v>
      </c>
      <c r="I2" s="6" t="n">
        <v>1527</v>
      </c>
      <c r="J2" s="6"/>
      <c r="K2" s="6"/>
      <c r="L2" s="6"/>
      <c r="M2" s="6"/>
    </row>
    <row r="3" customFormat="false" ht="15.75" hidden="false" customHeight="false" outlineLevel="0" collapsed="false">
      <c r="A3" s="0" t="s">
        <v>21</v>
      </c>
      <c r="B3" s="1" t="n">
        <v>43863</v>
      </c>
      <c r="C3" s="6" t="n">
        <v>11824</v>
      </c>
      <c r="D3" s="6" t="n">
        <v>2101</v>
      </c>
      <c r="E3" s="6" t="n">
        <v>259</v>
      </c>
      <c r="F3" s="6" t="n">
        <v>46</v>
      </c>
      <c r="G3" s="6" t="n">
        <v>243</v>
      </c>
      <c r="H3" s="6" t="n">
        <v>11322</v>
      </c>
      <c r="I3" s="6" t="n">
        <v>1795</v>
      </c>
      <c r="J3" s="6"/>
      <c r="K3" s="6"/>
      <c r="L3" s="6"/>
      <c r="M3" s="6"/>
    </row>
    <row r="4" customFormat="false" ht="15.75" hidden="false" customHeight="false" outlineLevel="0" collapsed="false">
      <c r="A4" s="0" t="s">
        <v>21</v>
      </c>
      <c r="B4" s="1" t="n">
        <v>43864</v>
      </c>
      <c r="C4" s="6" t="n">
        <v>14413</v>
      </c>
      <c r="D4" s="6" t="n">
        <v>2589</v>
      </c>
      <c r="E4" s="6" t="n">
        <v>304</v>
      </c>
      <c r="F4" s="6" t="n">
        <v>45</v>
      </c>
      <c r="G4" s="6" t="n">
        <v>328</v>
      </c>
      <c r="H4" s="6" t="n">
        <v>13781</v>
      </c>
      <c r="I4" s="6" t="n">
        <v>2110</v>
      </c>
      <c r="J4" s="6"/>
      <c r="K4" s="6"/>
      <c r="L4" s="6"/>
      <c r="M4" s="6"/>
    </row>
    <row r="5" customFormat="false" ht="15.75" hidden="false" customHeight="false" outlineLevel="0" collapsed="false">
      <c r="A5" s="0" t="s">
        <v>21</v>
      </c>
      <c r="B5" s="1" t="n">
        <v>43865</v>
      </c>
      <c r="C5" s="6" t="n">
        <v>17244</v>
      </c>
      <c r="D5" s="6" t="n">
        <v>2831</v>
      </c>
      <c r="E5" s="6" t="n">
        <v>362</v>
      </c>
      <c r="F5" s="6" t="n">
        <v>58</v>
      </c>
      <c r="G5" s="6" t="n">
        <v>475</v>
      </c>
      <c r="H5" s="6" t="n">
        <v>16407</v>
      </c>
      <c r="I5" s="6" t="n">
        <v>2296</v>
      </c>
      <c r="J5" s="6"/>
      <c r="K5" s="6"/>
      <c r="L5" s="6"/>
      <c r="M5" s="6"/>
    </row>
    <row r="6" customFormat="false" ht="15.75" hidden="false" customHeight="false" outlineLevel="0" collapsed="false">
      <c r="A6" s="0" t="s">
        <v>21</v>
      </c>
      <c r="B6" s="1" t="n">
        <v>43866</v>
      </c>
      <c r="C6" s="6" t="n">
        <v>20480</v>
      </c>
      <c r="D6" s="6" t="n">
        <v>3236</v>
      </c>
      <c r="E6" s="6" t="n">
        <v>426</v>
      </c>
      <c r="F6" s="6" t="n">
        <v>64</v>
      </c>
      <c r="G6" s="6" t="n">
        <v>632</v>
      </c>
      <c r="H6" s="6" t="n">
        <v>19422</v>
      </c>
      <c r="I6" s="6" t="n">
        <v>2788</v>
      </c>
      <c r="J6" s="6"/>
      <c r="K6" s="6"/>
      <c r="L6" s="6"/>
      <c r="M6" s="6"/>
    </row>
    <row r="7" customFormat="false" ht="15.75" hidden="false" customHeight="false" outlineLevel="0" collapsed="false">
      <c r="A7" s="0" t="s">
        <v>21</v>
      </c>
      <c r="B7" s="1" t="n">
        <v>43867</v>
      </c>
      <c r="C7" s="6" t="n">
        <v>24374</v>
      </c>
      <c r="D7" s="6" t="n">
        <v>3894</v>
      </c>
      <c r="E7" s="6" t="n">
        <v>491</v>
      </c>
      <c r="F7" s="6" t="n">
        <v>65</v>
      </c>
      <c r="G7" s="6" t="n">
        <v>894</v>
      </c>
      <c r="H7" s="6" t="n">
        <v>22989</v>
      </c>
      <c r="I7" s="6" t="n">
        <v>3219</v>
      </c>
      <c r="J7" s="6"/>
      <c r="K7" s="6"/>
      <c r="L7" s="6"/>
      <c r="M7" s="6"/>
    </row>
    <row r="8" customFormat="false" ht="15.75" hidden="false" customHeight="false" outlineLevel="0" collapsed="false">
      <c r="A8" s="0" t="s">
        <v>21</v>
      </c>
      <c r="B8" s="1" t="n">
        <v>43868</v>
      </c>
      <c r="C8" s="6" t="n">
        <v>28070</v>
      </c>
      <c r="D8" s="6" t="n">
        <v>3696</v>
      </c>
      <c r="E8" s="6" t="n">
        <v>564</v>
      </c>
      <c r="F8" s="6" t="n">
        <v>73</v>
      </c>
      <c r="G8" s="6" t="n">
        <v>1155</v>
      </c>
      <c r="H8" s="6" t="n">
        <v>26351</v>
      </c>
      <c r="I8" s="6" t="n">
        <v>3859</v>
      </c>
      <c r="J8" s="6"/>
      <c r="K8" s="6"/>
      <c r="L8" s="6"/>
      <c r="M8" s="6"/>
    </row>
    <row r="9" customFormat="false" ht="15.75" hidden="false" customHeight="false" outlineLevel="0" collapsed="false">
      <c r="A9" s="0" t="s">
        <v>21</v>
      </c>
      <c r="B9" s="1" t="n">
        <v>43869</v>
      </c>
      <c r="C9" s="6" t="n">
        <v>31214</v>
      </c>
      <c r="D9" s="6" t="n">
        <v>3144</v>
      </c>
      <c r="E9" s="6" t="n">
        <v>637</v>
      </c>
      <c r="F9" s="6" t="n">
        <v>73</v>
      </c>
      <c r="G9" s="6" t="n">
        <v>1542</v>
      </c>
      <c r="H9" s="6" t="n">
        <v>29035</v>
      </c>
      <c r="I9" s="6" t="n">
        <v>4821</v>
      </c>
      <c r="J9" s="6"/>
      <c r="K9" s="6"/>
      <c r="L9" s="6"/>
      <c r="M9" s="6"/>
    </row>
    <row r="10" customFormat="false" ht="15.75" hidden="false" customHeight="false" outlineLevel="0" collapsed="false">
      <c r="A10" s="0" t="s">
        <v>21</v>
      </c>
      <c r="B10" s="1" t="n">
        <v>43870</v>
      </c>
      <c r="C10" s="6" t="n">
        <v>34610</v>
      </c>
      <c r="D10" s="6" t="n">
        <v>3396</v>
      </c>
      <c r="E10" s="6" t="n">
        <v>723</v>
      </c>
      <c r="F10" s="6" t="n">
        <v>86</v>
      </c>
      <c r="G10" s="6" t="n">
        <v>2052</v>
      </c>
      <c r="H10" s="6" t="n">
        <v>31835</v>
      </c>
      <c r="I10" s="6" t="n">
        <v>6101</v>
      </c>
      <c r="J10" s="6"/>
      <c r="K10" s="6"/>
      <c r="L10" s="6"/>
      <c r="M10" s="6"/>
    </row>
    <row r="11" customFormat="false" ht="15.75" hidden="false" customHeight="false" outlineLevel="0" collapsed="false">
      <c r="A11" s="0" t="s">
        <v>21</v>
      </c>
      <c r="B11" s="1" t="n">
        <v>43871</v>
      </c>
      <c r="C11" s="6" t="n">
        <v>37268</v>
      </c>
      <c r="D11" s="6" t="n">
        <v>2658</v>
      </c>
      <c r="E11" s="6" t="n">
        <v>812</v>
      </c>
      <c r="F11" s="6" t="n">
        <v>89</v>
      </c>
      <c r="G11" s="6" t="n">
        <v>2651</v>
      </c>
      <c r="H11" s="6" t="n">
        <v>33805</v>
      </c>
      <c r="I11" s="6" t="n">
        <v>6188</v>
      </c>
      <c r="J11" s="6"/>
      <c r="K11" s="6"/>
      <c r="L11" s="6"/>
      <c r="M11" s="6"/>
    </row>
    <row r="12" customFormat="false" ht="15.75" hidden="false" customHeight="false" outlineLevel="0" collapsed="false">
      <c r="A12" s="0" t="s">
        <v>21</v>
      </c>
      <c r="B12" s="1" t="n">
        <v>43872</v>
      </c>
      <c r="C12" s="6" t="n">
        <v>40248</v>
      </c>
      <c r="D12" s="6" t="n">
        <v>2980</v>
      </c>
      <c r="E12" s="6" t="n">
        <v>909</v>
      </c>
      <c r="F12" s="6" t="n">
        <v>97</v>
      </c>
      <c r="G12" s="6" t="n">
        <v>3283</v>
      </c>
      <c r="H12" s="6" t="n">
        <v>36056</v>
      </c>
      <c r="I12" s="6" t="n">
        <v>6484</v>
      </c>
      <c r="J12" s="6"/>
      <c r="K12" s="6"/>
      <c r="L12" s="6"/>
      <c r="M12" s="6"/>
    </row>
    <row r="13" customFormat="false" ht="15.75" hidden="false" customHeight="false" outlineLevel="0" collapsed="false">
      <c r="A13" s="0" t="s">
        <v>21</v>
      </c>
      <c r="B13" s="1" t="n">
        <v>43873</v>
      </c>
      <c r="C13" s="6" t="n">
        <v>42716</v>
      </c>
      <c r="D13" s="6" t="n">
        <v>2468</v>
      </c>
      <c r="E13" s="6" t="n">
        <v>1017</v>
      </c>
      <c r="F13" s="6" t="n">
        <v>108</v>
      </c>
      <c r="G13" s="6" t="n">
        <v>4000</v>
      </c>
      <c r="H13" s="6" t="n">
        <v>37699</v>
      </c>
      <c r="I13" s="6" t="n">
        <v>7333</v>
      </c>
      <c r="J13" s="6"/>
      <c r="K13" s="6"/>
      <c r="L13" s="6"/>
      <c r="M13" s="6"/>
    </row>
    <row r="14" customFormat="false" ht="15.75" hidden="false" customHeight="false" outlineLevel="0" collapsed="false">
      <c r="A14" s="0" t="s">
        <v>21</v>
      </c>
      <c r="B14" s="1" t="n">
        <v>43874</v>
      </c>
      <c r="C14" s="6" t="n">
        <v>44734</v>
      </c>
      <c r="D14" s="6" t="n">
        <v>2018</v>
      </c>
      <c r="E14" s="6" t="n">
        <v>1114</v>
      </c>
      <c r="F14" s="6" t="n">
        <v>97</v>
      </c>
      <c r="G14" s="6" t="n">
        <v>4745</v>
      </c>
      <c r="H14" s="6" t="n">
        <v>38875</v>
      </c>
      <c r="I14" s="6" t="n">
        <v>8204</v>
      </c>
      <c r="J14" s="6"/>
      <c r="K14" s="6"/>
      <c r="L14" s="6"/>
      <c r="M14" s="6"/>
    </row>
    <row r="15" customFormat="false" ht="15.75" hidden="false" customHeight="false" outlineLevel="0" collapsed="false">
      <c r="A15" s="0" t="s">
        <v>21</v>
      </c>
      <c r="B15" s="1" t="n">
        <v>43875</v>
      </c>
      <c r="C15" s="6" t="n">
        <v>59888</v>
      </c>
      <c r="D15" s="6" t="n">
        <v>15154</v>
      </c>
      <c r="E15" s="6" t="n">
        <v>1260</v>
      </c>
      <c r="F15" s="6" t="n">
        <v>146</v>
      </c>
      <c r="G15" s="6" t="n">
        <v>5647</v>
      </c>
      <c r="H15" s="6" t="n">
        <v>52981</v>
      </c>
      <c r="I15" s="6" t="n">
        <v>8030</v>
      </c>
      <c r="J15" s="6"/>
      <c r="K15" s="6"/>
      <c r="L15" s="6"/>
      <c r="M15" s="6"/>
    </row>
    <row r="16" customFormat="false" ht="15.75" hidden="false" customHeight="false" outlineLevel="0" collapsed="false">
      <c r="A16" s="0" t="s">
        <v>21</v>
      </c>
      <c r="B16" s="1" t="n">
        <v>43876</v>
      </c>
      <c r="C16" s="6" t="n">
        <v>63935</v>
      </c>
      <c r="D16" s="6" t="n">
        <v>4047</v>
      </c>
      <c r="E16" s="6" t="n">
        <v>1381</v>
      </c>
      <c r="F16" s="6" t="n">
        <v>121</v>
      </c>
      <c r="G16" s="6" t="n">
        <v>6729</v>
      </c>
      <c r="H16" s="6" t="n">
        <v>55825</v>
      </c>
      <c r="I16" s="6" t="n">
        <v>10204</v>
      </c>
      <c r="J16" s="6"/>
      <c r="K16" s="6"/>
      <c r="L16" s="6"/>
      <c r="M16" s="6"/>
    </row>
    <row r="17" customFormat="false" ht="15.75" hidden="false" customHeight="false" outlineLevel="0" collapsed="false">
      <c r="A17" s="0" t="s">
        <v>21</v>
      </c>
      <c r="B17" s="1" t="n">
        <v>43877</v>
      </c>
      <c r="C17" s="6" t="n">
        <v>66579</v>
      </c>
      <c r="D17" s="6" t="n">
        <v>2644</v>
      </c>
      <c r="E17" s="6" t="n">
        <v>1525</v>
      </c>
      <c r="F17" s="6" t="n">
        <v>144</v>
      </c>
      <c r="G17" s="6" t="n">
        <v>8105</v>
      </c>
      <c r="H17" s="6" t="n">
        <v>56949</v>
      </c>
      <c r="I17" s="6" t="n">
        <v>11053</v>
      </c>
      <c r="J17" s="6"/>
      <c r="K17" s="6"/>
      <c r="L17" s="6"/>
      <c r="M17" s="6"/>
    </row>
    <row r="18" customFormat="false" ht="15.75" hidden="false" customHeight="false" outlineLevel="0" collapsed="false">
      <c r="A18" s="0" t="s">
        <v>21</v>
      </c>
      <c r="B18" s="1" t="n">
        <v>43878</v>
      </c>
      <c r="C18" s="6" t="n">
        <v>68592</v>
      </c>
      <c r="D18" s="6" t="n">
        <v>2013</v>
      </c>
      <c r="E18" s="6" t="n">
        <v>1667</v>
      </c>
      <c r="F18" s="6" t="n">
        <v>142</v>
      </c>
      <c r="G18" s="6" t="n">
        <v>9428</v>
      </c>
      <c r="H18" s="6" t="n">
        <v>57497</v>
      </c>
      <c r="I18" s="6" t="n">
        <v>11272</v>
      </c>
      <c r="J18" s="6"/>
      <c r="K18" s="6"/>
      <c r="L18" s="6"/>
      <c r="M18" s="6"/>
    </row>
    <row r="19" customFormat="false" ht="15.75" hidden="false" customHeight="false" outlineLevel="0" collapsed="false">
      <c r="A19" s="0" t="s">
        <v>21</v>
      </c>
      <c r="B19" s="1" t="n">
        <v>43879</v>
      </c>
      <c r="C19" s="6" t="n">
        <v>70642</v>
      </c>
      <c r="D19" s="6" t="n">
        <v>2050</v>
      </c>
      <c r="E19" s="6" t="n">
        <v>1772</v>
      </c>
      <c r="F19" s="6" t="n">
        <v>105</v>
      </c>
      <c r="G19" s="6" t="n">
        <v>10862</v>
      </c>
      <c r="H19" s="6" t="n">
        <v>58008</v>
      </c>
      <c r="I19" s="6" t="n">
        <v>10644</v>
      </c>
      <c r="J19" s="6"/>
      <c r="K19" s="6"/>
      <c r="L19" s="6"/>
      <c r="M19" s="6"/>
    </row>
    <row r="20" customFormat="false" ht="15.75" hidden="false" customHeight="false" outlineLevel="0" collapsed="false">
      <c r="A20" s="0" t="s">
        <v>21</v>
      </c>
      <c r="B20" s="1" t="n">
        <v>43880</v>
      </c>
      <c r="C20" s="6" t="n">
        <v>72535</v>
      </c>
      <c r="D20" s="6" t="n">
        <v>1893</v>
      </c>
      <c r="E20" s="6" t="n">
        <v>1871</v>
      </c>
      <c r="F20" s="6" t="n">
        <v>99</v>
      </c>
      <c r="G20" s="6" t="n">
        <v>12565</v>
      </c>
      <c r="H20" s="6" t="n">
        <v>58099</v>
      </c>
      <c r="I20" s="6" t="n">
        <v>11741</v>
      </c>
      <c r="J20" s="6"/>
      <c r="K20" s="6"/>
      <c r="L20" s="6"/>
      <c r="M20" s="6"/>
    </row>
    <row r="21" customFormat="false" ht="15.75" hidden="false" customHeight="false" outlineLevel="0" collapsed="false">
      <c r="A21" s="0" t="s">
        <v>21</v>
      </c>
      <c r="B21" s="1" t="n">
        <v>43881</v>
      </c>
      <c r="C21" s="6" t="n">
        <v>74287</v>
      </c>
      <c r="D21" s="6" t="n">
        <v>1752</v>
      </c>
      <c r="E21" s="6" t="n">
        <v>2007</v>
      </c>
      <c r="F21" s="6" t="n">
        <v>136</v>
      </c>
      <c r="G21" s="6" t="n">
        <v>14389</v>
      </c>
      <c r="H21" s="6" t="n">
        <v>57891</v>
      </c>
      <c r="I21" s="6" t="n">
        <v>11977</v>
      </c>
      <c r="J21" s="6"/>
      <c r="K21" s="6"/>
      <c r="L21" s="6"/>
      <c r="M21" s="6"/>
    </row>
    <row r="22" customFormat="false" ht="15.75" hidden="false" customHeight="false" outlineLevel="0" collapsed="false">
      <c r="A22" s="0" t="s">
        <v>21</v>
      </c>
      <c r="B22" s="1" t="n">
        <v>43882</v>
      </c>
      <c r="C22" s="6" t="n">
        <v>74680</v>
      </c>
      <c r="D22" s="6" t="n">
        <v>393</v>
      </c>
      <c r="E22" s="6" t="n">
        <v>2121</v>
      </c>
      <c r="F22" s="6" t="n">
        <v>114</v>
      </c>
      <c r="G22" s="6" t="n">
        <v>16171</v>
      </c>
      <c r="H22" s="6" t="n">
        <v>56388</v>
      </c>
      <c r="I22" s="6" t="n">
        <v>11864</v>
      </c>
      <c r="J22" s="6"/>
      <c r="K22" s="6"/>
      <c r="L22" s="6"/>
      <c r="M22" s="6"/>
    </row>
    <row r="23" customFormat="false" ht="15.75" hidden="false" customHeight="false" outlineLevel="0" collapsed="false">
      <c r="A23" s="0" t="s">
        <v>21</v>
      </c>
      <c r="B23" s="1" t="n">
        <v>43883</v>
      </c>
      <c r="C23" s="6" t="n">
        <v>75996</v>
      </c>
      <c r="D23" s="6" t="n">
        <v>1316</v>
      </c>
      <c r="E23" s="6" t="n">
        <v>2239</v>
      </c>
      <c r="F23" s="6" t="n">
        <v>118</v>
      </c>
      <c r="G23" s="6" t="n">
        <v>18285</v>
      </c>
      <c r="H23" s="6" t="n">
        <v>55472</v>
      </c>
      <c r="I23" s="6" t="n">
        <v>11633</v>
      </c>
      <c r="J23" s="6"/>
      <c r="K23" s="6"/>
      <c r="L23" s="6"/>
      <c r="M23" s="6"/>
    </row>
    <row r="24" customFormat="false" ht="15.75" hidden="false" customHeight="false" outlineLevel="0" collapsed="false">
      <c r="A24" s="0" t="s">
        <v>21</v>
      </c>
      <c r="B24" s="1" t="n">
        <v>43884</v>
      </c>
      <c r="C24" s="6" t="n">
        <v>76400</v>
      </c>
      <c r="D24" s="6" t="n">
        <v>404</v>
      </c>
      <c r="E24" s="6" t="n">
        <v>2348</v>
      </c>
      <c r="F24" s="6" t="n">
        <v>109</v>
      </c>
      <c r="G24" s="6" t="n">
        <v>20682</v>
      </c>
      <c r="H24" s="6" t="n">
        <v>53370</v>
      </c>
      <c r="I24" s="6" t="n">
        <v>11477</v>
      </c>
      <c r="J24" s="6"/>
      <c r="K24" s="6"/>
      <c r="L24" s="6"/>
      <c r="M24" s="6"/>
    </row>
    <row r="25" customFormat="false" ht="15.75" hidden="false" customHeight="false" outlineLevel="0" collapsed="false">
      <c r="A25" s="0" t="s">
        <v>21</v>
      </c>
      <c r="B25" s="1" t="n">
        <v>43885</v>
      </c>
      <c r="C25" s="6" t="n">
        <v>76862</v>
      </c>
      <c r="D25" s="6" t="n">
        <v>462</v>
      </c>
      <c r="E25" s="6" t="n">
        <v>2445</v>
      </c>
      <c r="F25" s="6" t="n">
        <v>97</v>
      </c>
      <c r="G25" s="6" t="n">
        <v>22918</v>
      </c>
      <c r="H25" s="6" t="n">
        <v>51499</v>
      </c>
      <c r="I25" s="6" t="n">
        <v>10968</v>
      </c>
      <c r="J25" s="6"/>
      <c r="K25" s="6"/>
      <c r="L25" s="6"/>
      <c r="M25" s="6"/>
    </row>
    <row r="26" customFormat="false" ht="15.75" hidden="false" customHeight="false" outlineLevel="0" collapsed="false">
      <c r="A26" s="0" t="s">
        <v>21</v>
      </c>
      <c r="B26" s="1" t="n">
        <v>43886</v>
      </c>
      <c r="C26" s="6" t="n">
        <v>77276</v>
      </c>
      <c r="D26" s="6" t="n">
        <v>414</v>
      </c>
      <c r="E26" s="6" t="n">
        <v>2595</v>
      </c>
      <c r="F26" s="6" t="n">
        <v>150</v>
      </c>
      <c r="G26" s="6" t="n">
        <v>24764</v>
      </c>
      <c r="H26" s="6" t="n">
        <v>49917</v>
      </c>
      <c r="I26" s="6" t="n">
        <v>9915</v>
      </c>
      <c r="J26" s="6"/>
      <c r="K26" s="6"/>
      <c r="L26" s="6"/>
      <c r="M26" s="6"/>
    </row>
    <row r="27" customFormat="false" ht="15.75" hidden="false" customHeight="false" outlineLevel="0" collapsed="false">
      <c r="A27" s="0" t="s">
        <v>21</v>
      </c>
      <c r="B27" s="1" t="n">
        <v>43887</v>
      </c>
      <c r="C27" s="6" t="n">
        <v>77791</v>
      </c>
      <c r="D27" s="6" t="n">
        <v>515</v>
      </c>
      <c r="E27" s="6" t="n">
        <v>2666</v>
      </c>
      <c r="F27" s="6" t="n">
        <v>71</v>
      </c>
      <c r="G27" s="6" t="n">
        <v>27359</v>
      </c>
      <c r="H27" s="6" t="n">
        <v>47766</v>
      </c>
      <c r="I27" s="6" t="n">
        <v>9126</v>
      </c>
      <c r="J27" s="6"/>
      <c r="K27" s="6"/>
      <c r="L27" s="6"/>
      <c r="M27" s="6"/>
    </row>
    <row r="28" customFormat="false" ht="15.75" hidden="false" customHeight="false" outlineLevel="0" collapsed="false">
      <c r="A28" s="0" t="s">
        <v>21</v>
      </c>
      <c r="B28" s="1" t="n">
        <v>43888</v>
      </c>
      <c r="C28" s="6" t="n">
        <v>78199</v>
      </c>
      <c r="D28" s="6" t="n">
        <v>408</v>
      </c>
      <c r="E28" s="6" t="n">
        <v>2718</v>
      </c>
      <c r="F28" s="6" t="n">
        <v>52</v>
      </c>
      <c r="G28" s="6" t="n">
        <v>29785</v>
      </c>
      <c r="H28" s="6" t="n">
        <v>45696</v>
      </c>
      <c r="I28" s="6" t="n">
        <v>8752</v>
      </c>
      <c r="J28" s="6"/>
      <c r="K28" s="6"/>
      <c r="L28" s="6"/>
      <c r="M28" s="6"/>
    </row>
    <row r="29" customFormat="false" ht="15.75" hidden="false" customHeight="false" outlineLevel="0" collapsed="false">
      <c r="A29" s="0" t="s">
        <v>21</v>
      </c>
      <c r="B29" s="1" t="n">
        <v>43889</v>
      </c>
      <c r="C29" s="6" t="n">
        <v>78635</v>
      </c>
      <c r="D29" s="6" t="n">
        <v>436</v>
      </c>
      <c r="E29" s="6" t="n">
        <v>2747</v>
      </c>
      <c r="F29" s="6" t="n">
        <v>29</v>
      </c>
      <c r="G29" s="6" t="n">
        <v>32542</v>
      </c>
      <c r="H29" s="6" t="n">
        <v>43346</v>
      </c>
      <c r="I29" s="6" t="n">
        <v>8346</v>
      </c>
      <c r="J29" s="6"/>
      <c r="K29" s="6"/>
      <c r="L29" s="6"/>
      <c r="M29" s="6"/>
    </row>
    <row r="30" customFormat="false" ht="15.75" hidden="false" customHeight="false" outlineLevel="0" collapsed="false">
      <c r="A30" s="0" t="s">
        <v>21</v>
      </c>
      <c r="B30" s="1" t="n">
        <v>43890</v>
      </c>
      <c r="C30" s="6" t="n">
        <v>78968</v>
      </c>
      <c r="D30" s="6" t="n">
        <v>333</v>
      </c>
      <c r="E30" s="6" t="n">
        <v>2791</v>
      </c>
      <c r="F30" s="6" t="n">
        <v>44</v>
      </c>
      <c r="G30" s="6" t="n">
        <v>36167</v>
      </c>
      <c r="H30" s="6" t="n">
        <v>40010</v>
      </c>
      <c r="I30" s="6" t="n">
        <v>7952</v>
      </c>
      <c r="J30" s="6"/>
      <c r="K30" s="6"/>
      <c r="L30" s="6"/>
      <c r="M30" s="6"/>
    </row>
    <row r="31" customFormat="false" ht="15.75" hidden="false" customHeight="false" outlineLevel="0" collapsed="false">
      <c r="A31" s="0" t="s">
        <v>21</v>
      </c>
      <c r="B31" s="1" t="n">
        <v>43891</v>
      </c>
      <c r="C31" s="6" t="n">
        <v>79399</v>
      </c>
      <c r="D31" s="6" t="n">
        <v>431</v>
      </c>
      <c r="E31" s="6" t="n">
        <v>2838</v>
      </c>
      <c r="F31" s="6" t="n">
        <v>47</v>
      </c>
      <c r="G31" s="6" t="n">
        <v>39058</v>
      </c>
      <c r="H31" s="6" t="n">
        <v>37503</v>
      </c>
      <c r="I31" s="6" t="n">
        <v>7664</v>
      </c>
      <c r="J31" s="6"/>
      <c r="K31" s="6"/>
      <c r="L31" s="6"/>
      <c r="M31" s="6"/>
    </row>
    <row r="32" customFormat="false" ht="15.75" hidden="false" customHeight="false" outlineLevel="0" collapsed="false">
      <c r="A32" s="0" t="s">
        <v>21</v>
      </c>
      <c r="B32" s="1" t="n">
        <v>43892</v>
      </c>
      <c r="C32" s="6" t="n">
        <v>79975</v>
      </c>
      <c r="D32" s="6" t="n">
        <v>576</v>
      </c>
      <c r="E32" s="6" t="n">
        <v>2873</v>
      </c>
      <c r="F32" s="6" t="n">
        <v>35</v>
      </c>
      <c r="G32" s="6" t="n">
        <v>41681</v>
      </c>
      <c r="H32" s="6" t="n">
        <v>35421</v>
      </c>
      <c r="I32" s="6" t="n">
        <v>7365</v>
      </c>
      <c r="J32" s="6"/>
      <c r="K32" s="6"/>
      <c r="L32" s="6"/>
      <c r="M32" s="6"/>
    </row>
    <row r="33" customFormat="false" ht="15.75" hidden="false" customHeight="false" outlineLevel="0" collapsed="false">
      <c r="A33" s="0" t="s">
        <v>21</v>
      </c>
      <c r="B33" s="1" t="n">
        <v>43893</v>
      </c>
      <c r="C33" s="6" t="n">
        <v>80178</v>
      </c>
      <c r="D33" s="6" t="n">
        <v>203</v>
      </c>
      <c r="E33" s="6" t="n">
        <v>2915</v>
      </c>
      <c r="F33" s="6" t="n">
        <v>42</v>
      </c>
      <c r="G33" s="6" t="n">
        <v>44520</v>
      </c>
      <c r="H33" s="6" t="n">
        <v>32743</v>
      </c>
      <c r="I33" s="6" t="n">
        <v>7110</v>
      </c>
      <c r="J33" s="6"/>
      <c r="K33" s="6"/>
      <c r="L33" s="6"/>
      <c r="M33" s="6"/>
    </row>
    <row r="34" customFormat="false" ht="15.75" hidden="false" customHeight="false" outlineLevel="0" collapsed="false">
      <c r="A34" s="0" t="s">
        <v>21</v>
      </c>
      <c r="B34" s="1" t="n">
        <v>43894</v>
      </c>
      <c r="C34" s="6" t="n">
        <v>80307</v>
      </c>
      <c r="D34" s="6" t="n">
        <v>129</v>
      </c>
      <c r="E34" s="6" t="n">
        <v>2946</v>
      </c>
      <c r="F34" s="6" t="n">
        <v>31</v>
      </c>
      <c r="G34" s="6" t="n">
        <v>47268</v>
      </c>
      <c r="H34" s="6" t="n">
        <v>30093</v>
      </c>
      <c r="I34" s="6" t="n">
        <v>6806</v>
      </c>
      <c r="J34" s="6"/>
      <c r="K34" s="6"/>
      <c r="L34" s="6"/>
      <c r="M34" s="6"/>
    </row>
    <row r="35" customFormat="false" ht="15.75" hidden="false" customHeight="false" outlineLevel="0" collapsed="false">
      <c r="A35" s="0" t="s">
        <v>21</v>
      </c>
      <c r="B35" s="1" t="n">
        <v>43895</v>
      </c>
      <c r="C35" s="6" t="n">
        <v>80428</v>
      </c>
      <c r="D35" s="6" t="n">
        <v>121</v>
      </c>
      <c r="E35" s="6" t="n">
        <v>2984</v>
      </c>
      <c r="F35" s="6" t="n">
        <v>38</v>
      </c>
      <c r="G35" s="6" t="n">
        <v>49923</v>
      </c>
      <c r="H35" s="6" t="n">
        <v>27521</v>
      </c>
      <c r="I35" s="6" t="n">
        <v>6416</v>
      </c>
      <c r="J35" s="6"/>
      <c r="K35" s="6"/>
      <c r="L35" s="6"/>
      <c r="M35" s="6"/>
    </row>
    <row r="36" customFormat="false" ht="15.75" hidden="false" customHeight="false" outlineLevel="0" collapsed="false">
      <c r="A36" s="0" t="s">
        <v>21</v>
      </c>
      <c r="B36" s="1" t="n">
        <v>43896</v>
      </c>
      <c r="C36" s="6" t="n">
        <v>80571</v>
      </c>
      <c r="D36" s="6" t="n">
        <v>143</v>
      </c>
      <c r="E36" s="6" t="n">
        <v>3015</v>
      </c>
      <c r="F36" s="6" t="n">
        <v>31</v>
      </c>
      <c r="G36" s="6" t="n">
        <v>52118</v>
      </c>
      <c r="H36" s="6" t="n">
        <v>25438</v>
      </c>
      <c r="I36" s="6" t="n">
        <v>5952</v>
      </c>
      <c r="J36" s="6"/>
      <c r="K36" s="6"/>
      <c r="L36" s="6"/>
      <c r="M36" s="6"/>
    </row>
    <row r="37" customFormat="false" ht="15.75" hidden="false" customHeight="false" outlineLevel="0" collapsed="false">
      <c r="A37" s="0" t="s">
        <v>21</v>
      </c>
      <c r="B37" s="1" t="n">
        <v>43897</v>
      </c>
      <c r="C37" s="8" t="n">
        <v>80714</v>
      </c>
      <c r="D37" s="8" t="n">
        <v>143</v>
      </c>
      <c r="E37" s="8" t="n">
        <v>3045</v>
      </c>
      <c r="F37" s="8" t="n">
        <v>30</v>
      </c>
      <c r="G37" s="8" t="n">
        <v>53804</v>
      </c>
      <c r="H37" s="8" t="n">
        <v>23865</v>
      </c>
      <c r="I37" s="8" t="n">
        <v>5737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21</v>
      </c>
      <c r="B38" s="1" t="n">
        <v>43898</v>
      </c>
      <c r="C38" s="6" t="n">
        <v>80820</v>
      </c>
      <c r="D38" s="6" t="n">
        <v>106</v>
      </c>
      <c r="E38" s="6" t="n">
        <v>3074</v>
      </c>
      <c r="F38" s="6" t="n">
        <v>29</v>
      </c>
      <c r="G38" s="6" t="n">
        <v>55488</v>
      </c>
      <c r="H38" s="6" t="n">
        <v>22258</v>
      </c>
      <c r="I38" s="6" t="n">
        <v>5489</v>
      </c>
      <c r="J38" s="6"/>
      <c r="K38" s="6"/>
      <c r="L38" s="6"/>
      <c r="M38" s="6"/>
    </row>
    <row r="39" customFormat="false" ht="15.75" hidden="false" customHeight="false" outlineLevel="0" collapsed="false">
      <c r="A39" s="0" t="s">
        <v>21</v>
      </c>
      <c r="B39" s="1" t="n">
        <v>43899</v>
      </c>
      <c r="C39" s="6" t="n">
        <v>80865</v>
      </c>
      <c r="D39" s="6" t="n">
        <v>45</v>
      </c>
      <c r="E39" s="6" t="n">
        <v>3101</v>
      </c>
      <c r="F39" s="6" t="n">
        <v>27</v>
      </c>
      <c r="G39" s="6" t="n">
        <v>57149</v>
      </c>
      <c r="H39" s="6" t="n">
        <v>20615</v>
      </c>
      <c r="I39" s="6" t="n">
        <v>5270</v>
      </c>
      <c r="J39" s="6"/>
      <c r="K39" s="6"/>
      <c r="L39" s="6"/>
      <c r="M39" s="6"/>
    </row>
    <row r="40" customFormat="false" ht="15.75" hidden="false" customHeight="false" outlineLevel="0" collapsed="false">
      <c r="A40" s="0" t="s">
        <v>21</v>
      </c>
      <c r="B40" s="1" t="n">
        <v>43900</v>
      </c>
      <c r="C40" s="6" t="n">
        <v>80906</v>
      </c>
      <c r="D40" s="6" t="n">
        <v>41</v>
      </c>
      <c r="E40" s="6" t="n">
        <v>3123</v>
      </c>
      <c r="F40" s="6" t="n">
        <v>22</v>
      </c>
      <c r="G40" s="6" t="n">
        <v>58684</v>
      </c>
      <c r="H40" s="6" t="n">
        <v>19099</v>
      </c>
      <c r="I40" s="6" t="n">
        <v>5117</v>
      </c>
      <c r="J40" s="6"/>
      <c r="K40" s="6"/>
      <c r="L40" s="6"/>
      <c r="M40" s="6"/>
    </row>
    <row r="41" customFormat="false" ht="15.75" hidden="false" customHeight="false" outlineLevel="0" collapsed="false">
      <c r="A41" s="0" t="s">
        <v>21</v>
      </c>
      <c r="B41" s="1" t="n">
        <v>43901</v>
      </c>
      <c r="C41" s="6" t="n">
        <v>80939</v>
      </c>
      <c r="D41" s="6" t="n">
        <v>33</v>
      </c>
      <c r="E41" s="6" t="n">
        <v>3140</v>
      </c>
      <c r="F41" s="6" t="n">
        <v>17</v>
      </c>
      <c r="G41" s="6" t="n">
        <v>60210</v>
      </c>
      <c r="H41" s="6" t="n">
        <v>17589</v>
      </c>
      <c r="I41" s="6" t="n">
        <v>4800</v>
      </c>
      <c r="J41" s="6" t="n">
        <v>56.1</v>
      </c>
      <c r="K41" s="6"/>
      <c r="L41" s="6"/>
      <c r="M41" s="6"/>
    </row>
    <row r="42" customFormat="false" ht="15.75" hidden="false" customHeight="false" outlineLevel="0" collapsed="false">
      <c r="A42" s="0" t="s">
        <v>21</v>
      </c>
      <c r="B42" s="1" t="n">
        <v>43902</v>
      </c>
      <c r="C42" s="6" t="n">
        <v>80974</v>
      </c>
      <c r="D42" s="6" t="n">
        <v>35</v>
      </c>
      <c r="E42" s="6" t="n">
        <v>3162</v>
      </c>
      <c r="F42" s="6" t="n">
        <v>22</v>
      </c>
      <c r="G42" s="6" t="n">
        <v>61704</v>
      </c>
      <c r="H42" s="6" t="n">
        <v>16108</v>
      </c>
      <c r="I42" s="6" t="n">
        <v>4498</v>
      </c>
      <c r="J42" s="6" t="n">
        <v>56.1</v>
      </c>
      <c r="K42" s="6"/>
      <c r="L42" s="6"/>
      <c r="M42" s="6"/>
    </row>
    <row r="43" customFormat="false" ht="15.75" hidden="false" customHeight="false" outlineLevel="0" collapsed="false">
      <c r="A43" s="0" t="s">
        <v>21</v>
      </c>
      <c r="B43" s="1" t="n">
        <v>43903</v>
      </c>
      <c r="C43" s="6" t="n">
        <v>80985</v>
      </c>
      <c r="D43" s="6" t="n">
        <v>11</v>
      </c>
      <c r="E43" s="6" t="n">
        <v>3173</v>
      </c>
      <c r="F43" s="6" t="n">
        <v>11</v>
      </c>
      <c r="G43" s="6" t="n">
        <v>62948</v>
      </c>
      <c r="H43" s="6" t="n">
        <v>14864</v>
      </c>
      <c r="I43" s="6" t="n">
        <v>4263</v>
      </c>
      <c r="J43" s="6" t="n">
        <v>56.1</v>
      </c>
      <c r="K43" s="6"/>
      <c r="L43" s="6"/>
      <c r="M43" s="6"/>
    </row>
    <row r="44" customFormat="false" ht="15.75" hidden="false" customHeight="false" outlineLevel="0" collapsed="false">
      <c r="A44" s="0" t="s">
        <v>21</v>
      </c>
      <c r="B44" s="1" t="n">
        <v>43904</v>
      </c>
      <c r="C44" s="6" t="n">
        <v>81009</v>
      </c>
      <c r="D44" s="6" t="n">
        <v>24</v>
      </c>
      <c r="E44" s="6" t="n">
        <v>3182</v>
      </c>
      <c r="F44" s="6" t="n">
        <v>9</v>
      </c>
      <c r="G44" s="6" t="n">
        <v>64259</v>
      </c>
      <c r="H44" s="6" t="n">
        <v>13568</v>
      </c>
      <c r="I44" s="6" t="n">
        <v>4024</v>
      </c>
      <c r="J44" s="6" t="n">
        <v>56.1</v>
      </c>
      <c r="K44" s="6"/>
      <c r="L44" s="6"/>
      <c r="M44" s="6"/>
    </row>
    <row r="45" customFormat="false" ht="15.75" hidden="false" customHeight="false" outlineLevel="0" collapsed="false">
      <c r="A45" s="0" t="s">
        <v>21</v>
      </c>
      <c r="B45" s="1" t="n">
        <v>43905</v>
      </c>
      <c r="C45" s="6" t="n">
        <v>81028</v>
      </c>
      <c r="D45" s="6" t="n">
        <v>19</v>
      </c>
      <c r="E45" s="6" t="n">
        <v>3194</v>
      </c>
      <c r="F45" s="6" t="n">
        <v>12</v>
      </c>
      <c r="G45" s="6" t="n">
        <v>65689</v>
      </c>
      <c r="H45" s="6" t="n">
        <v>12145</v>
      </c>
      <c r="I45" s="6" t="n">
        <v>3614</v>
      </c>
      <c r="J45" s="6" t="n">
        <v>56.2</v>
      </c>
      <c r="K45" s="6"/>
      <c r="L45" s="6"/>
      <c r="M45" s="6"/>
    </row>
    <row r="46" customFormat="false" ht="15.75" hidden="false" customHeight="false" outlineLevel="0" collapsed="false">
      <c r="A46" s="0" t="s">
        <v>21</v>
      </c>
      <c r="B46" s="1" t="n">
        <v>43906</v>
      </c>
      <c r="C46" s="6" t="n">
        <v>81070</v>
      </c>
      <c r="D46" s="6" t="n">
        <v>42</v>
      </c>
      <c r="E46" s="6" t="n">
        <v>3204</v>
      </c>
      <c r="F46" s="6" t="n">
        <v>10</v>
      </c>
      <c r="G46" s="6" t="n">
        <v>67045</v>
      </c>
      <c r="H46" s="6" t="n">
        <v>10821</v>
      </c>
      <c r="I46" s="6" t="n">
        <v>3230</v>
      </c>
      <c r="J46" s="6" t="n">
        <v>56.2</v>
      </c>
      <c r="K46" s="6"/>
      <c r="L46" s="6"/>
      <c r="M46" s="6"/>
    </row>
    <row r="47" customFormat="false" ht="15.75" hidden="false" customHeight="false" outlineLevel="0" collapsed="false">
      <c r="A47" s="0" t="s">
        <v>21</v>
      </c>
      <c r="B47" s="1" t="n">
        <v>43907</v>
      </c>
      <c r="C47" s="6" t="n">
        <v>81113</v>
      </c>
      <c r="D47" s="6" t="n">
        <v>43</v>
      </c>
      <c r="E47" s="6" t="n">
        <v>3218</v>
      </c>
      <c r="F47" s="6" t="n">
        <v>14</v>
      </c>
      <c r="G47" s="6" t="n">
        <v>67930</v>
      </c>
      <c r="H47" s="6" t="n">
        <v>9965</v>
      </c>
      <c r="I47" s="6" t="n">
        <v>3230</v>
      </c>
      <c r="J47" s="6" t="n">
        <v>56.2</v>
      </c>
      <c r="K47" s="6"/>
      <c r="L47" s="6"/>
      <c r="M47" s="6"/>
    </row>
    <row r="48" customFormat="false" ht="15.75" hidden="false" customHeight="false" outlineLevel="0" collapsed="false">
      <c r="A48" s="0" t="s">
        <v>21</v>
      </c>
      <c r="B48" s="1" t="n">
        <v>43908</v>
      </c>
      <c r="C48" s="6" t="n">
        <v>81139</v>
      </c>
      <c r="D48" s="6" t="n">
        <v>26</v>
      </c>
      <c r="E48" s="6" t="n">
        <v>3231</v>
      </c>
      <c r="F48" s="6" t="n">
        <v>13</v>
      </c>
      <c r="G48" s="6" t="n">
        <v>68835</v>
      </c>
      <c r="H48" s="6" t="n">
        <v>9073</v>
      </c>
      <c r="I48" s="6" t="n">
        <v>3230</v>
      </c>
      <c r="J48" s="6" t="n">
        <v>56.2</v>
      </c>
      <c r="K48" s="6"/>
      <c r="L48" s="6"/>
      <c r="M48" s="6"/>
    </row>
    <row r="49" customFormat="false" ht="15.75" hidden="false" customHeight="false" outlineLevel="0" collapsed="false">
      <c r="A49" s="0" t="s">
        <v>21</v>
      </c>
      <c r="B49" s="1" t="n">
        <v>43909</v>
      </c>
      <c r="C49" s="6" t="n">
        <v>81204</v>
      </c>
      <c r="D49" s="6" t="n">
        <v>65</v>
      </c>
      <c r="E49" s="6" t="n">
        <v>3242</v>
      </c>
      <c r="F49" s="6" t="n">
        <v>11</v>
      </c>
      <c r="G49" s="6" t="n">
        <v>69739</v>
      </c>
      <c r="H49" s="6" t="n">
        <v>8223</v>
      </c>
      <c r="I49" s="6" t="n">
        <v>2626</v>
      </c>
      <c r="J49" s="6" t="n">
        <v>56</v>
      </c>
      <c r="K49" s="6"/>
      <c r="L49" s="6"/>
      <c r="M49" s="6"/>
    </row>
    <row r="50" customFormat="false" ht="15.75" hidden="false" customHeight="false" outlineLevel="0" collapsed="false">
      <c r="A50" s="0" t="s">
        <v>21</v>
      </c>
      <c r="B50" s="1" t="n">
        <v>43910</v>
      </c>
      <c r="C50" s="6" t="n">
        <v>81261</v>
      </c>
      <c r="D50" s="6" t="n">
        <v>57</v>
      </c>
      <c r="E50" s="6" t="n">
        <v>3250</v>
      </c>
      <c r="F50" s="6" t="n">
        <v>8</v>
      </c>
      <c r="G50" s="6" t="n">
        <v>70554</v>
      </c>
      <c r="H50" s="6" t="n">
        <v>7457</v>
      </c>
      <c r="I50" s="6" t="n">
        <v>2278</v>
      </c>
      <c r="J50" s="6" t="n">
        <v>56</v>
      </c>
      <c r="K50" s="6"/>
      <c r="L50" s="6"/>
      <c r="M50" s="6"/>
    </row>
    <row r="51" customFormat="false" ht="15.75" hidden="false" customHeight="false" outlineLevel="0" collapsed="false">
      <c r="A51" s="0" t="s">
        <v>21</v>
      </c>
      <c r="B51" s="1" t="n">
        <v>43911</v>
      </c>
      <c r="C51" s="6" t="n">
        <v>81451</v>
      </c>
      <c r="D51" s="6" t="n">
        <v>190</v>
      </c>
      <c r="E51" s="6" t="n">
        <v>3261</v>
      </c>
      <c r="F51" s="6" t="n">
        <v>11</v>
      </c>
      <c r="G51" s="6" t="n">
        <v>71876</v>
      </c>
      <c r="H51" s="6" t="n">
        <v>6314</v>
      </c>
      <c r="I51" s="6" t="n">
        <v>1931</v>
      </c>
      <c r="J51" s="6" t="n">
        <v>56</v>
      </c>
      <c r="K51" s="6"/>
      <c r="L51" s="6"/>
      <c r="M51" s="6"/>
    </row>
    <row r="52" customFormat="false" ht="15.75" hidden="false" customHeight="false" outlineLevel="0" collapsed="false">
      <c r="A52" s="0" t="s">
        <v>21</v>
      </c>
      <c r="B52" s="1" t="n">
        <v>43912</v>
      </c>
      <c r="C52" s="6" t="n">
        <v>81452</v>
      </c>
      <c r="D52" s="6" t="n">
        <v>1</v>
      </c>
      <c r="E52" s="6" t="n">
        <v>3261</v>
      </c>
      <c r="F52" s="6" t="n">
        <v>0</v>
      </c>
      <c r="G52" s="6" t="n">
        <v>71876</v>
      </c>
      <c r="H52" s="6" t="n">
        <v>6315</v>
      </c>
      <c r="I52" s="6" t="n">
        <v>1931</v>
      </c>
      <c r="J52" s="6" t="n">
        <v>56</v>
      </c>
      <c r="K52" s="6"/>
      <c r="L52" s="6"/>
      <c r="M52" s="6"/>
    </row>
    <row r="53" customFormat="false" ht="15.75" hidden="false" customHeight="false" outlineLevel="0" collapsed="false">
      <c r="A53" s="0" t="s">
        <v>21</v>
      </c>
      <c r="B53" s="1" t="n">
        <v>43913</v>
      </c>
      <c r="C53" s="6" t="n">
        <v>81562</v>
      </c>
      <c r="D53" s="6" t="n">
        <v>110</v>
      </c>
      <c r="E53" s="6" t="n">
        <v>3267</v>
      </c>
      <c r="F53" s="6" t="n">
        <v>6</v>
      </c>
      <c r="G53" s="6" t="n">
        <v>72578</v>
      </c>
      <c r="H53" s="6" t="n">
        <v>5717</v>
      </c>
      <c r="I53" s="6" t="n">
        <v>1849</v>
      </c>
      <c r="J53" s="6" t="n">
        <v>56</v>
      </c>
      <c r="K53" s="6"/>
      <c r="L53" s="6"/>
      <c r="M53" s="6"/>
    </row>
    <row r="54" customFormat="false" ht="15.75" hidden="false" customHeight="false" outlineLevel="0" collapsed="false">
      <c r="A54" s="0" t="s">
        <v>21</v>
      </c>
      <c r="B54" s="1" t="n">
        <v>43914</v>
      </c>
      <c r="C54" s="6" t="n">
        <v>81669</v>
      </c>
      <c r="D54" s="6" t="n">
        <v>107</v>
      </c>
      <c r="E54" s="6" t="n">
        <v>3276</v>
      </c>
      <c r="F54" s="6" t="n">
        <v>9</v>
      </c>
      <c r="G54" s="6" t="n">
        <v>72841</v>
      </c>
      <c r="H54" s="6" t="n">
        <v>5552</v>
      </c>
      <c r="I54" s="6" t="n">
        <v>1753</v>
      </c>
      <c r="J54" s="6" t="n">
        <v>56</v>
      </c>
      <c r="K54" s="6"/>
      <c r="L54" s="6"/>
      <c r="M54" s="6"/>
    </row>
    <row r="55" customFormat="false" ht="15.75" hidden="false" customHeight="false" outlineLevel="0" collapsed="false">
      <c r="A55" s="0" t="s">
        <v>21</v>
      </c>
      <c r="B55" s="1" t="n">
        <v>43915</v>
      </c>
      <c r="C55" s="7" t="n">
        <v>81801</v>
      </c>
      <c r="D55" s="7" t="n">
        <v>132</v>
      </c>
      <c r="E55" s="7" t="n">
        <v>3283</v>
      </c>
      <c r="F55" s="7" t="n">
        <v>7</v>
      </c>
      <c r="G55" s="7" t="n">
        <v>73300</v>
      </c>
      <c r="H55" s="7" t="n">
        <v>5218</v>
      </c>
      <c r="I55" s="7" t="n">
        <v>1577</v>
      </c>
      <c r="J55" s="7" t="n">
        <v>56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21</v>
      </c>
      <c r="B56" s="1" t="n">
        <v>43916</v>
      </c>
      <c r="C56" s="7" t="n">
        <v>81893</v>
      </c>
      <c r="D56" s="7" t="n">
        <v>92</v>
      </c>
      <c r="E56" s="7" t="n">
        <v>3287</v>
      </c>
      <c r="F56" s="7" t="n">
        <v>4</v>
      </c>
      <c r="G56" s="7" t="n">
        <v>73791</v>
      </c>
      <c r="H56" s="7" t="n">
        <v>4815</v>
      </c>
      <c r="I56" s="7" t="n">
        <v>1403</v>
      </c>
      <c r="J56" s="7" t="n">
        <v>56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21</v>
      </c>
      <c r="B57" s="1" t="n">
        <v>43917</v>
      </c>
      <c r="C57" s="7" t="n">
        <v>82021</v>
      </c>
      <c r="D57" s="7" t="n">
        <v>128</v>
      </c>
      <c r="E57" s="7" t="n">
        <v>3293</v>
      </c>
      <c r="F57" s="7" t="n">
        <v>6</v>
      </c>
      <c r="G57" s="7" t="n">
        <v>74200</v>
      </c>
      <c r="H57" s="7" t="n">
        <v>4528</v>
      </c>
      <c r="I57" s="7" t="n">
        <v>1240</v>
      </c>
      <c r="J57" s="7" t="n">
        <v>56</v>
      </c>
      <c r="K57" s="7" t="n">
        <v>2</v>
      </c>
      <c r="L57" s="7"/>
      <c r="M57" s="7"/>
    </row>
    <row r="58" customFormat="false" ht="15.75" hidden="false" customHeight="false" outlineLevel="0" collapsed="false">
      <c r="A58" s="0" t="s">
        <v>21</v>
      </c>
      <c r="B58" s="1" t="n">
        <v>43918</v>
      </c>
      <c r="C58" s="7" t="n">
        <v>82159</v>
      </c>
      <c r="D58" s="7" t="n">
        <v>138</v>
      </c>
      <c r="E58" s="7" t="n">
        <v>3298</v>
      </c>
      <c r="F58" s="7" t="n">
        <v>5</v>
      </c>
      <c r="G58" s="7" t="n">
        <v>74739</v>
      </c>
      <c r="H58" s="7" t="n">
        <v>4122</v>
      </c>
      <c r="I58" s="7" t="n">
        <v>1039</v>
      </c>
      <c r="J58" s="7" t="n">
        <v>57</v>
      </c>
      <c r="K58" s="7" t="n">
        <v>2</v>
      </c>
      <c r="L58" s="7"/>
      <c r="M58" s="7"/>
    </row>
    <row r="59" customFormat="false" ht="15.75" hidden="false" customHeight="false" outlineLevel="0" collapsed="false">
      <c r="A59" s="0" t="s">
        <v>21</v>
      </c>
      <c r="B59" s="1" t="n">
        <v>43919</v>
      </c>
      <c r="C59" s="7" t="n">
        <v>82271</v>
      </c>
      <c r="D59" s="7" t="n">
        <v>112</v>
      </c>
      <c r="E59" s="7" t="n">
        <v>3301</v>
      </c>
      <c r="F59" s="7" t="n">
        <v>3</v>
      </c>
      <c r="G59" s="7" t="n">
        <v>75123</v>
      </c>
      <c r="H59" s="7" t="n">
        <v>3847</v>
      </c>
      <c r="I59" s="7" t="n">
        <v>891</v>
      </c>
      <c r="J59" s="7" t="n">
        <v>57</v>
      </c>
      <c r="K59" s="7" t="n">
        <v>2</v>
      </c>
      <c r="L59" s="7"/>
      <c r="M59" s="7"/>
    </row>
    <row r="60" customFormat="false" ht="15.75" hidden="false" customHeight="false" outlineLevel="0" collapsed="false">
      <c r="A60" s="0" t="s">
        <v>21</v>
      </c>
      <c r="B60" s="1" t="n">
        <v>43920</v>
      </c>
      <c r="C60" s="7" t="n">
        <v>82415</v>
      </c>
      <c r="D60" s="7" t="n">
        <v>144</v>
      </c>
      <c r="E60" s="7" t="n">
        <v>3306</v>
      </c>
      <c r="F60" s="7" t="n">
        <v>5</v>
      </c>
      <c r="G60" s="7" t="n">
        <v>75615</v>
      </c>
      <c r="H60" s="7" t="n">
        <v>3494</v>
      </c>
      <c r="I60" s="7" t="n">
        <v>747</v>
      </c>
      <c r="J60" s="7" t="n">
        <v>57</v>
      </c>
      <c r="K60" s="7" t="n">
        <v>2</v>
      </c>
      <c r="L60" s="7"/>
      <c r="M60" s="7"/>
    </row>
    <row r="61" customFormat="false" ht="15.75" hidden="false" customHeight="false" outlineLevel="0" collapsed="false">
      <c r="A61" s="0" t="s">
        <v>21</v>
      </c>
      <c r="B61" s="1" t="n">
        <v>43921</v>
      </c>
      <c r="C61" s="7" t="n">
        <v>82456</v>
      </c>
      <c r="D61" s="7" t="n">
        <v>41</v>
      </c>
      <c r="E61" s="7" t="n">
        <v>3313</v>
      </c>
      <c r="F61" s="7" t="n">
        <v>7</v>
      </c>
      <c r="G61" s="7" t="n">
        <v>75867</v>
      </c>
      <c r="H61" s="7" t="n">
        <v>3276</v>
      </c>
      <c r="I61" s="7" t="n">
        <v>638</v>
      </c>
      <c r="J61" s="7" t="n">
        <v>57</v>
      </c>
      <c r="K61" s="7" t="n">
        <v>2</v>
      </c>
      <c r="L61" s="7"/>
      <c r="M61" s="7"/>
    </row>
    <row r="62" customFormat="false" ht="15.75" hidden="false" customHeight="false" outlineLevel="0" collapsed="false">
      <c r="A62" s="0" t="s">
        <v>21</v>
      </c>
      <c r="B62" s="1" t="n">
        <v>43922</v>
      </c>
      <c r="C62" s="7" t="n">
        <v>82595</v>
      </c>
      <c r="D62" s="7" t="n">
        <v>139</v>
      </c>
      <c r="E62" s="7" t="n">
        <v>3314</v>
      </c>
      <c r="F62" s="7" t="n">
        <v>1</v>
      </c>
      <c r="G62" s="7" t="n">
        <v>76229</v>
      </c>
      <c r="H62" s="7" t="n">
        <v>3052</v>
      </c>
      <c r="I62" s="7" t="n">
        <v>533</v>
      </c>
      <c r="J62" s="7" t="n">
        <v>57</v>
      </c>
      <c r="K62" s="7" t="n">
        <v>2</v>
      </c>
      <c r="L62" s="7"/>
      <c r="M62" s="7"/>
    </row>
    <row r="63" customFormat="false" ht="15.75" hidden="false" customHeight="false" outlineLevel="0" collapsed="false">
      <c r="A63" s="0" t="s">
        <v>21</v>
      </c>
      <c r="B63" s="1" t="n">
        <v>43923</v>
      </c>
      <c r="C63" s="7" t="n">
        <v>82689</v>
      </c>
      <c r="D63" s="7" t="n">
        <v>94</v>
      </c>
      <c r="E63" s="7" t="n">
        <v>3321</v>
      </c>
      <c r="F63" s="7" t="n">
        <v>7</v>
      </c>
      <c r="G63" s="7" t="n">
        <v>76440</v>
      </c>
      <c r="H63" s="7" t="n">
        <v>2928</v>
      </c>
      <c r="I63" s="7" t="n">
        <v>471</v>
      </c>
      <c r="J63" s="7" t="n">
        <v>57</v>
      </c>
      <c r="K63" s="7" t="n">
        <v>2</v>
      </c>
      <c r="L63" s="7"/>
      <c r="M63" s="7"/>
    </row>
    <row r="64" customFormat="false" ht="15.75" hidden="false" customHeight="false" outlineLevel="0" collapsed="false">
      <c r="A64" s="0" t="s">
        <v>21</v>
      </c>
      <c r="B64" s="1" t="n">
        <v>43924</v>
      </c>
      <c r="C64" s="7" t="n">
        <v>82771</v>
      </c>
      <c r="D64" s="7" t="n">
        <v>82</v>
      </c>
      <c r="E64" s="7" t="n">
        <v>3327</v>
      </c>
      <c r="F64" s="7" t="n">
        <v>6</v>
      </c>
      <c r="G64" s="7" t="n">
        <v>76622</v>
      </c>
      <c r="H64" s="7" t="n">
        <v>2822</v>
      </c>
      <c r="I64" s="7" t="n">
        <v>437</v>
      </c>
      <c r="J64" s="7" t="n">
        <v>57</v>
      </c>
      <c r="K64" s="7" t="n">
        <v>2</v>
      </c>
      <c r="L64" s="7"/>
      <c r="M64" s="7"/>
    </row>
    <row r="65" customFormat="false" ht="15.75" hidden="false" customHeight="false" outlineLevel="0" collapsed="false">
      <c r="A65" s="0" t="s">
        <v>21</v>
      </c>
      <c r="B65" s="1" t="n">
        <v>43925</v>
      </c>
      <c r="C65" s="7" t="n">
        <v>82855</v>
      </c>
      <c r="D65" s="7" t="n">
        <v>84</v>
      </c>
      <c r="E65" s="7" t="n">
        <v>3331</v>
      </c>
      <c r="F65" s="7" t="n">
        <v>4</v>
      </c>
      <c r="G65" s="7" t="n">
        <v>76804</v>
      </c>
      <c r="H65" s="7" t="n">
        <v>2720</v>
      </c>
      <c r="I65" s="7" t="n">
        <v>387</v>
      </c>
      <c r="J65" s="7" t="n">
        <v>57</v>
      </c>
      <c r="K65" s="7" t="n">
        <v>2</v>
      </c>
      <c r="L65" s="7"/>
      <c r="M65" s="7"/>
    </row>
    <row r="66" customFormat="false" ht="15.75" hidden="false" customHeight="false" outlineLevel="0" collapsed="false">
      <c r="A66" s="0" t="s">
        <v>21</v>
      </c>
      <c r="B66" s="1" t="n">
        <v>43926</v>
      </c>
      <c r="C66" s="7" t="n">
        <v>82899</v>
      </c>
      <c r="D66" s="7" t="n">
        <v>44</v>
      </c>
      <c r="E66" s="7" t="n">
        <v>3335</v>
      </c>
      <c r="F66" s="7" t="n">
        <v>4</v>
      </c>
      <c r="G66" s="7" t="n">
        <v>76988</v>
      </c>
      <c r="H66" s="7" t="n">
        <v>2576</v>
      </c>
      <c r="I66" s="7" t="n">
        <v>339</v>
      </c>
      <c r="J66" s="7" t="n">
        <v>57</v>
      </c>
      <c r="K66" s="7" t="n">
        <v>2</v>
      </c>
      <c r="L66" s="7"/>
      <c r="M66" s="7"/>
    </row>
    <row r="67" customFormat="false" ht="15.75" hidden="false" customHeight="false" outlineLevel="0" collapsed="false">
      <c r="A67" s="0" t="s">
        <v>21</v>
      </c>
      <c r="B67" s="1" t="n">
        <v>43927</v>
      </c>
      <c r="C67" s="7" t="n">
        <v>82966</v>
      </c>
      <c r="D67" s="7" t="n">
        <v>67</v>
      </c>
      <c r="E67" s="7" t="n">
        <v>3338</v>
      </c>
      <c r="F67" s="7" t="n">
        <v>3</v>
      </c>
      <c r="G67" s="7" t="n">
        <v>77234</v>
      </c>
      <c r="H67" s="7" t="n">
        <v>2394</v>
      </c>
      <c r="I67" s="7" t="n">
        <v>303</v>
      </c>
      <c r="J67" s="7" t="n">
        <v>57</v>
      </c>
      <c r="K67" s="7" t="n">
        <v>2</v>
      </c>
      <c r="L67" s="7"/>
      <c r="M67" s="7"/>
    </row>
    <row r="68" customFormat="false" ht="15.75" hidden="false" customHeight="false" outlineLevel="0" collapsed="false">
      <c r="A68" s="0" t="s">
        <v>21</v>
      </c>
      <c r="B68" s="1" t="n">
        <v>43928</v>
      </c>
      <c r="C68" s="12" t="n">
        <v>83040</v>
      </c>
      <c r="D68" s="12" t="n">
        <v>74</v>
      </c>
      <c r="E68" s="12" t="n">
        <v>3340</v>
      </c>
      <c r="F68" s="12" t="n">
        <v>2</v>
      </c>
      <c r="G68" s="12" t="n">
        <v>77361</v>
      </c>
      <c r="H68" s="12" t="n">
        <v>2339</v>
      </c>
      <c r="I68" s="12" t="n">
        <v>277</v>
      </c>
      <c r="J68" s="12" t="n">
        <v>57</v>
      </c>
      <c r="K68" s="12" t="n">
        <v>2</v>
      </c>
      <c r="L68" s="12"/>
      <c r="M68" s="12"/>
    </row>
    <row r="69" customFormat="false" ht="15.75" hidden="false" customHeight="false" outlineLevel="0" collapsed="false">
      <c r="A69" s="0" t="s">
        <v>21</v>
      </c>
      <c r="B69" s="1" t="n">
        <v>43929</v>
      </c>
      <c r="C69" s="14" t="n">
        <v>83096</v>
      </c>
      <c r="D69" s="14" t="n">
        <v>56</v>
      </c>
      <c r="E69" s="14" t="n">
        <v>3340</v>
      </c>
      <c r="F69" s="14" t="n">
        <v>0</v>
      </c>
      <c r="G69" s="14" t="n">
        <v>77474</v>
      </c>
      <c r="H69" s="14" t="n">
        <v>2282</v>
      </c>
      <c r="I69" s="14" t="n">
        <v>224</v>
      </c>
      <c r="J69" s="14" t="n">
        <v>57</v>
      </c>
      <c r="K69" s="14" t="n">
        <v>2</v>
      </c>
      <c r="L69" s="14"/>
      <c r="M69" s="14"/>
    </row>
    <row r="70" customFormat="false" ht="15.75" hidden="false" customHeight="false" outlineLevel="0" collapsed="false">
      <c r="A70" s="0" t="s">
        <v>21</v>
      </c>
      <c r="B70" s="1" t="n">
        <v>43930</v>
      </c>
      <c r="C70" s="14" t="n">
        <v>83187</v>
      </c>
      <c r="D70" s="14" t="n">
        <v>91</v>
      </c>
      <c r="E70" s="14" t="n">
        <v>3342</v>
      </c>
      <c r="F70" s="14" t="n">
        <v>2</v>
      </c>
      <c r="G70" s="14" t="n">
        <v>77620</v>
      </c>
      <c r="H70" s="14" t="n">
        <v>2225</v>
      </c>
      <c r="I70" s="14" t="n">
        <v>204</v>
      </c>
      <c r="J70" s="14" t="n">
        <v>57</v>
      </c>
      <c r="K70" s="14" t="n">
        <v>2</v>
      </c>
      <c r="L70" s="14"/>
      <c r="M70" s="14"/>
    </row>
    <row r="71" customFormat="false" ht="15.75" hidden="false" customHeight="false" outlineLevel="0" collapsed="false">
      <c r="A71" s="0" t="s">
        <v>21</v>
      </c>
      <c r="B71" s="1" t="n">
        <v>43931</v>
      </c>
      <c r="C71" s="14" t="n">
        <v>83264</v>
      </c>
      <c r="D71" s="14" t="n">
        <v>77</v>
      </c>
      <c r="E71" s="14" t="n">
        <v>3344</v>
      </c>
      <c r="F71" s="14" t="n">
        <v>2</v>
      </c>
      <c r="G71" s="14" t="n">
        <v>77753</v>
      </c>
      <c r="H71" s="14" t="n">
        <v>2167</v>
      </c>
      <c r="I71" s="14" t="n">
        <v>191</v>
      </c>
      <c r="J71" s="14" t="n">
        <v>57</v>
      </c>
      <c r="K71" s="14" t="n">
        <v>2</v>
      </c>
      <c r="L71" s="14"/>
      <c r="M71" s="14"/>
    </row>
    <row r="72" customFormat="false" ht="15.75" hidden="false" customHeight="false" outlineLevel="0" collapsed="false">
      <c r="A72" s="0" t="s">
        <v>21</v>
      </c>
      <c r="B72" s="1" t="n">
        <v>43932</v>
      </c>
      <c r="C72" s="14" t="n">
        <v>83324</v>
      </c>
      <c r="D72" s="14" t="n">
        <v>60</v>
      </c>
      <c r="E72" s="14" t="n">
        <v>3346</v>
      </c>
      <c r="F72" s="14" t="n">
        <v>2</v>
      </c>
      <c r="G72" s="14" t="n">
        <v>77865</v>
      </c>
      <c r="H72" s="14" t="n">
        <v>2113</v>
      </c>
      <c r="I72" s="14" t="n">
        <v>160</v>
      </c>
      <c r="J72" s="14" t="n">
        <v>57</v>
      </c>
      <c r="K72" s="14" t="n">
        <v>2</v>
      </c>
      <c r="L72" s="14"/>
      <c r="M72" s="14"/>
    </row>
    <row r="73" customFormat="false" ht="15.75" hidden="false" customHeight="false" outlineLevel="0" collapsed="false">
      <c r="A73" s="0" t="s">
        <v>21</v>
      </c>
      <c r="B73" s="1" t="n">
        <v>43933</v>
      </c>
      <c r="C73" s="14" t="n">
        <v>83384</v>
      </c>
      <c r="D73" s="14" t="n">
        <v>60</v>
      </c>
      <c r="E73" s="14" t="n">
        <v>3349</v>
      </c>
      <c r="F73" s="14" t="n">
        <v>3</v>
      </c>
      <c r="G73" s="14" t="n">
        <v>77970</v>
      </c>
      <c r="H73" s="14" t="n">
        <v>2065</v>
      </c>
      <c r="I73" s="14" t="n">
        <v>156</v>
      </c>
      <c r="J73" s="14" t="n">
        <v>57</v>
      </c>
      <c r="K73" s="14" t="n">
        <v>2</v>
      </c>
      <c r="L73" s="14"/>
      <c r="M73" s="14"/>
    </row>
    <row r="74" customFormat="false" ht="15.75" hidden="false" customHeight="false" outlineLevel="0" collapsed="false">
      <c r="A74" s="0" t="s">
        <v>21</v>
      </c>
      <c r="B74" s="1" t="n">
        <v>43934</v>
      </c>
      <c r="C74" s="14" t="n">
        <v>83490</v>
      </c>
      <c r="D74" s="14" t="n">
        <v>106</v>
      </c>
      <c r="E74" s="14" t="n">
        <v>3349</v>
      </c>
      <c r="F74" s="14" t="n">
        <v>0</v>
      </c>
      <c r="G74" s="14" t="n">
        <v>78054</v>
      </c>
      <c r="H74" s="14" t="n">
        <v>2087</v>
      </c>
      <c r="I74" s="14" t="n">
        <v>153</v>
      </c>
      <c r="J74" s="14" t="n">
        <v>57</v>
      </c>
      <c r="K74" s="14" t="n">
        <v>2</v>
      </c>
      <c r="L74" s="14"/>
      <c r="M74" s="14"/>
    </row>
    <row r="75" customFormat="false" ht="15.75" hidden="false" customHeight="false" outlineLevel="0" collapsed="false">
      <c r="A75" s="0" t="s">
        <v>21</v>
      </c>
      <c r="B75" s="1" t="n">
        <v>43935</v>
      </c>
      <c r="C75" s="14" t="n">
        <v>83608</v>
      </c>
      <c r="D75" s="14" t="n">
        <v>118</v>
      </c>
      <c r="E75" s="14" t="n">
        <v>3351</v>
      </c>
      <c r="F75" s="14" t="n">
        <v>2</v>
      </c>
      <c r="G75" s="14" t="n">
        <v>78184</v>
      </c>
      <c r="H75" s="14" t="n">
        <v>2073</v>
      </c>
      <c r="I75" s="14" t="n">
        <v>135</v>
      </c>
      <c r="J75" s="14" t="n">
        <v>57</v>
      </c>
      <c r="K75" s="14" t="n">
        <v>2</v>
      </c>
      <c r="L75" s="14"/>
      <c r="M75" s="14"/>
    </row>
    <row r="76" customFormat="false" ht="15.75" hidden="false" customHeight="false" outlineLevel="0" collapsed="false">
      <c r="A76" s="0" t="s">
        <v>21</v>
      </c>
      <c r="B76" s="1" t="n">
        <v>43936</v>
      </c>
      <c r="C76" s="14" t="n">
        <v>83700</v>
      </c>
      <c r="D76" s="14" t="n">
        <v>92</v>
      </c>
      <c r="E76" s="14" t="n">
        <v>3351</v>
      </c>
      <c r="F76" s="14" t="n">
        <v>0</v>
      </c>
      <c r="G76" s="14" t="n">
        <v>78306</v>
      </c>
      <c r="H76" s="14" t="n">
        <v>2043</v>
      </c>
      <c r="I76" s="14" t="n">
        <v>130</v>
      </c>
      <c r="J76" s="14" t="n">
        <v>57</v>
      </c>
      <c r="K76" s="14" t="n">
        <v>2</v>
      </c>
      <c r="L76" s="14"/>
      <c r="M76" s="14"/>
    </row>
    <row r="77" customFormat="false" ht="15.75" hidden="false" customHeight="false" outlineLevel="0" collapsed="false">
      <c r="A77" s="0" t="s">
        <v>21</v>
      </c>
      <c r="B77" s="1" t="n">
        <v>43937</v>
      </c>
      <c r="C77" s="14" t="n">
        <v>83752</v>
      </c>
      <c r="D77" s="14" t="n">
        <v>52</v>
      </c>
      <c r="E77" s="14" t="n">
        <v>3352</v>
      </c>
      <c r="F77" s="14" t="n">
        <v>1</v>
      </c>
      <c r="G77" s="14" t="n">
        <v>78427</v>
      </c>
      <c r="H77" s="14" t="n">
        <v>1973</v>
      </c>
      <c r="I77" s="14" t="n">
        <v>124</v>
      </c>
      <c r="J77" s="14" t="n">
        <v>57</v>
      </c>
      <c r="K77" s="14" t="n">
        <v>2</v>
      </c>
      <c r="L77" s="14"/>
      <c r="M77" s="14"/>
    </row>
    <row r="78" customFormat="false" ht="15.75" hidden="false" customHeight="false" outlineLevel="0" collapsed="false">
      <c r="A78" s="0" t="s">
        <v>21</v>
      </c>
      <c r="B78" s="1" t="n">
        <v>43938</v>
      </c>
      <c r="C78" s="14" t="n">
        <v>83799</v>
      </c>
      <c r="D78" s="14" t="n">
        <v>47</v>
      </c>
      <c r="E78" s="14" t="n">
        <v>3352</v>
      </c>
      <c r="F78" s="14" t="n">
        <v>0</v>
      </c>
      <c r="G78" s="14" t="n">
        <v>78548</v>
      </c>
      <c r="H78" s="14" t="n">
        <v>1899</v>
      </c>
      <c r="I78" s="14" t="n">
        <v>105</v>
      </c>
      <c r="J78" s="14" t="n">
        <v>57</v>
      </c>
      <c r="K78" s="14" t="n">
        <v>2</v>
      </c>
    </row>
    <row r="79" customFormat="false" ht="15.75" hidden="false" customHeight="false" outlineLevel="0" collapsed="false">
      <c r="A79" s="0" t="s">
        <v>21</v>
      </c>
      <c r="B79" s="1" t="n">
        <v>43939</v>
      </c>
      <c r="C79" s="14" t="n">
        <v>84154</v>
      </c>
      <c r="D79" s="14" t="n">
        <v>355</v>
      </c>
      <c r="E79" s="14" t="n">
        <v>4642</v>
      </c>
      <c r="F79" s="14" t="n">
        <v>1290</v>
      </c>
      <c r="G79" s="14" t="n">
        <v>78659</v>
      </c>
      <c r="H79" s="14" t="n">
        <v>853</v>
      </c>
      <c r="I79" s="14" t="n">
        <v>99</v>
      </c>
      <c r="J79" s="14" t="n">
        <v>57</v>
      </c>
      <c r="K79" s="14" t="n">
        <v>2</v>
      </c>
    </row>
    <row r="80" customFormat="false" ht="15.75" hidden="false" customHeight="false" outlineLevel="0" collapsed="false">
      <c r="A80" s="0" t="s">
        <v>21</v>
      </c>
      <c r="B80" s="1" t="n">
        <v>43940</v>
      </c>
      <c r="C80" s="14" t="n">
        <v>84186</v>
      </c>
      <c r="D80" s="14" t="n">
        <v>32</v>
      </c>
      <c r="E80" s="14" t="n">
        <v>4642</v>
      </c>
      <c r="F80" s="14" t="n">
        <v>0</v>
      </c>
      <c r="G80" s="14" t="n">
        <v>77791</v>
      </c>
      <c r="H80" s="14" t="n">
        <v>1753</v>
      </c>
      <c r="I80" s="14" t="n">
        <v>95</v>
      </c>
      <c r="J80" s="14" t="n">
        <v>57</v>
      </c>
      <c r="K80" s="14" t="n">
        <v>2</v>
      </c>
    </row>
    <row r="81" customFormat="false" ht="15.75" hidden="false" customHeight="false" outlineLevel="0" collapsed="false">
      <c r="A81" s="0" t="s">
        <v>21</v>
      </c>
      <c r="B81" s="1" t="n">
        <v>43941</v>
      </c>
      <c r="C81" s="14" t="n">
        <v>84226</v>
      </c>
      <c r="D81" s="14" t="n">
        <v>40</v>
      </c>
      <c r="E81" s="14" t="n">
        <v>4642</v>
      </c>
      <c r="F81" s="14" t="n">
        <v>0</v>
      </c>
      <c r="G81" s="14" t="n">
        <v>77870</v>
      </c>
      <c r="H81" s="14" t="n">
        <v>1714</v>
      </c>
      <c r="I81" s="14" t="n">
        <v>94</v>
      </c>
      <c r="J81" s="14" t="n">
        <v>57</v>
      </c>
      <c r="K81" s="14" t="n">
        <v>2</v>
      </c>
    </row>
    <row r="82" customFormat="false" ht="15.75" hidden="false" customHeight="false" outlineLevel="0" collapsed="false">
      <c r="A82" s="0" t="s">
        <v>21</v>
      </c>
      <c r="B82" s="1" t="n">
        <v>43942</v>
      </c>
      <c r="C82" s="6" t="n">
        <v>84240</v>
      </c>
      <c r="D82" s="6" t="n">
        <v>14</v>
      </c>
      <c r="E82" s="6" t="n">
        <v>4642</v>
      </c>
      <c r="F82" s="6" t="n">
        <v>0</v>
      </c>
      <c r="G82" s="6" t="n">
        <v>77939</v>
      </c>
      <c r="H82" s="6" t="n">
        <v>1659</v>
      </c>
      <c r="I82" s="6" t="n">
        <v>90</v>
      </c>
      <c r="J82" s="6" t="n">
        <v>57</v>
      </c>
      <c r="K82" s="6" t="n">
        <v>2</v>
      </c>
    </row>
    <row r="83" customFormat="false" ht="15.75" hidden="false" customHeight="false" outlineLevel="0" collapsed="false">
      <c r="A83" s="0" t="s">
        <v>21</v>
      </c>
      <c r="B83" s="1" t="n">
        <v>43943</v>
      </c>
      <c r="C83" s="6" t="n">
        <v>84258</v>
      </c>
      <c r="D83" s="6" t="n">
        <v>18</v>
      </c>
      <c r="E83" s="6" t="n">
        <v>4642</v>
      </c>
      <c r="F83" s="6" t="n">
        <v>0</v>
      </c>
      <c r="G83" s="6" t="n">
        <v>78014</v>
      </c>
      <c r="H83" s="6" t="n">
        <v>1602</v>
      </c>
      <c r="I83" s="6" t="n">
        <v>91</v>
      </c>
      <c r="J83" s="6" t="n">
        <v>57</v>
      </c>
      <c r="K83" s="6" t="n">
        <v>3</v>
      </c>
    </row>
    <row r="84" customFormat="false" ht="15.75" hidden="false" customHeight="false" outlineLevel="0" collapsed="false">
      <c r="A84" s="0" t="s">
        <v>21</v>
      </c>
      <c r="B84" s="1" t="n">
        <v>43944</v>
      </c>
      <c r="C84" s="6" t="n">
        <v>84293</v>
      </c>
      <c r="D84" s="6" t="n">
        <v>35</v>
      </c>
      <c r="E84" s="6" t="n">
        <v>4642</v>
      </c>
      <c r="F84" s="6" t="n">
        <v>0</v>
      </c>
      <c r="G84" s="6" t="n">
        <v>78091</v>
      </c>
      <c r="H84" s="6" t="n">
        <v>1560</v>
      </c>
      <c r="I84" s="6" t="n">
        <v>87</v>
      </c>
      <c r="J84" s="6" t="n">
        <v>58</v>
      </c>
      <c r="K84" s="6" t="n">
        <v>3</v>
      </c>
    </row>
    <row r="85" customFormat="false" ht="15.75" hidden="false" customHeight="false" outlineLevel="0" collapsed="false">
      <c r="A85" s="0" t="s">
        <v>21</v>
      </c>
      <c r="B85" s="1" t="n">
        <v>43945</v>
      </c>
      <c r="C85" s="6" t="n">
        <v>84306</v>
      </c>
      <c r="D85" s="6" t="n">
        <v>13</v>
      </c>
      <c r="E85" s="6" t="n">
        <v>4642</v>
      </c>
      <c r="F85" s="6" t="n">
        <v>0</v>
      </c>
      <c r="G85" s="6" t="n">
        <v>78186</v>
      </c>
      <c r="H85" s="6" t="n">
        <v>1478</v>
      </c>
      <c r="I85" s="6" t="n">
        <v>73</v>
      </c>
      <c r="J85" s="6" t="n">
        <v>58</v>
      </c>
      <c r="K85" s="6" t="n">
        <v>3</v>
      </c>
    </row>
    <row r="86" customFormat="false" ht="15.75" hidden="false" customHeight="false" outlineLevel="0" collapsed="false">
      <c r="A86" s="0" t="s">
        <v>21</v>
      </c>
      <c r="B86" s="1" t="n">
        <v>43946</v>
      </c>
      <c r="C86" s="6" t="n">
        <v>84313</v>
      </c>
      <c r="D86" s="6" t="n">
        <v>7</v>
      </c>
      <c r="E86" s="6" t="n">
        <v>4642</v>
      </c>
      <c r="F86" s="6" t="n">
        <v>0</v>
      </c>
      <c r="G86" s="6" t="n">
        <v>78247</v>
      </c>
      <c r="H86" s="6" t="n">
        <v>1424</v>
      </c>
      <c r="I86" s="6" t="n">
        <v>67</v>
      </c>
      <c r="J86" s="6" t="n">
        <v>58</v>
      </c>
      <c r="K86" s="6" t="n">
        <v>3</v>
      </c>
    </row>
    <row r="87" customFormat="false" ht="15.75" hidden="false" customHeight="false" outlineLevel="0" collapsed="false">
      <c r="A87" s="0" t="s">
        <v>21</v>
      </c>
      <c r="B87" s="1" t="n">
        <v>43947</v>
      </c>
      <c r="C87" s="6" t="n">
        <v>84328</v>
      </c>
      <c r="D87" s="6" t="n">
        <v>15</v>
      </c>
      <c r="E87" s="6" t="n">
        <v>4642</v>
      </c>
      <c r="F87" s="6" t="n">
        <v>0</v>
      </c>
      <c r="G87" s="6" t="n">
        <v>78401</v>
      </c>
      <c r="H87" s="6" t="n">
        <v>1285</v>
      </c>
      <c r="I87" s="6" t="n">
        <v>54</v>
      </c>
      <c r="J87" s="6" t="n">
        <v>58</v>
      </c>
      <c r="K87" s="6" t="n">
        <v>3</v>
      </c>
    </row>
    <row r="88" customFormat="false" ht="15.75" hidden="false" customHeight="false" outlineLevel="0" collapsed="false">
      <c r="A88" s="0" t="s">
        <v>21</v>
      </c>
      <c r="B88" s="1" t="n">
        <v>43948</v>
      </c>
      <c r="C88" s="6" t="n">
        <v>84339</v>
      </c>
      <c r="D88" s="6" t="n">
        <v>11</v>
      </c>
      <c r="E88" s="6" t="n">
        <v>4642</v>
      </c>
      <c r="F88" s="6" t="n">
        <v>0</v>
      </c>
      <c r="G88" s="6" t="n">
        <v>78459</v>
      </c>
      <c r="H88" s="6" t="n">
        <v>1238</v>
      </c>
      <c r="I88" s="6" t="n">
        <v>56</v>
      </c>
      <c r="J88" s="6" t="n">
        <v>58</v>
      </c>
      <c r="K88" s="6" t="n">
        <v>3</v>
      </c>
    </row>
    <row r="89" customFormat="false" ht="15.75" hidden="false" customHeight="false" outlineLevel="0" collapsed="false">
      <c r="A89" s="0" t="s">
        <v>21</v>
      </c>
      <c r="B89" s="1" t="n">
        <v>43949</v>
      </c>
      <c r="C89" s="6" t="n">
        <v>84342</v>
      </c>
      <c r="D89" s="6" t="n">
        <v>3</v>
      </c>
      <c r="E89" s="6" t="n">
        <v>4643</v>
      </c>
      <c r="F89" s="6" t="n">
        <v>1</v>
      </c>
      <c r="G89" s="6" t="n">
        <v>78583</v>
      </c>
      <c r="H89" s="6" t="n">
        <v>1116</v>
      </c>
      <c r="I89" s="6" t="n">
        <v>57</v>
      </c>
      <c r="J89" s="6" t="n">
        <v>58</v>
      </c>
      <c r="K89" s="6" t="n">
        <v>3</v>
      </c>
    </row>
    <row r="90" customFormat="false" ht="15.75" hidden="false" customHeight="false" outlineLevel="0" collapsed="false">
      <c r="A90" s="0" t="s">
        <v>21</v>
      </c>
      <c r="B90" s="1" t="n">
        <v>43950</v>
      </c>
      <c r="C90" s="6" t="n">
        <v>84348</v>
      </c>
      <c r="D90" s="6" t="n">
        <v>6</v>
      </c>
      <c r="E90" s="6" t="n">
        <v>4643</v>
      </c>
      <c r="F90" s="6" t="n">
        <v>0</v>
      </c>
      <c r="G90" s="6" t="n">
        <v>78705</v>
      </c>
      <c r="H90" s="6" t="n">
        <v>1000</v>
      </c>
      <c r="I90" s="6" t="n">
        <v>55</v>
      </c>
      <c r="J90" s="6" t="n">
        <v>58</v>
      </c>
      <c r="K90" s="6" t="n">
        <v>3</v>
      </c>
    </row>
    <row r="91" customFormat="false" ht="15.75" hidden="false" customHeight="false" outlineLevel="0" collapsed="false">
      <c r="A91" s="0" t="s">
        <v>21</v>
      </c>
      <c r="B91" s="1" t="n">
        <v>43951</v>
      </c>
      <c r="C91" s="6" t="n">
        <v>84370</v>
      </c>
      <c r="D91" s="6" t="n">
        <v>22</v>
      </c>
      <c r="E91" s="6" t="n">
        <v>4643</v>
      </c>
      <c r="F91" s="6" t="n">
        <v>0</v>
      </c>
      <c r="G91" s="6" t="n">
        <v>78753</v>
      </c>
      <c r="H91" s="6" t="n">
        <v>974</v>
      </c>
      <c r="I91" s="6" t="n">
        <v>55</v>
      </c>
      <c r="J91" s="6" t="n">
        <v>58</v>
      </c>
      <c r="K91" s="6" t="n">
        <v>3</v>
      </c>
    </row>
    <row r="92" customFormat="false" ht="15.75" hidden="false" customHeight="false" outlineLevel="0" collapsed="false">
      <c r="A92" s="0" t="s">
        <v>21</v>
      </c>
      <c r="B92" s="1" t="n">
        <v>43952</v>
      </c>
      <c r="C92" s="6" t="n">
        <v>84374</v>
      </c>
      <c r="D92" s="6" t="n">
        <v>4</v>
      </c>
      <c r="E92" s="6" t="n">
        <v>4643</v>
      </c>
      <c r="F92" s="6" t="n">
        <v>0</v>
      </c>
      <c r="G92" s="6" t="n">
        <v>78813</v>
      </c>
      <c r="H92" s="6" t="n">
        <v>918</v>
      </c>
      <c r="I92" s="6" t="n">
        <v>46</v>
      </c>
      <c r="J92" s="6" t="n">
        <v>58</v>
      </c>
      <c r="K92" s="6" t="n">
        <v>3</v>
      </c>
    </row>
    <row r="93" customFormat="false" ht="15.75" hidden="false" customHeight="false" outlineLevel="0" collapsed="false">
      <c r="A93" s="0" t="s">
        <v>21</v>
      </c>
      <c r="B93" s="1" t="n">
        <v>43953</v>
      </c>
      <c r="C93" s="6" t="n">
        <v>84388</v>
      </c>
      <c r="D93" s="6" t="n">
        <v>14</v>
      </c>
      <c r="E93" s="6" t="n">
        <v>4643</v>
      </c>
      <c r="F93" s="6" t="n">
        <v>0</v>
      </c>
      <c r="G93" s="6" t="n">
        <v>78862</v>
      </c>
      <c r="H93" s="6" t="n">
        <v>883</v>
      </c>
      <c r="I93" s="6" t="n">
        <v>43</v>
      </c>
      <c r="J93" s="6" t="n">
        <v>58</v>
      </c>
      <c r="K93" s="6" t="n">
        <v>3</v>
      </c>
      <c r="L93" s="6"/>
      <c r="M93" s="6"/>
    </row>
    <row r="94" customFormat="false" ht="15.75" hidden="false" customHeight="false" outlineLevel="0" collapsed="false">
      <c r="A94" s="0" t="s">
        <v>21</v>
      </c>
      <c r="B94" s="1" t="n">
        <v>43954</v>
      </c>
      <c r="C94" s="6" t="n">
        <v>84392</v>
      </c>
      <c r="D94" s="6" t="n">
        <v>4</v>
      </c>
      <c r="E94" s="6" t="n">
        <v>4643</v>
      </c>
      <c r="F94" s="6" t="n">
        <v>0</v>
      </c>
      <c r="G94" s="6" t="n">
        <v>78910</v>
      </c>
      <c r="H94" s="6" t="n">
        <v>839</v>
      </c>
      <c r="I94" s="6" t="n">
        <v>42</v>
      </c>
      <c r="J94" s="6" t="n">
        <v>58</v>
      </c>
      <c r="K94" s="6" t="n">
        <v>3</v>
      </c>
      <c r="L94" s="6"/>
      <c r="M94" s="6"/>
    </row>
    <row r="95" customFormat="false" ht="15.75" hidden="false" customHeight="false" outlineLevel="0" collapsed="false">
      <c r="A95" s="0" t="s">
        <v>21</v>
      </c>
      <c r="B95" s="1" t="n">
        <v>43955</v>
      </c>
      <c r="C95" s="6" t="e">
        <f aca="false">sheet1!aqi96</f>
        <v>#NAME?</v>
      </c>
      <c r="D95" s="6" t="e">
        <f aca="false">sheet1!aqj96</f>
        <v>#NAME?</v>
      </c>
      <c r="E95" s="6" t="e">
        <f aca="false">sheet1!aqk96</f>
        <v>#NAME?</v>
      </c>
      <c r="F95" s="6" t="e">
        <f aca="false">sheet1!aql96</f>
        <v>#NAME?</v>
      </c>
      <c r="G95" s="6" t="e">
        <f aca="false">sheet1!aqm96</f>
        <v>#NAME?</v>
      </c>
      <c r="H95" s="6" t="e">
        <f aca="false">sheet1!aqn96</f>
        <v>#NAME?</v>
      </c>
      <c r="I95" s="6" t="e">
        <f aca="false">sheet1!aqo96</f>
        <v>#NAME?</v>
      </c>
      <c r="J95" s="6" t="e">
        <f aca="false">sheet1!aqp96</f>
        <v>#NAME?</v>
      </c>
      <c r="K95" s="6" t="e">
        <f aca="false">sheet1!aqq96</f>
        <v>#NAME?</v>
      </c>
      <c r="L95" s="6"/>
      <c r="M95" s="6"/>
    </row>
    <row r="96" customFormat="false" ht="15.75" hidden="false" customHeight="false" outlineLevel="0" collapsed="false">
      <c r="A96" s="0" t="s">
        <v>21</v>
      </c>
      <c r="B96" s="1" t="n">
        <v>43956</v>
      </c>
      <c r="C96" s="6" t="e">
        <f aca="false">sheet1!aqi97</f>
        <v>#NAME?</v>
      </c>
      <c r="D96" s="6" t="e">
        <f aca="false">sheet1!aqj97</f>
        <v>#NAME?</v>
      </c>
      <c r="E96" s="6" t="e">
        <f aca="false">sheet1!aqk97</f>
        <v>#NAME?</v>
      </c>
      <c r="F96" s="6" t="e">
        <f aca="false">sheet1!aql97</f>
        <v>#NAME?</v>
      </c>
      <c r="G96" s="6" t="e">
        <f aca="false">sheet1!aqm97</f>
        <v>#NAME?</v>
      </c>
      <c r="H96" s="6" t="e">
        <f aca="false">sheet1!aqn97</f>
        <v>#NAME?</v>
      </c>
      <c r="I96" s="6" t="e">
        <f aca="false">sheet1!aqo97</f>
        <v>#NAME?</v>
      </c>
      <c r="J96" s="6" t="e">
        <f aca="false">sheet1!aqp97</f>
        <v>#NAME?</v>
      </c>
      <c r="K96" s="6" t="e">
        <f aca="false">sheet1!aqq97</f>
        <v>#NAME?</v>
      </c>
      <c r="L96" s="6"/>
      <c r="M96" s="6"/>
    </row>
    <row r="97" customFormat="false" ht="15.75" hidden="false" customHeight="false" outlineLevel="0" collapsed="false">
      <c r="A97" s="0" t="s">
        <v>21</v>
      </c>
      <c r="B97" s="1" t="n">
        <v>43957</v>
      </c>
      <c r="C97" s="6" t="e">
        <f aca="false">sheet1!aqi98</f>
        <v>#NAME?</v>
      </c>
      <c r="D97" s="6" t="e">
        <f aca="false">sheet1!aqj98</f>
        <v>#NAME?</v>
      </c>
      <c r="E97" s="6" t="e">
        <f aca="false">sheet1!aqk98</f>
        <v>#NAME?</v>
      </c>
      <c r="F97" s="6" t="e">
        <f aca="false">sheet1!aql98</f>
        <v>#NAME?</v>
      </c>
      <c r="G97" s="6" t="e">
        <f aca="false">sheet1!aqm98</f>
        <v>#NAME?</v>
      </c>
      <c r="H97" s="6" t="e">
        <f aca="false">sheet1!aqn98</f>
        <v>#NAME?</v>
      </c>
      <c r="I97" s="6" t="e">
        <f aca="false">sheet1!aqo98</f>
        <v>#NAME?</v>
      </c>
      <c r="J97" s="6" t="e">
        <f aca="false">sheet1!aqp98</f>
        <v>#NAME?</v>
      </c>
      <c r="K97" s="6" t="e">
        <f aca="false">sheet1!aqq98</f>
        <v>#NAME?</v>
      </c>
      <c r="L97" s="6"/>
      <c r="M97" s="6"/>
    </row>
    <row r="98" customFormat="false" ht="15.75" hidden="false" customHeight="false" outlineLevel="0" collapsed="false">
      <c r="A98" s="0" t="s">
        <v>21</v>
      </c>
      <c r="B98" s="1" t="n">
        <v>43958</v>
      </c>
      <c r="C98" s="6" t="e">
        <f aca="false">sheet1!aqi99</f>
        <v>#NAME?</v>
      </c>
      <c r="D98" s="6" t="e">
        <f aca="false">sheet1!aqj99</f>
        <v>#NAME?</v>
      </c>
      <c r="E98" s="6" t="e">
        <f aca="false">sheet1!aqk99</f>
        <v>#NAME?</v>
      </c>
      <c r="F98" s="6" t="e">
        <f aca="false">sheet1!aql99</f>
        <v>#NAME?</v>
      </c>
      <c r="G98" s="6" t="e">
        <f aca="false">sheet1!aqm99</f>
        <v>#NAME?</v>
      </c>
      <c r="H98" s="6" t="e">
        <f aca="false">sheet1!aqn99</f>
        <v>#NAME?</v>
      </c>
      <c r="I98" s="6" t="e">
        <f aca="false">sheet1!aqo99</f>
        <v>#NAME?</v>
      </c>
      <c r="J98" s="6" t="e">
        <f aca="false">sheet1!aqp99</f>
        <v>#NAME?</v>
      </c>
      <c r="K98" s="6" t="e">
        <f aca="false">sheet1!aqq99</f>
        <v>#NAME?</v>
      </c>
      <c r="L98" s="6"/>
      <c r="M98" s="6"/>
    </row>
    <row r="99" customFormat="false" ht="15.75" hidden="false" customHeight="false" outlineLevel="0" collapsed="false">
      <c r="A99" s="0" t="s">
        <v>21</v>
      </c>
      <c r="B99" s="1" t="n">
        <v>43959</v>
      </c>
      <c r="C99" s="6" t="e">
        <f aca="false">sheet1!aqi100</f>
        <v>#NAME?</v>
      </c>
      <c r="D99" s="6" t="e">
        <f aca="false">sheet1!aqj100</f>
        <v>#NAME?</v>
      </c>
      <c r="E99" s="6" t="e">
        <f aca="false">sheet1!aqk100</f>
        <v>#NAME?</v>
      </c>
      <c r="F99" s="6" t="e">
        <f aca="false">sheet1!aql100</f>
        <v>#NAME?</v>
      </c>
      <c r="G99" s="6" t="e">
        <f aca="false">sheet1!aqm100</f>
        <v>#NAME?</v>
      </c>
      <c r="H99" s="6" t="e">
        <f aca="false">sheet1!aqn100</f>
        <v>#NAME?</v>
      </c>
      <c r="I99" s="6" t="e">
        <f aca="false">sheet1!aqo100</f>
        <v>#NAME?</v>
      </c>
      <c r="J99" s="6" t="e">
        <f aca="false">sheet1!aqp100</f>
        <v>#NAME?</v>
      </c>
      <c r="K99" s="6" t="e">
        <f aca="false">sheet1!aqq100</f>
        <v>#NAME?</v>
      </c>
      <c r="L99" s="6"/>
      <c r="M99" s="6"/>
    </row>
    <row r="100" customFormat="false" ht="15.75" hidden="false" customHeight="false" outlineLevel="0" collapsed="false">
      <c r="A100" s="0" t="s">
        <v>21</v>
      </c>
      <c r="B100" s="1" t="n">
        <v>43960</v>
      </c>
      <c r="C100" s="6" t="e">
        <f aca="false">sheet1!aqi101</f>
        <v>#NAME?</v>
      </c>
      <c r="D100" s="6" t="e">
        <f aca="false">sheet1!aqj101</f>
        <v>#NAME?</v>
      </c>
      <c r="E100" s="6" t="e">
        <f aca="false">sheet1!aqk101</f>
        <v>#NAME?</v>
      </c>
      <c r="F100" s="6" t="e">
        <f aca="false">sheet1!aql101</f>
        <v>#NAME?</v>
      </c>
      <c r="G100" s="6" t="e">
        <f aca="false">sheet1!aqm101</f>
        <v>#NAME?</v>
      </c>
      <c r="H100" s="6" t="e">
        <f aca="false">sheet1!aqn101</f>
        <v>#NAME?</v>
      </c>
      <c r="I100" s="6" t="e">
        <f aca="false">sheet1!aqo101</f>
        <v>#NAME?</v>
      </c>
      <c r="J100" s="6" t="e">
        <f aca="false">sheet1!aqp101</f>
        <v>#NAME?</v>
      </c>
      <c r="K100" s="6" t="e">
        <f aca="false">sheet1!aqq101</f>
        <v>#NAME?</v>
      </c>
      <c r="L100" s="6"/>
      <c r="M100" s="6"/>
    </row>
    <row r="101" customFormat="false" ht="15.75" hidden="false" customHeight="false" outlineLevel="0" collapsed="false">
      <c r="A101" s="0" t="s">
        <v>21</v>
      </c>
      <c r="B101" s="1" t="n">
        <v>43961</v>
      </c>
      <c r="C101" s="6" t="e">
        <f aca="false">sheet1!aqi102</f>
        <v>#NAME?</v>
      </c>
      <c r="D101" s="6" t="e">
        <f aca="false">sheet1!aqj102</f>
        <v>#NAME?</v>
      </c>
      <c r="E101" s="6" t="e">
        <f aca="false">sheet1!aqk102</f>
        <v>#NAME?</v>
      </c>
      <c r="F101" s="6" t="e">
        <f aca="false">sheet1!aql102</f>
        <v>#NAME?</v>
      </c>
      <c r="G101" s="6" t="e">
        <f aca="false">sheet1!aqm102</f>
        <v>#NAME?</v>
      </c>
      <c r="H101" s="6" t="e">
        <f aca="false">sheet1!aqn102</f>
        <v>#NAME?</v>
      </c>
      <c r="I101" s="6" t="e">
        <f aca="false">sheet1!aqo102</f>
        <v>#NAME?</v>
      </c>
      <c r="J101" s="6" t="e">
        <f aca="false">sheet1!aqp102</f>
        <v>#NAME?</v>
      </c>
      <c r="K101" s="6" t="e">
        <f aca="false">sheet1!aqq102</f>
        <v>#NAME?</v>
      </c>
      <c r="L101" s="6"/>
      <c r="M101" s="6"/>
    </row>
    <row r="102" customFormat="false" ht="15.75" hidden="false" customHeight="false" outlineLevel="0" collapsed="false">
      <c r="A102" s="0" t="s">
        <v>21</v>
      </c>
      <c r="B102" s="1" t="n">
        <v>43962</v>
      </c>
      <c r="C102" s="6" t="e">
        <f aca="false">sheet1!aqi103</f>
        <v>#NAME?</v>
      </c>
      <c r="D102" s="6" t="e">
        <f aca="false">sheet1!aqj103</f>
        <v>#NAME?</v>
      </c>
      <c r="E102" s="6" t="e">
        <f aca="false">sheet1!aqk103</f>
        <v>#NAME?</v>
      </c>
      <c r="F102" s="6" t="e">
        <f aca="false">sheet1!aql103</f>
        <v>#NAME?</v>
      </c>
      <c r="G102" s="6" t="e">
        <f aca="false">sheet1!aqm103</f>
        <v>#NAME?</v>
      </c>
      <c r="H102" s="6" t="e">
        <f aca="false">sheet1!aqn103</f>
        <v>#NAME?</v>
      </c>
      <c r="I102" s="6" t="e">
        <f aca="false">sheet1!aqo103</f>
        <v>#NAME?</v>
      </c>
      <c r="J102" s="6" t="e">
        <f aca="false">sheet1!aqp103</f>
        <v>#NAME?</v>
      </c>
      <c r="K102" s="6" t="e">
        <f aca="false">sheet1!aqq103</f>
        <v>#NAME?</v>
      </c>
      <c r="L102" s="6"/>
      <c r="M102" s="6"/>
    </row>
    <row r="103" customFormat="false" ht="15.75" hidden="false" customHeight="false" outlineLevel="0" collapsed="false">
      <c r="A103" s="0" t="s">
        <v>21</v>
      </c>
      <c r="B103" s="1" t="n">
        <v>43963</v>
      </c>
      <c r="C103" s="6" t="e">
        <f aca="false">sheet1!aqi104</f>
        <v>#NAME?</v>
      </c>
      <c r="D103" s="6" t="e">
        <f aca="false">sheet1!aqj104</f>
        <v>#NAME?</v>
      </c>
      <c r="E103" s="6" t="e">
        <f aca="false">sheet1!aqk104</f>
        <v>#NAME?</v>
      </c>
      <c r="F103" s="6" t="e">
        <f aca="false">sheet1!aql104</f>
        <v>#NAME?</v>
      </c>
      <c r="G103" s="6" t="e">
        <f aca="false">sheet1!aqm104</f>
        <v>#NAME?</v>
      </c>
      <c r="H103" s="6" t="e">
        <f aca="false">sheet1!aqn104</f>
        <v>#NAME?</v>
      </c>
      <c r="I103" s="6" t="e">
        <f aca="false">sheet1!aqo104</f>
        <v>#NAME?</v>
      </c>
      <c r="J103" s="6" t="e">
        <f aca="false">sheet1!aqp104</f>
        <v>#NAME?</v>
      </c>
      <c r="K103" s="6" t="e">
        <f aca="false">sheet1!aqq104</f>
        <v>#NAME?</v>
      </c>
      <c r="L103" s="6"/>
      <c r="M103" s="6"/>
    </row>
    <row r="104" customFormat="false" ht="15.75" hidden="false" customHeight="false" outlineLevel="0" collapsed="false">
      <c r="A104" s="0" t="s">
        <v>21</v>
      </c>
      <c r="B104" s="1" t="n">
        <v>43964</v>
      </c>
      <c r="C104" s="6" t="e">
        <f aca="false">sheet1!aqi105</f>
        <v>#NAME?</v>
      </c>
      <c r="D104" s="6" t="e">
        <f aca="false">sheet1!aqj105</f>
        <v>#NAME?</v>
      </c>
      <c r="E104" s="6" t="e">
        <f aca="false">sheet1!aqk105</f>
        <v>#NAME?</v>
      </c>
      <c r="F104" s="6" t="e">
        <f aca="false">sheet1!aql105</f>
        <v>#NAME?</v>
      </c>
      <c r="G104" s="6" t="e">
        <f aca="false">sheet1!aqm105</f>
        <v>#NAME?</v>
      </c>
      <c r="H104" s="6" t="e">
        <f aca="false">sheet1!aqn105</f>
        <v>#NAME?</v>
      </c>
      <c r="I104" s="6" t="e">
        <f aca="false">sheet1!aqo105</f>
        <v>#NAME?</v>
      </c>
      <c r="J104" s="6" t="e">
        <f aca="false">sheet1!aqp105</f>
        <v>#NAME?</v>
      </c>
      <c r="K104" s="6" t="e">
        <f aca="false">sheet1!aqq105</f>
        <v>#NAME?</v>
      </c>
      <c r="L104" s="6"/>
      <c r="M104" s="6"/>
    </row>
    <row r="105" customFormat="false" ht="15.75" hidden="false" customHeight="false" outlineLevel="0" collapsed="false">
      <c r="A105" s="0" t="s">
        <v>21</v>
      </c>
      <c r="B105" s="1" t="n">
        <v>43965</v>
      </c>
      <c r="C105" s="6" t="e">
        <f aca="false">sheet1!aqi106</f>
        <v>#NAME?</v>
      </c>
      <c r="D105" s="6" t="e">
        <f aca="false">sheet1!aqj106</f>
        <v>#NAME?</v>
      </c>
      <c r="E105" s="6" t="e">
        <f aca="false">sheet1!aqk106</f>
        <v>#NAME?</v>
      </c>
      <c r="F105" s="6" t="e">
        <f aca="false">sheet1!aql106</f>
        <v>#NAME?</v>
      </c>
      <c r="G105" s="6" t="e">
        <f aca="false">sheet1!aqm106</f>
        <v>#NAME?</v>
      </c>
      <c r="H105" s="6" t="e">
        <f aca="false">sheet1!aqn106</f>
        <v>#NAME?</v>
      </c>
      <c r="I105" s="6" t="e">
        <f aca="false">sheet1!aqo106</f>
        <v>#NAME?</v>
      </c>
      <c r="J105" s="6" t="e">
        <f aca="false">sheet1!aqp106</f>
        <v>#NAME?</v>
      </c>
      <c r="K105" s="6" t="e">
        <f aca="false">sheet1!aqq106</f>
        <v>#NAME?</v>
      </c>
      <c r="L105" s="6"/>
      <c r="M105" s="6"/>
    </row>
    <row r="106" customFormat="false" ht="15.75" hidden="false" customHeight="false" outlineLevel="0" collapsed="false">
      <c r="A106" s="0" t="s">
        <v>21</v>
      </c>
      <c r="B106" s="1" t="n">
        <v>43966</v>
      </c>
      <c r="C106" s="6" t="e">
        <f aca="false">sheet1!aqi107</f>
        <v>#NAME?</v>
      </c>
      <c r="D106" s="6" t="e">
        <f aca="false">sheet1!aqj107</f>
        <v>#NAME?</v>
      </c>
      <c r="E106" s="6" t="e">
        <f aca="false">sheet1!aqk107</f>
        <v>#NAME?</v>
      </c>
      <c r="F106" s="6" t="e">
        <f aca="false">sheet1!aql107</f>
        <v>#NAME?</v>
      </c>
      <c r="G106" s="6" t="e">
        <f aca="false">sheet1!aqm107</f>
        <v>#NAME?</v>
      </c>
      <c r="H106" s="6" t="e">
        <f aca="false">sheet1!aqn107</f>
        <v>#NAME?</v>
      </c>
      <c r="I106" s="6" t="e">
        <f aca="false">sheet1!aqo107</f>
        <v>#NAME?</v>
      </c>
      <c r="J106" s="6" t="e">
        <f aca="false">sheet1!aqp107</f>
        <v>#NAME?</v>
      </c>
      <c r="K106" s="6" t="e">
        <f aca="false">sheet1!aqq107</f>
        <v>#NAME?</v>
      </c>
      <c r="L106" s="6"/>
      <c r="M106" s="6"/>
    </row>
    <row r="107" customFormat="false" ht="15.75" hidden="false" customHeight="false" outlineLevel="0" collapsed="false">
      <c r="A107" s="0" t="s">
        <v>21</v>
      </c>
      <c r="B107" s="1" t="n">
        <v>43967</v>
      </c>
      <c r="C107" s="6" t="e">
        <f aca="false">sheet1!aqi108</f>
        <v>#NAME?</v>
      </c>
      <c r="D107" s="6" t="e">
        <f aca="false">sheet1!aqj108</f>
        <v>#NAME?</v>
      </c>
      <c r="E107" s="6" t="e">
        <f aca="false">sheet1!aqk108</f>
        <v>#NAME?</v>
      </c>
      <c r="F107" s="6" t="e">
        <f aca="false">sheet1!aql108</f>
        <v>#NAME?</v>
      </c>
      <c r="G107" s="6" t="e">
        <f aca="false">sheet1!aqm108</f>
        <v>#NAME?</v>
      </c>
      <c r="H107" s="6" t="e">
        <f aca="false">sheet1!aqn108</f>
        <v>#NAME?</v>
      </c>
      <c r="I107" s="6" t="e">
        <f aca="false">sheet1!aqo108</f>
        <v>#NAME?</v>
      </c>
      <c r="J107" s="6" t="e">
        <f aca="false">sheet1!aqp108</f>
        <v>#NAME?</v>
      </c>
      <c r="K107" s="6" t="e">
        <f aca="false">sheet1!aqq108</f>
        <v>#NAME?</v>
      </c>
      <c r="L107" s="6"/>
      <c r="M107" s="6"/>
    </row>
    <row r="108" customFormat="false" ht="15.75" hidden="false" customHeight="false" outlineLevel="0" collapsed="false">
      <c r="A108" s="0" t="s">
        <v>21</v>
      </c>
      <c r="B108" s="1" t="n">
        <v>43968</v>
      </c>
      <c r="C108" s="6" t="e">
        <f aca="false">sheet1!aqi109</f>
        <v>#NAME?</v>
      </c>
      <c r="D108" s="6" t="e">
        <f aca="false">sheet1!aqj109</f>
        <v>#NAME?</v>
      </c>
      <c r="E108" s="6" t="e">
        <f aca="false">sheet1!aqk109</f>
        <v>#NAME?</v>
      </c>
      <c r="F108" s="6" t="e">
        <f aca="false">sheet1!aql109</f>
        <v>#NAME?</v>
      </c>
      <c r="G108" s="6" t="e">
        <f aca="false">sheet1!aqm109</f>
        <v>#NAME?</v>
      </c>
      <c r="H108" s="6" t="e">
        <f aca="false">sheet1!aqn109</f>
        <v>#NAME?</v>
      </c>
      <c r="I108" s="6" t="e">
        <f aca="false">sheet1!aqo109</f>
        <v>#NAME?</v>
      </c>
      <c r="J108" s="6" t="e">
        <f aca="false">sheet1!aqp109</f>
        <v>#NAME?</v>
      </c>
      <c r="K108" s="6" t="e">
        <f aca="false">sheet1!aqq109</f>
        <v>#NAME?</v>
      </c>
      <c r="L108" s="6"/>
      <c r="M108" s="6"/>
    </row>
    <row r="109" customFormat="false" ht="15.75" hidden="false" customHeight="false" outlineLevel="0" collapsed="false">
      <c r="A109" s="0" t="s">
        <v>21</v>
      </c>
      <c r="B109" s="1" t="n">
        <v>43969</v>
      </c>
      <c r="C109" s="6" t="e">
        <f aca="false">sheet1!aqi110</f>
        <v>#NAME?</v>
      </c>
      <c r="D109" s="6" t="e">
        <f aca="false">sheet1!aqj110</f>
        <v>#NAME?</v>
      </c>
      <c r="E109" s="6" t="e">
        <f aca="false">sheet1!aqk110</f>
        <v>#NAME?</v>
      </c>
      <c r="F109" s="6" t="e">
        <f aca="false">sheet1!aql110</f>
        <v>#NAME?</v>
      </c>
      <c r="G109" s="6" t="e">
        <f aca="false">sheet1!aqm110</f>
        <v>#NAME?</v>
      </c>
      <c r="H109" s="6" t="e">
        <f aca="false">sheet1!aqn110</f>
        <v>#NAME?</v>
      </c>
      <c r="I109" s="6" t="e">
        <f aca="false">sheet1!aqo110</f>
        <v>#NAME?</v>
      </c>
      <c r="J109" s="6" t="e">
        <f aca="false">sheet1!aqp110</f>
        <v>#NAME?</v>
      </c>
      <c r="K109" s="6" t="e">
        <f aca="false">sheet1!aqq110</f>
        <v>#NAME?</v>
      </c>
      <c r="L109" s="6"/>
      <c r="M109" s="6"/>
    </row>
    <row r="110" customFormat="false" ht="15.75" hidden="false" customHeight="false" outlineLevel="0" collapsed="false">
      <c r="A110" s="0" t="s">
        <v>21</v>
      </c>
      <c r="B110" s="1" t="n">
        <v>43970</v>
      </c>
      <c r="C110" s="6" t="e">
        <f aca="false">sheet1!aqi111</f>
        <v>#NAME?</v>
      </c>
      <c r="D110" s="6" t="e">
        <f aca="false">sheet1!aqj111</f>
        <v>#NAME?</v>
      </c>
      <c r="E110" s="6" t="e">
        <f aca="false">sheet1!aqk111</f>
        <v>#NAME?</v>
      </c>
      <c r="F110" s="6" t="e">
        <f aca="false">sheet1!aql111</f>
        <v>#NAME?</v>
      </c>
      <c r="G110" s="6" t="e">
        <f aca="false">sheet1!aqm111</f>
        <v>#NAME?</v>
      </c>
      <c r="H110" s="6" t="e">
        <f aca="false">sheet1!aqn111</f>
        <v>#NAME?</v>
      </c>
      <c r="I110" s="6" t="e">
        <f aca="false">sheet1!aqo111</f>
        <v>#NAME?</v>
      </c>
      <c r="J110" s="6" t="e">
        <f aca="false">sheet1!aqp111</f>
        <v>#NAME?</v>
      </c>
      <c r="K110" s="6" t="e">
        <f aca="false">sheet1!aqq111</f>
        <v>#NAME?</v>
      </c>
      <c r="L110" s="6"/>
      <c r="M110" s="6"/>
    </row>
    <row r="111" customFormat="false" ht="15.75" hidden="false" customHeight="false" outlineLevel="0" collapsed="false">
      <c r="A111" s="0" t="s">
        <v>21</v>
      </c>
      <c r="B111" s="1" t="n">
        <v>43971</v>
      </c>
      <c r="C111" s="6" t="e">
        <f aca="false">sheet1!aqi112</f>
        <v>#NAME?</v>
      </c>
      <c r="D111" s="6" t="e">
        <f aca="false">sheet1!aqj112</f>
        <v>#NAME?</v>
      </c>
      <c r="E111" s="6" t="e">
        <f aca="false">sheet1!aqk112</f>
        <v>#NAME?</v>
      </c>
      <c r="F111" s="6" t="e">
        <f aca="false">sheet1!aql112</f>
        <v>#NAME?</v>
      </c>
      <c r="G111" s="6" t="e">
        <f aca="false">sheet1!aqm112</f>
        <v>#NAME?</v>
      </c>
      <c r="H111" s="6" t="e">
        <f aca="false">sheet1!aqn112</f>
        <v>#NAME?</v>
      </c>
      <c r="I111" s="6" t="e">
        <f aca="false">sheet1!aqo112</f>
        <v>#NAME?</v>
      </c>
      <c r="J111" s="6" t="e">
        <f aca="false">sheet1!aqp112</f>
        <v>#NAME?</v>
      </c>
      <c r="K111" s="6" t="e">
        <f aca="false">sheet1!aqq112</f>
        <v>#NAME?</v>
      </c>
      <c r="L111" s="6"/>
      <c r="M111" s="6"/>
    </row>
    <row r="112" customFormat="false" ht="15.75" hidden="false" customHeight="false" outlineLevel="0" collapsed="false">
      <c r="A112" s="0" t="s">
        <v>21</v>
      </c>
      <c r="B112" s="1" t="n">
        <v>43972</v>
      </c>
      <c r="C112" s="6" t="e">
        <f aca="false">sheet1!aqi113</f>
        <v>#NAME?</v>
      </c>
      <c r="D112" s="6" t="e">
        <f aca="false">sheet1!aqj113</f>
        <v>#NAME?</v>
      </c>
      <c r="E112" s="6" t="e">
        <f aca="false">sheet1!aqk113</f>
        <v>#NAME?</v>
      </c>
      <c r="F112" s="6" t="e">
        <f aca="false">sheet1!aql113</f>
        <v>#NAME?</v>
      </c>
      <c r="G112" s="6" t="e">
        <f aca="false">sheet1!aqm113</f>
        <v>#NAME?</v>
      </c>
      <c r="H112" s="6" t="e">
        <f aca="false">sheet1!aqn113</f>
        <v>#NAME?</v>
      </c>
      <c r="I112" s="6" t="e">
        <f aca="false">sheet1!aqo113</f>
        <v>#NAME?</v>
      </c>
      <c r="J112" s="6" t="e">
        <f aca="false">sheet1!aqp113</f>
        <v>#NAME?</v>
      </c>
      <c r="K112" s="6" t="e">
        <f aca="false">sheet1!aqq113</f>
        <v>#NAME?</v>
      </c>
      <c r="L112" s="6"/>
      <c r="M112" s="6"/>
    </row>
    <row r="113" customFormat="false" ht="15.75" hidden="false" customHeight="false" outlineLevel="0" collapsed="false">
      <c r="A113" s="0" t="s">
        <v>21</v>
      </c>
      <c r="B113" s="1" t="n">
        <v>43973</v>
      </c>
      <c r="C113" s="6" t="e">
        <f aca="false">sheet1!aqi114</f>
        <v>#NAME?</v>
      </c>
      <c r="D113" s="6" t="e">
        <f aca="false">sheet1!aqj114</f>
        <v>#NAME?</v>
      </c>
      <c r="E113" s="6" t="e">
        <f aca="false">sheet1!aqk114</f>
        <v>#NAME?</v>
      </c>
      <c r="F113" s="6" t="e">
        <f aca="false">sheet1!aql114</f>
        <v>#NAME?</v>
      </c>
      <c r="G113" s="6" t="e">
        <f aca="false">sheet1!aqm114</f>
        <v>#NAME?</v>
      </c>
      <c r="H113" s="6" t="e">
        <f aca="false">sheet1!aqn114</f>
        <v>#NAME?</v>
      </c>
      <c r="I113" s="6" t="e">
        <f aca="false">sheet1!aqo114</f>
        <v>#NAME?</v>
      </c>
      <c r="J113" s="6" t="e">
        <f aca="false">sheet1!aqp114</f>
        <v>#NAME?</v>
      </c>
      <c r="K113" s="6" t="e">
        <f aca="false">sheet1!aqq114</f>
        <v>#NAME?</v>
      </c>
      <c r="L113" s="6"/>
      <c r="M113" s="6"/>
    </row>
    <row r="114" customFormat="false" ht="15.75" hidden="false" customHeight="false" outlineLevel="0" collapsed="false">
      <c r="A114" s="0" t="s">
        <v>21</v>
      </c>
      <c r="B114" s="1" t="n">
        <v>43974</v>
      </c>
      <c r="C114" s="6" t="e">
        <f aca="false">sheet1!aqi115</f>
        <v>#NAME?</v>
      </c>
      <c r="D114" s="6" t="e">
        <f aca="false">sheet1!aqj115</f>
        <v>#NAME?</v>
      </c>
      <c r="E114" s="6" t="e">
        <f aca="false">sheet1!aqk115</f>
        <v>#NAME?</v>
      </c>
      <c r="F114" s="6" t="e">
        <f aca="false">sheet1!aql115</f>
        <v>#NAME?</v>
      </c>
      <c r="G114" s="6" t="e">
        <f aca="false">sheet1!aqm115</f>
        <v>#NAME?</v>
      </c>
      <c r="H114" s="6" t="e">
        <f aca="false">sheet1!aqn115</f>
        <v>#NAME?</v>
      </c>
      <c r="I114" s="6" t="e">
        <f aca="false">sheet1!aqo115</f>
        <v>#NAME?</v>
      </c>
      <c r="J114" s="6" t="e">
        <f aca="false">sheet1!aqp115</f>
        <v>#NAME?</v>
      </c>
      <c r="K114" s="6" t="e">
        <f aca="false">sheet1!aqq115</f>
        <v>#NAME?</v>
      </c>
      <c r="L114" s="6"/>
      <c r="M114" s="6"/>
    </row>
    <row r="115" customFormat="false" ht="15.75" hidden="false" customHeight="false" outlineLevel="0" collapsed="false">
      <c r="A115" s="0" t="s">
        <v>21</v>
      </c>
      <c r="B115" s="1" t="n">
        <v>43975</v>
      </c>
      <c r="C115" s="6" t="e">
        <f aca="false">sheet1!aqi116</f>
        <v>#NAME?</v>
      </c>
      <c r="D115" s="6" t="e">
        <f aca="false">sheet1!aqj116</f>
        <v>#NAME?</v>
      </c>
      <c r="E115" s="6" t="e">
        <f aca="false">sheet1!aqk116</f>
        <v>#NAME?</v>
      </c>
      <c r="F115" s="6" t="e">
        <f aca="false">sheet1!aql116</f>
        <v>#NAME?</v>
      </c>
      <c r="G115" s="6" t="e">
        <f aca="false">sheet1!aqm116</f>
        <v>#NAME?</v>
      </c>
      <c r="H115" s="6" t="e">
        <f aca="false">sheet1!aqn116</f>
        <v>#NAME?</v>
      </c>
      <c r="I115" s="6" t="e">
        <f aca="false">sheet1!aqo116</f>
        <v>#NAME?</v>
      </c>
      <c r="J115" s="6" t="e">
        <f aca="false">sheet1!aqp116</f>
        <v>#NAME?</v>
      </c>
      <c r="K115" s="6" t="e">
        <f aca="false">sheet1!aqq116</f>
        <v>#NAME?</v>
      </c>
      <c r="L115" s="6"/>
      <c r="M115" s="6"/>
    </row>
    <row r="116" customFormat="false" ht="15.75" hidden="false" customHeight="false" outlineLevel="0" collapsed="false">
      <c r="A116" s="0" t="s">
        <v>21</v>
      </c>
      <c r="B116" s="1" t="n">
        <v>43976</v>
      </c>
      <c r="C116" s="6" t="e">
        <f aca="false">sheet1!aqi117</f>
        <v>#NAME?</v>
      </c>
      <c r="D116" s="6" t="e">
        <f aca="false">sheet1!aqj117</f>
        <v>#NAME?</v>
      </c>
      <c r="E116" s="6" t="e">
        <f aca="false">sheet1!aqk117</f>
        <v>#NAME?</v>
      </c>
      <c r="F116" s="6" t="e">
        <f aca="false">sheet1!aql117</f>
        <v>#NAME?</v>
      </c>
      <c r="G116" s="6" t="e">
        <f aca="false">sheet1!aqm117</f>
        <v>#NAME?</v>
      </c>
      <c r="H116" s="6" t="e">
        <f aca="false">sheet1!aqn117</f>
        <v>#NAME?</v>
      </c>
      <c r="I116" s="6" t="e">
        <f aca="false">sheet1!aqo117</f>
        <v>#NAME?</v>
      </c>
      <c r="J116" s="6" t="e">
        <f aca="false">sheet1!aqp117</f>
        <v>#NAME?</v>
      </c>
      <c r="K116" s="6" t="e">
        <f aca="false">sheet1!aqq117</f>
        <v>#NAME?</v>
      </c>
      <c r="L116" s="6"/>
      <c r="M116" s="6"/>
    </row>
    <row r="117" customFormat="false" ht="15.75" hidden="false" customHeight="false" outlineLevel="0" collapsed="false">
      <c r="A117" s="0" t="s">
        <v>21</v>
      </c>
      <c r="B117" s="1" t="n">
        <v>43977</v>
      </c>
      <c r="C117" s="6" t="e">
        <f aca="false">sheet1!aqi118</f>
        <v>#NAME?</v>
      </c>
      <c r="D117" s="6" t="e">
        <f aca="false">sheet1!aqj118</f>
        <v>#NAME?</v>
      </c>
      <c r="E117" s="6" t="e">
        <f aca="false">sheet1!aqk118</f>
        <v>#NAME?</v>
      </c>
      <c r="F117" s="6" t="e">
        <f aca="false">sheet1!aql118</f>
        <v>#NAME?</v>
      </c>
      <c r="G117" s="6" t="e">
        <f aca="false">sheet1!aqm118</f>
        <v>#NAME?</v>
      </c>
      <c r="H117" s="6" t="e">
        <f aca="false">sheet1!aqn118</f>
        <v>#NAME?</v>
      </c>
      <c r="I117" s="6" t="e">
        <f aca="false">sheet1!aqo118</f>
        <v>#NAME?</v>
      </c>
      <c r="J117" s="6" t="e">
        <f aca="false">sheet1!aqp118</f>
        <v>#NAME?</v>
      </c>
      <c r="K117" s="6" t="e">
        <f aca="false">sheet1!aqq118</f>
        <v>#NAME?</v>
      </c>
      <c r="L117" s="6"/>
      <c r="M117" s="6"/>
    </row>
    <row r="118" customFormat="false" ht="15.75" hidden="false" customHeight="false" outlineLevel="0" collapsed="false">
      <c r="A118" s="0" t="s">
        <v>21</v>
      </c>
      <c r="B118" s="1" t="n">
        <v>43978</v>
      </c>
      <c r="C118" s="6" t="e">
        <f aca="false">sheet1!aqi119</f>
        <v>#NAME?</v>
      </c>
      <c r="D118" s="6" t="e">
        <f aca="false">sheet1!aqj119</f>
        <v>#NAME?</v>
      </c>
      <c r="E118" s="6" t="e">
        <f aca="false">sheet1!aqk119</f>
        <v>#NAME?</v>
      </c>
      <c r="F118" s="6" t="e">
        <f aca="false">sheet1!aql119</f>
        <v>#NAME?</v>
      </c>
      <c r="G118" s="6" t="e">
        <f aca="false">sheet1!aqm119</f>
        <v>#NAME?</v>
      </c>
      <c r="H118" s="6" t="e">
        <f aca="false">sheet1!aqn119</f>
        <v>#NAME?</v>
      </c>
      <c r="I118" s="6" t="e">
        <f aca="false">sheet1!aqo119</f>
        <v>#NAME?</v>
      </c>
      <c r="J118" s="6" t="e">
        <f aca="false">sheet1!aqp119</f>
        <v>#NAME?</v>
      </c>
      <c r="K118" s="6" t="e">
        <f aca="false">sheet1!aqq119</f>
        <v>#NAME?</v>
      </c>
      <c r="L118" s="6"/>
      <c r="M118" s="6"/>
    </row>
    <row r="119" customFormat="false" ht="15.75" hidden="false" customHeight="false" outlineLevel="0" collapsed="false">
      <c r="A119" s="0" t="s">
        <v>21</v>
      </c>
      <c r="B119" s="1" t="n">
        <v>43979</v>
      </c>
      <c r="C119" s="6" t="e">
        <f aca="false">sheet1!aqi120</f>
        <v>#NAME?</v>
      </c>
      <c r="D119" s="6" t="e">
        <f aca="false">sheet1!aqj120</f>
        <v>#NAME?</v>
      </c>
      <c r="E119" s="6" t="e">
        <f aca="false">sheet1!aqk120</f>
        <v>#NAME?</v>
      </c>
      <c r="F119" s="6" t="e">
        <f aca="false">sheet1!aql120</f>
        <v>#NAME?</v>
      </c>
      <c r="G119" s="6" t="e">
        <f aca="false">sheet1!aqm120</f>
        <v>#NAME?</v>
      </c>
      <c r="H119" s="6" t="e">
        <f aca="false">sheet1!aqn120</f>
        <v>#NAME?</v>
      </c>
      <c r="I119" s="6" t="e">
        <f aca="false">sheet1!aqo120</f>
        <v>#NAME?</v>
      </c>
      <c r="J119" s="6" t="e">
        <f aca="false">sheet1!aqp120</f>
        <v>#NAME?</v>
      </c>
      <c r="K119" s="6" t="e">
        <f aca="false">sheet1!aqq120</f>
        <v>#NAME?</v>
      </c>
      <c r="L119" s="6"/>
      <c r="M119" s="6"/>
    </row>
    <row r="120" customFormat="false" ht="15.75" hidden="false" customHeight="false" outlineLevel="0" collapsed="false">
      <c r="A120" s="0" t="s">
        <v>21</v>
      </c>
      <c r="B120" s="1" t="n">
        <v>43980</v>
      </c>
      <c r="C120" s="6" t="e">
        <f aca="false">sheet1!aqi121</f>
        <v>#NAME?</v>
      </c>
      <c r="D120" s="6" t="e">
        <f aca="false">sheet1!aqj121</f>
        <v>#NAME?</v>
      </c>
      <c r="E120" s="6" t="e">
        <f aca="false">sheet1!aqk121</f>
        <v>#NAME?</v>
      </c>
      <c r="F120" s="6" t="e">
        <f aca="false">sheet1!aql121</f>
        <v>#NAME?</v>
      </c>
      <c r="G120" s="6" t="e">
        <f aca="false">sheet1!aqm121</f>
        <v>#NAME?</v>
      </c>
      <c r="H120" s="6" t="e">
        <f aca="false">sheet1!aqn121</f>
        <v>#NAME?</v>
      </c>
      <c r="I120" s="6" t="e">
        <f aca="false">sheet1!aqo121</f>
        <v>#NAME?</v>
      </c>
      <c r="J120" s="6" t="e">
        <f aca="false">sheet1!aqp121</f>
        <v>#NAME?</v>
      </c>
      <c r="K120" s="6" t="e">
        <f aca="false">sheet1!aqq121</f>
        <v>#NAME?</v>
      </c>
      <c r="L120" s="6"/>
      <c r="M120" s="6"/>
    </row>
    <row r="121" customFormat="false" ht="15.75" hidden="false" customHeight="false" outlineLevel="0" collapsed="false">
      <c r="A121" s="0" t="s">
        <v>21</v>
      </c>
      <c r="B121" s="1" t="n">
        <v>43981</v>
      </c>
      <c r="C121" s="6" t="e">
        <f aca="false">sheet1!aqi122</f>
        <v>#NAME?</v>
      </c>
      <c r="D121" s="6" t="e">
        <f aca="false">sheet1!aqj122</f>
        <v>#NAME?</v>
      </c>
      <c r="E121" s="6" t="e">
        <f aca="false">sheet1!aqk122</f>
        <v>#NAME?</v>
      </c>
      <c r="F121" s="6" t="e">
        <f aca="false">sheet1!aql122</f>
        <v>#NAME?</v>
      </c>
      <c r="G121" s="6" t="e">
        <f aca="false">sheet1!aqm122</f>
        <v>#NAME?</v>
      </c>
      <c r="H121" s="6" t="e">
        <f aca="false">sheet1!aqn122</f>
        <v>#NAME?</v>
      </c>
      <c r="I121" s="6" t="e">
        <f aca="false">sheet1!aqo122</f>
        <v>#NAME?</v>
      </c>
      <c r="J121" s="6" t="e">
        <f aca="false">sheet1!aqp122</f>
        <v>#NAME?</v>
      </c>
      <c r="K121" s="6" t="e">
        <f aca="false">sheet1!aqq122</f>
        <v>#NAME?</v>
      </c>
      <c r="L121" s="6"/>
      <c r="M121" s="6"/>
    </row>
    <row r="122" customFormat="false" ht="15.75" hidden="false" customHeight="false" outlineLevel="0" collapsed="false">
      <c r="A122" s="0" t="s">
        <v>21</v>
      </c>
      <c r="B122" s="1" t="n">
        <v>43982</v>
      </c>
      <c r="C122" s="6" t="e">
        <f aca="false">sheet1!aqi123</f>
        <v>#NAME?</v>
      </c>
      <c r="D122" s="6" t="e">
        <f aca="false">sheet1!aqj123</f>
        <v>#NAME?</v>
      </c>
      <c r="E122" s="6" t="e">
        <f aca="false">sheet1!aqk123</f>
        <v>#NAME?</v>
      </c>
      <c r="F122" s="6" t="e">
        <f aca="false">sheet1!aql123</f>
        <v>#NAME?</v>
      </c>
      <c r="G122" s="6" t="e">
        <f aca="false">sheet1!aqm123</f>
        <v>#NAME?</v>
      </c>
      <c r="H122" s="6" t="e">
        <f aca="false">sheet1!aqn123</f>
        <v>#NAME?</v>
      </c>
      <c r="I122" s="6" t="e">
        <f aca="false">sheet1!aqo123</f>
        <v>#NAME?</v>
      </c>
      <c r="J122" s="6" t="e">
        <f aca="false">sheet1!aqp123</f>
        <v>#NAME?</v>
      </c>
      <c r="K122" s="6" t="e">
        <f aca="false">sheet1!aqq123</f>
        <v>#NAME?</v>
      </c>
      <c r="L122" s="6"/>
      <c r="M122" s="6"/>
    </row>
    <row r="123" customFormat="false" ht="15.75" hidden="false" customHeight="false" outlineLevel="0" collapsed="false">
      <c r="A123" s="0" t="s">
        <v>21</v>
      </c>
      <c r="B123" s="1" t="n">
        <v>43983</v>
      </c>
      <c r="C123" s="6" t="e">
        <f aca="false">sheet1!aqi124</f>
        <v>#NAME?</v>
      </c>
      <c r="D123" s="6" t="e">
        <f aca="false">sheet1!aqj124</f>
        <v>#NAME?</v>
      </c>
      <c r="E123" s="6" t="e">
        <f aca="false">sheet1!aqk124</f>
        <v>#NAME?</v>
      </c>
      <c r="F123" s="6" t="e">
        <f aca="false">sheet1!aql124</f>
        <v>#NAME?</v>
      </c>
      <c r="G123" s="6" t="e">
        <f aca="false">sheet1!aqm124</f>
        <v>#NAME?</v>
      </c>
      <c r="H123" s="6" t="e">
        <f aca="false">sheet1!aqn124</f>
        <v>#NAME?</v>
      </c>
      <c r="I123" s="6" t="e">
        <f aca="false">sheet1!aqo124</f>
        <v>#NAME?</v>
      </c>
      <c r="J123" s="6" t="e">
        <f aca="false">sheet1!aqp124</f>
        <v>#NAME?</v>
      </c>
      <c r="K123" s="6" t="e">
        <f aca="false">sheet1!aqq124</f>
        <v>#NAME?</v>
      </c>
      <c r="L123" s="6"/>
      <c r="M123" s="6"/>
    </row>
    <row r="124" customFormat="false" ht="15.75" hidden="false" customHeight="false" outlineLevel="0" collapsed="false">
      <c r="A124" s="0" t="s">
        <v>21</v>
      </c>
      <c r="B124" s="1" t="n">
        <v>43984</v>
      </c>
      <c r="C124" s="6" t="e">
        <f aca="false">sheet1!aqi125</f>
        <v>#NAME?</v>
      </c>
      <c r="D124" s="6" t="e">
        <f aca="false">sheet1!aqj125</f>
        <v>#NAME?</v>
      </c>
      <c r="E124" s="6" t="e">
        <f aca="false">sheet1!aqk125</f>
        <v>#NAME?</v>
      </c>
      <c r="F124" s="6" t="e">
        <f aca="false">sheet1!aql125</f>
        <v>#NAME?</v>
      </c>
      <c r="G124" s="6" t="e">
        <f aca="false">sheet1!aqm125</f>
        <v>#NAME?</v>
      </c>
      <c r="H124" s="6" t="e">
        <f aca="false">sheet1!aqn125</f>
        <v>#NAME?</v>
      </c>
      <c r="I124" s="6" t="e">
        <f aca="false">sheet1!aqo125</f>
        <v>#NAME?</v>
      </c>
      <c r="J124" s="6" t="e">
        <f aca="false">sheet1!aqp125</f>
        <v>#NAME?</v>
      </c>
      <c r="K124" s="6" t="e">
        <f aca="false">sheet1!aqq125</f>
        <v>#NAME?</v>
      </c>
      <c r="L124" s="6"/>
      <c r="M124" s="6"/>
    </row>
    <row r="125" customFormat="false" ht="15.75" hidden="false" customHeight="false" outlineLevel="0" collapsed="false">
      <c r="A125" s="0" t="s">
        <v>21</v>
      </c>
      <c r="B125" s="1" t="n">
        <v>43985</v>
      </c>
      <c r="C125" s="6" t="n">
        <v>84603</v>
      </c>
      <c r="D125" s="6" t="n">
        <v>10</v>
      </c>
      <c r="E125" s="6" t="e">
        <f aca="false">sheet1!aqk126</f>
        <v>#NAME?</v>
      </c>
      <c r="F125" s="6" t="e">
        <f aca="false">sheet1!aql126</f>
        <v>#NAME?</v>
      </c>
      <c r="G125" s="6" t="e">
        <f aca="false">sheet1!aqm126</f>
        <v>#NAME?</v>
      </c>
      <c r="H125" s="6" t="e">
        <f aca="false">sheet1!aqn126</f>
        <v>#NAME?</v>
      </c>
      <c r="I125" s="6" t="e">
        <f aca="false">sheet1!aqo126</f>
        <v>#NAME?</v>
      </c>
      <c r="J125" s="6" t="e">
        <f aca="false">sheet1!aqp126</f>
        <v>#NAME?</v>
      </c>
      <c r="K125" s="6" t="e">
        <f aca="false">sheet1!aqq126</f>
        <v>#NAME?</v>
      </c>
      <c r="L125" s="6"/>
      <c r="M125" s="6"/>
    </row>
    <row r="126" customFormat="false" ht="15.75" hidden="false" customHeight="false" outlineLevel="0" collapsed="false">
      <c r="A126" s="0" t="s">
        <v>21</v>
      </c>
      <c r="B126" s="1" t="n">
        <v>43986</v>
      </c>
      <c r="C126" s="6" t="e">
        <f aca="false">sheet1!aqi127</f>
        <v>#NAME?</v>
      </c>
      <c r="D126" s="6" t="e">
        <f aca="false">sheet1!aqj127</f>
        <v>#NAME?</v>
      </c>
      <c r="E126" s="6" t="e">
        <f aca="false">sheet1!aqk127</f>
        <v>#NAME?</v>
      </c>
      <c r="F126" s="6" t="e">
        <f aca="false">sheet1!aql127</f>
        <v>#NAME?</v>
      </c>
      <c r="G126" s="6" t="e">
        <f aca="false">sheet1!aqm127</f>
        <v>#NAME?</v>
      </c>
      <c r="H126" s="6" t="e">
        <f aca="false">sheet1!aqn127</f>
        <v>#NAME?</v>
      </c>
      <c r="I126" s="6" t="e">
        <f aca="false">sheet1!aqo127</f>
        <v>#NAME?</v>
      </c>
      <c r="J126" s="6" t="e">
        <f aca="false">sheet1!aqp127</f>
        <v>#NAME?</v>
      </c>
      <c r="K126" s="6" t="e">
        <f aca="false">sheet1!aqq127</f>
        <v>#NAME?</v>
      </c>
      <c r="L126" s="6"/>
      <c r="M126" s="6"/>
    </row>
    <row r="127" customFormat="false" ht="15.75" hidden="false" customHeight="false" outlineLevel="0" collapsed="false">
      <c r="A127" s="0" t="s">
        <v>21</v>
      </c>
      <c r="B127" s="1" t="n">
        <v>43987</v>
      </c>
      <c r="C127" s="6" t="e">
        <f aca="false">sheet1!aqi128</f>
        <v>#NAME?</v>
      </c>
      <c r="D127" s="6" t="e">
        <f aca="false">sheet1!aqj128</f>
        <v>#NAME?</v>
      </c>
      <c r="E127" s="6" t="e">
        <f aca="false">sheet1!aqk128</f>
        <v>#NAME?</v>
      </c>
      <c r="F127" s="6" t="e">
        <f aca="false">sheet1!aql128</f>
        <v>#NAME?</v>
      </c>
      <c r="G127" s="6" t="e">
        <f aca="false">sheet1!aqm128</f>
        <v>#NAME?</v>
      </c>
      <c r="H127" s="6" t="e">
        <f aca="false">sheet1!aqn128</f>
        <v>#NAME?</v>
      </c>
      <c r="I127" s="6" t="e">
        <f aca="false">sheet1!aqo128</f>
        <v>#NAME?</v>
      </c>
      <c r="J127" s="6" t="e">
        <f aca="false">sheet1!aqp128</f>
        <v>#NAME?</v>
      </c>
      <c r="K127" s="6" t="e">
        <f aca="false">sheet1!aqq128</f>
        <v>#NAME?</v>
      </c>
      <c r="L127" s="6"/>
      <c r="M127" s="6"/>
    </row>
    <row r="128" customFormat="false" ht="15.75" hidden="false" customHeight="false" outlineLevel="0" collapsed="false">
      <c r="A128" s="0" t="s">
        <v>21</v>
      </c>
      <c r="B128" s="1" t="n">
        <v>43988</v>
      </c>
      <c r="C128" s="6" t="e">
        <f aca="false">sheet1!aqi129</f>
        <v>#NAME?</v>
      </c>
      <c r="D128" s="6" t="e">
        <f aca="false">sheet1!aqj129</f>
        <v>#NAME?</v>
      </c>
      <c r="E128" s="6" t="e">
        <f aca="false">sheet1!aqk129</f>
        <v>#NAME?</v>
      </c>
      <c r="F128" s="6" t="e">
        <f aca="false">sheet1!aql129</f>
        <v>#NAME?</v>
      </c>
      <c r="G128" s="6" t="e">
        <f aca="false">sheet1!aqm129</f>
        <v>#NAME?</v>
      </c>
      <c r="H128" s="6" t="e">
        <f aca="false">sheet1!aqn129</f>
        <v>#NAME?</v>
      </c>
      <c r="I128" s="6" t="e">
        <f aca="false">sheet1!aqo129</f>
        <v>#NAME?</v>
      </c>
      <c r="J128" s="6" t="e">
        <f aca="false">sheet1!aqp129</f>
        <v>#NAME?</v>
      </c>
      <c r="K128" s="6" t="e">
        <f aca="false">sheet1!aqq129</f>
        <v>#NAME?</v>
      </c>
      <c r="L128" s="6"/>
      <c r="M128" s="6"/>
    </row>
    <row r="129" customFormat="false" ht="15.75" hidden="false" customHeight="false" outlineLevel="0" collapsed="false">
      <c r="A129" s="0" t="s">
        <v>21</v>
      </c>
      <c r="B129" s="1" t="n">
        <v>43989</v>
      </c>
      <c r="C129" s="6" t="e">
        <f aca="false">sheet1!aqi130</f>
        <v>#NAME?</v>
      </c>
      <c r="D129" s="6" t="e">
        <f aca="false">sheet1!aqj130</f>
        <v>#NAME?</v>
      </c>
      <c r="E129" s="6" t="e">
        <f aca="false">sheet1!aqk130</f>
        <v>#NAME?</v>
      </c>
      <c r="F129" s="6" t="e">
        <f aca="false">sheet1!aql130</f>
        <v>#NAME?</v>
      </c>
      <c r="G129" s="6" t="e">
        <f aca="false">sheet1!aqm130</f>
        <v>#NAME?</v>
      </c>
      <c r="H129" s="6" t="e">
        <f aca="false">sheet1!aqn130</f>
        <v>#NAME?</v>
      </c>
      <c r="I129" s="6" t="e">
        <f aca="false">sheet1!aqo130</f>
        <v>#NAME?</v>
      </c>
      <c r="J129" s="6" t="e">
        <f aca="false">sheet1!aqp130</f>
        <v>#NAME?</v>
      </c>
      <c r="K129" s="6" t="e">
        <f aca="false">sheet1!aqq130</f>
        <v>#NAME?</v>
      </c>
      <c r="L129" s="6"/>
      <c r="M129" s="6"/>
    </row>
    <row r="130" customFormat="false" ht="15.75" hidden="false" customHeight="false" outlineLevel="0" collapsed="false">
      <c r="A130" s="0" t="s">
        <v>21</v>
      </c>
      <c r="B130" s="1" t="n">
        <v>43990</v>
      </c>
      <c r="C130" s="6" t="e">
        <f aca="false">sheet1!aqi131</f>
        <v>#NAME?</v>
      </c>
      <c r="D130" s="6" t="e">
        <f aca="false">sheet1!aqj131</f>
        <v>#NAME?</v>
      </c>
      <c r="E130" s="6" t="e">
        <f aca="false">sheet1!aqk131</f>
        <v>#NAME?</v>
      </c>
      <c r="F130" s="6" t="e">
        <f aca="false">sheet1!aql131</f>
        <v>#NAME?</v>
      </c>
      <c r="G130" s="6" t="e">
        <f aca="false">sheet1!aqm131</f>
        <v>#NAME?</v>
      </c>
      <c r="H130" s="6" t="e">
        <f aca="false">sheet1!aqn131</f>
        <v>#NAME?</v>
      </c>
      <c r="I130" s="6" t="e">
        <f aca="false">sheet1!aqo131</f>
        <v>#NAME?</v>
      </c>
      <c r="J130" s="6" t="e">
        <f aca="false">sheet1!aqp131</f>
        <v>#NAME?</v>
      </c>
      <c r="K130" s="6" t="e">
        <f aca="false">sheet1!aqq131</f>
        <v>#NAME?</v>
      </c>
      <c r="L130" s="6"/>
      <c r="M130" s="6"/>
    </row>
    <row r="131" customFormat="false" ht="15.75" hidden="false" customHeight="false" outlineLevel="0" collapsed="false">
      <c r="A131" s="0" t="s">
        <v>21</v>
      </c>
      <c r="B131" s="1" t="n">
        <v>43991</v>
      </c>
      <c r="C131" s="6" t="e">
        <f aca="false">sheet1!aqi132</f>
        <v>#NAME?</v>
      </c>
      <c r="D131" s="6" t="e">
        <f aca="false">sheet1!aqj132</f>
        <v>#NAME?</v>
      </c>
      <c r="E131" s="6" t="e">
        <f aca="false">sheet1!aqk132</f>
        <v>#NAME?</v>
      </c>
      <c r="F131" s="6" t="e">
        <f aca="false">sheet1!aql132</f>
        <v>#NAME?</v>
      </c>
      <c r="G131" s="6" t="e">
        <f aca="false">sheet1!aqm132</f>
        <v>#NAME?</v>
      </c>
      <c r="H131" s="6" t="e">
        <f aca="false">sheet1!aqn132</f>
        <v>#NAME?</v>
      </c>
      <c r="I131" s="6" t="e">
        <f aca="false">sheet1!aqo132</f>
        <v>#NAME?</v>
      </c>
      <c r="J131" s="6" t="e">
        <f aca="false">sheet1!aqp132</f>
        <v>#NAME?</v>
      </c>
      <c r="K131" s="6" t="e">
        <f aca="false">sheet1!aqq132</f>
        <v>#NAME?</v>
      </c>
      <c r="L131" s="6"/>
      <c r="M131" s="6"/>
    </row>
    <row r="132" customFormat="false" ht="15.75" hidden="false" customHeight="false" outlineLevel="0" collapsed="false">
      <c r="A132" s="0" t="s">
        <v>21</v>
      </c>
      <c r="B132" s="1" t="n">
        <v>43992</v>
      </c>
      <c r="C132" s="6" t="e">
        <f aca="false">sheet1!aqi133</f>
        <v>#NAME?</v>
      </c>
      <c r="D132" s="6" t="e">
        <f aca="false">sheet1!aqj133</f>
        <v>#NAME?</v>
      </c>
      <c r="E132" s="6" t="e">
        <f aca="false">sheet1!aqk133</f>
        <v>#NAME?</v>
      </c>
      <c r="F132" s="6" t="e">
        <f aca="false">sheet1!aql133</f>
        <v>#NAME?</v>
      </c>
      <c r="G132" s="6" t="e">
        <f aca="false">sheet1!aqm133</f>
        <v>#NAME?</v>
      </c>
      <c r="H132" s="6" t="e">
        <f aca="false">sheet1!aqn133</f>
        <v>#NAME?</v>
      </c>
      <c r="I132" s="6" t="e">
        <f aca="false">sheet1!aqo133</f>
        <v>#NAME?</v>
      </c>
      <c r="J132" s="6" t="e">
        <f aca="false">sheet1!aqp133</f>
        <v>#NAME?</v>
      </c>
      <c r="K132" s="6" t="e">
        <f aca="false">sheet1!aqq133</f>
        <v>#NAME?</v>
      </c>
      <c r="L132" s="6"/>
      <c r="M132" s="6"/>
    </row>
    <row r="133" customFormat="false" ht="15.75" hidden="false" customHeight="false" outlineLevel="0" collapsed="false">
      <c r="A133" s="0" t="s">
        <v>21</v>
      </c>
      <c r="B133" s="1" t="n">
        <v>43993</v>
      </c>
      <c r="C133" s="6" t="e">
        <f aca="false">sheet1!aqi134</f>
        <v>#NAME?</v>
      </c>
      <c r="D133" s="6" t="e">
        <f aca="false">sheet1!aqj134</f>
        <v>#NAME?</v>
      </c>
      <c r="E133" s="6" t="e">
        <f aca="false">sheet1!aqk134</f>
        <v>#NAME?</v>
      </c>
      <c r="F133" s="6" t="e">
        <f aca="false">sheet1!aql134</f>
        <v>#NAME?</v>
      </c>
      <c r="G133" s="6" t="e">
        <f aca="false">sheet1!aqm134</f>
        <v>#NAME?</v>
      </c>
      <c r="H133" s="6" t="e">
        <f aca="false">sheet1!aqn134</f>
        <v>#NAME?</v>
      </c>
      <c r="I133" s="6" t="e">
        <f aca="false">sheet1!aqo134</f>
        <v>#NAME?</v>
      </c>
      <c r="J133" s="6" t="e">
        <f aca="false">sheet1!aqp134</f>
        <v>#NAME?</v>
      </c>
      <c r="K133" s="6" t="e">
        <f aca="false">sheet1!aqq134</f>
        <v>#NAME?</v>
      </c>
      <c r="L133" s="6"/>
      <c r="M133" s="6"/>
    </row>
    <row r="134" customFormat="false" ht="15.75" hidden="false" customHeight="false" outlineLevel="0" collapsed="false">
      <c r="A134" s="0" t="s">
        <v>21</v>
      </c>
      <c r="B134" s="1" t="n">
        <v>43994</v>
      </c>
      <c r="C134" s="6" t="e">
        <f aca="false">sheet1!aqi135</f>
        <v>#NAME?</v>
      </c>
      <c r="D134" s="6" t="e">
        <f aca="false">sheet1!aqj135</f>
        <v>#NAME?</v>
      </c>
      <c r="E134" s="6" t="e">
        <f aca="false">sheet1!aqk135</f>
        <v>#NAME?</v>
      </c>
      <c r="F134" s="6" t="e">
        <f aca="false">sheet1!aql135</f>
        <v>#NAME?</v>
      </c>
      <c r="G134" s="6" t="e">
        <f aca="false">sheet1!aqm135</f>
        <v>#NAME?</v>
      </c>
      <c r="H134" s="6" t="e">
        <f aca="false">sheet1!aqn135</f>
        <v>#NAME?</v>
      </c>
      <c r="I134" s="6" t="e">
        <f aca="false">sheet1!aqo135</f>
        <v>#NAME?</v>
      </c>
      <c r="J134" s="6" t="e">
        <f aca="false">sheet1!aqp135</f>
        <v>#NAME?</v>
      </c>
      <c r="K134" s="6" t="e">
        <f aca="false">sheet1!aqq135</f>
        <v>#NAME?</v>
      </c>
      <c r="L134" s="6"/>
      <c r="M134" s="6"/>
    </row>
    <row r="135" customFormat="false" ht="15.75" hidden="false" customHeight="false" outlineLevel="0" collapsed="false">
      <c r="A135" s="0" t="s">
        <v>21</v>
      </c>
      <c r="B135" s="1" t="n">
        <v>43995</v>
      </c>
      <c r="C135" s="6" t="e">
        <f aca="false">sheet1!aqi136</f>
        <v>#NAME?</v>
      </c>
      <c r="D135" s="6" t="e">
        <f aca="false">sheet1!aqj136</f>
        <v>#NAME?</v>
      </c>
      <c r="E135" s="6" t="e">
        <f aca="false">sheet1!aqk136</f>
        <v>#NAME?</v>
      </c>
      <c r="F135" s="6" t="e">
        <f aca="false">sheet1!aql136</f>
        <v>#NAME?</v>
      </c>
      <c r="G135" s="6" t="e">
        <f aca="false">sheet1!aqm136</f>
        <v>#NAME?</v>
      </c>
      <c r="H135" s="6" t="e">
        <f aca="false">sheet1!aqn136</f>
        <v>#NAME?</v>
      </c>
      <c r="I135" s="6" t="e">
        <f aca="false">sheet1!aqo136</f>
        <v>#NAME?</v>
      </c>
      <c r="J135" s="6" t="e">
        <f aca="false">sheet1!aqp136</f>
        <v>#NAME?</v>
      </c>
      <c r="K135" s="6" t="e">
        <f aca="false">sheet1!aqq136</f>
        <v>#NAME?</v>
      </c>
      <c r="L135" s="6"/>
      <c r="M135" s="6"/>
    </row>
    <row r="136" customFormat="false" ht="15.75" hidden="false" customHeight="false" outlineLevel="0" collapsed="false">
      <c r="A136" s="0" t="s">
        <v>21</v>
      </c>
      <c r="B136" s="1" t="n">
        <v>43996</v>
      </c>
      <c r="C136" s="6" t="e">
        <f aca="false">sheet1!aqi137</f>
        <v>#NAME?</v>
      </c>
      <c r="D136" s="6" t="e">
        <f aca="false">sheet1!aqj137</f>
        <v>#NAME?</v>
      </c>
      <c r="E136" s="6" t="e">
        <f aca="false">sheet1!aqk137</f>
        <v>#NAME?</v>
      </c>
      <c r="F136" s="6" t="e">
        <f aca="false">sheet1!aql137</f>
        <v>#NAME?</v>
      </c>
      <c r="G136" s="6" t="e">
        <f aca="false">sheet1!aqm137</f>
        <v>#NAME?</v>
      </c>
      <c r="H136" s="6" t="e">
        <f aca="false">sheet1!aqn137</f>
        <v>#NAME?</v>
      </c>
      <c r="I136" s="6" t="e">
        <f aca="false">sheet1!aqo137</f>
        <v>#NAME?</v>
      </c>
      <c r="J136" s="6" t="e">
        <f aca="false">sheet1!aqp137</f>
        <v>#NAME?</v>
      </c>
      <c r="K136" s="6" t="e">
        <f aca="false">sheet1!aqq137</f>
        <v>#NAME?</v>
      </c>
      <c r="L136" s="6"/>
      <c r="M136" s="6"/>
    </row>
    <row r="137" customFormat="false" ht="15.75" hidden="false" customHeight="false" outlineLevel="0" collapsed="false">
      <c r="A137" s="0" t="s">
        <v>21</v>
      </c>
      <c r="B137" s="1" t="n">
        <v>43997</v>
      </c>
      <c r="C137" s="6" t="e">
        <f aca="false">sheet1!aqi138</f>
        <v>#NAME?</v>
      </c>
      <c r="D137" s="6" t="e">
        <f aca="false">sheet1!aqj138</f>
        <v>#NAME?</v>
      </c>
      <c r="E137" s="6" t="e">
        <f aca="false">sheet1!aqk138</f>
        <v>#NAME?</v>
      </c>
      <c r="F137" s="6" t="e">
        <f aca="false">sheet1!aql138</f>
        <v>#NAME?</v>
      </c>
      <c r="G137" s="6" t="e">
        <f aca="false">sheet1!aqm138</f>
        <v>#NAME?</v>
      </c>
      <c r="H137" s="6" t="e">
        <f aca="false">sheet1!aqn138</f>
        <v>#NAME?</v>
      </c>
      <c r="I137" s="6" t="e">
        <f aca="false">sheet1!aqo138</f>
        <v>#NAME?</v>
      </c>
      <c r="J137" s="6" t="e">
        <f aca="false">sheet1!aqp138</f>
        <v>#NAME?</v>
      </c>
      <c r="K137" s="6" t="e">
        <f aca="false">sheet1!aqq138</f>
        <v>#NAME?</v>
      </c>
      <c r="L137" s="6"/>
      <c r="M137" s="6"/>
    </row>
    <row r="138" customFormat="false" ht="15.75" hidden="false" customHeight="false" outlineLevel="0" collapsed="false">
      <c r="A138" s="0" t="s">
        <v>21</v>
      </c>
      <c r="B138" s="1" t="n">
        <v>43998</v>
      </c>
      <c r="C138" s="6" t="e">
        <f aca="false">sheet1!aqi139</f>
        <v>#NAME?</v>
      </c>
      <c r="D138" s="6" t="e">
        <f aca="false">sheet1!aqj139</f>
        <v>#NAME?</v>
      </c>
      <c r="E138" s="6" t="e">
        <f aca="false">sheet1!aqk139</f>
        <v>#NAME?</v>
      </c>
      <c r="F138" s="6" t="e">
        <f aca="false">sheet1!aql139</f>
        <v>#NAME?</v>
      </c>
      <c r="G138" s="6" t="e">
        <f aca="false">sheet1!aqm139</f>
        <v>#NAME?</v>
      </c>
      <c r="H138" s="6" t="e">
        <f aca="false">sheet1!aqn139</f>
        <v>#NAME?</v>
      </c>
      <c r="I138" s="6" t="e">
        <f aca="false">sheet1!aqo139</f>
        <v>#NAME?</v>
      </c>
      <c r="J138" s="6" t="e">
        <f aca="false">sheet1!aqp139</f>
        <v>#NAME?</v>
      </c>
      <c r="K138" s="6" t="e">
        <f aca="false">sheet1!aqq139</f>
        <v>#NAME?</v>
      </c>
      <c r="L138" s="6"/>
      <c r="M138" s="6"/>
    </row>
    <row r="139" customFormat="false" ht="15.75" hidden="false" customHeight="false" outlineLevel="0" collapsed="false">
      <c r="A139" s="0" t="s">
        <v>21</v>
      </c>
      <c r="B139" s="1" t="n">
        <v>43999</v>
      </c>
      <c r="C139" s="6" t="e">
        <f aca="false">sheet1!aqi140</f>
        <v>#NAME?</v>
      </c>
      <c r="D139" s="6" t="e">
        <f aca="false">sheet1!aqj140</f>
        <v>#NAME?</v>
      </c>
      <c r="E139" s="6" t="e">
        <f aca="false">sheet1!aqk140</f>
        <v>#NAME?</v>
      </c>
      <c r="F139" s="6" t="e">
        <f aca="false">sheet1!aql140</f>
        <v>#NAME?</v>
      </c>
      <c r="G139" s="6" t="e">
        <f aca="false">sheet1!aqm140</f>
        <v>#NAME?</v>
      </c>
      <c r="H139" s="6" t="e">
        <f aca="false">sheet1!aqn140</f>
        <v>#NAME?</v>
      </c>
      <c r="I139" s="6" t="e">
        <f aca="false">sheet1!aqo140</f>
        <v>#NAME?</v>
      </c>
      <c r="J139" s="6" t="e">
        <f aca="false">sheet1!aqp140</f>
        <v>#NAME?</v>
      </c>
      <c r="K139" s="6" t="e">
        <f aca="false">sheet1!aqq140</f>
        <v>#NAME?</v>
      </c>
      <c r="L139" s="16"/>
      <c r="M139" s="16"/>
    </row>
    <row r="140" customFormat="false" ht="15.75" hidden="false" customHeight="false" outlineLevel="0" collapsed="false">
      <c r="A140" s="0" t="s">
        <v>21</v>
      </c>
      <c r="B140" s="1" t="n">
        <v>44000</v>
      </c>
      <c r="C140" s="6" t="e">
        <f aca="false">sheet1!aqi141</f>
        <v>#NAME?</v>
      </c>
      <c r="D140" s="6" t="e">
        <f aca="false">sheet1!aqj141</f>
        <v>#NAME?</v>
      </c>
      <c r="E140" s="6" t="e">
        <f aca="false">sheet1!aqk141</f>
        <v>#NAME?</v>
      </c>
      <c r="F140" s="6" t="e">
        <f aca="false">sheet1!aql141</f>
        <v>#NAME?</v>
      </c>
      <c r="G140" s="6" t="e">
        <f aca="false">sheet1!aqm141</f>
        <v>#NAME?</v>
      </c>
      <c r="H140" s="6" t="e">
        <f aca="false">sheet1!aqn141</f>
        <v>#NAME?</v>
      </c>
      <c r="I140" s="6" t="e">
        <f aca="false">sheet1!aqo141</f>
        <v>#NAME?</v>
      </c>
      <c r="J140" s="6" t="e">
        <f aca="false">sheet1!aqp141</f>
        <v>#NAME?</v>
      </c>
      <c r="K140" s="6" t="e">
        <f aca="false">sheet1!aqq141</f>
        <v>#NAME?</v>
      </c>
      <c r="L140" s="6"/>
      <c r="M140" s="6"/>
    </row>
    <row r="141" customFormat="false" ht="15.75" hidden="false" customHeight="false" outlineLevel="0" collapsed="false">
      <c r="A141" s="0" t="s">
        <v>21</v>
      </c>
      <c r="B141" s="1" t="n">
        <v>44001</v>
      </c>
      <c r="C141" s="6" t="e">
        <f aca="false">sheet1!aqi142</f>
        <v>#NAME?</v>
      </c>
      <c r="D141" s="6" t="e">
        <f aca="false">sheet1!aqj142</f>
        <v>#NAME?</v>
      </c>
      <c r="E141" s="6" t="e">
        <f aca="false">sheet1!aqk142</f>
        <v>#NAME?</v>
      </c>
      <c r="F141" s="6" t="e">
        <f aca="false">sheet1!aql142</f>
        <v>#NAME?</v>
      </c>
      <c r="G141" s="6" t="e">
        <f aca="false">sheet1!aqm142</f>
        <v>#NAME?</v>
      </c>
      <c r="H141" s="6" t="e">
        <f aca="false">sheet1!aqn142</f>
        <v>#NAME?</v>
      </c>
      <c r="I141" s="6" t="e">
        <f aca="false">sheet1!aqo142</f>
        <v>#NAME?</v>
      </c>
      <c r="J141" s="6" t="e">
        <f aca="false">sheet1!aqp142</f>
        <v>#NAME?</v>
      </c>
      <c r="K141" s="6" t="e">
        <f aca="false">sheet1!aqq142</f>
        <v>#NAME?</v>
      </c>
      <c r="L141" s="6"/>
      <c r="M141" s="6"/>
    </row>
    <row r="142" customFormat="false" ht="15.75" hidden="false" customHeight="false" outlineLevel="0" collapsed="false">
      <c r="A142" s="0" t="s">
        <v>21</v>
      </c>
      <c r="B142" s="1" t="n">
        <v>44002</v>
      </c>
      <c r="C142" s="6" t="e">
        <f aca="false">sheet1!aqi143</f>
        <v>#NAME?</v>
      </c>
      <c r="D142" s="6" t="e">
        <f aca="false">sheet1!aqj143</f>
        <v>#NAME?</v>
      </c>
      <c r="E142" s="6" t="e">
        <f aca="false">sheet1!aqk143</f>
        <v>#NAME?</v>
      </c>
      <c r="F142" s="6" t="e">
        <f aca="false">sheet1!aql143</f>
        <v>#NAME?</v>
      </c>
      <c r="G142" s="6" t="e">
        <f aca="false">sheet1!aqm143</f>
        <v>#NAME?</v>
      </c>
      <c r="H142" s="6" t="e">
        <f aca="false">sheet1!aqn143</f>
        <v>#NAME?</v>
      </c>
      <c r="I142" s="6" t="e">
        <f aca="false">sheet1!aqo143</f>
        <v>#NAME?</v>
      </c>
      <c r="J142" s="6" t="e">
        <f aca="false">sheet1!aqp143</f>
        <v>#NAME?</v>
      </c>
      <c r="K142" s="6" t="e">
        <f aca="false">sheet1!aqq143</f>
        <v>#NAME?</v>
      </c>
      <c r="L142" s="16"/>
      <c r="M142" s="16"/>
    </row>
    <row r="143" customFormat="false" ht="15.75" hidden="false" customHeight="false" outlineLevel="0" collapsed="false">
      <c r="A143" s="0" t="s">
        <v>21</v>
      </c>
      <c r="B143" s="1" t="n">
        <v>44003</v>
      </c>
      <c r="C143" s="6" t="e">
        <f aca="false">sheet1!aqi144</f>
        <v>#NAME?</v>
      </c>
      <c r="D143" s="6" t="e">
        <f aca="false">sheet1!aqj144</f>
        <v>#NAME?</v>
      </c>
      <c r="E143" s="6" t="e">
        <f aca="false">sheet1!aqk144</f>
        <v>#NAME?</v>
      </c>
      <c r="F143" s="6" t="e">
        <f aca="false">sheet1!aql144</f>
        <v>#NAME?</v>
      </c>
      <c r="G143" s="6" t="e">
        <f aca="false">sheet1!aqm144</f>
        <v>#NAME?</v>
      </c>
      <c r="H143" s="6" t="e">
        <f aca="false">sheet1!aqn144</f>
        <v>#NAME?</v>
      </c>
      <c r="I143" s="6" t="e">
        <f aca="false">sheet1!aqo144</f>
        <v>#NAME?</v>
      </c>
      <c r="J143" s="6" t="e">
        <f aca="false">sheet1!aqp144</f>
        <v>#NAME?</v>
      </c>
      <c r="K143" s="6" t="e">
        <f aca="false">sheet1!aqq144</f>
        <v>#NAME?</v>
      </c>
      <c r="L143" s="6"/>
      <c r="M143" s="6"/>
    </row>
    <row r="144" customFormat="false" ht="15.75" hidden="false" customHeight="false" outlineLevel="0" collapsed="false">
      <c r="A144" s="0" t="s">
        <v>21</v>
      </c>
      <c r="B144" s="1" t="n">
        <v>44004</v>
      </c>
      <c r="C144" s="6" t="e">
        <f aca="false">sheet1!aqi145</f>
        <v>#NAME?</v>
      </c>
      <c r="D144" s="6" t="e">
        <f aca="false">sheet1!aqj145</f>
        <v>#NAME?</v>
      </c>
      <c r="E144" s="6" t="e">
        <f aca="false">sheet1!aqk145</f>
        <v>#NAME?</v>
      </c>
      <c r="F144" s="6" t="e">
        <f aca="false">sheet1!aql145</f>
        <v>#NAME?</v>
      </c>
      <c r="G144" s="6" t="e">
        <f aca="false">sheet1!aqm145</f>
        <v>#NAME?</v>
      </c>
      <c r="H144" s="6" t="e">
        <f aca="false">sheet1!aqn145</f>
        <v>#NAME?</v>
      </c>
      <c r="I144" s="6" t="e">
        <f aca="false">sheet1!aqo145</f>
        <v>#NAME?</v>
      </c>
      <c r="J144" s="6" t="e">
        <f aca="false">sheet1!aqp145</f>
        <v>#NAME?</v>
      </c>
      <c r="K144" s="6" t="e">
        <f aca="false">sheet1!aqq145</f>
        <v>#NAME?</v>
      </c>
      <c r="L144" s="16"/>
      <c r="M144" s="16"/>
    </row>
    <row r="145" customFormat="false" ht="15.75" hidden="false" customHeight="false" outlineLevel="0" collapsed="false">
      <c r="A145" s="0" t="s">
        <v>21</v>
      </c>
      <c r="B145" s="1" t="n">
        <v>44005</v>
      </c>
      <c r="C145" s="6" t="e">
        <f aca="false">sheet1!aqi146</f>
        <v>#NAME?</v>
      </c>
      <c r="D145" s="6" t="e">
        <f aca="false">sheet1!aqj146</f>
        <v>#NAME?</v>
      </c>
      <c r="E145" s="6" t="e">
        <f aca="false">sheet1!aqk146</f>
        <v>#NAME?</v>
      </c>
      <c r="F145" s="6" t="e">
        <f aca="false">sheet1!aql146</f>
        <v>#NAME?</v>
      </c>
      <c r="G145" s="6" t="e">
        <f aca="false">sheet1!aqm146</f>
        <v>#NAME?</v>
      </c>
      <c r="H145" s="6" t="e">
        <f aca="false">sheet1!aqn146</f>
        <v>#NAME?</v>
      </c>
      <c r="I145" s="6" t="e">
        <f aca="false">sheet1!aqo146</f>
        <v>#NAME?</v>
      </c>
      <c r="J145" s="6" t="e">
        <f aca="false">sheet1!aqp146</f>
        <v>#NAME?</v>
      </c>
      <c r="K145" s="6" t="e">
        <f aca="false">sheet1!aqq146</f>
        <v>#NAME?</v>
      </c>
      <c r="L145" s="6"/>
      <c r="M145" s="6"/>
    </row>
    <row r="146" customFormat="false" ht="15.75" hidden="false" customHeight="false" outlineLevel="0" collapsed="false">
      <c r="A146" s="0" t="s">
        <v>21</v>
      </c>
      <c r="B146" s="1" t="n">
        <v>44006</v>
      </c>
      <c r="C146" s="6" t="e">
        <f aca="false">sheet1!aqi147</f>
        <v>#NAME?</v>
      </c>
      <c r="D146" s="6" t="e">
        <f aca="false">sheet1!aqj147</f>
        <v>#NAME?</v>
      </c>
      <c r="E146" s="6" t="e">
        <f aca="false">sheet1!aqk147</f>
        <v>#NAME?</v>
      </c>
      <c r="F146" s="6" t="e">
        <f aca="false">sheet1!aql147</f>
        <v>#NAME?</v>
      </c>
      <c r="G146" s="6" t="e">
        <f aca="false">sheet1!aqm147</f>
        <v>#NAME?</v>
      </c>
      <c r="H146" s="6" t="e">
        <f aca="false">sheet1!aqn147</f>
        <v>#NAME?</v>
      </c>
      <c r="I146" s="6" t="e">
        <f aca="false">sheet1!aqo147</f>
        <v>#NAME?</v>
      </c>
      <c r="J146" s="6" t="e">
        <f aca="false">sheet1!aqp147</f>
        <v>#NAME?</v>
      </c>
      <c r="K146" s="6" t="e">
        <f aca="false">sheet1!aqq147</f>
        <v>#NAME?</v>
      </c>
      <c r="L146" s="6"/>
      <c r="M146" s="6"/>
    </row>
    <row r="147" customFormat="false" ht="15.75" hidden="false" customHeight="false" outlineLevel="0" collapsed="false">
      <c r="A147" s="0" t="s">
        <v>21</v>
      </c>
      <c r="B147" s="1" t="n">
        <v>44007</v>
      </c>
      <c r="C147" s="6" t="e">
        <f aca="false">sheet1!aqi148</f>
        <v>#NAME?</v>
      </c>
      <c r="D147" s="6" t="e">
        <f aca="false">sheet1!aqj148</f>
        <v>#NAME?</v>
      </c>
      <c r="E147" s="6" t="e">
        <f aca="false">sheet1!aqk148</f>
        <v>#NAME?</v>
      </c>
      <c r="F147" s="6" t="e">
        <f aca="false">sheet1!aql148</f>
        <v>#NAME?</v>
      </c>
      <c r="G147" s="6" t="e">
        <f aca="false">sheet1!aqm148</f>
        <v>#NAME?</v>
      </c>
      <c r="H147" s="6" t="e">
        <f aca="false">sheet1!aqn148</f>
        <v>#NAME?</v>
      </c>
      <c r="I147" s="6" t="e">
        <f aca="false">sheet1!aqo148</f>
        <v>#NAME?</v>
      </c>
      <c r="J147" s="6" t="e">
        <f aca="false">sheet1!aqp148</f>
        <v>#NAME?</v>
      </c>
      <c r="K147" s="6" t="e">
        <f aca="false">sheet1!aqq148</f>
        <v>#NAME?</v>
      </c>
      <c r="L147" s="6"/>
      <c r="M147" s="6"/>
    </row>
    <row r="148" customFormat="false" ht="15.75" hidden="false" customHeight="false" outlineLevel="0" collapsed="false">
      <c r="A148" s="0" t="s">
        <v>21</v>
      </c>
      <c r="B148" s="1" t="n">
        <v>44008</v>
      </c>
      <c r="C148" s="6" t="e">
        <f aca="false">sheet1!aqi149</f>
        <v>#NAME?</v>
      </c>
      <c r="D148" s="6" t="e">
        <f aca="false">sheet1!aqj149</f>
        <v>#NAME?</v>
      </c>
      <c r="E148" s="6" t="e">
        <f aca="false">sheet1!aqk149</f>
        <v>#NAME?</v>
      </c>
      <c r="F148" s="6" t="e">
        <f aca="false">sheet1!aql149</f>
        <v>#NAME?</v>
      </c>
      <c r="G148" s="6" t="e">
        <f aca="false">sheet1!aqm149</f>
        <v>#NAME?</v>
      </c>
      <c r="H148" s="6" t="e">
        <f aca="false">sheet1!aqn149</f>
        <v>#NAME?</v>
      </c>
      <c r="I148" s="6" t="e">
        <f aca="false">sheet1!aqo149</f>
        <v>#NAME?</v>
      </c>
      <c r="J148" s="6" t="e">
        <f aca="false">sheet1!aqp149</f>
        <v>#NAME?</v>
      </c>
      <c r="K148" s="6" t="e">
        <f aca="false">sheet1!aqq149</f>
        <v>#NAME?</v>
      </c>
      <c r="L148" s="6"/>
      <c r="M148" s="6"/>
    </row>
    <row r="149" customFormat="false" ht="15.75" hidden="false" customHeight="false" outlineLevel="0" collapsed="false">
      <c r="A149" s="0" t="s">
        <v>21</v>
      </c>
      <c r="B149" s="1" t="n">
        <v>44009</v>
      </c>
      <c r="C149" s="6" t="e">
        <f aca="false">sheet1!aqi150</f>
        <v>#NAME?</v>
      </c>
      <c r="D149" s="6" t="e">
        <f aca="false">sheet1!aqj150</f>
        <v>#NAME?</v>
      </c>
      <c r="E149" s="6" t="e">
        <f aca="false">sheet1!aqk150</f>
        <v>#NAME?</v>
      </c>
      <c r="F149" s="6" t="e">
        <f aca="false">sheet1!aql150</f>
        <v>#NAME?</v>
      </c>
      <c r="G149" s="6" t="e">
        <f aca="false">sheet1!aqm150</f>
        <v>#NAME?</v>
      </c>
      <c r="H149" s="6" t="e">
        <f aca="false">sheet1!aqn150</f>
        <v>#NAME?</v>
      </c>
      <c r="I149" s="6" t="e">
        <f aca="false">sheet1!aqo150</f>
        <v>#NAME?</v>
      </c>
      <c r="J149" s="6" t="e">
        <f aca="false">sheet1!aqp150</f>
        <v>#NAME?</v>
      </c>
      <c r="K149" s="6" t="e">
        <f aca="false">sheet1!aqq150</f>
        <v>#NAME?</v>
      </c>
      <c r="L149" s="6" t="e">
        <f aca="false">sheet1!aqr150</f>
        <v>#NAME?</v>
      </c>
      <c r="M149" s="6"/>
    </row>
    <row r="150" customFormat="false" ht="15.75" hidden="false" customHeight="false" outlineLevel="0" collapsed="false">
      <c r="A150" s="0" t="s">
        <v>21</v>
      </c>
      <c r="B150" s="1" t="n">
        <v>44010</v>
      </c>
      <c r="C150" s="6" t="e">
        <f aca="false">sheet1!aqi151</f>
        <v>#NAME?</v>
      </c>
      <c r="D150" s="6" t="e">
        <f aca="false">sheet1!aqj151</f>
        <v>#NAME?</v>
      </c>
      <c r="E150" s="6" t="e">
        <f aca="false">sheet1!aqk151</f>
        <v>#NAME?</v>
      </c>
      <c r="F150" s="6" t="e">
        <f aca="false">sheet1!aql151</f>
        <v>#NAME?</v>
      </c>
      <c r="G150" s="6" t="e">
        <f aca="false">sheet1!aqm151</f>
        <v>#NAME?</v>
      </c>
      <c r="H150" s="6" t="e">
        <f aca="false">sheet1!aqn151</f>
        <v>#NAME?</v>
      </c>
      <c r="I150" s="6" t="e">
        <f aca="false">sheet1!aqo151</f>
        <v>#NAME?</v>
      </c>
      <c r="J150" s="6" t="e">
        <f aca="false">sheet1!aqp151</f>
        <v>#NAME?</v>
      </c>
      <c r="K150" s="6" t="e">
        <f aca="false">sheet1!aqq151</f>
        <v>#NAME?</v>
      </c>
      <c r="L150" s="6" t="e">
        <f aca="false">sheet1!aqr151</f>
        <v>#NAME?</v>
      </c>
      <c r="M150" s="6"/>
    </row>
    <row r="151" customFormat="false" ht="15.75" hidden="false" customHeight="false" outlineLevel="0" collapsed="false">
      <c r="A151" s="0" t="s">
        <v>21</v>
      </c>
      <c r="B151" s="1" t="n">
        <v>44011</v>
      </c>
      <c r="C151" s="6" t="e">
        <f aca="false">sheet1!aqi152</f>
        <v>#NAME?</v>
      </c>
      <c r="D151" s="6" t="e">
        <f aca="false">sheet1!aqj152</f>
        <v>#NAME?</v>
      </c>
      <c r="E151" s="6" t="e">
        <f aca="false">sheet1!aqk152</f>
        <v>#NAME?</v>
      </c>
      <c r="F151" s="6" t="e">
        <f aca="false">sheet1!aql152</f>
        <v>#NAME?</v>
      </c>
      <c r="G151" s="6" t="e">
        <f aca="false">sheet1!aqm152</f>
        <v>#NAME?</v>
      </c>
      <c r="H151" s="6" t="e">
        <f aca="false">sheet1!aqn152</f>
        <v>#NAME?</v>
      </c>
      <c r="I151" s="6" t="e">
        <f aca="false">sheet1!aqo152</f>
        <v>#NAME?</v>
      </c>
      <c r="J151" s="6" t="e">
        <f aca="false">sheet1!aqp152</f>
        <v>#NAME?</v>
      </c>
      <c r="K151" s="6" t="e">
        <f aca="false">sheet1!aqq152</f>
        <v>#NAME?</v>
      </c>
      <c r="L151" s="6" t="e">
        <f aca="false">sheet1!aqr152</f>
        <v>#NAME?</v>
      </c>
      <c r="M151" s="6"/>
    </row>
    <row r="152" customFormat="false" ht="15.75" hidden="false" customHeight="false" outlineLevel="0" collapsed="false">
      <c r="A152" s="0" t="s">
        <v>21</v>
      </c>
      <c r="B152" s="1" t="n">
        <v>44012</v>
      </c>
      <c r="C152" s="6" t="e">
        <f aca="false">sheet1!aqi153</f>
        <v>#NAME?</v>
      </c>
      <c r="D152" s="6" t="e">
        <f aca="false">sheet1!aqj153</f>
        <v>#NAME?</v>
      </c>
      <c r="E152" s="6" t="e">
        <f aca="false">sheet1!aqk153</f>
        <v>#NAME?</v>
      </c>
      <c r="F152" s="6" t="e">
        <f aca="false">sheet1!aql153</f>
        <v>#NAME?</v>
      </c>
      <c r="G152" s="6" t="e">
        <f aca="false">sheet1!aqm153</f>
        <v>#NAME?</v>
      </c>
      <c r="H152" s="6" t="e">
        <f aca="false">sheet1!aqn153</f>
        <v>#NAME?</v>
      </c>
      <c r="I152" s="6" t="e">
        <f aca="false">sheet1!aqo153</f>
        <v>#NAME?</v>
      </c>
      <c r="J152" s="6" t="e">
        <f aca="false">sheet1!aqp153</f>
        <v>#NAME?</v>
      </c>
      <c r="K152" s="6" t="e">
        <f aca="false">sheet1!aqq153</f>
        <v>#NAME?</v>
      </c>
      <c r="L152" s="6" t="e">
        <f aca="false">sheet1!aqr153</f>
        <v>#NAME?</v>
      </c>
      <c r="M152" s="6"/>
    </row>
    <row r="153" customFormat="false" ht="15.75" hidden="false" customHeight="false" outlineLevel="0" collapsed="false">
      <c r="A153" s="0" t="s">
        <v>21</v>
      </c>
      <c r="B153" s="1" t="n">
        <v>44013</v>
      </c>
      <c r="C153" s="6" t="e">
        <f aca="false">sheet1!aqi154</f>
        <v>#NAME?</v>
      </c>
      <c r="D153" s="6" t="e">
        <f aca="false">sheet1!aqj154</f>
        <v>#NAME?</v>
      </c>
      <c r="E153" s="6" t="e">
        <f aca="false">sheet1!aqk154</f>
        <v>#NAME?</v>
      </c>
      <c r="F153" s="6" t="e">
        <f aca="false">sheet1!aql154</f>
        <v>#NAME?</v>
      </c>
      <c r="G153" s="6" t="e">
        <f aca="false">sheet1!aqm154</f>
        <v>#NAME?</v>
      </c>
      <c r="H153" s="6" t="e">
        <f aca="false">sheet1!aqn154</f>
        <v>#NAME?</v>
      </c>
      <c r="I153" s="6" t="e">
        <f aca="false">sheet1!aqo154</f>
        <v>#NAME?</v>
      </c>
      <c r="J153" s="6" t="e">
        <f aca="false">sheet1!aqp154</f>
        <v>#NAME?</v>
      </c>
      <c r="K153" s="6" t="e">
        <f aca="false">sheet1!aqq154</f>
        <v>#NAME?</v>
      </c>
      <c r="L153" s="6" t="e">
        <f aca="false">sheet1!aqr154</f>
        <v>#NAME?</v>
      </c>
      <c r="M153" s="6"/>
    </row>
    <row r="154" customFormat="false" ht="15.75" hidden="false" customHeight="false" outlineLevel="0" collapsed="false">
      <c r="A154" s="0" t="s">
        <v>21</v>
      </c>
      <c r="B154" s="1" t="n">
        <v>44014</v>
      </c>
      <c r="C154" s="6" t="e">
        <f aca="false">sheet1!aqi155</f>
        <v>#NAME?</v>
      </c>
      <c r="D154" s="6" t="e">
        <f aca="false">sheet1!aqj155</f>
        <v>#NAME?</v>
      </c>
      <c r="E154" s="6" t="e">
        <f aca="false">sheet1!aqk155</f>
        <v>#NAME?</v>
      </c>
      <c r="F154" s="6" t="e">
        <f aca="false">sheet1!aql155</f>
        <v>#NAME?</v>
      </c>
      <c r="G154" s="6" t="e">
        <f aca="false">sheet1!aqm155</f>
        <v>#NAME?</v>
      </c>
      <c r="H154" s="6" t="e">
        <f aca="false">sheet1!aqn155</f>
        <v>#NAME?</v>
      </c>
      <c r="I154" s="6" t="e">
        <f aca="false">sheet1!aqo155</f>
        <v>#NAME?</v>
      </c>
      <c r="J154" s="6" t="e">
        <f aca="false">sheet1!aqp155</f>
        <v>#NAME?</v>
      </c>
      <c r="K154" s="6" t="e">
        <f aca="false">sheet1!aqq155</f>
        <v>#NAME?</v>
      </c>
      <c r="L154" s="6" t="e">
        <f aca="false">sheet1!aqr155</f>
        <v>#NAME?</v>
      </c>
      <c r="M154" s="6"/>
    </row>
    <row r="155" customFormat="false" ht="15.75" hidden="false" customHeight="false" outlineLevel="0" collapsed="false">
      <c r="A155" s="0" t="s">
        <v>21</v>
      </c>
      <c r="B155" s="1" t="n">
        <v>44015</v>
      </c>
      <c r="C155" s="6" t="e">
        <f aca="false">sheet1!aqi156</f>
        <v>#NAME?</v>
      </c>
      <c r="D155" s="6" t="e">
        <f aca="false">sheet1!aqj156</f>
        <v>#NAME?</v>
      </c>
      <c r="E155" s="6" t="e">
        <f aca="false">sheet1!aqk156</f>
        <v>#NAME?</v>
      </c>
      <c r="F155" s="6" t="e">
        <f aca="false">sheet1!aql156</f>
        <v>#NAME?</v>
      </c>
      <c r="G155" s="6" t="e">
        <f aca="false">sheet1!aqm156</f>
        <v>#NAME?</v>
      </c>
      <c r="H155" s="6" t="e">
        <f aca="false">sheet1!aqn156</f>
        <v>#NAME?</v>
      </c>
      <c r="I155" s="6" t="e">
        <f aca="false">sheet1!aqo156</f>
        <v>#NAME?</v>
      </c>
      <c r="J155" s="6" t="e">
        <f aca="false">sheet1!aqp156</f>
        <v>#NAME?</v>
      </c>
      <c r="K155" s="6" t="e">
        <f aca="false">sheet1!aqq156</f>
        <v>#NAME?</v>
      </c>
      <c r="L155" s="6" t="e">
        <f aca="false">sheet1!aqr156</f>
        <v>#NAME?</v>
      </c>
      <c r="M155" s="6"/>
    </row>
    <row r="156" customFormat="false" ht="15.75" hidden="false" customHeight="false" outlineLevel="0" collapsed="false">
      <c r="A156" s="0" t="s">
        <v>21</v>
      </c>
      <c r="B156" s="1" t="n">
        <v>44016</v>
      </c>
      <c r="C156" s="6" t="e">
        <f aca="false">sheet1!aqi157</f>
        <v>#NAME?</v>
      </c>
      <c r="D156" s="6" t="e">
        <f aca="false">sheet1!aqj157</f>
        <v>#NAME?</v>
      </c>
      <c r="E156" s="6" t="e">
        <f aca="false">sheet1!aqk157</f>
        <v>#NAME?</v>
      </c>
      <c r="F156" s="6" t="e">
        <f aca="false">sheet1!aql157</f>
        <v>#NAME?</v>
      </c>
      <c r="G156" s="6" t="e">
        <f aca="false">sheet1!aqm157</f>
        <v>#NAME?</v>
      </c>
      <c r="H156" s="6" t="e">
        <f aca="false">sheet1!aqn157</f>
        <v>#NAME?</v>
      </c>
      <c r="I156" s="6" t="e">
        <f aca="false">sheet1!aqo157</f>
        <v>#NAME?</v>
      </c>
      <c r="J156" s="6" t="e">
        <f aca="false">sheet1!aqp157</f>
        <v>#NAME?</v>
      </c>
      <c r="K156" s="6" t="e">
        <f aca="false">sheet1!aqq157</f>
        <v>#NAME?</v>
      </c>
      <c r="L156" s="6" t="e">
        <f aca="false">sheet1!aqr157</f>
        <v>#NAME?</v>
      </c>
      <c r="M156" s="6"/>
    </row>
    <row r="157" customFormat="false" ht="15.75" hidden="false" customHeight="false" outlineLevel="0" collapsed="false">
      <c r="A157" s="0" t="s">
        <v>21</v>
      </c>
      <c r="B157" s="1" t="n">
        <v>44017</v>
      </c>
      <c r="C157" s="6" t="e">
        <f aca="false">sheet1!aqi158</f>
        <v>#NAME?</v>
      </c>
      <c r="D157" s="6" t="e">
        <f aca="false">sheet1!aqj158</f>
        <v>#NAME?</v>
      </c>
      <c r="E157" s="6" t="e">
        <f aca="false">sheet1!aqk158</f>
        <v>#NAME?</v>
      </c>
      <c r="F157" s="6" t="e">
        <f aca="false">sheet1!aql158</f>
        <v>#NAME?</v>
      </c>
      <c r="G157" s="6" t="e">
        <f aca="false">sheet1!aqm158</f>
        <v>#NAME?</v>
      </c>
      <c r="H157" s="6" t="e">
        <f aca="false">sheet1!aqn158</f>
        <v>#NAME?</v>
      </c>
      <c r="I157" s="6" t="e">
        <f aca="false">sheet1!aqo158</f>
        <v>#NAME?</v>
      </c>
      <c r="J157" s="6" t="e">
        <f aca="false">sheet1!aqp158</f>
        <v>#NAME?</v>
      </c>
      <c r="K157" s="6" t="e">
        <f aca="false">sheet1!aqq158</f>
        <v>#NAME?</v>
      </c>
      <c r="L157" s="6" t="e">
        <f aca="false">sheet1!aqr158</f>
        <v>#NAME?</v>
      </c>
      <c r="M157" s="17"/>
    </row>
    <row r="158" customFormat="false" ht="15.75" hidden="false" customHeight="false" outlineLevel="0" collapsed="false">
      <c r="A158" s="0" t="s">
        <v>21</v>
      </c>
      <c r="B158" s="1" t="n">
        <v>44018</v>
      </c>
      <c r="C158" s="6" t="e">
        <f aca="false">sheet1!aqi159</f>
        <v>#NAME?</v>
      </c>
      <c r="D158" s="6" t="e">
        <f aca="false">sheet1!aqj159</f>
        <v>#NAME?</v>
      </c>
      <c r="E158" s="6" t="e">
        <f aca="false">sheet1!aqk159</f>
        <v>#NAME?</v>
      </c>
      <c r="F158" s="6" t="e">
        <f aca="false">sheet1!aql159</f>
        <v>#NAME?</v>
      </c>
      <c r="G158" s="6" t="e">
        <f aca="false">sheet1!aqm159</f>
        <v>#NAME?</v>
      </c>
      <c r="H158" s="6" t="e">
        <f aca="false">sheet1!aqn159</f>
        <v>#NAME?</v>
      </c>
      <c r="I158" s="6" t="e">
        <f aca="false">sheet1!aqo159</f>
        <v>#NAME?</v>
      </c>
      <c r="J158" s="6" t="e">
        <f aca="false">sheet1!aqp159</f>
        <v>#NAME?</v>
      </c>
      <c r="K158" s="6" t="e">
        <f aca="false">sheet1!aqq159</f>
        <v>#NAME?</v>
      </c>
      <c r="L158" s="6" t="e">
        <f aca="false">sheet1!aqr159</f>
        <v>#NAME?</v>
      </c>
    </row>
    <row r="159" customFormat="false" ht="15.75" hidden="false" customHeight="false" outlineLevel="0" collapsed="false">
      <c r="A159" s="0" t="s">
        <v>21</v>
      </c>
      <c r="B159" s="1" t="n">
        <v>44019</v>
      </c>
      <c r="C159" s="6" t="e">
        <f aca="false">sheet1!aqi160</f>
        <v>#NAME?</v>
      </c>
      <c r="D159" s="6" t="e">
        <f aca="false">sheet1!aqj160</f>
        <v>#NAME?</v>
      </c>
      <c r="E159" s="6" t="e">
        <f aca="false">sheet1!aqk160</f>
        <v>#NAME?</v>
      </c>
      <c r="F159" s="6" t="e">
        <f aca="false">sheet1!aql160</f>
        <v>#NAME?</v>
      </c>
      <c r="G159" s="6" t="e">
        <f aca="false">sheet1!aqm160</f>
        <v>#NAME?</v>
      </c>
      <c r="H159" s="6" t="e">
        <f aca="false">sheet1!aqn160</f>
        <v>#NAME?</v>
      </c>
      <c r="I159" s="6" t="e">
        <f aca="false">sheet1!aqo160</f>
        <v>#NAME?</v>
      </c>
      <c r="J159" s="6" t="e">
        <f aca="false">sheet1!aqp160</f>
        <v>#NAME?</v>
      </c>
      <c r="K159" s="6" t="e">
        <f aca="false">sheet1!aqq160</f>
        <v>#NAME?</v>
      </c>
      <c r="L159" s="6" t="e">
        <f aca="false">sheet1!aqr160</f>
        <v>#NAME?</v>
      </c>
    </row>
    <row r="160" customFormat="false" ht="15.75" hidden="false" customHeight="false" outlineLevel="0" collapsed="false">
      <c r="A160" s="0" t="s">
        <v>21</v>
      </c>
      <c r="B160" s="1" t="n">
        <v>44020</v>
      </c>
      <c r="C160" s="6" t="e">
        <f aca="false">sheet1!aqi161</f>
        <v>#NAME?</v>
      </c>
      <c r="D160" s="6" t="e">
        <f aca="false">sheet1!aqj161</f>
        <v>#NAME?</v>
      </c>
      <c r="E160" s="6" t="e">
        <f aca="false">sheet1!aqk161</f>
        <v>#NAME?</v>
      </c>
      <c r="F160" s="6" t="e">
        <f aca="false">sheet1!aql161</f>
        <v>#NAME?</v>
      </c>
      <c r="G160" s="6" t="e">
        <f aca="false">sheet1!aqm161</f>
        <v>#NAME?</v>
      </c>
      <c r="H160" s="6" t="e">
        <f aca="false">sheet1!aqn161</f>
        <v>#NAME?</v>
      </c>
      <c r="I160" s="6" t="e">
        <f aca="false">sheet1!aqo161</f>
        <v>#NAME?</v>
      </c>
      <c r="J160" s="6" t="e">
        <f aca="false">sheet1!aqp161</f>
        <v>#NAME?</v>
      </c>
      <c r="K160" s="6" t="e">
        <f aca="false">sheet1!aqq161</f>
        <v>#NAME?</v>
      </c>
      <c r="L160" s="6" t="e">
        <f aca="false">sheet1!aqr161</f>
        <v>#NAME?</v>
      </c>
    </row>
    <row r="161" customFormat="false" ht="15.75" hidden="false" customHeight="false" outlineLevel="0" collapsed="false">
      <c r="A161" s="0" t="s">
        <v>21</v>
      </c>
      <c r="B161" s="1" t="n">
        <v>44021</v>
      </c>
      <c r="C161" s="6" t="e">
        <f aca="false">sheet1!aqi162</f>
        <v>#NAME?</v>
      </c>
      <c r="D161" s="6" t="e">
        <f aca="false">sheet1!aqj162</f>
        <v>#NAME?</v>
      </c>
      <c r="E161" s="6" t="e">
        <f aca="false">sheet1!aqk162</f>
        <v>#NAME?</v>
      </c>
      <c r="F161" s="6" t="e">
        <f aca="false">sheet1!aql162</f>
        <v>#NAME?</v>
      </c>
      <c r="G161" s="6" t="e">
        <f aca="false">sheet1!aqm162</f>
        <v>#NAME?</v>
      </c>
      <c r="H161" s="6" t="e">
        <f aca="false">sheet1!aqn162</f>
        <v>#NAME?</v>
      </c>
      <c r="I161" s="6" t="e">
        <f aca="false">sheet1!aqo162</f>
        <v>#NAME?</v>
      </c>
      <c r="J161" s="6" t="e">
        <f aca="false">sheet1!aqp162</f>
        <v>#NAME?</v>
      </c>
      <c r="K161" s="6" t="e">
        <f aca="false">sheet1!aqq162</f>
        <v>#NAME?</v>
      </c>
      <c r="L161" s="6" t="e">
        <f aca="false">sheet1!aqr162</f>
        <v>#NAME?</v>
      </c>
    </row>
    <row r="162" customFormat="false" ht="15.75" hidden="false" customHeight="false" outlineLevel="0" collapsed="false">
      <c r="A162" s="0" t="s">
        <v>21</v>
      </c>
      <c r="B162" s="1" t="n">
        <v>44022</v>
      </c>
      <c r="C162" s="6" t="e">
        <f aca="false">sheet1!aqi163</f>
        <v>#NAME?</v>
      </c>
      <c r="D162" s="6" t="e">
        <f aca="false">sheet1!aqj163</f>
        <v>#NAME?</v>
      </c>
      <c r="E162" s="6" t="e">
        <f aca="false">sheet1!aqk163</f>
        <v>#NAME?</v>
      </c>
      <c r="F162" s="6" t="e">
        <f aca="false">sheet1!aql163</f>
        <v>#NAME?</v>
      </c>
      <c r="G162" s="6" t="e">
        <f aca="false">sheet1!aqm163</f>
        <v>#NAME?</v>
      </c>
      <c r="H162" s="6" t="e">
        <f aca="false">sheet1!aqn163</f>
        <v>#NAME?</v>
      </c>
      <c r="I162" s="6" t="e">
        <f aca="false">sheet1!aqo163</f>
        <v>#NAME?</v>
      </c>
      <c r="J162" s="6" t="e">
        <f aca="false">sheet1!aqp163</f>
        <v>#NAME?</v>
      </c>
      <c r="K162" s="6" t="e">
        <f aca="false">sheet1!aqq163</f>
        <v>#NAME?</v>
      </c>
      <c r="L162" s="6" t="e">
        <f aca="false">sheet1!aqr163</f>
        <v>#NAME?</v>
      </c>
    </row>
    <row r="163" customFormat="false" ht="15.75" hidden="false" customHeight="false" outlineLevel="0" collapsed="false">
      <c r="A163" s="0" t="s">
        <v>21</v>
      </c>
      <c r="B163" s="1" t="n">
        <v>44023</v>
      </c>
      <c r="C163" s="6" t="e">
        <f aca="false">sheet1!aqi164</f>
        <v>#NAME?</v>
      </c>
      <c r="D163" s="6" t="e">
        <f aca="false">sheet1!aqj164</f>
        <v>#NAME?</v>
      </c>
      <c r="E163" s="6" t="e">
        <f aca="false">sheet1!aqk164</f>
        <v>#NAME?</v>
      </c>
      <c r="F163" s="6" t="e">
        <f aca="false">sheet1!aql164</f>
        <v>#NAME?</v>
      </c>
      <c r="G163" s="6" t="e">
        <f aca="false">sheet1!aqm164</f>
        <v>#NAME?</v>
      </c>
      <c r="H163" s="6" t="e">
        <f aca="false">sheet1!aqn164</f>
        <v>#NAME?</v>
      </c>
      <c r="I163" s="6" t="e">
        <f aca="false">sheet1!aqo164</f>
        <v>#NAME?</v>
      </c>
      <c r="J163" s="6" t="e">
        <f aca="false">sheet1!aqp164</f>
        <v>#NAME?</v>
      </c>
      <c r="K163" s="6" t="e">
        <f aca="false">sheet1!aqq164</f>
        <v>#NAME?</v>
      </c>
      <c r="L163" s="6" t="e">
        <f aca="false">sheet1!aqr164</f>
        <v>#NAME?</v>
      </c>
    </row>
    <row r="164" customFormat="false" ht="15.75" hidden="false" customHeight="false" outlineLevel="0" collapsed="false">
      <c r="A164" s="0" t="s">
        <v>21</v>
      </c>
      <c r="B164" s="1" t="n">
        <v>44024</v>
      </c>
      <c r="C164" s="6" t="e">
        <f aca="false">sheet1!aqi165</f>
        <v>#NAME?</v>
      </c>
      <c r="D164" s="6" t="e">
        <f aca="false">sheet1!aqj165</f>
        <v>#NAME?</v>
      </c>
      <c r="E164" s="6" t="e">
        <f aca="false">sheet1!aqk165</f>
        <v>#NAME?</v>
      </c>
      <c r="F164" s="6" t="e">
        <f aca="false">sheet1!aql165</f>
        <v>#NAME?</v>
      </c>
      <c r="G164" s="6" t="e">
        <f aca="false">sheet1!aqm165</f>
        <v>#NAME?</v>
      </c>
      <c r="H164" s="6" t="e">
        <f aca="false">sheet1!aqn165</f>
        <v>#NAME?</v>
      </c>
      <c r="I164" s="6" t="e">
        <f aca="false">sheet1!aqo165</f>
        <v>#NAME?</v>
      </c>
      <c r="J164" s="6" t="e">
        <f aca="false">sheet1!aqp165</f>
        <v>#NAME?</v>
      </c>
      <c r="K164" s="6" t="e">
        <f aca="false">sheet1!aqq165</f>
        <v>#NAME?</v>
      </c>
      <c r="L164" s="6" t="e">
        <f aca="false">sheet1!aqr165</f>
        <v>#NAME?</v>
      </c>
    </row>
    <row r="165" customFormat="false" ht="15.75" hidden="false" customHeight="false" outlineLevel="0" collapsed="false">
      <c r="A165" s="0" t="s">
        <v>21</v>
      </c>
      <c r="B165" s="1" t="n">
        <v>44025</v>
      </c>
      <c r="C165" s="6" t="e">
        <f aca="false">sheet1!aqi166</f>
        <v>#NAME?</v>
      </c>
      <c r="D165" s="6" t="e">
        <f aca="false">sheet1!aqj166</f>
        <v>#NAME?</v>
      </c>
      <c r="E165" s="6" t="e">
        <f aca="false">sheet1!aqk166</f>
        <v>#NAME?</v>
      </c>
      <c r="F165" s="6" t="e">
        <f aca="false">sheet1!aql166</f>
        <v>#NAME?</v>
      </c>
      <c r="G165" s="6" t="e">
        <f aca="false">sheet1!aqm166</f>
        <v>#NAME?</v>
      </c>
      <c r="H165" s="6" t="e">
        <f aca="false">sheet1!aqn166</f>
        <v>#NAME?</v>
      </c>
      <c r="I165" s="6" t="e">
        <f aca="false">sheet1!aqo166</f>
        <v>#NAME?</v>
      </c>
      <c r="J165" s="6" t="e">
        <f aca="false">sheet1!aqp166</f>
        <v>#NAME?</v>
      </c>
      <c r="K165" s="6" t="e">
        <f aca="false">sheet1!aqq166</f>
        <v>#NAME?</v>
      </c>
      <c r="L165" s="6" t="e">
        <f aca="false">sheet1!aqr166</f>
        <v>#NAME?</v>
      </c>
    </row>
    <row r="166" customFormat="false" ht="15.75" hidden="false" customHeight="false" outlineLevel="0" collapsed="false">
      <c r="A166" s="0" t="s">
        <v>21</v>
      </c>
      <c r="B166" s="1" t="n">
        <v>44026</v>
      </c>
      <c r="C166" s="6" t="e">
        <f aca="false">sheet1!aqi167</f>
        <v>#NAME?</v>
      </c>
      <c r="D166" s="6" t="e">
        <f aca="false">sheet1!aqj167</f>
        <v>#NAME?</v>
      </c>
      <c r="E166" s="6" t="e">
        <f aca="false">sheet1!aqk167</f>
        <v>#NAME?</v>
      </c>
      <c r="F166" s="6" t="e">
        <f aca="false">sheet1!aql167</f>
        <v>#NAME?</v>
      </c>
      <c r="G166" s="6" t="e">
        <f aca="false">sheet1!aqm167</f>
        <v>#NAME?</v>
      </c>
      <c r="H166" s="6" t="e">
        <f aca="false">sheet1!aqn167</f>
        <v>#NAME?</v>
      </c>
      <c r="I166" s="6" t="e">
        <f aca="false">sheet1!aqo167</f>
        <v>#NAME?</v>
      </c>
      <c r="J166" s="6" t="e">
        <f aca="false">sheet1!aqp167</f>
        <v>#NAME?</v>
      </c>
      <c r="K166" s="6" t="e">
        <f aca="false">sheet1!aqq167</f>
        <v>#NAME?</v>
      </c>
      <c r="L166" s="6" t="e">
        <f aca="false">sheet1!aqr167</f>
        <v>#NAME?</v>
      </c>
    </row>
    <row r="167" customFormat="false" ht="15.75" hidden="false" customHeight="false" outlineLevel="0" collapsed="false">
      <c r="A167" s="0" t="s">
        <v>21</v>
      </c>
      <c r="B167" s="1" t="n">
        <v>44027</v>
      </c>
      <c r="C167" s="6" t="e">
        <f aca="false">sheet1!aqi168</f>
        <v>#NAME?</v>
      </c>
      <c r="D167" s="6" t="e">
        <f aca="false">sheet1!aqj168</f>
        <v>#NAME?</v>
      </c>
      <c r="E167" s="6" t="e">
        <f aca="false">sheet1!aqk168</f>
        <v>#NAME?</v>
      </c>
      <c r="F167" s="6" t="e">
        <f aca="false">sheet1!aql168</f>
        <v>#NAME?</v>
      </c>
      <c r="G167" s="6" t="e">
        <f aca="false">sheet1!aqm168</f>
        <v>#NAME?</v>
      </c>
      <c r="H167" s="6" t="e">
        <f aca="false">sheet1!aqn168</f>
        <v>#NAME?</v>
      </c>
      <c r="I167" s="6" t="e">
        <f aca="false">sheet1!aqo168</f>
        <v>#NAME?</v>
      </c>
      <c r="J167" s="6" t="e">
        <f aca="false">sheet1!aqp168</f>
        <v>#NAME?</v>
      </c>
      <c r="K167" s="6" t="e">
        <f aca="false">sheet1!aqq168</f>
        <v>#NAME?</v>
      </c>
      <c r="L167" s="6" t="e">
        <f aca="false">sheet1!aqr168</f>
        <v>#NAME?</v>
      </c>
    </row>
    <row r="168" customFormat="false" ht="15.75" hidden="false" customHeight="false" outlineLevel="0" collapsed="false">
      <c r="A168" s="0" t="s">
        <v>21</v>
      </c>
      <c r="B168" s="1" t="n">
        <v>44028</v>
      </c>
      <c r="C168" s="6" t="e">
        <f aca="false">sheet1!aqi169</f>
        <v>#NAME?</v>
      </c>
      <c r="D168" s="6" t="e">
        <f aca="false">sheet1!aqj169</f>
        <v>#NAME?</v>
      </c>
      <c r="E168" s="6" t="e">
        <f aca="false">sheet1!aqk169</f>
        <v>#NAME?</v>
      </c>
      <c r="F168" s="6" t="e">
        <f aca="false">sheet1!aql169</f>
        <v>#NAME?</v>
      </c>
      <c r="G168" s="6" t="e">
        <f aca="false">sheet1!aqm169</f>
        <v>#NAME?</v>
      </c>
      <c r="H168" s="6" t="e">
        <f aca="false">sheet1!aqn169</f>
        <v>#NAME?</v>
      </c>
      <c r="I168" s="6" t="e">
        <f aca="false">sheet1!aqo169</f>
        <v>#NAME?</v>
      </c>
      <c r="J168" s="6" t="e">
        <f aca="false">sheet1!aqp169</f>
        <v>#NAME?</v>
      </c>
      <c r="K168" s="6" t="e">
        <f aca="false">sheet1!aqq169</f>
        <v>#NAME?</v>
      </c>
      <c r="L168" s="6" t="e">
        <f aca="false">sheet1!aqr169</f>
        <v>#NAME?</v>
      </c>
    </row>
    <row r="169" customFormat="false" ht="15.75" hidden="false" customHeight="false" outlineLevel="0" collapsed="false">
      <c r="A169" s="0" t="s">
        <v>21</v>
      </c>
      <c r="B169" s="1" t="n">
        <v>44029</v>
      </c>
      <c r="C169" s="6" t="e">
        <f aca="false">sheet1!aqi170</f>
        <v>#NAME?</v>
      </c>
      <c r="D169" s="6" t="e">
        <f aca="false">sheet1!aqj170</f>
        <v>#NAME?</v>
      </c>
      <c r="E169" s="6" t="e">
        <f aca="false">sheet1!aqk170</f>
        <v>#NAME?</v>
      </c>
      <c r="F169" s="6" t="e">
        <f aca="false">sheet1!aql170</f>
        <v>#NAME?</v>
      </c>
      <c r="G169" s="6" t="e">
        <f aca="false">sheet1!aqm170</f>
        <v>#NAME?</v>
      </c>
      <c r="H169" s="6" t="e">
        <f aca="false">sheet1!aqn170</f>
        <v>#NAME?</v>
      </c>
      <c r="I169" s="6" t="e">
        <f aca="false">sheet1!aqo170</f>
        <v>#NAME?</v>
      </c>
      <c r="J169" s="6" t="e">
        <f aca="false">sheet1!aqp170</f>
        <v>#NAME?</v>
      </c>
      <c r="K169" s="6" t="e">
        <f aca="false">sheet1!aqq170</f>
        <v>#NAME?</v>
      </c>
      <c r="L169" s="6" t="e">
        <f aca="false">sheet1!aqr170</f>
        <v>#NAME?</v>
      </c>
    </row>
    <row r="170" customFormat="false" ht="15.75" hidden="false" customHeight="false" outlineLevel="0" collapsed="false">
      <c r="A170" s="0" t="s">
        <v>21</v>
      </c>
      <c r="B170" s="1" t="n">
        <v>44030</v>
      </c>
      <c r="C170" s="6" t="e">
        <f aca="false">sheet1!aqi171</f>
        <v>#NAME?</v>
      </c>
      <c r="D170" s="6" t="e">
        <f aca="false">sheet1!aqj171</f>
        <v>#NAME?</v>
      </c>
      <c r="E170" s="6" t="e">
        <f aca="false">sheet1!aqk171</f>
        <v>#NAME?</v>
      </c>
      <c r="F170" s="6" t="e">
        <f aca="false">sheet1!aql171</f>
        <v>#NAME?</v>
      </c>
      <c r="G170" s="6" t="e">
        <f aca="false">sheet1!aqm171</f>
        <v>#NAME?</v>
      </c>
      <c r="H170" s="6" t="e">
        <f aca="false">sheet1!aqn171</f>
        <v>#NAME?</v>
      </c>
      <c r="I170" s="6" t="e">
        <f aca="false">sheet1!aqo171</f>
        <v>#NAME?</v>
      </c>
      <c r="J170" s="6" t="e">
        <f aca="false">sheet1!aqp171</f>
        <v>#NAME?</v>
      </c>
      <c r="K170" s="6" t="e">
        <f aca="false">sheet1!aqq171</f>
        <v>#NAME?</v>
      </c>
      <c r="L170" s="6" t="e">
        <f aca="false">sheet1!aqr171</f>
        <v>#NAME?</v>
      </c>
    </row>
    <row r="171" customFormat="false" ht="15.75" hidden="false" customHeight="false" outlineLevel="0" collapsed="false">
      <c r="A171" s="0" t="s">
        <v>21</v>
      </c>
      <c r="B171" s="1" t="n">
        <v>44031</v>
      </c>
      <c r="C171" s="6" t="e">
        <f aca="false">sheet1!aqi172</f>
        <v>#NAME?</v>
      </c>
      <c r="D171" s="6" t="e">
        <f aca="false">sheet1!aqj172</f>
        <v>#NAME?</v>
      </c>
      <c r="E171" s="6" t="e">
        <f aca="false">sheet1!aqk172</f>
        <v>#NAME?</v>
      </c>
      <c r="F171" s="6" t="e">
        <f aca="false">sheet1!aql172</f>
        <v>#NAME?</v>
      </c>
      <c r="G171" s="6" t="e">
        <f aca="false">sheet1!aqm172</f>
        <v>#NAME?</v>
      </c>
      <c r="H171" s="6" t="e">
        <f aca="false">sheet1!aqn172</f>
        <v>#NAME?</v>
      </c>
      <c r="I171" s="6" t="e">
        <f aca="false">sheet1!aqo172</f>
        <v>#NAME?</v>
      </c>
      <c r="J171" s="6" t="e">
        <f aca="false">sheet1!aqp172</f>
        <v>#NAME?</v>
      </c>
      <c r="K171" s="6" t="e">
        <f aca="false">sheet1!aqq172</f>
        <v>#NAME?</v>
      </c>
      <c r="L171" s="6" t="e">
        <f aca="false">sheet1!aqr172</f>
        <v>#NAME?</v>
      </c>
    </row>
    <row r="172" customFormat="false" ht="15.75" hidden="false" customHeight="false" outlineLevel="0" collapsed="false">
      <c r="A172" s="0" t="s">
        <v>21</v>
      </c>
      <c r="B172" s="1" t="n">
        <v>44032</v>
      </c>
      <c r="C172" s="6" t="e">
        <f aca="false">sheet1!aqi173</f>
        <v>#NAME?</v>
      </c>
      <c r="D172" s="6" t="e">
        <f aca="false">sheet1!aqj173</f>
        <v>#NAME?</v>
      </c>
      <c r="E172" s="6" t="e">
        <f aca="false">sheet1!aqk173</f>
        <v>#NAME?</v>
      </c>
      <c r="F172" s="6" t="e">
        <f aca="false">sheet1!aql173</f>
        <v>#NAME?</v>
      </c>
      <c r="G172" s="6" t="e">
        <f aca="false">sheet1!aqm173</f>
        <v>#NAME?</v>
      </c>
      <c r="H172" s="6" t="e">
        <f aca="false">sheet1!aqn173</f>
        <v>#NAME?</v>
      </c>
      <c r="I172" s="6" t="e">
        <f aca="false">sheet1!aqo173</f>
        <v>#NAME?</v>
      </c>
      <c r="J172" s="6" t="e">
        <f aca="false">sheet1!aqp173</f>
        <v>#NAME?</v>
      </c>
      <c r="K172" s="6" t="e">
        <f aca="false">sheet1!aqq173</f>
        <v>#NAME?</v>
      </c>
      <c r="L172" s="6" t="e">
        <f aca="false">sheet1!aqr173</f>
        <v>#NAME?</v>
      </c>
    </row>
    <row r="173" customFormat="false" ht="15.75" hidden="false" customHeight="false" outlineLevel="0" collapsed="false">
      <c r="A173" s="0" t="s">
        <v>21</v>
      </c>
      <c r="B173" s="1" t="n">
        <v>44033</v>
      </c>
      <c r="C173" s="6" t="e">
        <f aca="false">sheet1!aqi174</f>
        <v>#NAME?</v>
      </c>
      <c r="D173" s="6" t="e">
        <f aca="false">sheet1!aqj174</f>
        <v>#NAME?</v>
      </c>
      <c r="E173" s="6" t="e">
        <f aca="false">sheet1!aqk174</f>
        <v>#NAME?</v>
      </c>
      <c r="F173" s="6" t="e">
        <f aca="false">sheet1!aql174</f>
        <v>#NAME?</v>
      </c>
      <c r="G173" s="6" t="e">
        <f aca="false">sheet1!aqm174</f>
        <v>#NAME?</v>
      </c>
      <c r="H173" s="6" t="e">
        <f aca="false">sheet1!aqn174</f>
        <v>#NAME?</v>
      </c>
      <c r="I173" s="6" t="e">
        <f aca="false">sheet1!aqo174</f>
        <v>#NAME?</v>
      </c>
      <c r="J173" s="6" t="e">
        <f aca="false">sheet1!aqp174</f>
        <v>#NAME?</v>
      </c>
      <c r="K173" s="6" t="e">
        <f aca="false">sheet1!aqq174</f>
        <v>#NAME?</v>
      </c>
      <c r="L173" s="6" t="e">
        <f aca="false">sheet1!aqr174</f>
        <v>#NAME?</v>
      </c>
    </row>
    <row r="174" customFormat="false" ht="15.75" hidden="false" customHeight="false" outlineLevel="0" collapsed="false">
      <c r="A174" s="0" t="s">
        <v>21</v>
      </c>
      <c r="B174" s="1" t="n">
        <v>44034</v>
      </c>
      <c r="C174" s="6" t="e">
        <f aca="false">sheet1!aqi175</f>
        <v>#NAME?</v>
      </c>
      <c r="D174" s="6" t="e">
        <f aca="false">sheet1!aqj175</f>
        <v>#NAME?</v>
      </c>
      <c r="E174" s="6" t="e">
        <f aca="false">sheet1!aqk175</f>
        <v>#NAME?</v>
      </c>
      <c r="F174" s="6" t="e">
        <f aca="false">sheet1!aql175</f>
        <v>#NAME?</v>
      </c>
      <c r="G174" s="6" t="e">
        <f aca="false">sheet1!aqm175</f>
        <v>#NAME?</v>
      </c>
      <c r="H174" s="6" t="e">
        <f aca="false">sheet1!aqn175</f>
        <v>#NAME?</v>
      </c>
      <c r="I174" s="6" t="e">
        <f aca="false">sheet1!aqo175</f>
        <v>#NAME?</v>
      </c>
      <c r="J174" s="6" t="e">
        <f aca="false">sheet1!aqp175</f>
        <v>#NAME?</v>
      </c>
      <c r="K174" s="6" t="e">
        <f aca="false">sheet1!aqq175</f>
        <v>#NAME?</v>
      </c>
      <c r="L174" s="6" t="e">
        <f aca="false">sheet1!aqr175</f>
        <v>#NAME?</v>
      </c>
    </row>
    <row r="175" customFormat="false" ht="15.75" hidden="false" customHeight="false" outlineLevel="0" collapsed="false">
      <c r="A175" s="0" t="s">
        <v>21</v>
      </c>
      <c r="B175" s="1" t="n">
        <v>44035</v>
      </c>
      <c r="C175" s="6" t="e">
        <f aca="false">sheet1!aqi176</f>
        <v>#NAME?</v>
      </c>
      <c r="D175" s="6" t="e">
        <f aca="false">sheet1!aqj176</f>
        <v>#NAME?</v>
      </c>
      <c r="E175" s="6" t="e">
        <f aca="false">sheet1!aqk176</f>
        <v>#NAME?</v>
      </c>
      <c r="F175" s="6" t="e">
        <f aca="false">sheet1!aql176</f>
        <v>#NAME?</v>
      </c>
      <c r="G175" s="6" t="e">
        <f aca="false">sheet1!aqm176</f>
        <v>#NAME?</v>
      </c>
      <c r="H175" s="6" t="e">
        <f aca="false">sheet1!aqn176</f>
        <v>#NAME?</v>
      </c>
      <c r="I175" s="6" t="e">
        <f aca="false">sheet1!aqo176</f>
        <v>#NAME?</v>
      </c>
      <c r="J175" s="6" t="e">
        <f aca="false">sheet1!aqp176</f>
        <v>#NAME?</v>
      </c>
      <c r="K175" s="6" t="e">
        <f aca="false">sheet1!aqq176</f>
        <v>#NAME?</v>
      </c>
      <c r="L175" s="6" t="e">
        <f aca="false">sheet1!aqr176</f>
        <v>#NAME?</v>
      </c>
    </row>
    <row r="176" customFormat="false" ht="15.75" hidden="false" customHeight="false" outlineLevel="0" collapsed="false">
      <c r="A176" s="0" t="s">
        <v>21</v>
      </c>
      <c r="B176" s="1" t="n">
        <v>44036</v>
      </c>
      <c r="C176" s="6" t="e">
        <f aca="false">sheet1!aqi177</f>
        <v>#NAME?</v>
      </c>
      <c r="D176" s="6" t="e">
        <f aca="false">sheet1!aqj177</f>
        <v>#NAME?</v>
      </c>
      <c r="E176" s="6" t="e">
        <f aca="false">sheet1!aqk177</f>
        <v>#NAME?</v>
      </c>
      <c r="F176" s="6" t="e">
        <f aca="false">sheet1!aql177</f>
        <v>#NAME?</v>
      </c>
      <c r="G176" s="6" t="e">
        <f aca="false">sheet1!aqm177</f>
        <v>#NAME?</v>
      </c>
      <c r="H176" s="6" t="e">
        <f aca="false">sheet1!aqn177</f>
        <v>#NAME?</v>
      </c>
      <c r="I176" s="6" t="e">
        <f aca="false">sheet1!aqo177</f>
        <v>#NAME?</v>
      </c>
      <c r="J176" s="6" t="e">
        <f aca="false">sheet1!aqp177</f>
        <v>#NAME?</v>
      </c>
      <c r="K176" s="6" t="e">
        <f aca="false">sheet1!aqq177</f>
        <v>#NAME?</v>
      </c>
      <c r="L176" s="6" t="e">
        <f aca="false">sheet1!aqr177</f>
        <v>#NAME?</v>
      </c>
    </row>
    <row r="177" customFormat="false" ht="15.75" hidden="false" customHeight="false" outlineLevel="0" collapsed="false">
      <c r="A177" s="0" t="s">
        <v>21</v>
      </c>
      <c r="B177" s="1" t="n">
        <v>44037</v>
      </c>
      <c r="C177" s="6" t="e">
        <f aca="false">sheet1!aqi178</f>
        <v>#NAME?</v>
      </c>
      <c r="D177" s="6" t="e">
        <f aca="false">sheet1!aqj178</f>
        <v>#NAME?</v>
      </c>
      <c r="E177" s="6" t="e">
        <f aca="false">sheet1!aqk178</f>
        <v>#NAME?</v>
      </c>
      <c r="F177" s="6" t="e">
        <f aca="false">sheet1!aql178</f>
        <v>#NAME?</v>
      </c>
      <c r="G177" s="6" t="e">
        <f aca="false">sheet1!aqm178</f>
        <v>#NAME?</v>
      </c>
      <c r="H177" s="6" t="e">
        <f aca="false">sheet1!aqn178</f>
        <v>#NAME?</v>
      </c>
      <c r="I177" s="6" t="e">
        <f aca="false">sheet1!aqo178</f>
        <v>#NAME?</v>
      </c>
      <c r="J177" s="6" t="e">
        <f aca="false">sheet1!aqp178</f>
        <v>#NAME?</v>
      </c>
      <c r="K177" s="6" t="e">
        <f aca="false">sheet1!aqq178</f>
        <v>#NAME?</v>
      </c>
      <c r="L177" s="6" t="e">
        <f aca="false">sheet1!aqr178</f>
        <v>#NAME?</v>
      </c>
    </row>
    <row r="178" customFormat="false" ht="15.75" hidden="false" customHeight="false" outlineLevel="0" collapsed="false">
      <c r="A178" s="0" t="s">
        <v>21</v>
      </c>
      <c r="B178" s="1" t="n">
        <v>44038</v>
      </c>
      <c r="C178" s="6" t="e">
        <f aca="false">sheet1!aqi179</f>
        <v>#NAME?</v>
      </c>
      <c r="D178" s="6" t="e">
        <f aca="false">sheet1!aqj179</f>
        <v>#NAME?</v>
      </c>
      <c r="E178" s="6" t="e">
        <f aca="false">sheet1!aqk179</f>
        <v>#NAME?</v>
      </c>
      <c r="F178" s="6" t="e">
        <f aca="false">sheet1!aql179</f>
        <v>#NAME?</v>
      </c>
      <c r="G178" s="6" t="e">
        <f aca="false">sheet1!aqm179</f>
        <v>#NAME?</v>
      </c>
      <c r="H178" s="6" t="e">
        <f aca="false">sheet1!aqn179</f>
        <v>#NAME?</v>
      </c>
      <c r="I178" s="6" t="e">
        <f aca="false">sheet1!aqo179</f>
        <v>#NAME?</v>
      </c>
      <c r="J178" s="6" t="e">
        <f aca="false">sheet1!aqp179</f>
        <v>#NAME?</v>
      </c>
      <c r="K178" s="6" t="e">
        <f aca="false">sheet1!aqq179</f>
        <v>#NAME?</v>
      </c>
      <c r="L178" s="6" t="e">
        <f aca="false">sheet1!aqr179</f>
        <v>#NAME?</v>
      </c>
    </row>
    <row r="179" customFormat="false" ht="15.75" hidden="false" customHeight="false" outlineLevel="0" collapsed="false">
      <c r="A179" s="0" t="s">
        <v>21</v>
      </c>
      <c r="B179" s="1" t="n">
        <v>44039</v>
      </c>
      <c r="C179" s="6" t="e">
        <f aca="false">sheet1!aqi180</f>
        <v>#NAME?</v>
      </c>
      <c r="D179" s="6" t="e">
        <f aca="false">sheet1!aqj180</f>
        <v>#NAME?</v>
      </c>
      <c r="E179" s="6" t="e">
        <f aca="false">sheet1!aqk180</f>
        <v>#NAME?</v>
      </c>
      <c r="F179" s="6" t="e">
        <f aca="false">sheet1!aql180</f>
        <v>#NAME?</v>
      </c>
      <c r="G179" s="6" t="e">
        <f aca="false">sheet1!aqm180</f>
        <v>#NAME?</v>
      </c>
      <c r="H179" s="6" t="e">
        <f aca="false">sheet1!aqn180</f>
        <v>#NAME?</v>
      </c>
      <c r="I179" s="6" t="e">
        <f aca="false">sheet1!aqo180</f>
        <v>#NAME?</v>
      </c>
      <c r="J179" s="6" t="e">
        <f aca="false">sheet1!aqp180</f>
        <v>#NAME?</v>
      </c>
      <c r="K179" s="6" t="e">
        <f aca="false">sheet1!aqq180</f>
        <v>#NAME?</v>
      </c>
      <c r="L179" s="6" t="e">
        <f aca="false">sheet1!aqr180</f>
        <v>#NAME?</v>
      </c>
    </row>
    <row r="180" customFormat="false" ht="15.75" hidden="false" customHeight="false" outlineLevel="0" collapsed="false">
      <c r="A180" s="0" t="s">
        <v>21</v>
      </c>
      <c r="B180" s="1" t="n">
        <v>44040</v>
      </c>
      <c r="C180" s="6" t="e">
        <f aca="false">sheet1!aqi181</f>
        <v>#NAME?</v>
      </c>
      <c r="D180" s="6" t="e">
        <f aca="false">sheet1!aqj181</f>
        <v>#NAME?</v>
      </c>
      <c r="E180" s="6" t="e">
        <f aca="false">sheet1!aqk181</f>
        <v>#NAME?</v>
      </c>
      <c r="F180" s="6" t="e">
        <f aca="false">sheet1!aql181</f>
        <v>#NAME?</v>
      </c>
      <c r="G180" s="6" t="e">
        <f aca="false">sheet1!aqm181</f>
        <v>#NAME?</v>
      </c>
      <c r="H180" s="6" t="e">
        <f aca="false">sheet1!aqn181</f>
        <v>#NAME?</v>
      </c>
      <c r="I180" s="6" t="e">
        <f aca="false">sheet1!aqo181</f>
        <v>#NAME?</v>
      </c>
      <c r="J180" s="6" t="e">
        <f aca="false">sheet1!aqp181</f>
        <v>#NAME?</v>
      </c>
      <c r="K180" s="6" t="e">
        <f aca="false">sheet1!aqq181</f>
        <v>#NAME?</v>
      </c>
      <c r="L180" s="6" t="e">
        <f aca="false">sheet1!aqr181</f>
        <v>#NAME?</v>
      </c>
    </row>
    <row r="181" customFormat="false" ht="15.75" hidden="false" customHeight="false" outlineLevel="0" collapsed="false">
      <c r="A181" s="0" t="s">
        <v>21</v>
      </c>
      <c r="B181" s="1" t="n">
        <v>44041</v>
      </c>
      <c r="C181" s="6" t="e">
        <f aca="false">sheet1!aqi182</f>
        <v>#NAME?</v>
      </c>
      <c r="D181" s="6" t="e">
        <f aca="false">sheet1!aqj182</f>
        <v>#NAME?</v>
      </c>
      <c r="E181" s="6" t="e">
        <f aca="false">sheet1!aqk182</f>
        <v>#NAME?</v>
      </c>
      <c r="F181" s="6" t="e">
        <f aca="false">sheet1!aql182</f>
        <v>#NAME?</v>
      </c>
      <c r="G181" s="6" t="e">
        <f aca="false">sheet1!aqm182</f>
        <v>#NAME?</v>
      </c>
      <c r="H181" s="6" t="e">
        <f aca="false">sheet1!aqn182</f>
        <v>#NAME?</v>
      </c>
      <c r="I181" s="6" t="e">
        <f aca="false">sheet1!aqo182</f>
        <v>#NAME?</v>
      </c>
      <c r="J181" s="6" t="e">
        <f aca="false">sheet1!aqp182</f>
        <v>#NAME?</v>
      </c>
      <c r="K181" s="6" t="e">
        <f aca="false">sheet1!aqq182</f>
        <v>#NAME?</v>
      </c>
      <c r="L181" s="6" t="e">
        <f aca="false">sheet1!aqr182</f>
        <v>#NAME?</v>
      </c>
    </row>
    <row r="182" customFormat="false" ht="15.75" hidden="false" customHeight="false" outlineLevel="0" collapsed="false">
      <c r="A182" s="0" t="s">
        <v>21</v>
      </c>
      <c r="B182" s="1" t="n">
        <v>44042</v>
      </c>
      <c r="C182" s="6" t="e">
        <f aca="false">sheet1!aqi183</f>
        <v>#NAME?</v>
      </c>
      <c r="D182" s="6" t="e">
        <f aca="false">sheet1!aqj183</f>
        <v>#NAME?</v>
      </c>
      <c r="E182" s="6" t="e">
        <f aca="false">sheet1!aqk183</f>
        <v>#NAME?</v>
      </c>
      <c r="F182" s="6" t="e">
        <f aca="false">sheet1!aql183</f>
        <v>#NAME?</v>
      </c>
      <c r="G182" s="6" t="e">
        <f aca="false">sheet1!aqm183</f>
        <v>#NAME?</v>
      </c>
      <c r="H182" s="6" t="e">
        <f aca="false">sheet1!aqn183</f>
        <v>#NAME?</v>
      </c>
      <c r="I182" s="6" t="e">
        <f aca="false">sheet1!aqo183</f>
        <v>#NAME?</v>
      </c>
      <c r="J182" s="6" t="e">
        <f aca="false">sheet1!aqp183</f>
        <v>#NAME?</v>
      </c>
      <c r="K182" s="6" t="e">
        <f aca="false">sheet1!aqq183</f>
        <v>#NAME?</v>
      </c>
      <c r="L182" s="6" t="e">
        <f aca="false">sheet1!aqr183</f>
        <v>#NAME?</v>
      </c>
    </row>
    <row r="183" customFormat="false" ht="15.75" hidden="false" customHeight="false" outlineLevel="0" collapsed="false">
      <c r="A183" s="0" t="s">
        <v>21</v>
      </c>
      <c r="B183" s="1" t="n">
        <v>44043</v>
      </c>
      <c r="C183" s="6" t="e">
        <f aca="false">sheet1!aqi184</f>
        <v>#NAME?</v>
      </c>
      <c r="D183" s="6" t="e">
        <f aca="false">sheet1!aqj184</f>
        <v>#NAME?</v>
      </c>
      <c r="E183" s="6" t="e">
        <f aca="false">sheet1!aqk184</f>
        <v>#NAME?</v>
      </c>
      <c r="F183" s="6" t="e">
        <f aca="false">sheet1!aql184</f>
        <v>#NAME?</v>
      </c>
      <c r="G183" s="6" t="e">
        <f aca="false">sheet1!aqm184</f>
        <v>#NAME?</v>
      </c>
      <c r="H183" s="6" t="e">
        <f aca="false">sheet1!aqn184</f>
        <v>#NAME?</v>
      </c>
      <c r="I183" s="6" t="e">
        <f aca="false">sheet1!aqo184</f>
        <v>#NAME?</v>
      </c>
      <c r="J183" s="6" t="e">
        <f aca="false">sheet1!aqp184</f>
        <v>#NAME?</v>
      </c>
      <c r="K183" s="6" t="e">
        <f aca="false">sheet1!aqq184</f>
        <v>#NAME?</v>
      </c>
      <c r="L183" s="6" t="e">
        <f aca="false">sheet1!aqr184</f>
        <v>#NAME?</v>
      </c>
    </row>
    <row r="184" customFormat="false" ht="15.75" hidden="false" customHeight="false" outlineLevel="0" collapsed="false">
      <c r="A184" s="0" t="s">
        <v>21</v>
      </c>
      <c r="B184" s="1" t="n">
        <v>44044</v>
      </c>
      <c r="C184" s="6" t="e">
        <f aca="false">sheet1!aqi185</f>
        <v>#NAME?</v>
      </c>
      <c r="D184" s="6" t="e">
        <f aca="false">sheet1!aqj185</f>
        <v>#NAME?</v>
      </c>
      <c r="E184" s="6" t="e">
        <f aca="false">sheet1!aqk185</f>
        <v>#NAME?</v>
      </c>
      <c r="F184" s="6" t="e">
        <f aca="false">sheet1!aql185</f>
        <v>#NAME?</v>
      </c>
      <c r="G184" s="6" t="e">
        <f aca="false">sheet1!aqm185</f>
        <v>#NAME?</v>
      </c>
      <c r="H184" s="6" t="e">
        <f aca="false">sheet1!aqn185</f>
        <v>#NAME?</v>
      </c>
      <c r="I184" s="6" t="e">
        <f aca="false">sheet1!aqo185</f>
        <v>#NAME?</v>
      </c>
      <c r="J184" s="6" t="e">
        <f aca="false">sheet1!aqp185</f>
        <v>#NAME?</v>
      </c>
      <c r="K184" s="6" t="e">
        <f aca="false">sheet1!aqq185</f>
        <v>#NAME?</v>
      </c>
      <c r="L184" s="6" t="e">
        <f aca="false">sheet1!aqr185</f>
        <v>#NAME?</v>
      </c>
    </row>
    <row r="185" customFormat="false" ht="15.75" hidden="false" customHeight="false" outlineLevel="0" collapsed="false">
      <c r="A185" s="0" t="s">
        <v>21</v>
      </c>
      <c r="B185" s="1" t="n">
        <v>44045</v>
      </c>
      <c r="C185" s="6" t="e">
        <f aca="false">sheet1!aqi186</f>
        <v>#NAME?</v>
      </c>
      <c r="D185" s="6" t="e">
        <f aca="false">sheet1!aqj186</f>
        <v>#NAME?</v>
      </c>
      <c r="E185" s="6" t="e">
        <f aca="false">sheet1!aqk186</f>
        <v>#NAME?</v>
      </c>
      <c r="F185" s="6" t="e">
        <f aca="false">sheet1!aql186</f>
        <v>#NAME?</v>
      </c>
      <c r="G185" s="6" t="e">
        <f aca="false">sheet1!aqm186</f>
        <v>#NAME?</v>
      </c>
      <c r="H185" s="6" t="e">
        <f aca="false">sheet1!aqn186</f>
        <v>#NAME?</v>
      </c>
      <c r="I185" s="6" t="e">
        <f aca="false">sheet1!aqo186</f>
        <v>#NAME?</v>
      </c>
      <c r="J185" s="6" t="e">
        <f aca="false">sheet1!aqp186</f>
        <v>#NAME?</v>
      </c>
      <c r="K185" s="6" t="e">
        <f aca="false">sheet1!aqq186</f>
        <v>#NAME?</v>
      </c>
      <c r="L185" s="6" t="e">
        <f aca="false">sheet1!aqr186</f>
        <v>#NAME?</v>
      </c>
    </row>
    <row r="186" customFormat="false" ht="15.75" hidden="false" customHeight="false" outlineLevel="0" collapsed="false">
      <c r="A186" s="0" t="s">
        <v>21</v>
      </c>
      <c r="B186" s="1" t="n">
        <v>44046</v>
      </c>
      <c r="C186" s="6" t="e">
        <f aca="false">sheet1!aqi187</f>
        <v>#NAME?</v>
      </c>
      <c r="D186" s="6" t="e">
        <f aca="false">sheet1!aqj187</f>
        <v>#NAME?</v>
      </c>
      <c r="E186" s="6" t="e">
        <f aca="false">sheet1!aqk187</f>
        <v>#NAME?</v>
      </c>
      <c r="F186" s="6" t="e">
        <f aca="false">sheet1!aql187</f>
        <v>#NAME?</v>
      </c>
      <c r="G186" s="6" t="e">
        <f aca="false">sheet1!aqm187</f>
        <v>#NAME?</v>
      </c>
      <c r="H186" s="6" t="e">
        <f aca="false">sheet1!aqn187</f>
        <v>#NAME?</v>
      </c>
      <c r="I186" s="6" t="e">
        <f aca="false">sheet1!aqo187</f>
        <v>#NAME?</v>
      </c>
      <c r="J186" s="6" t="e">
        <f aca="false">sheet1!aqp187</f>
        <v>#NAME?</v>
      </c>
      <c r="K186" s="6" t="e">
        <f aca="false">sheet1!aqq187</f>
        <v>#NAME?</v>
      </c>
      <c r="L186" s="6" t="e">
        <f aca="false">sheet1!aqr187</f>
        <v>#NAME?</v>
      </c>
    </row>
    <row r="187" customFormat="false" ht="15.75" hidden="false" customHeight="false" outlineLevel="0" collapsed="false">
      <c r="A187" s="0" t="s">
        <v>21</v>
      </c>
      <c r="B187" s="1" t="n">
        <v>44047</v>
      </c>
      <c r="C187" s="6" t="e">
        <f aca="false">sheet1!aqi188</f>
        <v>#NAME?</v>
      </c>
      <c r="D187" s="6" t="e">
        <f aca="false">sheet1!aqj188</f>
        <v>#NAME?</v>
      </c>
      <c r="E187" s="6" t="e">
        <f aca="false">sheet1!aqk188</f>
        <v>#NAME?</v>
      </c>
      <c r="F187" s="6" t="e">
        <f aca="false">sheet1!aql188</f>
        <v>#NAME?</v>
      </c>
      <c r="G187" s="6" t="e">
        <f aca="false">sheet1!aqm188</f>
        <v>#NAME?</v>
      </c>
      <c r="H187" s="6" t="e">
        <f aca="false">sheet1!aqn188</f>
        <v>#NAME?</v>
      </c>
      <c r="I187" s="6" t="e">
        <f aca="false">sheet1!aqo188</f>
        <v>#NAME?</v>
      </c>
      <c r="J187" s="6" t="e">
        <f aca="false">sheet1!aqp188</f>
        <v>#NAME?</v>
      </c>
      <c r="K187" s="6" t="e">
        <f aca="false">sheet1!aqq188</f>
        <v>#NAME?</v>
      </c>
      <c r="L187" s="6" t="e">
        <f aca="false">sheet1!aqr188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A147" activeCellId="0" sqref="A14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22</v>
      </c>
      <c r="B2" s="1" t="n">
        <v>43862</v>
      </c>
      <c r="C2" s="6" t="n">
        <v>0</v>
      </c>
      <c r="D2" s="6" t="n">
        <v>0</v>
      </c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22</v>
      </c>
      <c r="B3" s="1" t="n">
        <v>43863</v>
      </c>
      <c r="C3" s="6" t="n">
        <v>0</v>
      </c>
      <c r="D3" s="6" t="n">
        <v>0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22</v>
      </c>
      <c r="B4" s="1" t="n">
        <v>43864</v>
      </c>
      <c r="C4" s="6" t="n">
        <v>0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22</v>
      </c>
      <c r="B5" s="1" t="n">
        <v>43865</v>
      </c>
      <c r="C5" s="6" t="n">
        <v>0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22</v>
      </c>
      <c r="B6" s="1" t="n">
        <v>43866</v>
      </c>
      <c r="C6" s="6" t="n">
        <v>0</v>
      </c>
      <c r="D6" s="6" t="n">
        <v>0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22</v>
      </c>
      <c r="B7" s="1" t="n">
        <v>43867</v>
      </c>
      <c r="C7" s="6" t="n">
        <v>0</v>
      </c>
      <c r="D7" s="6" t="n">
        <v>0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22</v>
      </c>
      <c r="B8" s="1" t="n">
        <v>43868</v>
      </c>
      <c r="C8" s="6" t="n">
        <v>0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22</v>
      </c>
      <c r="B9" s="1" t="n">
        <v>43869</v>
      </c>
      <c r="C9" s="6" t="n">
        <v>0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22</v>
      </c>
      <c r="B10" s="1" t="n">
        <v>43870</v>
      </c>
      <c r="C10" s="6" t="n">
        <v>0</v>
      </c>
      <c r="D10" s="6" t="n">
        <v>0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22</v>
      </c>
      <c r="B11" s="1" t="n">
        <v>43871</v>
      </c>
      <c r="C11" s="6" t="n">
        <v>0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22</v>
      </c>
      <c r="B12" s="1" t="n">
        <v>43872</v>
      </c>
      <c r="C12" s="6" t="n">
        <v>0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22</v>
      </c>
      <c r="B13" s="1" t="n">
        <v>43873</v>
      </c>
      <c r="C13" s="6" t="n">
        <v>0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22</v>
      </c>
      <c r="B14" s="1" t="n">
        <v>43874</v>
      </c>
      <c r="C14" s="6" t="n">
        <v>0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22</v>
      </c>
      <c r="B15" s="1" t="n">
        <v>43875</v>
      </c>
      <c r="C15" s="6" t="n">
        <v>0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22</v>
      </c>
      <c r="B16" s="1" t="n">
        <v>43876</v>
      </c>
      <c r="C16" s="6" t="n">
        <v>0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22</v>
      </c>
      <c r="B17" s="1" t="n">
        <v>43877</v>
      </c>
      <c r="C17" s="6" t="n">
        <v>0</v>
      </c>
      <c r="D17" s="6" t="n">
        <v>0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22</v>
      </c>
      <c r="B18" s="1" t="n">
        <v>43878</v>
      </c>
      <c r="C18" s="6" t="n">
        <v>0</v>
      </c>
      <c r="D18" s="6" t="n">
        <v>0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22</v>
      </c>
      <c r="B19" s="1" t="n">
        <v>43879</v>
      </c>
      <c r="C19" s="6" t="n">
        <v>0</v>
      </c>
      <c r="D19" s="6" t="n">
        <v>0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22</v>
      </c>
      <c r="B20" s="1" t="n">
        <v>43880</v>
      </c>
      <c r="C20" s="6" t="n">
        <v>0</v>
      </c>
      <c r="D20" s="6" t="n">
        <v>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22</v>
      </c>
      <c r="B21" s="1" t="n">
        <v>43881</v>
      </c>
      <c r="C21" s="6" t="n">
        <v>2</v>
      </c>
      <c r="D21" s="6" t="n">
        <v>2</v>
      </c>
      <c r="E21" s="6" t="n">
        <v>2</v>
      </c>
      <c r="F21" s="6" t="n">
        <v>2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22</v>
      </c>
      <c r="B22" s="1" t="n">
        <v>43882</v>
      </c>
      <c r="C22" s="6" t="n">
        <v>5</v>
      </c>
      <c r="D22" s="6" t="n">
        <v>3</v>
      </c>
      <c r="E22" s="6" t="n">
        <v>2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22</v>
      </c>
      <c r="B23" s="1" t="n">
        <v>43883</v>
      </c>
      <c r="C23" s="6" t="n">
        <v>18</v>
      </c>
      <c r="D23" s="6" t="n">
        <v>13</v>
      </c>
      <c r="E23" s="6" t="n">
        <v>4</v>
      </c>
      <c r="F23" s="6" t="n">
        <v>2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22</v>
      </c>
      <c r="B24" s="1" t="n">
        <v>43884</v>
      </c>
      <c r="C24" s="6" t="n">
        <v>28</v>
      </c>
      <c r="D24" s="6" t="n">
        <v>10</v>
      </c>
      <c r="E24" s="6" t="n">
        <v>5</v>
      </c>
      <c r="F24" s="6" t="n">
        <v>1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22</v>
      </c>
      <c r="B25" s="1" t="n">
        <v>43885</v>
      </c>
      <c r="C25" s="6" t="n">
        <v>43</v>
      </c>
      <c r="D25" s="6" t="n">
        <v>15</v>
      </c>
      <c r="E25" s="6" t="n">
        <v>8</v>
      </c>
      <c r="F25" s="6" t="n">
        <v>3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22</v>
      </c>
      <c r="B26" s="1" t="n">
        <v>43886</v>
      </c>
      <c r="C26" s="6" t="n">
        <v>61</v>
      </c>
      <c r="D26" s="6" t="n">
        <v>18</v>
      </c>
      <c r="E26" s="6" t="n">
        <v>12</v>
      </c>
      <c r="F26" s="6" t="n">
        <v>4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22</v>
      </c>
      <c r="B27" s="1" t="n">
        <v>43887</v>
      </c>
      <c r="C27" s="6" t="n">
        <v>95</v>
      </c>
      <c r="D27" s="6" t="n">
        <v>34</v>
      </c>
      <c r="E27" s="6" t="n">
        <v>15</v>
      </c>
      <c r="F27" s="6" t="n">
        <v>3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22</v>
      </c>
      <c r="B28" s="1" t="n">
        <v>43888</v>
      </c>
      <c r="C28" s="6" t="n">
        <v>141</v>
      </c>
      <c r="D28" s="6" t="n">
        <v>46</v>
      </c>
      <c r="E28" s="6" t="n">
        <v>22</v>
      </c>
      <c r="F28" s="6" t="n">
        <v>7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22</v>
      </c>
      <c r="B29" s="1" t="n">
        <v>43889</v>
      </c>
      <c r="C29" s="6" t="n">
        <v>245</v>
      </c>
      <c r="D29" s="6" t="n">
        <v>104</v>
      </c>
      <c r="E29" s="6" t="n">
        <v>26</v>
      </c>
      <c r="F29" s="6" t="n">
        <v>4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22</v>
      </c>
      <c r="B30" s="1" t="n">
        <v>43890</v>
      </c>
      <c r="C30" s="6" t="n">
        <v>388</v>
      </c>
      <c r="D30" s="6" t="n">
        <v>143</v>
      </c>
      <c r="E30" s="6" t="n">
        <v>34</v>
      </c>
      <c r="F30" s="6" t="n">
        <v>8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22</v>
      </c>
      <c r="B31" s="1" t="n">
        <v>43891</v>
      </c>
      <c r="C31" s="6" t="n">
        <v>593</v>
      </c>
      <c r="D31" s="6" t="n">
        <v>205</v>
      </c>
      <c r="E31" s="6" t="n">
        <v>43</v>
      </c>
      <c r="F31" s="6" t="n">
        <v>9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22</v>
      </c>
      <c r="B32" s="1" t="n">
        <v>43892</v>
      </c>
      <c r="C32" s="6" t="n">
        <v>978</v>
      </c>
      <c r="D32" s="6" t="n">
        <v>385</v>
      </c>
      <c r="E32" s="6" t="n">
        <v>54</v>
      </c>
      <c r="F32" s="6" t="n">
        <v>11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22</v>
      </c>
      <c r="B33" s="1" t="n">
        <v>43893</v>
      </c>
      <c r="C33" s="6" t="n">
        <v>1501</v>
      </c>
      <c r="D33" s="6" t="n">
        <v>523</v>
      </c>
      <c r="E33" s="6" t="n">
        <v>66</v>
      </c>
      <c r="F33" s="6" t="n">
        <v>12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22</v>
      </c>
      <c r="B34" s="1" t="n">
        <v>43894</v>
      </c>
      <c r="C34" s="6" t="n">
        <v>2336</v>
      </c>
      <c r="D34" s="6" t="n">
        <v>835</v>
      </c>
      <c r="E34" s="6" t="n">
        <v>77</v>
      </c>
      <c r="F34" s="6" t="n">
        <v>11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22</v>
      </c>
      <c r="B35" s="1" t="n">
        <v>43895</v>
      </c>
      <c r="C35" s="6" t="n">
        <v>2922</v>
      </c>
      <c r="D35" s="6" t="n">
        <v>586</v>
      </c>
      <c r="E35" s="6" t="n">
        <v>92</v>
      </c>
      <c r="F35" s="6" t="n">
        <v>15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22</v>
      </c>
      <c r="B36" s="1" t="n">
        <v>43896</v>
      </c>
      <c r="C36" s="6" t="n">
        <v>3513</v>
      </c>
      <c r="D36" s="6" t="n">
        <v>591</v>
      </c>
      <c r="E36" s="6" t="n">
        <v>107</v>
      </c>
      <c r="F36" s="6" t="n">
        <v>15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22</v>
      </c>
      <c r="B37" s="1" t="n">
        <v>43897</v>
      </c>
      <c r="C37" s="8" t="n">
        <v>4747</v>
      </c>
      <c r="D37" s="8" t="n">
        <v>1234</v>
      </c>
      <c r="E37" s="8" t="n">
        <v>124</v>
      </c>
      <c r="F37" s="8" t="n">
        <v>17</v>
      </c>
      <c r="G37" s="8" t="n">
        <v>913</v>
      </c>
      <c r="H37" s="8" t="n">
        <v>3710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22</v>
      </c>
      <c r="B38" s="1" t="n">
        <v>43898</v>
      </c>
      <c r="C38" s="6" t="n">
        <v>5823</v>
      </c>
      <c r="D38" s="6" t="n">
        <v>1076</v>
      </c>
      <c r="E38" s="6" t="n">
        <v>145</v>
      </c>
      <c r="F38" s="6" t="n">
        <v>21</v>
      </c>
      <c r="G38" s="6" t="n">
        <v>1669</v>
      </c>
      <c r="H38" s="6" t="n">
        <v>4009</v>
      </c>
      <c r="I38" s="6" t="n">
        <v>0</v>
      </c>
      <c r="J38" s="6" t="n">
        <v>69.3</v>
      </c>
      <c r="K38" s="6"/>
      <c r="L38" s="6"/>
      <c r="M38" s="6"/>
    </row>
    <row r="39" customFormat="false" ht="15.75" hidden="false" customHeight="false" outlineLevel="0" collapsed="false">
      <c r="A39" s="0" t="s">
        <v>22</v>
      </c>
      <c r="B39" s="1" t="n">
        <v>43899</v>
      </c>
      <c r="C39" s="6" t="n">
        <v>6566</v>
      </c>
      <c r="D39" s="6" t="n">
        <v>743</v>
      </c>
      <c r="E39" s="6" t="n">
        <v>194</v>
      </c>
      <c r="F39" s="6" t="n">
        <v>49</v>
      </c>
      <c r="G39" s="6" t="n">
        <v>2134</v>
      </c>
      <c r="H39" s="6" t="n">
        <v>4238</v>
      </c>
      <c r="I39" s="6" t="n">
        <v>0</v>
      </c>
      <c r="J39" s="6" t="n">
        <v>78.2</v>
      </c>
      <c r="K39" s="6"/>
      <c r="L39" s="6"/>
      <c r="M39" s="6"/>
    </row>
    <row r="40" customFormat="false" ht="15.75" hidden="false" customHeight="false" outlineLevel="0" collapsed="false">
      <c r="A40" s="0" t="s">
        <v>22</v>
      </c>
      <c r="B40" s="1" t="n">
        <v>43900</v>
      </c>
      <c r="C40" s="6" t="n">
        <v>7161</v>
      </c>
      <c r="D40" s="6" t="n">
        <v>595</v>
      </c>
      <c r="E40" s="6" t="n">
        <v>237</v>
      </c>
      <c r="F40" s="6" t="n">
        <v>43</v>
      </c>
      <c r="G40" s="6" t="n">
        <v>2394</v>
      </c>
      <c r="H40" s="6" t="n">
        <v>4530</v>
      </c>
      <c r="I40" s="6" t="n">
        <v>0</v>
      </c>
      <c r="J40" s="6" t="n">
        <v>85.3</v>
      </c>
      <c r="K40" s="6"/>
      <c r="L40" s="6"/>
      <c r="M40" s="6"/>
    </row>
    <row r="41" customFormat="false" ht="15.75" hidden="false" customHeight="false" outlineLevel="0" collapsed="false">
      <c r="A41" s="0" t="s">
        <v>22</v>
      </c>
      <c r="B41" s="1" t="n">
        <v>43901</v>
      </c>
      <c r="C41" s="6" t="n">
        <v>8042</v>
      </c>
      <c r="D41" s="6" t="n">
        <v>881</v>
      </c>
      <c r="E41" s="6" t="n">
        <v>291</v>
      </c>
      <c r="F41" s="6" t="n">
        <v>54</v>
      </c>
      <c r="G41" s="6" t="n">
        <v>2731</v>
      </c>
      <c r="H41" s="6" t="n">
        <v>5020</v>
      </c>
      <c r="I41" s="6" t="n">
        <v>0</v>
      </c>
      <c r="J41" s="6" t="n">
        <v>95.7</v>
      </c>
      <c r="K41" s="6"/>
      <c r="L41" s="6"/>
      <c r="M41" s="6"/>
    </row>
    <row r="42" customFormat="false" ht="15.75" hidden="false" customHeight="false" outlineLevel="0" collapsed="false">
      <c r="A42" s="0" t="s">
        <v>22</v>
      </c>
      <c r="B42" s="1" t="n">
        <v>43902</v>
      </c>
      <c r="C42" s="6" t="n">
        <v>9000</v>
      </c>
      <c r="D42" s="6" t="n">
        <v>958</v>
      </c>
      <c r="E42" s="6" t="n">
        <v>354</v>
      </c>
      <c r="F42" s="6" t="n">
        <v>63</v>
      </c>
      <c r="G42" s="6" t="n">
        <v>2959</v>
      </c>
      <c r="H42" s="6" t="n">
        <v>5687</v>
      </c>
      <c r="I42" s="6" t="n">
        <v>0</v>
      </c>
      <c r="J42" s="6" t="n">
        <v>107.2</v>
      </c>
      <c r="K42" s="6"/>
      <c r="L42" s="6"/>
      <c r="M42" s="6"/>
    </row>
    <row r="43" customFormat="false" ht="15.75" hidden="false" customHeight="false" outlineLevel="0" collapsed="false">
      <c r="A43" s="0" t="s">
        <v>22</v>
      </c>
      <c r="B43" s="1" t="n">
        <v>43903</v>
      </c>
      <c r="C43" s="6" t="n">
        <v>10075</v>
      </c>
      <c r="D43" s="6" t="n">
        <v>1075</v>
      </c>
      <c r="E43" s="6" t="n">
        <v>429</v>
      </c>
      <c r="F43" s="6" t="n">
        <v>75</v>
      </c>
      <c r="G43" s="6" t="n">
        <v>3276</v>
      </c>
      <c r="H43" s="6" t="n">
        <v>6370</v>
      </c>
      <c r="I43" s="6" t="n">
        <v>0</v>
      </c>
      <c r="J43" s="6" t="n">
        <v>120</v>
      </c>
      <c r="K43" s="6"/>
      <c r="L43" s="6"/>
      <c r="M43" s="6"/>
    </row>
    <row r="44" customFormat="false" ht="15.75" hidden="false" customHeight="false" outlineLevel="0" collapsed="false">
      <c r="A44" s="0" t="s">
        <v>22</v>
      </c>
      <c r="B44" s="1" t="n">
        <v>43904</v>
      </c>
      <c r="C44" s="6" t="n">
        <v>11364</v>
      </c>
      <c r="D44" s="6" t="n">
        <v>1289</v>
      </c>
      <c r="E44" s="6" t="n">
        <v>514</v>
      </c>
      <c r="F44" s="6" t="n">
        <v>85</v>
      </c>
      <c r="G44" s="6" t="n">
        <v>3529</v>
      </c>
      <c r="H44" s="6" t="n">
        <v>7321</v>
      </c>
      <c r="I44" s="6" t="n">
        <v>0</v>
      </c>
      <c r="J44" s="6" t="n">
        <v>135.3</v>
      </c>
      <c r="K44" s="6"/>
      <c r="L44" s="6"/>
      <c r="M44" s="6"/>
    </row>
    <row r="45" customFormat="false" ht="15.75" hidden="false" customHeight="false" outlineLevel="0" collapsed="false">
      <c r="A45" s="0" t="s">
        <v>22</v>
      </c>
      <c r="B45" s="1" t="n">
        <v>43905</v>
      </c>
      <c r="C45" s="6" t="n">
        <v>12729</v>
      </c>
      <c r="D45" s="6" t="n">
        <v>1365</v>
      </c>
      <c r="E45" s="6" t="n">
        <v>611</v>
      </c>
      <c r="F45" s="6" t="n">
        <v>97</v>
      </c>
      <c r="G45" s="6" t="n">
        <v>4339</v>
      </c>
      <c r="H45" s="6" t="n">
        <v>7779</v>
      </c>
      <c r="I45" s="6" t="n">
        <v>0</v>
      </c>
      <c r="J45" s="6" t="n">
        <v>151.5</v>
      </c>
      <c r="K45" s="6"/>
      <c r="L45" s="6"/>
      <c r="M45" s="6"/>
    </row>
    <row r="46" customFormat="false" ht="15.75" hidden="false" customHeight="false" outlineLevel="0" collapsed="false">
      <c r="A46" s="0" t="s">
        <v>22</v>
      </c>
      <c r="B46" s="1" t="n">
        <v>43906</v>
      </c>
      <c r="C46" s="6" t="n">
        <v>13938</v>
      </c>
      <c r="D46" s="6" t="n">
        <v>1209</v>
      </c>
      <c r="E46" s="6" t="n">
        <v>724</v>
      </c>
      <c r="F46" s="6" t="n">
        <v>113</v>
      </c>
      <c r="G46" s="6" t="n">
        <v>4590</v>
      </c>
      <c r="H46" s="6" t="n">
        <v>8624</v>
      </c>
      <c r="I46" s="6" t="n">
        <v>0</v>
      </c>
      <c r="J46" s="6" t="n">
        <v>165.9</v>
      </c>
      <c r="K46" s="6"/>
      <c r="L46" s="6"/>
      <c r="M46" s="6"/>
    </row>
    <row r="47" customFormat="false" ht="15.75" hidden="false" customHeight="false" outlineLevel="0" collapsed="false">
      <c r="A47" s="0" t="s">
        <v>22</v>
      </c>
      <c r="B47" s="1" t="n">
        <v>43907</v>
      </c>
      <c r="C47" s="6" t="n">
        <v>14991</v>
      </c>
      <c r="D47" s="6" t="n">
        <v>1053</v>
      </c>
      <c r="E47" s="6" t="n">
        <v>853</v>
      </c>
      <c r="F47" s="6" t="n">
        <v>129</v>
      </c>
      <c r="G47" s="6" t="n">
        <v>4590</v>
      </c>
      <c r="H47" s="6" t="n">
        <v>9548</v>
      </c>
      <c r="I47" s="6" t="n">
        <v>0</v>
      </c>
      <c r="J47" s="6" t="n">
        <v>178.5</v>
      </c>
      <c r="K47" s="6"/>
      <c r="L47" s="6"/>
      <c r="M47" s="6"/>
    </row>
    <row r="48" customFormat="false" ht="15.75" hidden="false" customHeight="false" outlineLevel="0" collapsed="false">
      <c r="A48" s="0" t="s">
        <v>22</v>
      </c>
      <c r="B48" s="1" t="n">
        <v>43908</v>
      </c>
      <c r="C48" s="6" t="n">
        <v>16169</v>
      </c>
      <c r="D48" s="6" t="n">
        <v>1178</v>
      </c>
      <c r="E48" s="6" t="n">
        <v>988</v>
      </c>
      <c r="F48" s="6" t="n">
        <v>135</v>
      </c>
      <c r="G48" s="6" t="n">
        <v>5389</v>
      </c>
      <c r="H48" s="6" t="n">
        <v>9792</v>
      </c>
      <c r="I48" s="6" t="n">
        <v>0</v>
      </c>
      <c r="J48" s="6" t="n">
        <v>192.5</v>
      </c>
      <c r="K48" s="6"/>
      <c r="L48" s="6"/>
      <c r="M48" s="6"/>
    </row>
    <row r="49" customFormat="false" ht="15.75" hidden="false" customHeight="false" outlineLevel="0" collapsed="false">
      <c r="A49" s="0" t="s">
        <v>22</v>
      </c>
      <c r="B49" s="1" t="n">
        <v>43909</v>
      </c>
      <c r="C49" s="6" t="n">
        <v>17361</v>
      </c>
      <c r="D49" s="6" t="n">
        <v>1192</v>
      </c>
      <c r="E49" s="6" t="n">
        <v>1135</v>
      </c>
      <c r="F49" s="6" t="n">
        <v>147</v>
      </c>
      <c r="G49" s="6" t="n">
        <v>5710</v>
      </c>
      <c r="H49" s="6" t="n">
        <v>10516</v>
      </c>
      <c r="I49" s="6" t="n">
        <v>0</v>
      </c>
      <c r="J49" s="6" t="n">
        <v>207</v>
      </c>
      <c r="K49" s="6"/>
      <c r="L49" s="6"/>
      <c r="M49" s="6"/>
    </row>
    <row r="50" customFormat="false" ht="15.75" hidden="false" customHeight="false" outlineLevel="0" collapsed="false">
      <c r="A50" s="0" t="s">
        <v>22</v>
      </c>
      <c r="B50" s="1" t="n">
        <v>43910</v>
      </c>
      <c r="C50" s="6" t="n">
        <v>18407</v>
      </c>
      <c r="D50" s="6" t="n">
        <v>1046</v>
      </c>
      <c r="E50" s="6" t="n">
        <v>1284</v>
      </c>
      <c r="F50" s="6" t="n">
        <v>149</v>
      </c>
      <c r="G50" s="6" t="n">
        <v>5979</v>
      </c>
      <c r="H50" s="6" t="n">
        <v>11144</v>
      </c>
      <c r="I50" s="6" t="n">
        <v>0</v>
      </c>
      <c r="J50" s="6" t="n">
        <v>219</v>
      </c>
      <c r="K50" s="6"/>
      <c r="L50" s="6"/>
      <c r="M50" s="6"/>
    </row>
    <row r="51" customFormat="false" ht="15.75" hidden="false" customHeight="false" outlineLevel="0" collapsed="false">
      <c r="A51" s="0" t="s">
        <v>22</v>
      </c>
      <c r="B51" s="1" t="n">
        <v>43911</v>
      </c>
      <c r="C51" s="6" t="n">
        <v>19644</v>
      </c>
      <c r="D51" s="6" t="n">
        <v>1237</v>
      </c>
      <c r="E51" s="6" t="n">
        <v>1556</v>
      </c>
      <c r="F51" s="6" t="n">
        <v>272</v>
      </c>
      <c r="G51" s="6" t="n">
        <v>7635</v>
      </c>
      <c r="H51" s="6" t="n">
        <v>11419</v>
      </c>
      <c r="I51" s="6" t="n">
        <v>0</v>
      </c>
      <c r="J51" s="6" t="n">
        <v>245</v>
      </c>
      <c r="K51" s="6"/>
      <c r="L51" s="6"/>
      <c r="M51" s="6"/>
    </row>
    <row r="52" customFormat="false" ht="15.75" hidden="false" customHeight="false" outlineLevel="0" collapsed="false">
      <c r="A52" s="0" t="s">
        <v>22</v>
      </c>
      <c r="B52" s="1" t="n">
        <v>43912</v>
      </c>
      <c r="C52" s="6" t="n">
        <v>20610</v>
      </c>
      <c r="D52" s="6" t="n">
        <v>966</v>
      </c>
      <c r="E52" s="6" t="n">
        <v>1556</v>
      </c>
      <c r="F52" s="6" t="n">
        <v>0</v>
      </c>
      <c r="G52" s="6" t="n">
        <v>7635</v>
      </c>
      <c r="H52" s="6" t="n">
        <v>11419</v>
      </c>
      <c r="I52" s="6" t="n">
        <v>0</v>
      </c>
      <c r="J52" s="6" t="n">
        <v>245</v>
      </c>
      <c r="K52" s="6"/>
      <c r="L52" s="6"/>
      <c r="M52" s="6"/>
    </row>
    <row r="53" customFormat="false" ht="15.75" hidden="false" customHeight="false" outlineLevel="0" collapsed="false">
      <c r="A53" s="0" t="s">
        <v>22</v>
      </c>
      <c r="B53" s="1" t="n">
        <v>43913</v>
      </c>
      <c r="C53" s="6" t="n">
        <v>21638</v>
      </c>
      <c r="D53" s="6" t="n">
        <v>1028</v>
      </c>
      <c r="E53" s="6" t="n">
        <v>1685</v>
      </c>
      <c r="F53" s="6" t="n">
        <v>129</v>
      </c>
      <c r="G53" s="6" t="n">
        <v>7635</v>
      </c>
      <c r="H53" s="6" t="n">
        <v>12318</v>
      </c>
      <c r="I53" s="6" t="n">
        <v>0</v>
      </c>
      <c r="J53" s="6" t="n">
        <v>258</v>
      </c>
      <c r="K53" s="6"/>
      <c r="L53" s="6"/>
      <c r="M53" s="6"/>
    </row>
    <row r="54" customFormat="false" ht="15.75" hidden="false" customHeight="false" outlineLevel="0" collapsed="false">
      <c r="A54" s="0" t="s">
        <v>22</v>
      </c>
      <c r="B54" s="1" t="n">
        <v>43914</v>
      </c>
      <c r="C54" s="6" t="n">
        <v>23049</v>
      </c>
      <c r="D54" s="6" t="n">
        <v>1411</v>
      </c>
      <c r="E54" s="6" t="n">
        <v>1812</v>
      </c>
      <c r="F54" s="6" t="n">
        <v>127</v>
      </c>
      <c r="G54" s="6" t="n">
        <v>8376</v>
      </c>
      <c r="H54" s="6" t="n">
        <v>12861</v>
      </c>
      <c r="I54" s="6" t="n">
        <v>0</v>
      </c>
      <c r="J54" s="6" t="n">
        <v>274</v>
      </c>
      <c r="K54" s="6"/>
      <c r="L54" s="6"/>
      <c r="M54" s="6"/>
    </row>
    <row r="55" customFormat="false" ht="15.75" hidden="false" customHeight="false" outlineLevel="0" collapsed="false">
      <c r="A55" s="0" t="s">
        <v>22</v>
      </c>
      <c r="B55" s="1" t="n">
        <v>43915</v>
      </c>
      <c r="C55" s="7" t="n">
        <v>24811</v>
      </c>
      <c r="D55" s="7" t="n">
        <v>1762</v>
      </c>
      <c r="E55" s="7" t="n">
        <v>1934</v>
      </c>
      <c r="F55" s="7" t="n">
        <v>122</v>
      </c>
      <c r="G55" s="7" t="n">
        <v>8913</v>
      </c>
      <c r="H55" s="7" t="n">
        <v>13964</v>
      </c>
      <c r="I55" s="7"/>
      <c r="J55" s="7" t="n">
        <v>295</v>
      </c>
      <c r="K55" s="7" t="n">
        <v>23</v>
      </c>
      <c r="L55" s="7"/>
      <c r="M55" s="7"/>
    </row>
    <row r="56" customFormat="false" ht="15.75" hidden="false" customHeight="false" outlineLevel="0" collapsed="false">
      <c r="A56" s="0" t="s">
        <v>22</v>
      </c>
      <c r="B56" s="1" t="n">
        <v>43916</v>
      </c>
      <c r="C56" s="7" t="n">
        <v>27017</v>
      </c>
      <c r="D56" s="7" t="n">
        <v>2206</v>
      </c>
      <c r="E56" s="7" t="n">
        <v>2077</v>
      </c>
      <c r="F56" s="7" t="n">
        <v>143</v>
      </c>
      <c r="G56" s="7" t="n">
        <v>9625</v>
      </c>
      <c r="H56" s="7" t="n">
        <v>15315</v>
      </c>
      <c r="I56" s="7"/>
      <c r="J56" s="7" t="n">
        <v>322</v>
      </c>
      <c r="K56" s="7" t="n">
        <v>25</v>
      </c>
      <c r="L56" s="7"/>
      <c r="M56" s="7"/>
    </row>
    <row r="57" customFormat="false" ht="15.75" hidden="false" customHeight="false" outlineLevel="0" collapsed="false">
      <c r="A57" s="0" t="s">
        <v>22</v>
      </c>
      <c r="B57" s="1" t="n">
        <v>43917</v>
      </c>
      <c r="C57" s="7" t="n">
        <v>29406</v>
      </c>
      <c r="D57" s="7" t="n">
        <v>2389</v>
      </c>
      <c r="E57" s="7" t="n">
        <v>2234</v>
      </c>
      <c r="F57" s="7" t="n">
        <v>157</v>
      </c>
      <c r="G57" s="7" t="n">
        <v>10457</v>
      </c>
      <c r="H57" s="7" t="n">
        <v>16715</v>
      </c>
      <c r="I57" s="7" t="n">
        <v>2746</v>
      </c>
      <c r="J57" s="7" t="n">
        <v>350</v>
      </c>
      <c r="K57" s="7" t="n">
        <v>27</v>
      </c>
      <c r="L57" s="7"/>
      <c r="M57" s="7"/>
    </row>
    <row r="58" customFormat="false" ht="15.75" hidden="false" customHeight="false" outlineLevel="0" collapsed="false">
      <c r="A58" s="0" t="s">
        <v>22</v>
      </c>
      <c r="B58" s="1" t="n">
        <v>43918</v>
      </c>
      <c r="C58" s="7" t="n">
        <v>32332</v>
      </c>
      <c r="D58" s="7" t="n">
        <v>2926</v>
      </c>
      <c r="E58" s="7" t="n">
        <v>2378</v>
      </c>
      <c r="F58" s="7" t="n">
        <v>144</v>
      </c>
      <c r="G58" s="7" t="n">
        <v>11133</v>
      </c>
      <c r="H58" s="7" t="n">
        <v>18821</v>
      </c>
      <c r="I58" s="7" t="n">
        <v>2893</v>
      </c>
      <c r="J58" s="7" t="n">
        <v>385</v>
      </c>
      <c r="K58" s="7" t="n">
        <v>28</v>
      </c>
      <c r="L58" s="7"/>
      <c r="M58" s="7"/>
    </row>
    <row r="59" customFormat="false" ht="15.75" hidden="false" customHeight="false" outlineLevel="0" collapsed="false">
      <c r="A59" s="0" t="s">
        <v>22</v>
      </c>
      <c r="B59" s="1" t="n">
        <v>43919</v>
      </c>
      <c r="C59" s="7" t="n">
        <v>35408</v>
      </c>
      <c r="D59" s="7" t="n">
        <v>3076</v>
      </c>
      <c r="E59" s="7" t="n">
        <v>2517</v>
      </c>
      <c r="F59" s="7" t="n">
        <v>139</v>
      </c>
      <c r="G59" s="7" t="n">
        <v>11679</v>
      </c>
      <c r="H59" s="7" t="n">
        <v>21212</v>
      </c>
      <c r="I59" s="7" t="n">
        <v>3206</v>
      </c>
      <c r="J59" s="7" t="n">
        <v>422</v>
      </c>
      <c r="K59" s="7" t="n">
        <v>30</v>
      </c>
      <c r="L59" s="7"/>
      <c r="M59" s="7"/>
    </row>
    <row r="60" customFormat="false" ht="15.75" hidden="false" customHeight="false" outlineLevel="0" collapsed="false">
      <c r="A60" s="0" t="s">
        <v>22</v>
      </c>
      <c r="B60" s="1" t="n">
        <v>43920</v>
      </c>
      <c r="C60" s="7" t="n">
        <v>38309</v>
      </c>
      <c r="D60" s="7" t="n">
        <v>2901</v>
      </c>
      <c r="E60" s="7" t="n">
        <v>2640</v>
      </c>
      <c r="F60" s="7" t="n">
        <v>123</v>
      </c>
      <c r="G60" s="7" t="n">
        <v>12391</v>
      </c>
      <c r="H60" s="7" t="n">
        <v>23278</v>
      </c>
      <c r="I60" s="7" t="n">
        <v>3206</v>
      </c>
      <c r="J60" s="7" t="n">
        <v>456</v>
      </c>
      <c r="K60" s="7" t="n">
        <v>31</v>
      </c>
      <c r="L60" s="7"/>
      <c r="M60" s="7"/>
    </row>
    <row r="61" customFormat="false" ht="15.75" hidden="false" customHeight="false" outlineLevel="0" collapsed="false">
      <c r="A61" s="0" t="s">
        <v>22</v>
      </c>
      <c r="B61" s="1" t="n">
        <v>43921</v>
      </c>
      <c r="C61" s="7" t="n">
        <v>41495</v>
      </c>
      <c r="D61" s="7" t="n">
        <v>3186</v>
      </c>
      <c r="E61" s="7" t="n">
        <v>2757</v>
      </c>
      <c r="F61" s="7" t="n">
        <v>117</v>
      </c>
      <c r="G61" s="7" t="n">
        <v>13911</v>
      </c>
      <c r="H61" s="7" t="n">
        <v>24827</v>
      </c>
      <c r="I61" s="7" t="n">
        <v>3511</v>
      </c>
      <c r="J61" s="7" t="n">
        <v>494</v>
      </c>
      <c r="K61" s="7" t="n">
        <v>33</v>
      </c>
      <c r="L61" s="7"/>
      <c r="M61" s="7"/>
    </row>
    <row r="62" customFormat="false" ht="15.75" hidden="false" customHeight="false" outlineLevel="0" collapsed="false">
      <c r="A62" s="0" t="s">
        <v>22</v>
      </c>
      <c r="B62" s="1" t="n">
        <v>43922</v>
      </c>
      <c r="C62" s="7" t="n">
        <v>44605</v>
      </c>
      <c r="D62" s="7" t="n">
        <v>3110</v>
      </c>
      <c r="E62" s="7" t="n">
        <v>2898</v>
      </c>
      <c r="F62" s="7" t="n">
        <v>141</v>
      </c>
      <c r="G62" s="7" t="n">
        <v>14656</v>
      </c>
      <c r="H62" s="7" t="n">
        <v>27051</v>
      </c>
      <c r="I62" s="7" t="n">
        <v>3703</v>
      </c>
      <c r="J62" s="7" t="n">
        <v>531</v>
      </c>
      <c r="K62" s="7" t="n">
        <v>35</v>
      </c>
      <c r="L62" s="7"/>
      <c r="M62" s="7"/>
    </row>
    <row r="63" customFormat="false" ht="15.75" hidden="false" customHeight="false" outlineLevel="0" collapsed="false">
      <c r="A63" s="0" t="s">
        <v>22</v>
      </c>
      <c r="B63" s="1" t="n">
        <v>43923</v>
      </c>
      <c r="C63" s="7" t="n">
        <v>47593</v>
      </c>
      <c r="D63" s="7" t="n">
        <v>2988</v>
      </c>
      <c r="E63" s="7" t="n">
        <v>3036</v>
      </c>
      <c r="F63" s="7" t="n">
        <v>138</v>
      </c>
      <c r="G63" s="7" t="n">
        <v>15473</v>
      </c>
      <c r="H63" s="7" t="n">
        <v>29084</v>
      </c>
      <c r="I63" s="7" t="n">
        <v>3871</v>
      </c>
      <c r="J63" s="7" t="n">
        <v>567</v>
      </c>
      <c r="K63" s="7" t="n">
        <v>36</v>
      </c>
      <c r="L63" s="7"/>
      <c r="M63" s="7"/>
    </row>
    <row r="64" customFormat="false" ht="15.75" hidden="false" customHeight="false" outlineLevel="0" collapsed="false">
      <c r="A64" s="0" t="s">
        <v>22</v>
      </c>
      <c r="B64" s="1" t="n">
        <v>43924</v>
      </c>
      <c r="C64" s="7" t="n">
        <v>50468</v>
      </c>
      <c r="D64" s="7" t="n">
        <v>2875</v>
      </c>
      <c r="E64" s="7" t="n">
        <v>3160</v>
      </c>
      <c r="F64" s="7" t="n">
        <v>124</v>
      </c>
      <c r="G64" s="7" t="n">
        <v>16711</v>
      </c>
      <c r="H64" s="7" t="n">
        <v>30597</v>
      </c>
      <c r="I64" s="7" t="n">
        <v>3956</v>
      </c>
      <c r="J64" s="7" t="n">
        <v>601</v>
      </c>
      <c r="K64" s="7" t="n">
        <v>38</v>
      </c>
      <c r="L64" s="7"/>
      <c r="M64" s="7"/>
    </row>
    <row r="65" customFormat="false" ht="15.75" hidden="false" customHeight="false" outlineLevel="0" collapsed="false">
      <c r="A65" s="0" t="s">
        <v>22</v>
      </c>
      <c r="B65" s="1" t="n">
        <v>43925</v>
      </c>
      <c r="C65" s="7" t="n">
        <v>53183</v>
      </c>
      <c r="D65" s="7" t="n">
        <v>2715</v>
      </c>
      <c r="E65" s="7" t="n">
        <v>3294</v>
      </c>
      <c r="F65" s="7" t="n">
        <v>134</v>
      </c>
      <c r="G65" s="7" t="n">
        <v>17935</v>
      </c>
      <c r="H65" s="7" t="n">
        <v>31954</v>
      </c>
      <c r="I65" s="7" t="n">
        <v>4035</v>
      </c>
      <c r="J65" s="7" t="n">
        <v>633</v>
      </c>
      <c r="K65" s="7" t="n">
        <v>39</v>
      </c>
      <c r="L65" s="7"/>
      <c r="M65" s="7"/>
    </row>
    <row r="66" customFormat="false" ht="15.75" hidden="false" customHeight="false" outlineLevel="0" collapsed="false">
      <c r="A66" s="0" t="s">
        <v>22</v>
      </c>
      <c r="B66" s="1" t="n">
        <v>43926</v>
      </c>
      <c r="C66" s="7" t="n">
        <v>55743</v>
      </c>
      <c r="D66" s="7" t="n">
        <v>2560</v>
      </c>
      <c r="E66" s="7" t="n">
        <v>3452</v>
      </c>
      <c r="F66" s="7" t="n">
        <v>158</v>
      </c>
      <c r="G66" s="7" t="n">
        <v>19736</v>
      </c>
      <c r="H66" s="7" t="n">
        <v>32555</v>
      </c>
      <c r="I66" s="7" t="n">
        <v>4103</v>
      </c>
      <c r="J66" s="7" t="n">
        <v>664</v>
      </c>
      <c r="K66" s="7" t="n">
        <v>41</v>
      </c>
      <c r="L66" s="7" t="n">
        <v>186000</v>
      </c>
      <c r="M66" s="7" t="n">
        <v>2214</v>
      </c>
    </row>
    <row r="67" customFormat="false" ht="15.75" hidden="false" customHeight="false" outlineLevel="0" collapsed="false">
      <c r="A67" s="0" t="s">
        <v>22</v>
      </c>
      <c r="B67" s="1" t="n">
        <v>43927</v>
      </c>
      <c r="C67" s="7" t="n">
        <v>58226</v>
      </c>
      <c r="D67" s="7" t="n">
        <v>2483</v>
      </c>
      <c r="E67" s="7" t="n">
        <v>3603</v>
      </c>
      <c r="F67" s="7" t="n">
        <v>151</v>
      </c>
      <c r="G67" s="7" t="n">
        <v>19736</v>
      </c>
      <c r="H67" s="7" t="n">
        <v>34887</v>
      </c>
      <c r="I67" s="7" t="n">
        <v>4103</v>
      </c>
      <c r="J67" s="7" t="n">
        <v>693</v>
      </c>
      <c r="K67" s="7" t="n">
        <v>43</v>
      </c>
      <c r="L67" s="7" t="n">
        <v>186000</v>
      </c>
      <c r="M67" s="7" t="n">
        <v>2214</v>
      </c>
    </row>
    <row r="68" customFormat="false" ht="15.75" hidden="false" customHeight="false" outlineLevel="0" collapsed="false">
      <c r="A68" s="0" t="s">
        <v>22</v>
      </c>
      <c r="B68" s="1" t="n">
        <v>43928</v>
      </c>
      <c r="C68" s="12" t="n">
        <v>60500</v>
      </c>
      <c r="D68" s="12" t="n">
        <v>2274</v>
      </c>
      <c r="E68" s="12" t="n">
        <v>3739</v>
      </c>
      <c r="F68" s="12" t="n">
        <v>136</v>
      </c>
      <c r="G68" s="12" t="n">
        <v>24236</v>
      </c>
      <c r="H68" s="12" t="n">
        <v>32525</v>
      </c>
      <c r="I68" s="12" t="n">
        <v>4083</v>
      </c>
      <c r="J68" s="12" t="n">
        <v>720</v>
      </c>
      <c r="K68" s="12" t="n">
        <v>45</v>
      </c>
      <c r="L68" s="12" t="n">
        <v>186000</v>
      </c>
      <c r="M68" s="12" t="n">
        <v>2214</v>
      </c>
    </row>
    <row r="69" customFormat="false" ht="15.75" hidden="false" customHeight="false" outlineLevel="0" collapsed="false">
      <c r="A69" s="0" t="s">
        <v>22</v>
      </c>
      <c r="B69" s="1" t="n">
        <v>43929</v>
      </c>
      <c r="C69" s="14" t="n">
        <v>62589</v>
      </c>
      <c r="D69" s="14" t="n">
        <v>2089</v>
      </c>
      <c r="E69" s="14" t="n">
        <v>3872</v>
      </c>
      <c r="F69" s="14" t="n">
        <v>133</v>
      </c>
      <c r="G69" s="14" t="n">
        <v>27039</v>
      </c>
      <c r="H69" s="14" t="n">
        <v>31678</v>
      </c>
      <c r="I69" s="14" t="n">
        <v>3987</v>
      </c>
      <c r="J69" s="14" t="n">
        <v>745</v>
      </c>
      <c r="K69" s="14" t="n">
        <v>46</v>
      </c>
      <c r="L69" s="14" t="n">
        <v>211136</v>
      </c>
      <c r="M69" s="14" t="n">
        <v>2514</v>
      </c>
    </row>
    <row r="70" customFormat="false" ht="15.75" hidden="false" customHeight="false" outlineLevel="0" collapsed="false">
      <c r="A70" s="0" t="s">
        <v>22</v>
      </c>
      <c r="B70" s="1" t="n">
        <v>43930</v>
      </c>
      <c r="C70" s="14" t="n">
        <v>64586</v>
      </c>
      <c r="D70" s="14" t="n">
        <v>1997</v>
      </c>
      <c r="E70" s="14" t="n">
        <v>3993</v>
      </c>
      <c r="F70" s="14" t="n">
        <v>121</v>
      </c>
      <c r="G70" s="14" t="n">
        <v>29812</v>
      </c>
      <c r="H70" s="14" t="n">
        <v>30781</v>
      </c>
      <c r="I70" s="14" t="n">
        <v>3987</v>
      </c>
      <c r="J70" s="14" t="n">
        <v>769</v>
      </c>
      <c r="K70" s="14" t="n">
        <v>48</v>
      </c>
      <c r="L70" s="14" t="n">
        <v>211136</v>
      </c>
      <c r="M70" s="14" t="n">
        <v>2514</v>
      </c>
    </row>
    <row r="71" customFormat="false" ht="15.75" hidden="false" customHeight="false" outlineLevel="0" collapsed="false">
      <c r="A71" s="0" t="s">
        <v>22</v>
      </c>
      <c r="B71" s="1" t="n">
        <v>43931</v>
      </c>
      <c r="C71" s="14" t="n">
        <v>66220</v>
      </c>
      <c r="D71" s="14" t="n">
        <v>1634</v>
      </c>
      <c r="E71" s="14" t="n">
        <v>4110</v>
      </c>
      <c r="F71" s="14" t="n">
        <v>117</v>
      </c>
      <c r="G71" s="14" t="n">
        <v>32309</v>
      </c>
      <c r="H71" s="14" t="n">
        <v>29801</v>
      </c>
      <c r="I71" s="14" t="n">
        <v>3918</v>
      </c>
      <c r="J71" s="14" t="n">
        <v>788</v>
      </c>
      <c r="K71" s="14" t="n">
        <v>49</v>
      </c>
      <c r="L71" s="14" t="n">
        <v>231393</v>
      </c>
      <c r="M71" s="14" t="n">
        <v>2755</v>
      </c>
    </row>
    <row r="72" customFormat="false" ht="15.75" hidden="false" customHeight="false" outlineLevel="0" collapsed="false">
      <c r="A72" s="0" t="s">
        <v>22</v>
      </c>
      <c r="B72" s="1" t="n">
        <v>43932</v>
      </c>
      <c r="C72" s="14" t="n">
        <v>68192</v>
      </c>
      <c r="D72" s="14" t="n">
        <v>1972</v>
      </c>
      <c r="E72" s="14" t="n">
        <v>4232</v>
      </c>
      <c r="F72" s="14" t="n">
        <v>122</v>
      </c>
      <c r="G72" s="14" t="n">
        <v>35465</v>
      </c>
      <c r="H72" s="14" t="n">
        <v>28495</v>
      </c>
      <c r="I72" s="14" t="n">
        <v>3969</v>
      </c>
      <c r="J72" s="14" t="n">
        <v>812</v>
      </c>
      <c r="K72" s="14" t="n">
        <v>50</v>
      </c>
      <c r="L72" s="14" t="n">
        <v>242568</v>
      </c>
      <c r="M72" s="14" t="n">
        <v>2888</v>
      </c>
    </row>
    <row r="73" customFormat="false" ht="15.75" hidden="false" customHeight="false" outlineLevel="0" collapsed="false">
      <c r="A73" s="0" t="s">
        <v>22</v>
      </c>
      <c r="B73" s="1" t="n">
        <v>43933</v>
      </c>
      <c r="C73" s="14" t="n">
        <v>70029</v>
      </c>
      <c r="D73" s="14" t="n">
        <v>1837</v>
      </c>
      <c r="E73" s="14" t="n">
        <v>4357</v>
      </c>
      <c r="F73" s="14" t="n">
        <v>125</v>
      </c>
      <c r="G73" s="14" t="n">
        <v>41947</v>
      </c>
      <c r="H73" s="14" t="n">
        <v>23725</v>
      </c>
      <c r="I73" s="14" t="n">
        <v>3987</v>
      </c>
      <c r="J73" s="14" t="n">
        <v>834</v>
      </c>
      <c r="K73" s="14" t="n">
        <v>52</v>
      </c>
      <c r="L73" s="14" t="n">
        <v>251703</v>
      </c>
      <c r="M73" s="14" t="n">
        <v>2997</v>
      </c>
    </row>
    <row r="74" customFormat="false" ht="15.75" hidden="false" customHeight="false" outlineLevel="0" collapsed="false">
      <c r="A74" s="0" t="s">
        <v>22</v>
      </c>
      <c r="B74" s="1" t="n">
        <v>43934</v>
      </c>
      <c r="C74" s="14" t="n">
        <v>71686</v>
      </c>
      <c r="D74" s="14" t="n">
        <v>1657</v>
      </c>
      <c r="E74" s="14" t="n">
        <v>4474</v>
      </c>
      <c r="F74" s="14" t="n">
        <v>117</v>
      </c>
      <c r="G74" s="14" t="n">
        <v>43894</v>
      </c>
      <c r="H74" s="14" t="n">
        <v>23318</v>
      </c>
      <c r="I74" s="14" t="n">
        <v>3930</v>
      </c>
      <c r="J74" s="14" t="n">
        <v>853</v>
      </c>
      <c r="K74" s="14" t="n">
        <v>53</v>
      </c>
      <c r="L74" s="14" t="n">
        <v>263388</v>
      </c>
      <c r="M74" s="14" t="n">
        <v>3136</v>
      </c>
    </row>
    <row r="75" customFormat="false" ht="15.75" hidden="false" customHeight="false" outlineLevel="0" collapsed="false">
      <c r="A75" s="0" t="s">
        <v>22</v>
      </c>
      <c r="B75" s="1" t="n">
        <v>43935</v>
      </c>
      <c r="C75" s="14" t="n">
        <v>73303</v>
      </c>
      <c r="D75" s="14" t="n">
        <v>1617</v>
      </c>
      <c r="E75" s="14" t="n">
        <v>4585</v>
      </c>
      <c r="F75" s="14" t="n">
        <v>111</v>
      </c>
      <c r="G75" s="14" t="n">
        <v>45983</v>
      </c>
      <c r="H75" s="14" t="n">
        <v>22735</v>
      </c>
      <c r="I75" s="14" t="n">
        <v>3877</v>
      </c>
      <c r="J75" s="14" t="n">
        <v>873</v>
      </c>
      <c r="K75" s="14" t="n">
        <v>55</v>
      </c>
      <c r="L75" s="14" t="n">
        <v>275427</v>
      </c>
      <c r="M75" s="14" t="n">
        <v>3279</v>
      </c>
    </row>
    <row r="76" customFormat="false" ht="15.75" hidden="false" customHeight="false" outlineLevel="0" collapsed="false">
      <c r="A76" s="0" t="s">
        <v>22</v>
      </c>
      <c r="B76" s="1" t="n">
        <v>43936</v>
      </c>
      <c r="C76" s="14" t="n">
        <v>74877</v>
      </c>
      <c r="D76" s="14" t="n">
        <v>1574</v>
      </c>
      <c r="E76" s="14" t="n">
        <v>4683</v>
      </c>
      <c r="F76" s="14" t="n">
        <v>98</v>
      </c>
      <c r="G76" s="14" t="n">
        <v>48129</v>
      </c>
      <c r="H76" s="14" t="n">
        <v>22065</v>
      </c>
      <c r="I76" s="14" t="n">
        <v>3691</v>
      </c>
      <c r="J76" s="14" t="n">
        <v>891</v>
      </c>
      <c r="K76" s="14" t="n">
        <v>56</v>
      </c>
      <c r="L76" s="14" t="n">
        <v>287359</v>
      </c>
      <c r="M76" s="14" t="n">
        <v>3421</v>
      </c>
    </row>
    <row r="77" customFormat="false" ht="15.75" hidden="false" customHeight="false" outlineLevel="0" collapsed="false">
      <c r="A77" s="0" t="s">
        <v>22</v>
      </c>
      <c r="B77" s="1" t="n">
        <v>43937</v>
      </c>
      <c r="C77" s="14" t="n">
        <v>76389</v>
      </c>
      <c r="D77" s="14" t="n">
        <v>1512</v>
      </c>
      <c r="E77" s="14" t="n">
        <v>4777</v>
      </c>
      <c r="F77" s="14" t="n">
        <v>94</v>
      </c>
      <c r="G77" s="14" t="n">
        <v>49933</v>
      </c>
      <c r="H77" s="14" t="n">
        <v>21679</v>
      </c>
      <c r="I77" s="14" t="n">
        <v>3643</v>
      </c>
      <c r="J77" s="14" t="n">
        <v>909</v>
      </c>
      <c r="K77" s="14" t="n">
        <v>57</v>
      </c>
      <c r="L77" s="14" t="n">
        <v>299204</v>
      </c>
      <c r="M77" s="14" t="n">
        <v>3562</v>
      </c>
    </row>
    <row r="78" customFormat="false" ht="15.75" hidden="false" customHeight="false" outlineLevel="0" collapsed="false">
      <c r="A78" s="0" t="s">
        <v>22</v>
      </c>
      <c r="B78" s="1" t="n">
        <v>43938</v>
      </c>
      <c r="C78" s="14" t="n">
        <v>77995</v>
      </c>
      <c r="D78" s="14" t="n">
        <v>1606</v>
      </c>
      <c r="E78" s="14" t="n">
        <v>4869</v>
      </c>
      <c r="F78" s="14" t="n">
        <v>92</v>
      </c>
      <c r="G78" s="14" t="n">
        <v>52229</v>
      </c>
      <c r="H78" s="14" t="n">
        <v>20897</v>
      </c>
      <c r="I78" s="14" t="n">
        <v>3594</v>
      </c>
      <c r="J78" s="14" t="n">
        <v>929</v>
      </c>
      <c r="K78" s="14" t="n">
        <v>58</v>
      </c>
      <c r="L78" s="14" t="n">
        <v>310340</v>
      </c>
      <c r="M78" s="14" t="n">
        <v>3695</v>
      </c>
    </row>
    <row r="79" customFormat="false" ht="15.75" hidden="false" customHeight="false" outlineLevel="0" collapsed="false">
      <c r="A79" s="0" t="s">
        <v>22</v>
      </c>
      <c r="B79" s="1" t="n">
        <v>43939</v>
      </c>
      <c r="C79" s="14" t="n">
        <v>79494</v>
      </c>
      <c r="D79" s="14" t="n">
        <v>1499</v>
      </c>
      <c r="E79" s="14" t="n">
        <v>4958</v>
      </c>
      <c r="F79" s="14" t="n">
        <v>89</v>
      </c>
      <c r="G79" s="14" t="n">
        <v>54064</v>
      </c>
      <c r="H79" s="14" t="n">
        <v>20472</v>
      </c>
      <c r="I79" s="14" t="n">
        <v>3563</v>
      </c>
      <c r="J79" s="14" t="n">
        <v>946</v>
      </c>
      <c r="K79" s="14" t="n">
        <v>59</v>
      </c>
      <c r="L79" s="14" t="n">
        <v>319879</v>
      </c>
      <c r="M79" s="14" t="n">
        <v>3808</v>
      </c>
    </row>
    <row r="80" customFormat="false" ht="15.75" hidden="false" customHeight="false" outlineLevel="0" collapsed="false">
      <c r="A80" s="0" t="s">
        <v>22</v>
      </c>
      <c r="B80" s="1" t="n">
        <v>43940</v>
      </c>
      <c r="C80" s="14" t="n">
        <v>80868</v>
      </c>
      <c r="D80" s="14" t="n">
        <v>1374</v>
      </c>
      <c r="E80" s="14" t="n">
        <v>5031</v>
      </c>
      <c r="F80" s="14" t="n">
        <v>73</v>
      </c>
      <c r="G80" s="14" t="n">
        <v>55987</v>
      </c>
      <c r="H80" s="14" t="n">
        <v>19850</v>
      </c>
      <c r="I80" s="14" t="n">
        <v>3513</v>
      </c>
      <c r="J80" s="14" t="n">
        <v>963</v>
      </c>
      <c r="K80" s="14" t="n">
        <v>60</v>
      </c>
      <c r="L80" s="14" t="n">
        <v>330137</v>
      </c>
      <c r="M80" s="14" t="n">
        <v>3931</v>
      </c>
    </row>
    <row r="81" customFormat="false" ht="15.75" hidden="false" customHeight="false" outlineLevel="0" collapsed="false">
      <c r="A81" s="0" t="s">
        <v>22</v>
      </c>
      <c r="B81" s="1" t="n">
        <v>43941</v>
      </c>
      <c r="C81" s="14" t="n">
        <v>82211</v>
      </c>
      <c r="D81" s="14" t="n">
        <v>1343</v>
      </c>
      <c r="E81" s="14" t="n">
        <v>5118</v>
      </c>
      <c r="F81" s="14" t="n">
        <v>87</v>
      </c>
      <c r="G81" s="14" t="n">
        <v>57023</v>
      </c>
      <c r="H81" s="14" t="n">
        <v>20070</v>
      </c>
      <c r="I81" s="14" t="n">
        <v>3456</v>
      </c>
      <c r="J81" s="14" t="n">
        <v>979</v>
      </c>
      <c r="K81" s="14" t="n">
        <v>61</v>
      </c>
      <c r="L81" s="14" t="n">
        <v>341662</v>
      </c>
      <c r="M81" s="14" t="n">
        <v>4068</v>
      </c>
    </row>
    <row r="82" customFormat="false" ht="15.75" hidden="false" customHeight="false" outlineLevel="0" collapsed="false">
      <c r="A82" s="0" t="s">
        <v>22</v>
      </c>
      <c r="B82" s="1" t="n">
        <v>43942</v>
      </c>
      <c r="C82" s="6" t="n">
        <v>83505</v>
      </c>
      <c r="D82" s="6" t="n">
        <v>1294</v>
      </c>
      <c r="E82" s="6" t="n">
        <v>5209</v>
      </c>
      <c r="F82" s="6" t="n">
        <v>91</v>
      </c>
      <c r="G82" s="6" t="n">
        <v>59273</v>
      </c>
      <c r="H82" s="6" t="n">
        <v>19023</v>
      </c>
      <c r="I82" s="6" t="n">
        <v>3389</v>
      </c>
      <c r="J82" s="6" t="n">
        <v>994</v>
      </c>
      <c r="K82" s="6" t="n">
        <v>62</v>
      </c>
      <c r="L82" s="6" t="n">
        <v>353012</v>
      </c>
      <c r="M82" s="6" t="n">
        <v>4203</v>
      </c>
    </row>
    <row r="83" customFormat="false" ht="15.75" hidden="false" customHeight="false" outlineLevel="0" collapsed="false">
      <c r="A83" s="0" t="s">
        <v>22</v>
      </c>
      <c r="B83" s="1" t="n">
        <v>43943</v>
      </c>
      <c r="C83" s="6" t="n">
        <v>84802</v>
      </c>
      <c r="D83" s="6" t="n">
        <v>1297</v>
      </c>
      <c r="E83" s="6" t="n">
        <v>5297</v>
      </c>
      <c r="F83" s="6" t="n">
        <v>88</v>
      </c>
      <c r="G83" s="6" t="n">
        <v>60965</v>
      </c>
      <c r="H83" s="6" t="n">
        <v>18540</v>
      </c>
      <c r="I83" s="6" t="n">
        <v>3357</v>
      </c>
      <c r="J83" s="6" t="n">
        <v>1010</v>
      </c>
      <c r="K83" s="6" t="n">
        <v>63</v>
      </c>
      <c r="L83" s="6" t="n">
        <v>365723</v>
      </c>
      <c r="M83" s="6" t="n">
        <v>4354</v>
      </c>
    </row>
    <row r="84" customFormat="false" ht="15.75" hidden="false" customHeight="false" outlineLevel="0" collapsed="false">
      <c r="A84" s="0" t="s">
        <v>22</v>
      </c>
      <c r="B84" s="1" t="n">
        <v>43944</v>
      </c>
      <c r="C84" s="6" t="n">
        <v>85996</v>
      </c>
      <c r="D84" s="6" t="n">
        <v>1194</v>
      </c>
      <c r="E84" s="6" t="n">
        <v>5391</v>
      </c>
      <c r="F84" s="6" t="n">
        <v>94</v>
      </c>
      <c r="G84" s="6" t="n">
        <v>63113</v>
      </c>
      <c r="H84" s="6" t="n">
        <v>17492</v>
      </c>
      <c r="I84" s="6" t="n">
        <v>3311</v>
      </c>
      <c r="J84" s="6" t="n">
        <v>1024</v>
      </c>
      <c r="K84" s="6" t="n">
        <v>64</v>
      </c>
      <c r="L84" s="6" t="n">
        <v>377396</v>
      </c>
      <c r="M84" s="6" t="n">
        <v>4493</v>
      </c>
    </row>
    <row r="85" customFormat="false" ht="15.75" hidden="false" customHeight="false" outlineLevel="0" collapsed="false">
      <c r="A85" s="0" t="s">
        <v>22</v>
      </c>
      <c r="B85" s="1" t="n">
        <v>43945</v>
      </c>
      <c r="C85" s="6" t="n">
        <v>87026</v>
      </c>
      <c r="D85" s="6" t="n">
        <v>1030</v>
      </c>
      <c r="E85" s="6" t="n">
        <v>5481</v>
      </c>
      <c r="F85" s="6" t="n">
        <v>90</v>
      </c>
      <c r="G85" s="6" t="n">
        <v>64843</v>
      </c>
      <c r="H85" s="6" t="n">
        <v>16702</v>
      </c>
      <c r="I85" s="6" t="n">
        <v>3105</v>
      </c>
      <c r="J85" s="6" t="n">
        <v>1036</v>
      </c>
      <c r="K85" s="6" t="n">
        <v>65</v>
      </c>
      <c r="L85" s="6" t="n">
        <v>389507</v>
      </c>
      <c r="M85" s="6" t="n">
        <v>4637</v>
      </c>
    </row>
    <row r="86" customFormat="false" ht="15.75" hidden="false" customHeight="false" outlineLevel="0" collapsed="false">
      <c r="A86" s="0" t="s">
        <v>22</v>
      </c>
      <c r="B86" s="1" t="n">
        <v>43946</v>
      </c>
      <c r="C86" s="6" t="n">
        <v>88194</v>
      </c>
      <c r="D86" s="6" t="n">
        <v>1168</v>
      </c>
      <c r="E86" s="6" t="n">
        <v>5574</v>
      </c>
      <c r="F86" s="6" t="n">
        <v>93</v>
      </c>
      <c r="G86" s="6" t="n">
        <v>66599</v>
      </c>
      <c r="H86" s="6" t="n">
        <v>16021</v>
      </c>
      <c r="I86" s="6" t="n">
        <v>3121</v>
      </c>
      <c r="J86" s="6" t="n">
        <v>1050</v>
      </c>
      <c r="K86" s="6" t="n">
        <v>66</v>
      </c>
      <c r="L86" s="6" t="n">
        <v>399927</v>
      </c>
      <c r="M86" s="6" t="n">
        <v>4761</v>
      </c>
    </row>
    <row r="87" customFormat="false" ht="15.75" hidden="false" customHeight="false" outlineLevel="0" collapsed="false">
      <c r="A87" s="0" t="s">
        <v>22</v>
      </c>
      <c r="B87" s="1" t="n">
        <v>43947</v>
      </c>
      <c r="C87" s="6" t="n">
        <v>89328</v>
      </c>
      <c r="D87" s="6" t="n">
        <v>1134</v>
      </c>
      <c r="E87" s="6" t="n">
        <v>5650</v>
      </c>
      <c r="F87" s="6" t="n">
        <v>76</v>
      </c>
      <c r="G87" s="6" t="n">
        <v>68193</v>
      </c>
      <c r="H87" s="6" t="n">
        <v>15485</v>
      </c>
      <c r="I87" s="6" t="n">
        <v>3096</v>
      </c>
      <c r="J87" s="6" t="n">
        <v>1064</v>
      </c>
      <c r="K87" s="6" t="n">
        <v>67</v>
      </c>
      <c r="L87" s="6" t="n">
        <v>410075</v>
      </c>
      <c r="M87" s="6" t="n">
        <v>4882</v>
      </c>
    </row>
    <row r="88" customFormat="false" ht="15.75" hidden="false" customHeight="false" outlineLevel="0" collapsed="false">
      <c r="A88" s="0" t="s">
        <v>22</v>
      </c>
      <c r="B88" s="1" t="n">
        <v>43948</v>
      </c>
      <c r="C88" s="6" t="n">
        <v>90481</v>
      </c>
      <c r="D88" s="6" t="n">
        <v>1153</v>
      </c>
      <c r="E88" s="6" t="n">
        <v>5710</v>
      </c>
      <c r="F88" s="6" t="n">
        <v>60</v>
      </c>
      <c r="G88" s="6" t="n">
        <v>69657</v>
      </c>
      <c r="H88" s="6" t="n">
        <v>15114</v>
      </c>
      <c r="I88" s="6" t="n">
        <v>3079</v>
      </c>
      <c r="J88" s="6" t="n">
        <v>1077</v>
      </c>
      <c r="K88" s="6" t="n">
        <v>68</v>
      </c>
      <c r="L88" s="6" t="n">
        <v>421313</v>
      </c>
      <c r="M88" s="6" t="n">
        <v>5016</v>
      </c>
    </row>
    <row r="89" customFormat="false" ht="15.75" hidden="false" customHeight="false" outlineLevel="0" collapsed="false">
      <c r="A89" s="0" t="s">
        <v>22</v>
      </c>
      <c r="B89" s="1" t="n">
        <v>43949</v>
      </c>
      <c r="C89" s="6" t="n">
        <v>91472</v>
      </c>
      <c r="D89" s="6" t="n">
        <v>991</v>
      </c>
      <c r="E89" s="6" t="n">
        <v>5806</v>
      </c>
      <c r="F89" s="6" t="n">
        <v>96</v>
      </c>
      <c r="G89" s="6" t="n">
        <v>70933</v>
      </c>
      <c r="H89" s="6" t="n">
        <v>14733</v>
      </c>
      <c r="I89" s="6" t="n">
        <v>3011</v>
      </c>
      <c r="J89" s="6" t="n">
        <v>1089</v>
      </c>
      <c r="K89" s="6" t="n">
        <v>69</v>
      </c>
      <c r="L89" s="6" t="n">
        <v>432329</v>
      </c>
      <c r="M89" s="6" t="n">
        <v>5147</v>
      </c>
    </row>
    <row r="90" customFormat="false" ht="15.75" hidden="false" customHeight="false" outlineLevel="0" collapsed="false">
      <c r="A90" s="0" t="s">
        <v>22</v>
      </c>
      <c r="B90" s="1" t="n">
        <v>43950</v>
      </c>
      <c r="C90" s="6" t="n">
        <v>92584</v>
      </c>
      <c r="D90" s="6" t="n">
        <v>1112</v>
      </c>
      <c r="E90" s="6" t="n">
        <v>5877</v>
      </c>
      <c r="F90" s="6" t="n">
        <v>71</v>
      </c>
      <c r="G90" s="6" t="n">
        <v>72439</v>
      </c>
      <c r="H90" s="6" t="n">
        <v>14268</v>
      </c>
      <c r="I90" s="6" t="n">
        <v>2983</v>
      </c>
      <c r="J90" s="6" t="n">
        <v>1102</v>
      </c>
      <c r="K90" s="6" t="n">
        <v>70</v>
      </c>
      <c r="L90" s="6" t="n">
        <v>442590</v>
      </c>
      <c r="M90" s="6" t="n">
        <v>5269</v>
      </c>
    </row>
    <row r="91" customFormat="false" ht="15.75" hidden="false" customHeight="false" outlineLevel="0" collapsed="false">
      <c r="A91" s="0" t="s">
        <v>22</v>
      </c>
      <c r="B91" s="1" t="n">
        <v>43951</v>
      </c>
      <c r="C91" s="6" t="n">
        <v>93657</v>
      </c>
      <c r="D91" s="6" t="n">
        <v>1073</v>
      </c>
      <c r="E91" s="6" t="n">
        <v>5957</v>
      </c>
      <c r="F91" s="6" t="n">
        <v>80</v>
      </c>
      <c r="G91" s="6" t="n">
        <v>73791</v>
      </c>
      <c r="H91" s="6" t="n">
        <v>13909</v>
      </c>
      <c r="I91" s="6" t="n">
        <v>2965</v>
      </c>
      <c r="J91" s="6" t="n">
        <v>1115</v>
      </c>
      <c r="K91" s="6" t="n">
        <v>71</v>
      </c>
      <c r="L91" s="6" t="n">
        <v>453386</v>
      </c>
      <c r="M91" s="6" t="n">
        <v>5398</v>
      </c>
    </row>
    <row r="92" customFormat="false" ht="15.75" hidden="false" customHeight="false" outlineLevel="0" collapsed="false">
      <c r="A92" s="0" t="s">
        <v>22</v>
      </c>
      <c r="B92" s="1" t="n">
        <v>43952</v>
      </c>
      <c r="C92" s="6" t="n">
        <v>94640</v>
      </c>
      <c r="D92" s="6" t="n">
        <v>983</v>
      </c>
      <c r="E92" s="6" t="n">
        <v>6028</v>
      </c>
      <c r="F92" s="6" t="n">
        <v>71</v>
      </c>
      <c r="G92" s="6" t="n">
        <v>75103</v>
      </c>
      <c r="H92" s="6" t="n">
        <v>13509</v>
      </c>
      <c r="I92" s="6" t="n">
        <v>2976</v>
      </c>
      <c r="J92" s="6" t="n">
        <v>1127</v>
      </c>
      <c r="K92" s="6" t="n">
        <v>72</v>
      </c>
      <c r="L92" s="6" t="n">
        <v>463295</v>
      </c>
      <c r="M92" s="6" t="n">
        <v>5516</v>
      </c>
    </row>
    <row r="93" customFormat="false" ht="15.75" hidden="false" customHeight="false" outlineLevel="0" collapsed="false">
      <c r="A93" s="0" t="s">
        <v>22</v>
      </c>
      <c r="B93" s="1" t="n">
        <v>43953</v>
      </c>
      <c r="C93" s="6" t="n">
        <v>95646</v>
      </c>
      <c r="D93" s="6" t="n">
        <v>1006</v>
      </c>
      <c r="E93" s="6" t="n">
        <v>6091</v>
      </c>
      <c r="F93" s="6" t="n">
        <v>63</v>
      </c>
      <c r="G93" s="6" t="n">
        <v>76318</v>
      </c>
      <c r="H93" s="6" t="n">
        <v>13237</v>
      </c>
      <c r="I93" s="6" t="n">
        <v>2899</v>
      </c>
      <c r="J93" s="6" t="n">
        <v>1139</v>
      </c>
      <c r="K93" s="6" t="n">
        <v>73</v>
      </c>
      <c r="L93" s="6" t="n">
        <v>475023</v>
      </c>
      <c r="M93" s="6" t="n">
        <v>5656</v>
      </c>
    </row>
    <row r="94" customFormat="false" ht="15.75" hidden="false" customHeight="false" outlineLevel="0" collapsed="false">
      <c r="A94" s="0" t="s">
        <v>22</v>
      </c>
      <c r="B94" s="1" t="n">
        <v>43954</v>
      </c>
      <c r="C94" s="6" t="n">
        <v>96448</v>
      </c>
      <c r="D94" s="6" t="n">
        <v>802</v>
      </c>
      <c r="E94" s="6" t="n">
        <v>6156</v>
      </c>
      <c r="F94" s="6" t="n">
        <v>65</v>
      </c>
      <c r="G94" s="6" t="n">
        <v>77350</v>
      </c>
      <c r="H94" s="6" t="n">
        <v>12942</v>
      </c>
      <c r="I94" s="6" t="n">
        <v>2787</v>
      </c>
      <c r="J94" s="6" t="n">
        <v>1148</v>
      </c>
      <c r="K94" s="6" t="n">
        <v>73</v>
      </c>
      <c r="L94" s="6" t="n">
        <v>484541</v>
      </c>
      <c r="M94" s="6" t="n">
        <v>5769</v>
      </c>
    </row>
    <row r="95" customFormat="false" ht="15.75" hidden="false" customHeight="false" outlineLevel="0" collapsed="false">
      <c r="A95" s="0" t="s">
        <v>22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22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22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22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22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22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22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22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22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22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22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22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22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22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22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22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22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22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22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22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22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22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22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22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22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22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22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22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22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22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22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22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22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22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22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22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22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22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22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22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22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22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22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22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22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22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22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22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22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22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22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22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22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22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22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22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22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22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22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22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22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22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22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22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22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22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22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22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22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22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22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22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22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22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22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22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22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22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22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22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22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22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22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22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22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22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22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22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22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22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22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22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22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P177" activeCellId="0" sqref="P17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23</v>
      </c>
      <c r="B37" s="1" t="n">
        <v>43897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23</v>
      </c>
      <c r="B38" s="1" t="n">
        <v>43898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23</v>
      </c>
      <c r="B39" s="1" t="n">
        <v>43899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23</v>
      </c>
      <c r="B40" s="1" t="n">
        <v>43900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customFormat="false" ht="15.75" hidden="false" customHeight="false" outlineLevel="0" collapsed="false">
      <c r="A41" s="0" t="s">
        <v>23</v>
      </c>
      <c r="B41" s="1" t="n">
        <v>43901</v>
      </c>
      <c r="C41" s="6" t="n">
        <v>1</v>
      </c>
      <c r="D41" s="6" t="n">
        <v>1</v>
      </c>
      <c r="E41" s="6"/>
      <c r="F41" s="6"/>
      <c r="G41" s="6"/>
      <c r="H41" s="6" t="n">
        <v>1</v>
      </c>
      <c r="I41" s="6"/>
      <c r="J41" s="6"/>
      <c r="K41" s="6"/>
      <c r="L41" s="6"/>
      <c r="M41" s="6"/>
    </row>
    <row r="42" customFormat="false" ht="15.75" hidden="false" customHeight="false" outlineLevel="0" collapsed="false">
      <c r="A42" s="0" t="s">
        <v>23</v>
      </c>
      <c r="B42" s="1" t="n">
        <v>43902</v>
      </c>
      <c r="C42" s="6" t="n">
        <v>1</v>
      </c>
      <c r="D42" s="6" t="n">
        <v>0</v>
      </c>
      <c r="E42" s="6"/>
      <c r="F42" s="6"/>
      <c r="G42" s="6"/>
      <c r="H42" s="6" t="n">
        <v>1</v>
      </c>
      <c r="I42" s="6"/>
      <c r="J42" s="6"/>
      <c r="K42" s="6"/>
      <c r="L42" s="6"/>
      <c r="M42" s="6"/>
    </row>
    <row r="43" customFormat="false" ht="15.75" hidden="false" customHeight="false" outlineLevel="0" collapsed="false">
      <c r="A43" s="0" t="s">
        <v>23</v>
      </c>
      <c r="B43" s="1" t="n">
        <v>43903</v>
      </c>
      <c r="C43" s="6" t="n">
        <v>1</v>
      </c>
      <c r="D43" s="6" t="n">
        <v>0</v>
      </c>
      <c r="E43" s="6"/>
      <c r="F43" s="6"/>
      <c r="G43" s="6"/>
      <c r="H43" s="6" t="n">
        <v>1</v>
      </c>
      <c r="I43" s="6"/>
      <c r="J43" s="6"/>
      <c r="K43" s="6"/>
      <c r="L43" s="6"/>
      <c r="M43" s="6"/>
    </row>
    <row r="44" customFormat="false" ht="15.75" hidden="false" customHeight="false" outlineLevel="0" collapsed="false">
      <c r="A44" s="0" t="s">
        <v>23</v>
      </c>
      <c r="B44" s="1" t="n">
        <v>43904</v>
      </c>
      <c r="C44" s="6" t="n">
        <v>5</v>
      </c>
      <c r="D44" s="6" t="n">
        <v>4</v>
      </c>
      <c r="E44" s="6"/>
      <c r="F44" s="6"/>
      <c r="G44" s="6"/>
      <c r="H44" s="6" t="n">
        <v>5</v>
      </c>
      <c r="I44" s="6"/>
      <c r="J44" s="6" t="n">
        <v>0.1</v>
      </c>
      <c r="K44" s="6"/>
      <c r="L44" s="6"/>
      <c r="M44" s="6"/>
    </row>
    <row r="45" customFormat="false" ht="15.75" hidden="false" customHeight="false" outlineLevel="0" collapsed="false">
      <c r="A45" s="0" t="s">
        <v>23</v>
      </c>
      <c r="B45" s="1" t="n">
        <v>43905</v>
      </c>
      <c r="C45" s="6" t="n">
        <v>6</v>
      </c>
      <c r="D45" s="6" t="n">
        <v>1</v>
      </c>
      <c r="E45" s="6"/>
      <c r="F45" s="6"/>
      <c r="G45" s="6"/>
      <c r="H45" s="6" t="n">
        <v>6</v>
      </c>
      <c r="I45" s="6"/>
      <c r="J45" s="6" t="n">
        <v>0.1</v>
      </c>
      <c r="K45" s="6"/>
      <c r="L45" s="6"/>
      <c r="M45" s="6"/>
    </row>
    <row r="46" customFormat="false" ht="15.75" hidden="false" customHeight="false" outlineLevel="0" collapsed="false">
      <c r="A46" s="0" t="s">
        <v>23</v>
      </c>
      <c r="B46" s="1" t="n">
        <v>43906</v>
      </c>
      <c r="C46" s="6" t="n">
        <v>18</v>
      </c>
      <c r="D46" s="6" t="n">
        <v>12</v>
      </c>
      <c r="E46" s="6"/>
      <c r="F46" s="6"/>
      <c r="G46" s="6"/>
      <c r="H46" s="6" t="n">
        <v>18</v>
      </c>
      <c r="I46" s="6"/>
      <c r="J46" s="6" t="n">
        <v>0.2</v>
      </c>
      <c r="K46" s="6"/>
      <c r="L46" s="6"/>
      <c r="M46" s="6"/>
    </row>
    <row r="47" customFormat="false" ht="15.75" hidden="false" customHeight="false" outlineLevel="0" collapsed="false">
      <c r="A47" s="0" t="s">
        <v>23</v>
      </c>
      <c r="B47" s="1" t="n">
        <v>43907</v>
      </c>
      <c r="C47" s="6" t="n">
        <v>47</v>
      </c>
      <c r="D47" s="6" t="n">
        <v>29</v>
      </c>
      <c r="E47" s="6"/>
      <c r="F47" s="6"/>
      <c r="G47" s="6"/>
      <c r="H47" s="6" t="n">
        <v>47</v>
      </c>
      <c r="I47" s="6"/>
      <c r="J47" s="6" t="n">
        <v>0.6</v>
      </c>
      <c r="K47" s="6"/>
      <c r="L47" s="6"/>
      <c r="M47" s="6"/>
    </row>
    <row r="48" customFormat="false" ht="15.75" hidden="false" customHeight="false" outlineLevel="0" collapsed="false">
      <c r="A48" s="0" t="s">
        <v>23</v>
      </c>
      <c r="B48" s="1" t="n">
        <v>43908</v>
      </c>
      <c r="C48" s="6" t="n">
        <v>98</v>
      </c>
      <c r="D48" s="6" t="n">
        <v>51</v>
      </c>
      <c r="E48" s="6" t="n">
        <v>1</v>
      </c>
      <c r="F48" s="6" t="n">
        <v>1</v>
      </c>
      <c r="G48" s="6"/>
      <c r="H48" s="6" t="n">
        <v>97</v>
      </c>
      <c r="I48" s="6"/>
      <c r="J48" s="6" t="n">
        <v>1.2</v>
      </c>
      <c r="K48" s="6"/>
      <c r="L48" s="6"/>
      <c r="M48" s="6"/>
    </row>
    <row r="49" customFormat="false" ht="15.75" hidden="false" customHeight="false" outlineLevel="0" collapsed="false">
      <c r="A49" s="0" t="s">
        <v>23</v>
      </c>
      <c r="B49" s="1" t="n">
        <v>43909</v>
      </c>
      <c r="C49" s="6" t="n">
        <v>191</v>
      </c>
      <c r="D49" s="6" t="n">
        <v>93</v>
      </c>
      <c r="E49" s="6" t="n">
        <v>2</v>
      </c>
      <c r="F49" s="6" t="n">
        <v>1</v>
      </c>
      <c r="G49" s="6"/>
      <c r="H49" s="6" t="n">
        <v>189</v>
      </c>
      <c r="I49" s="6"/>
      <c r="J49" s="6" t="n">
        <v>2</v>
      </c>
      <c r="K49" s="6"/>
      <c r="L49" s="6"/>
      <c r="M49" s="6"/>
    </row>
    <row r="50" customFormat="false" ht="15.75" hidden="false" customHeight="false" outlineLevel="0" collapsed="false">
      <c r="A50" s="0" t="s">
        <v>23</v>
      </c>
      <c r="B50" s="1" t="n">
        <v>43910</v>
      </c>
      <c r="C50" s="6" t="n">
        <v>359</v>
      </c>
      <c r="D50" s="6" t="n">
        <v>168</v>
      </c>
      <c r="E50" s="6" t="n">
        <v>4</v>
      </c>
      <c r="F50" s="6" t="n">
        <v>2</v>
      </c>
      <c r="G50" s="6"/>
      <c r="H50" s="6" t="n">
        <v>355</v>
      </c>
      <c r="I50" s="6"/>
      <c r="J50" s="6" t="n">
        <v>4</v>
      </c>
      <c r="K50" s="6"/>
      <c r="L50" s="6"/>
      <c r="M50" s="6"/>
    </row>
    <row r="51" customFormat="false" ht="15.75" hidden="false" customHeight="false" outlineLevel="0" collapsed="false">
      <c r="A51" s="0" t="s">
        <v>23</v>
      </c>
      <c r="B51" s="1" t="n">
        <v>43911</v>
      </c>
      <c r="C51" s="6" t="n">
        <v>670</v>
      </c>
      <c r="D51" s="6" t="n">
        <v>311</v>
      </c>
      <c r="E51" s="6" t="n">
        <v>9</v>
      </c>
      <c r="F51" s="6" t="n">
        <v>5</v>
      </c>
      <c r="G51" s="6"/>
      <c r="H51" s="6" t="n">
        <v>661</v>
      </c>
      <c r="I51" s="6"/>
      <c r="J51" s="6" t="n">
        <v>8</v>
      </c>
      <c r="K51" s="6"/>
      <c r="L51" s="6"/>
      <c r="M51" s="6"/>
    </row>
    <row r="52" customFormat="false" ht="15.75" hidden="false" customHeight="false" outlineLevel="0" collapsed="false">
      <c r="A52" s="0" t="s">
        <v>23</v>
      </c>
      <c r="B52" s="1" t="n">
        <v>43912</v>
      </c>
      <c r="C52" s="6" t="n">
        <v>947</v>
      </c>
      <c r="D52" s="6" t="n">
        <v>277</v>
      </c>
      <c r="E52" s="6" t="n">
        <v>21</v>
      </c>
      <c r="F52" s="6" t="n">
        <v>12</v>
      </c>
      <c r="G52" s="6"/>
      <c r="H52" s="6" t="n">
        <v>926</v>
      </c>
      <c r="I52" s="6"/>
      <c r="J52" s="6" t="n">
        <v>11</v>
      </c>
      <c r="K52" s="6"/>
      <c r="L52" s="6"/>
      <c r="M52" s="6"/>
    </row>
    <row r="53" customFormat="false" ht="15.75" hidden="false" customHeight="false" outlineLevel="0" collapsed="false">
      <c r="A53" s="0" t="s">
        <v>23</v>
      </c>
      <c r="B53" s="1" t="n">
        <v>43913</v>
      </c>
      <c r="C53" s="6" t="n">
        <v>1236</v>
      </c>
      <c r="D53" s="6" t="n">
        <v>289</v>
      </c>
      <c r="E53" s="6" t="n">
        <v>30</v>
      </c>
      <c r="F53" s="6" t="n">
        <v>9</v>
      </c>
      <c r="G53" s="6"/>
      <c r="H53" s="6" t="n">
        <v>1206</v>
      </c>
      <c r="I53" s="6"/>
      <c r="J53" s="6" t="n">
        <v>15</v>
      </c>
      <c r="K53" s="6"/>
      <c r="L53" s="6"/>
      <c r="M53" s="6"/>
    </row>
    <row r="54" customFormat="false" ht="15.75" hidden="false" customHeight="false" outlineLevel="0" collapsed="false">
      <c r="A54" s="0" t="s">
        <v>23</v>
      </c>
      <c r="B54" s="1" t="n">
        <v>43914</v>
      </c>
      <c r="C54" s="6" t="n">
        <v>1529</v>
      </c>
      <c r="D54" s="6" t="n">
        <v>293</v>
      </c>
      <c r="E54" s="6" t="n">
        <v>37</v>
      </c>
      <c r="F54" s="6" t="n">
        <v>7</v>
      </c>
      <c r="G54" s="6"/>
      <c r="H54" s="6" t="n">
        <v>1492</v>
      </c>
      <c r="I54" s="6"/>
      <c r="J54" s="6" t="n">
        <v>18</v>
      </c>
      <c r="K54" s="6"/>
      <c r="L54" s="6"/>
      <c r="M54" s="6"/>
    </row>
    <row r="55" customFormat="false" ht="15.75" hidden="false" customHeight="false" outlineLevel="0" collapsed="false">
      <c r="A55" s="0" t="s">
        <v>23</v>
      </c>
      <c r="B55" s="1" t="n">
        <v>43915</v>
      </c>
      <c r="C55" s="7" t="n">
        <v>1872</v>
      </c>
      <c r="D55" s="7" t="n">
        <v>343</v>
      </c>
      <c r="E55" s="7" t="n">
        <v>44</v>
      </c>
      <c r="F55" s="7" t="n">
        <v>7</v>
      </c>
      <c r="G55" s="7"/>
      <c r="H55" s="7" t="n">
        <v>1828</v>
      </c>
      <c r="I55" s="7"/>
      <c r="J55" s="7" t="n">
        <v>22</v>
      </c>
      <c r="K55" s="10" t="n">
        <v>0.5</v>
      </c>
      <c r="L55" s="7"/>
      <c r="M55" s="7"/>
    </row>
    <row r="56" customFormat="false" ht="15.75" hidden="false" customHeight="false" outlineLevel="0" collapsed="false">
      <c r="A56" s="0" t="s">
        <v>23</v>
      </c>
      <c r="B56" s="1" t="n">
        <v>43916</v>
      </c>
      <c r="C56" s="7" t="n">
        <v>2433</v>
      </c>
      <c r="D56" s="7" t="n">
        <v>561</v>
      </c>
      <c r="E56" s="7" t="n">
        <v>59</v>
      </c>
      <c r="F56" s="7" t="n">
        <v>15</v>
      </c>
      <c r="G56" s="7" t="n">
        <v>26</v>
      </c>
      <c r="H56" s="7" t="n">
        <v>2348</v>
      </c>
      <c r="I56" s="7" t="n">
        <v>136</v>
      </c>
      <c r="J56" s="7" t="n">
        <v>29</v>
      </c>
      <c r="K56" s="10" t="n">
        <v>0.7</v>
      </c>
      <c r="L56" s="7"/>
      <c r="M56" s="7"/>
    </row>
    <row r="57" customFormat="false" ht="15.75" hidden="false" customHeight="false" outlineLevel="0" collapsed="false">
      <c r="A57" s="0" t="s">
        <v>23</v>
      </c>
      <c r="B57" s="1" t="n">
        <v>43917</v>
      </c>
      <c r="C57" s="7" t="n">
        <v>3629</v>
      </c>
      <c r="D57" s="7" t="n">
        <v>1196</v>
      </c>
      <c r="E57" s="7" t="n">
        <v>75</v>
      </c>
      <c r="F57" s="7" t="n">
        <v>16</v>
      </c>
      <c r="G57" s="7" t="n">
        <v>26</v>
      </c>
      <c r="H57" s="7" t="n">
        <v>3528</v>
      </c>
      <c r="I57" s="7" t="n">
        <v>136</v>
      </c>
      <c r="J57" s="7" t="n">
        <v>43</v>
      </c>
      <c r="K57" s="10" t="n">
        <v>0.9</v>
      </c>
      <c r="L57" s="7"/>
      <c r="M57" s="7"/>
    </row>
    <row r="58" customFormat="false" ht="15.75" hidden="false" customHeight="false" outlineLevel="0" collapsed="false">
      <c r="A58" s="0" t="s">
        <v>23</v>
      </c>
      <c r="B58" s="1" t="n">
        <v>43918</v>
      </c>
      <c r="C58" s="7" t="n">
        <v>5698</v>
      </c>
      <c r="D58" s="7" t="n">
        <v>2069</v>
      </c>
      <c r="E58" s="7" t="n">
        <v>92</v>
      </c>
      <c r="F58" s="7" t="n">
        <v>17</v>
      </c>
      <c r="G58" s="7" t="n">
        <v>42</v>
      </c>
      <c r="H58" s="7" t="n">
        <v>5564</v>
      </c>
      <c r="I58" s="7" t="n">
        <v>241</v>
      </c>
      <c r="J58" s="7" t="n">
        <v>68</v>
      </c>
      <c r="K58" s="7" t="n">
        <v>1</v>
      </c>
      <c r="L58" s="7"/>
      <c r="M58" s="7"/>
    </row>
    <row r="59" customFormat="false" ht="15.75" hidden="false" customHeight="false" outlineLevel="0" collapsed="false">
      <c r="A59" s="0" t="s">
        <v>23</v>
      </c>
      <c r="B59" s="1" t="n">
        <v>43919</v>
      </c>
      <c r="C59" s="7" t="n">
        <v>7402</v>
      </c>
      <c r="D59" s="7" t="n">
        <v>1704</v>
      </c>
      <c r="E59" s="7" t="n">
        <v>108</v>
      </c>
      <c r="F59" s="7" t="n">
        <v>16</v>
      </c>
      <c r="G59" s="7" t="n">
        <v>70</v>
      </c>
      <c r="H59" s="7" t="n">
        <v>7224</v>
      </c>
      <c r="I59" s="7" t="n">
        <v>309</v>
      </c>
      <c r="J59" s="7" t="n">
        <v>88</v>
      </c>
      <c r="K59" s="7" t="n">
        <v>1</v>
      </c>
      <c r="L59" s="7"/>
      <c r="M59" s="7"/>
    </row>
    <row r="60" customFormat="false" ht="15.75" hidden="false" customHeight="false" outlineLevel="0" collapsed="false">
      <c r="A60" s="0" t="s">
        <v>23</v>
      </c>
      <c r="B60" s="1" t="n">
        <v>43920</v>
      </c>
      <c r="C60" s="7" t="n">
        <v>9217</v>
      </c>
      <c r="D60" s="7" t="n">
        <v>1815</v>
      </c>
      <c r="E60" s="7" t="n">
        <v>131</v>
      </c>
      <c r="F60" s="7" t="n">
        <v>23</v>
      </c>
      <c r="G60" s="7" t="n">
        <v>105</v>
      </c>
      <c r="H60" s="7" t="n">
        <v>8981</v>
      </c>
      <c r="I60" s="7" t="n">
        <v>568</v>
      </c>
      <c r="J60" s="7" t="n">
        <v>109</v>
      </c>
      <c r="K60" s="7" t="n">
        <v>2</v>
      </c>
      <c r="L60" s="7"/>
      <c r="M60" s="7"/>
    </row>
    <row r="61" customFormat="false" ht="15.75" hidden="false" customHeight="false" outlineLevel="0" collapsed="false">
      <c r="A61" s="0" t="s">
        <v>23</v>
      </c>
      <c r="B61" s="1" t="n">
        <v>43921</v>
      </c>
      <c r="C61" s="7" t="n">
        <v>10827</v>
      </c>
      <c r="D61" s="7" t="n">
        <v>1610</v>
      </c>
      <c r="E61" s="7" t="n">
        <v>168</v>
      </c>
      <c r="F61" s="7" t="n">
        <v>37</v>
      </c>
      <c r="G61" s="7" t="n">
        <v>162</v>
      </c>
      <c r="H61" s="7" t="n">
        <v>10497</v>
      </c>
      <c r="I61" s="7" t="n">
        <v>568</v>
      </c>
      <c r="J61" s="7" t="n">
        <v>128</v>
      </c>
      <c r="K61" s="7" t="n">
        <v>2</v>
      </c>
      <c r="L61" s="7"/>
      <c r="M61" s="7"/>
    </row>
    <row r="62" customFormat="false" ht="15.75" hidden="false" customHeight="false" outlineLevel="0" collapsed="false">
      <c r="A62" s="0" t="s">
        <v>23</v>
      </c>
      <c r="B62" s="1" t="n">
        <v>43922</v>
      </c>
      <c r="C62" s="7" t="n">
        <v>13531</v>
      </c>
      <c r="D62" s="7" t="n">
        <v>2704</v>
      </c>
      <c r="E62" s="7" t="n">
        <v>214</v>
      </c>
      <c r="F62" s="7" t="n">
        <v>46</v>
      </c>
      <c r="G62" s="7" t="n">
        <v>243</v>
      </c>
      <c r="H62" s="7" t="n">
        <v>13074</v>
      </c>
      <c r="I62" s="7" t="n">
        <v>622</v>
      </c>
      <c r="J62" s="7" t="n">
        <v>160</v>
      </c>
      <c r="K62" s="7" t="n">
        <v>3</v>
      </c>
      <c r="L62" s="7"/>
      <c r="M62" s="7"/>
    </row>
    <row r="63" customFormat="false" ht="15.75" hidden="false" customHeight="false" outlineLevel="0" collapsed="false">
      <c r="A63" s="0" t="s">
        <v>23</v>
      </c>
      <c r="B63" s="1" t="n">
        <v>43923</v>
      </c>
      <c r="C63" s="7" t="n">
        <v>15679</v>
      </c>
      <c r="D63" s="7" t="n">
        <v>2148</v>
      </c>
      <c r="E63" s="7" t="n">
        <v>277</v>
      </c>
      <c r="F63" s="7" t="n">
        <v>63</v>
      </c>
      <c r="G63" s="7" t="n">
        <v>333</v>
      </c>
      <c r="H63" s="7" t="n">
        <v>15069</v>
      </c>
      <c r="I63" s="7" t="n">
        <v>847</v>
      </c>
      <c r="J63" s="7" t="n">
        <v>186</v>
      </c>
      <c r="K63" s="7" t="n">
        <v>3</v>
      </c>
      <c r="L63" s="7"/>
      <c r="M63" s="7"/>
    </row>
    <row r="64" customFormat="false" ht="15.75" hidden="false" customHeight="false" outlineLevel="0" collapsed="false">
      <c r="A64" s="0" t="s">
        <v>23</v>
      </c>
      <c r="B64" s="1" t="n">
        <v>43924</v>
      </c>
      <c r="C64" s="7" t="n">
        <v>18135</v>
      </c>
      <c r="D64" s="7" t="n">
        <v>2456</v>
      </c>
      <c r="E64" s="7" t="n">
        <v>356</v>
      </c>
      <c r="F64" s="7" t="n">
        <v>79</v>
      </c>
      <c r="G64" s="7" t="n">
        <v>415</v>
      </c>
      <c r="H64" s="7" t="n">
        <v>17364</v>
      </c>
      <c r="I64" s="7" t="n">
        <v>1101</v>
      </c>
      <c r="J64" s="7" t="n">
        <v>215</v>
      </c>
      <c r="K64" s="7" t="n">
        <v>4</v>
      </c>
      <c r="L64" s="7"/>
      <c r="M64" s="7"/>
    </row>
    <row r="65" customFormat="false" ht="15.75" hidden="false" customHeight="false" outlineLevel="0" collapsed="false">
      <c r="A65" s="0" t="s">
        <v>23</v>
      </c>
      <c r="B65" s="1" t="n">
        <v>43925</v>
      </c>
      <c r="C65" s="7" t="n">
        <v>20921</v>
      </c>
      <c r="D65" s="7" t="n">
        <v>2786</v>
      </c>
      <c r="E65" s="7" t="n">
        <v>425</v>
      </c>
      <c r="F65" s="7" t="n">
        <v>69</v>
      </c>
      <c r="G65" s="7" t="n">
        <v>484</v>
      </c>
      <c r="H65" s="7" t="n">
        <v>20012</v>
      </c>
      <c r="I65" s="7" t="n">
        <v>1251</v>
      </c>
      <c r="J65" s="7" t="n">
        <v>248</v>
      </c>
      <c r="K65" s="7" t="n">
        <v>5</v>
      </c>
      <c r="L65" s="7"/>
      <c r="M65" s="7"/>
    </row>
    <row r="66" customFormat="false" ht="15.75" hidden="false" customHeight="false" outlineLevel="0" collapsed="false">
      <c r="A66" s="0" t="s">
        <v>23</v>
      </c>
      <c r="B66" s="1" t="n">
        <v>43926</v>
      </c>
      <c r="C66" s="7" t="n">
        <v>23934</v>
      </c>
      <c r="D66" s="7" t="n">
        <v>3013</v>
      </c>
      <c r="E66" s="7" t="n">
        <v>501</v>
      </c>
      <c r="F66" s="7" t="n">
        <v>76</v>
      </c>
      <c r="G66" s="7" t="n">
        <v>786</v>
      </c>
      <c r="H66" s="7" t="n">
        <v>22647</v>
      </c>
      <c r="I66" s="7" t="n">
        <v>1311</v>
      </c>
      <c r="J66" s="7" t="n">
        <v>284</v>
      </c>
      <c r="K66" s="7" t="n">
        <v>6</v>
      </c>
      <c r="L66" s="7" t="n">
        <v>161380</v>
      </c>
      <c r="M66" s="7" t="n">
        <v>1913</v>
      </c>
    </row>
    <row r="67" customFormat="false" ht="15.75" hidden="false" customHeight="false" outlineLevel="0" collapsed="false">
      <c r="A67" s="0" t="s">
        <v>23</v>
      </c>
      <c r="B67" s="1" t="n">
        <v>43927</v>
      </c>
      <c r="C67" s="7" t="n">
        <v>27069</v>
      </c>
      <c r="D67" s="7" t="n">
        <v>3135</v>
      </c>
      <c r="E67" s="7" t="n">
        <v>574</v>
      </c>
      <c r="F67" s="7" t="n">
        <v>73</v>
      </c>
      <c r="G67" s="7" t="n">
        <v>1042</v>
      </c>
      <c r="H67" s="7" t="n">
        <v>25453</v>
      </c>
      <c r="I67" s="7" t="n">
        <v>1381</v>
      </c>
      <c r="J67" s="7" t="n">
        <v>321</v>
      </c>
      <c r="K67" s="7" t="n">
        <v>7</v>
      </c>
      <c r="L67" s="7" t="n">
        <v>181445</v>
      </c>
      <c r="M67" s="7" t="n">
        <v>2151</v>
      </c>
    </row>
    <row r="68" customFormat="false" ht="15.75" hidden="false" customHeight="false" outlineLevel="0" collapsed="false">
      <c r="A68" s="0" t="s">
        <v>23</v>
      </c>
      <c r="B68" s="1" t="n">
        <v>43928</v>
      </c>
      <c r="C68" s="12" t="n">
        <v>30217</v>
      </c>
      <c r="D68" s="12" t="n">
        <v>3148</v>
      </c>
      <c r="E68" s="12" t="n">
        <v>649</v>
      </c>
      <c r="F68" s="12" t="n">
        <v>75</v>
      </c>
      <c r="G68" s="12" t="n">
        <v>1326</v>
      </c>
      <c r="H68" s="12" t="n">
        <v>28242</v>
      </c>
      <c r="I68" s="12" t="n">
        <v>1415</v>
      </c>
      <c r="J68" s="12" t="n">
        <v>358</v>
      </c>
      <c r="K68" s="12" t="n">
        <v>8</v>
      </c>
      <c r="L68" s="12" t="n">
        <v>202845</v>
      </c>
      <c r="M68" s="12" t="n">
        <v>2405</v>
      </c>
    </row>
    <row r="69" customFormat="false" ht="15.75" hidden="false" customHeight="false" outlineLevel="0" collapsed="false">
      <c r="A69" s="0" t="s">
        <v>23</v>
      </c>
      <c r="B69" s="1" t="n">
        <v>43929</v>
      </c>
      <c r="C69" s="14" t="n">
        <v>34109</v>
      </c>
      <c r="D69" s="14" t="n">
        <v>3892</v>
      </c>
      <c r="E69" s="14" t="n">
        <v>725</v>
      </c>
      <c r="F69" s="14" t="n">
        <v>76</v>
      </c>
      <c r="G69" s="14" t="n">
        <v>1582</v>
      </c>
      <c r="H69" s="14" t="n">
        <v>31802</v>
      </c>
      <c r="I69" s="14" t="n">
        <v>1474</v>
      </c>
      <c r="J69" s="14" t="n">
        <v>404</v>
      </c>
      <c r="K69" s="14" t="n">
        <v>9</v>
      </c>
      <c r="L69" s="14" t="n">
        <v>228868</v>
      </c>
      <c r="M69" s="14" t="n">
        <v>2714</v>
      </c>
    </row>
    <row r="70" customFormat="false" ht="15.75" hidden="false" customHeight="false" outlineLevel="0" collapsed="false">
      <c r="A70" s="0" t="s">
        <v>23</v>
      </c>
      <c r="B70" s="1" t="n">
        <v>43930</v>
      </c>
      <c r="C70" s="14" t="n">
        <v>38226</v>
      </c>
      <c r="D70" s="14" t="n">
        <v>4117</v>
      </c>
      <c r="E70" s="14" t="n">
        <v>812</v>
      </c>
      <c r="F70" s="14" t="n">
        <v>87</v>
      </c>
      <c r="G70" s="14" t="n">
        <v>1846</v>
      </c>
      <c r="H70" s="14" t="n">
        <v>35568</v>
      </c>
      <c r="I70" s="14" t="n">
        <v>1492</v>
      </c>
      <c r="J70" s="14" t="n">
        <v>453</v>
      </c>
      <c r="K70" s="14" t="n">
        <v>10</v>
      </c>
      <c r="L70" s="14" t="n">
        <v>247768</v>
      </c>
      <c r="M70" s="14" t="n">
        <v>2938</v>
      </c>
    </row>
    <row r="71" customFormat="false" ht="15.75" hidden="false" customHeight="false" outlineLevel="0" collapsed="false">
      <c r="A71" s="0" t="s">
        <v>23</v>
      </c>
      <c r="B71" s="1" t="n">
        <v>43931</v>
      </c>
      <c r="C71" s="14" t="n">
        <v>42282</v>
      </c>
      <c r="D71" s="14" t="n">
        <v>4056</v>
      </c>
      <c r="E71" s="14" t="n">
        <v>908</v>
      </c>
      <c r="F71" s="14" t="n">
        <v>96</v>
      </c>
      <c r="G71" s="14" t="n">
        <v>2142</v>
      </c>
      <c r="H71" s="14" t="n">
        <v>39232</v>
      </c>
      <c r="I71" s="14" t="n">
        <v>1552</v>
      </c>
      <c r="J71" s="14" t="n">
        <v>501</v>
      </c>
      <c r="K71" s="14" t="n">
        <v>11</v>
      </c>
      <c r="L71" s="14" t="n">
        <v>276338</v>
      </c>
      <c r="M71" s="14" t="n">
        <v>3277</v>
      </c>
    </row>
    <row r="72" customFormat="false" ht="15.75" hidden="false" customHeight="false" outlineLevel="0" collapsed="false">
      <c r="A72" s="0" t="s">
        <v>23</v>
      </c>
      <c r="B72" s="1" t="n">
        <v>43932</v>
      </c>
      <c r="C72" s="14" t="n">
        <v>47029</v>
      </c>
      <c r="D72" s="14" t="n">
        <v>4747</v>
      </c>
      <c r="E72" s="14" t="n">
        <v>1006</v>
      </c>
      <c r="F72" s="14" t="n">
        <v>98</v>
      </c>
      <c r="G72" s="14" t="n">
        <v>2423</v>
      </c>
      <c r="H72" s="14" t="n">
        <v>43600</v>
      </c>
      <c r="I72" s="14" t="n">
        <v>1667</v>
      </c>
      <c r="J72" s="14" t="n">
        <v>558</v>
      </c>
      <c r="K72" s="14" t="n">
        <v>12</v>
      </c>
      <c r="L72" s="14" t="n">
        <v>307210</v>
      </c>
      <c r="M72" s="14" t="n">
        <v>3643</v>
      </c>
    </row>
    <row r="73" customFormat="false" ht="15.75" hidden="false" customHeight="false" outlineLevel="0" collapsed="false">
      <c r="A73" s="0" t="s">
        <v>23</v>
      </c>
      <c r="B73" s="1" t="n">
        <v>43933</v>
      </c>
      <c r="C73" s="14" t="n">
        <v>52167</v>
      </c>
      <c r="D73" s="14" t="n">
        <v>5138</v>
      </c>
      <c r="E73" s="14" t="n">
        <v>1101</v>
      </c>
      <c r="F73" s="14" t="n">
        <v>95</v>
      </c>
      <c r="G73" s="14" t="n">
        <v>2965</v>
      </c>
      <c r="H73" s="14" t="n">
        <v>48101</v>
      </c>
      <c r="I73" s="14" t="n">
        <v>1626</v>
      </c>
      <c r="J73" s="14" t="n">
        <v>619</v>
      </c>
      <c r="K73" s="14" t="n">
        <v>13</v>
      </c>
      <c r="L73" s="14" t="n">
        <v>340380</v>
      </c>
      <c r="M73" s="14" t="n">
        <v>4036</v>
      </c>
    </row>
    <row r="74" customFormat="false" ht="15.75" hidden="false" customHeight="false" outlineLevel="0" collapsed="false">
      <c r="A74" s="0" t="s">
        <v>23</v>
      </c>
      <c r="B74" s="1" t="n">
        <v>43934</v>
      </c>
      <c r="C74" s="14" t="n">
        <v>56956</v>
      </c>
      <c r="D74" s="14" t="n">
        <v>4789</v>
      </c>
      <c r="E74" s="14" t="n">
        <v>1198</v>
      </c>
      <c r="F74" s="14" t="n">
        <v>97</v>
      </c>
      <c r="G74" s="14" t="n">
        <v>3446</v>
      </c>
      <c r="H74" s="14" t="n">
        <v>52312</v>
      </c>
      <c r="I74" s="14" t="n">
        <v>1665</v>
      </c>
      <c r="J74" s="14" t="n">
        <v>675</v>
      </c>
      <c r="K74" s="14" t="n">
        <v>14</v>
      </c>
      <c r="L74" s="14" t="n">
        <v>376100</v>
      </c>
      <c r="M74" s="14" t="n">
        <v>4459</v>
      </c>
    </row>
    <row r="75" customFormat="false" ht="15.75" hidden="false" customHeight="false" outlineLevel="0" collapsed="false">
      <c r="A75" s="0" t="s">
        <v>23</v>
      </c>
      <c r="B75" s="1" t="n">
        <v>43935</v>
      </c>
      <c r="C75" s="14" t="n">
        <v>61049</v>
      </c>
      <c r="D75" s="14" t="n">
        <v>4093</v>
      </c>
      <c r="E75" s="14" t="n">
        <v>1296</v>
      </c>
      <c r="F75" s="14" t="n">
        <v>98</v>
      </c>
      <c r="G75" s="14" t="n">
        <v>3957</v>
      </c>
      <c r="H75" s="14" t="n">
        <v>55796</v>
      </c>
      <c r="I75" s="14" t="n">
        <v>1786</v>
      </c>
      <c r="J75" s="14" t="n">
        <v>724</v>
      </c>
      <c r="K75" s="14" t="n">
        <v>15</v>
      </c>
      <c r="L75" s="14" t="n">
        <v>410556</v>
      </c>
      <c r="M75" s="14" t="n">
        <v>4868</v>
      </c>
    </row>
    <row r="76" customFormat="false" ht="15.75" hidden="false" customHeight="false" outlineLevel="0" collapsed="false">
      <c r="A76" s="0" t="s">
        <v>23</v>
      </c>
      <c r="B76" s="1" t="n">
        <v>43936</v>
      </c>
      <c r="C76" s="14" t="n">
        <v>65111</v>
      </c>
      <c r="D76" s="14" t="n">
        <v>4062</v>
      </c>
      <c r="E76" s="14" t="n">
        <v>1403</v>
      </c>
      <c r="F76" s="14" t="n">
        <v>107</v>
      </c>
      <c r="G76" s="14" t="n">
        <v>4799</v>
      </c>
      <c r="H76" s="14" t="n">
        <v>58909</v>
      </c>
      <c r="I76" s="14" t="n">
        <v>1809</v>
      </c>
      <c r="J76" s="14" t="n">
        <v>772</v>
      </c>
      <c r="K76" s="14" t="n">
        <v>17</v>
      </c>
      <c r="L76" s="14" t="n">
        <v>443626</v>
      </c>
      <c r="M76" s="14" t="n">
        <v>5260</v>
      </c>
    </row>
    <row r="77" customFormat="false" ht="15.75" hidden="false" customHeight="false" outlineLevel="0" collapsed="false">
      <c r="A77" s="0" t="s">
        <v>23</v>
      </c>
      <c r="B77" s="1" t="n">
        <v>43937</v>
      </c>
      <c r="C77" s="14" t="n">
        <v>69392</v>
      </c>
      <c r="D77" s="14" t="n">
        <v>4281</v>
      </c>
      <c r="E77" s="14" t="n">
        <v>1518</v>
      </c>
      <c r="F77" s="14" t="n">
        <v>115</v>
      </c>
      <c r="G77" s="14" t="n">
        <v>5674</v>
      </c>
      <c r="H77" s="14" t="n">
        <v>62200</v>
      </c>
      <c r="I77" s="14" t="n">
        <v>1820</v>
      </c>
      <c r="J77" s="14" t="n">
        <v>823</v>
      </c>
      <c r="K77" s="14" t="n">
        <v>18</v>
      </c>
      <c r="L77" s="14" t="n">
        <v>477716</v>
      </c>
      <c r="M77" s="14" t="n">
        <v>5664</v>
      </c>
    </row>
    <row r="78" customFormat="false" ht="15.75" hidden="false" customHeight="false" outlineLevel="0" collapsed="false">
      <c r="A78" s="0" t="s">
        <v>23</v>
      </c>
      <c r="B78" s="1" t="n">
        <v>43938</v>
      </c>
      <c r="C78" s="14" t="n">
        <v>74193</v>
      </c>
      <c r="D78" s="14" t="n">
        <v>4801</v>
      </c>
      <c r="E78" s="14" t="n">
        <v>1643</v>
      </c>
      <c r="F78" s="14" t="n">
        <v>125</v>
      </c>
      <c r="G78" s="14" t="n">
        <v>7089</v>
      </c>
      <c r="H78" s="14" t="n">
        <v>65461</v>
      </c>
      <c r="I78" s="14" t="n">
        <v>1854</v>
      </c>
      <c r="J78" s="14" t="n">
        <v>880</v>
      </c>
      <c r="K78" s="14" t="n">
        <v>19</v>
      </c>
      <c r="L78" s="14" t="n">
        <v>518143</v>
      </c>
      <c r="M78" s="14" t="n">
        <v>6144</v>
      </c>
    </row>
    <row r="79" customFormat="false" ht="15.75" hidden="false" customHeight="false" outlineLevel="0" collapsed="false">
      <c r="A79" s="0" t="s">
        <v>23</v>
      </c>
      <c r="B79" s="1" t="n">
        <v>43939</v>
      </c>
      <c r="C79" s="14" t="n">
        <v>78546</v>
      </c>
      <c r="D79" s="14" t="n">
        <v>4353</v>
      </c>
      <c r="E79" s="14" t="n">
        <v>1769</v>
      </c>
      <c r="F79" s="14" t="n">
        <v>126</v>
      </c>
      <c r="G79" s="14" t="n">
        <v>8631</v>
      </c>
      <c r="H79" s="14" t="n">
        <v>68146</v>
      </c>
      <c r="I79" s="14" t="n">
        <v>1845</v>
      </c>
      <c r="J79" s="14" t="n">
        <v>931</v>
      </c>
      <c r="K79" s="14" t="n">
        <v>21</v>
      </c>
      <c r="L79" s="14" t="n">
        <v>558413</v>
      </c>
      <c r="M79" s="14" t="n">
        <v>6621</v>
      </c>
    </row>
    <row r="80" customFormat="false" ht="15.75" hidden="false" customHeight="false" outlineLevel="0" collapsed="false">
      <c r="A80" s="0" t="s">
        <v>23</v>
      </c>
      <c r="B80" s="1" t="n">
        <v>43940</v>
      </c>
      <c r="C80" s="14" t="n">
        <v>82329</v>
      </c>
      <c r="D80" s="14" t="n">
        <v>3783</v>
      </c>
      <c r="E80" s="14" t="n">
        <v>1890</v>
      </c>
      <c r="F80" s="14" t="n">
        <v>121</v>
      </c>
      <c r="G80" s="14" t="n">
        <v>10453</v>
      </c>
      <c r="H80" s="14" t="n">
        <v>69986</v>
      </c>
      <c r="I80" s="14" t="n">
        <v>1894</v>
      </c>
      <c r="J80" s="14" t="n">
        <v>976</v>
      </c>
      <c r="K80" s="14" t="n">
        <v>22</v>
      </c>
      <c r="L80" s="14" t="n">
        <v>598933</v>
      </c>
      <c r="M80" s="14" t="n">
        <v>7101</v>
      </c>
    </row>
    <row r="81" customFormat="false" ht="15.75" hidden="false" customHeight="false" outlineLevel="0" collapsed="false">
      <c r="A81" s="0" t="s">
        <v>23</v>
      </c>
      <c r="B81" s="1" t="n">
        <v>43941</v>
      </c>
      <c r="C81" s="14" t="n">
        <v>86306</v>
      </c>
      <c r="D81" s="14" t="n">
        <v>3977</v>
      </c>
      <c r="E81" s="14" t="n">
        <v>2017</v>
      </c>
      <c r="F81" s="14" t="n">
        <v>127</v>
      </c>
      <c r="G81" s="14" t="n">
        <v>11976</v>
      </c>
      <c r="H81" s="14" t="n">
        <v>72313</v>
      </c>
      <c r="I81" s="14" t="n">
        <v>1922</v>
      </c>
      <c r="J81" s="14" t="n">
        <v>1023</v>
      </c>
      <c r="K81" s="14" t="n">
        <v>24</v>
      </c>
      <c r="L81" s="14" t="n">
        <v>634277</v>
      </c>
      <c r="M81" s="14" t="n">
        <v>7521</v>
      </c>
    </row>
    <row r="82" customFormat="false" ht="15.75" hidden="false" customHeight="false" outlineLevel="0" collapsed="false">
      <c r="A82" s="0" t="s">
        <v>23</v>
      </c>
      <c r="B82" s="1" t="n">
        <v>43942</v>
      </c>
      <c r="C82" s="6" t="n">
        <v>90980</v>
      </c>
      <c r="D82" s="6" t="n">
        <v>4674</v>
      </c>
      <c r="E82" s="6" t="n">
        <v>2140</v>
      </c>
      <c r="F82" s="6" t="n">
        <v>123</v>
      </c>
      <c r="G82" s="6" t="n">
        <v>13430</v>
      </c>
      <c r="H82" s="6" t="n">
        <v>75410</v>
      </c>
      <c r="I82" s="6" t="n">
        <v>1909</v>
      </c>
      <c r="J82" s="6" t="n">
        <v>1079</v>
      </c>
      <c r="K82" s="6" t="n">
        <v>25</v>
      </c>
      <c r="L82" s="6" t="n">
        <v>673980</v>
      </c>
      <c r="M82" s="6" t="n">
        <v>7991</v>
      </c>
    </row>
    <row r="83" customFormat="false" ht="15.75" hidden="false" customHeight="false" outlineLevel="0" collapsed="false">
      <c r="A83" s="0" t="s">
        <v>23</v>
      </c>
      <c r="B83" s="1" t="n">
        <v>43943</v>
      </c>
      <c r="C83" s="6" t="n">
        <v>95591</v>
      </c>
      <c r="D83" s="6" t="n">
        <v>4611</v>
      </c>
      <c r="E83" s="6" t="n">
        <v>2259</v>
      </c>
      <c r="F83" s="6" t="n">
        <v>119</v>
      </c>
      <c r="G83" s="6" t="n">
        <v>14918</v>
      </c>
      <c r="H83" s="6" t="n">
        <v>78414</v>
      </c>
      <c r="I83" s="6" t="n">
        <v>1865</v>
      </c>
      <c r="J83" s="6" t="n">
        <v>1133</v>
      </c>
      <c r="K83" s="6" t="n">
        <v>27</v>
      </c>
      <c r="L83" s="6" t="n">
        <v>713409</v>
      </c>
      <c r="M83" s="6" t="n">
        <v>8459</v>
      </c>
    </row>
    <row r="84" customFormat="false" ht="15.75" hidden="false" customHeight="false" outlineLevel="0" collapsed="false">
      <c r="A84" s="0" t="s">
        <v>23</v>
      </c>
      <c r="B84" s="1" t="n">
        <v>43944</v>
      </c>
      <c r="C84" s="6" t="n">
        <v>98674</v>
      </c>
      <c r="D84" s="6" t="n">
        <v>3083</v>
      </c>
      <c r="E84" s="6" t="n">
        <v>2376</v>
      </c>
      <c r="F84" s="6" t="n">
        <v>117</v>
      </c>
      <c r="G84" s="6" t="n">
        <v>16477</v>
      </c>
      <c r="H84" s="6" t="n">
        <v>79821</v>
      </c>
      <c r="I84" s="6" t="n">
        <v>1814</v>
      </c>
      <c r="J84" s="6" t="n">
        <v>1170</v>
      </c>
      <c r="K84" s="6" t="n">
        <v>28</v>
      </c>
      <c r="L84" s="6" t="n">
        <v>750944</v>
      </c>
      <c r="M84" s="6" t="n">
        <v>8904</v>
      </c>
    </row>
    <row r="85" customFormat="false" ht="15.75" hidden="false" customHeight="false" outlineLevel="0" collapsed="false">
      <c r="A85" s="0" t="s">
        <v>23</v>
      </c>
      <c r="B85" s="1" t="n">
        <v>43945</v>
      </c>
      <c r="C85" s="6" t="n">
        <v>101790</v>
      </c>
      <c r="D85" s="6" t="n">
        <v>3116</v>
      </c>
      <c r="E85" s="6" t="n">
        <v>2491</v>
      </c>
      <c r="F85" s="6" t="n">
        <v>115</v>
      </c>
      <c r="G85" s="6" t="n">
        <v>18491</v>
      </c>
      <c r="H85" s="6" t="n">
        <v>80808</v>
      </c>
      <c r="I85" s="6" t="n">
        <v>1816</v>
      </c>
      <c r="J85" s="6" t="n">
        <v>1207</v>
      </c>
      <c r="K85" s="6" t="n">
        <v>30</v>
      </c>
      <c r="L85" s="6" t="n">
        <v>791906</v>
      </c>
      <c r="M85" s="6" t="n">
        <v>9390</v>
      </c>
    </row>
    <row r="86" customFormat="false" ht="15.75" hidden="false" customHeight="false" outlineLevel="0" collapsed="false">
      <c r="A86" s="0" t="s">
        <v>23</v>
      </c>
      <c r="B86" s="1" t="n">
        <v>43946</v>
      </c>
      <c r="C86" s="6" t="n">
        <v>104912</v>
      </c>
      <c r="D86" s="6" t="n">
        <v>3122</v>
      </c>
      <c r="E86" s="6" t="n">
        <v>2600</v>
      </c>
      <c r="F86" s="6" t="n">
        <v>109</v>
      </c>
      <c r="G86" s="6" t="n">
        <v>21737</v>
      </c>
      <c r="H86" s="6" t="n">
        <v>80575</v>
      </c>
      <c r="I86" s="6" t="n">
        <v>1790</v>
      </c>
      <c r="J86" s="6" t="n">
        <v>1244</v>
      </c>
      <c r="K86" s="6" t="n">
        <v>31</v>
      </c>
      <c r="L86" s="6" t="n">
        <v>830257</v>
      </c>
      <c r="M86" s="6" t="n">
        <v>9844</v>
      </c>
    </row>
    <row r="87" customFormat="false" ht="15.75" hidden="false" customHeight="false" outlineLevel="0" collapsed="false">
      <c r="A87" s="0" t="s">
        <v>23</v>
      </c>
      <c r="B87" s="1" t="n">
        <v>43947</v>
      </c>
      <c r="C87" s="6" t="n">
        <v>107773</v>
      </c>
      <c r="D87" s="6" t="n">
        <v>2861</v>
      </c>
      <c r="E87" s="6" t="n">
        <v>2706</v>
      </c>
      <c r="F87" s="6" t="n">
        <v>106</v>
      </c>
      <c r="G87" s="6" t="n">
        <v>25582</v>
      </c>
      <c r="H87" s="6" t="n">
        <v>79485</v>
      </c>
      <c r="I87" s="6" t="n">
        <v>1782</v>
      </c>
      <c r="J87" s="6" t="n">
        <v>1278</v>
      </c>
      <c r="K87" s="6" t="n">
        <v>32</v>
      </c>
      <c r="L87" s="6" t="n">
        <v>868565</v>
      </c>
      <c r="M87" s="6" t="n">
        <v>10298</v>
      </c>
    </row>
    <row r="88" customFormat="false" ht="15.75" hidden="false" customHeight="false" outlineLevel="0" collapsed="false">
      <c r="A88" s="0" t="s">
        <v>23</v>
      </c>
      <c r="B88" s="1" t="n">
        <v>43948</v>
      </c>
      <c r="C88" s="6" t="n">
        <v>110130</v>
      </c>
      <c r="D88" s="6" t="n">
        <v>2357</v>
      </c>
      <c r="E88" s="6" t="n">
        <v>2805</v>
      </c>
      <c r="F88" s="6" t="n">
        <v>99</v>
      </c>
      <c r="G88" s="6" t="n">
        <v>29140</v>
      </c>
      <c r="H88" s="6" t="n">
        <v>78185</v>
      </c>
      <c r="I88" s="6" t="n">
        <v>1776</v>
      </c>
      <c r="J88" s="6" t="n">
        <v>1306</v>
      </c>
      <c r="K88" s="6" t="n">
        <v>33</v>
      </c>
      <c r="L88" s="6" t="n">
        <v>898742</v>
      </c>
      <c r="M88" s="6" t="n">
        <v>10656</v>
      </c>
    </row>
    <row r="89" customFormat="false" ht="15.75" hidden="false" customHeight="false" outlineLevel="0" collapsed="false">
      <c r="A89" s="0" t="s">
        <v>23</v>
      </c>
      <c r="B89" s="1" t="n">
        <v>43949</v>
      </c>
      <c r="C89" s="6" t="n">
        <v>112261</v>
      </c>
      <c r="D89" s="6" t="n">
        <v>2131</v>
      </c>
      <c r="E89" s="6" t="n">
        <v>2900</v>
      </c>
      <c r="F89" s="6" t="n">
        <v>95</v>
      </c>
      <c r="G89" s="6" t="n">
        <v>33791</v>
      </c>
      <c r="H89" s="6" t="n">
        <v>75570</v>
      </c>
      <c r="I89" s="6" t="n">
        <v>1736</v>
      </c>
      <c r="J89" s="6" t="n">
        <v>1331</v>
      </c>
      <c r="K89" s="6" t="n">
        <v>34</v>
      </c>
      <c r="L89" s="6" t="n">
        <v>918885</v>
      </c>
      <c r="M89" s="6" t="n">
        <v>10895</v>
      </c>
    </row>
    <row r="90" customFormat="false" ht="15.75" hidden="false" customHeight="false" outlineLevel="0" collapsed="false">
      <c r="A90" s="0" t="s">
        <v>23</v>
      </c>
      <c r="B90" s="1" t="n">
        <v>43950</v>
      </c>
      <c r="C90" s="6" t="n">
        <v>114653</v>
      </c>
      <c r="D90" s="6" t="n">
        <v>2392</v>
      </c>
      <c r="E90" s="6" t="n">
        <v>2992</v>
      </c>
      <c r="F90" s="6" t="n">
        <v>92</v>
      </c>
      <c r="G90" s="6" t="n">
        <v>38809</v>
      </c>
      <c r="H90" s="6" t="n">
        <v>72852</v>
      </c>
      <c r="I90" s="6" t="n">
        <v>1621</v>
      </c>
      <c r="J90" s="6" t="n">
        <v>1359</v>
      </c>
      <c r="K90" s="6" t="n">
        <v>35</v>
      </c>
      <c r="L90" s="6" t="n">
        <v>948115</v>
      </c>
      <c r="M90" s="6" t="n">
        <v>11242</v>
      </c>
    </row>
    <row r="91" customFormat="false" ht="15.75" hidden="false" customHeight="false" outlineLevel="0" collapsed="false">
      <c r="A91" s="0" t="s">
        <v>23</v>
      </c>
      <c r="B91" s="1" t="n">
        <v>43951</v>
      </c>
      <c r="C91" s="6" t="n">
        <v>117589</v>
      </c>
      <c r="D91" s="6" t="n">
        <v>2936</v>
      </c>
      <c r="E91" s="6" t="n">
        <v>3081</v>
      </c>
      <c r="F91" s="6" t="n">
        <v>89</v>
      </c>
      <c r="G91" s="6" t="n">
        <v>44022</v>
      </c>
      <c r="H91" s="6" t="n">
        <v>70486</v>
      </c>
      <c r="I91" s="6" t="n">
        <v>1574</v>
      </c>
      <c r="J91" s="6" t="n">
        <v>1394</v>
      </c>
      <c r="K91" s="6" t="n">
        <v>37</v>
      </c>
      <c r="L91" s="6" t="n">
        <v>991613</v>
      </c>
      <c r="M91" s="6" t="n">
        <v>11757</v>
      </c>
    </row>
    <row r="92" customFormat="false" ht="15.75" hidden="false" customHeight="false" outlineLevel="0" collapsed="false">
      <c r="A92" s="0" t="s">
        <v>23</v>
      </c>
      <c r="B92" s="1" t="n">
        <v>43952</v>
      </c>
      <c r="C92" s="6" t="n">
        <v>120204</v>
      </c>
      <c r="D92" s="6" t="n">
        <v>2615</v>
      </c>
      <c r="E92" s="6" t="n">
        <v>3174</v>
      </c>
      <c r="F92" s="6" t="n">
        <v>93</v>
      </c>
      <c r="G92" s="6" t="n">
        <v>48886</v>
      </c>
      <c r="H92" s="6" t="n">
        <v>68144</v>
      </c>
      <c r="I92" s="6" t="n">
        <v>1514</v>
      </c>
      <c r="J92" s="6" t="n">
        <v>1425</v>
      </c>
      <c r="K92" s="6" t="n">
        <v>38</v>
      </c>
      <c r="L92" s="6" t="n">
        <v>1033617</v>
      </c>
      <c r="M92" s="6" t="n">
        <v>12255</v>
      </c>
    </row>
    <row r="93" customFormat="false" ht="15.75" hidden="false" customHeight="false" outlineLevel="0" collapsed="false">
      <c r="A93" s="0" t="s">
        <v>23</v>
      </c>
      <c r="B93" s="1" t="n">
        <v>43953</v>
      </c>
      <c r="C93" s="6" t="n">
        <v>122392</v>
      </c>
      <c r="D93" s="6" t="n">
        <v>2188</v>
      </c>
      <c r="E93" s="6" t="n">
        <v>3258</v>
      </c>
      <c r="F93" s="6" t="n">
        <v>84</v>
      </c>
      <c r="G93" s="6" t="n">
        <v>53808</v>
      </c>
      <c r="H93" s="6" t="n">
        <v>65326</v>
      </c>
      <c r="I93" s="6" t="n">
        <v>1480</v>
      </c>
      <c r="J93" s="6" t="n">
        <v>1451</v>
      </c>
      <c r="K93" s="6" t="n">
        <v>39</v>
      </c>
      <c r="L93" s="6" t="n">
        <v>1075048</v>
      </c>
      <c r="M93" s="6" t="n">
        <v>12747</v>
      </c>
    </row>
    <row r="94" customFormat="false" ht="15.75" hidden="false" customHeight="false" outlineLevel="0" collapsed="false">
      <c r="A94" s="0" t="s">
        <v>23</v>
      </c>
      <c r="B94" s="1" t="n">
        <v>43954</v>
      </c>
      <c r="C94" s="6" t="n">
        <v>124375</v>
      </c>
      <c r="D94" s="6" t="n">
        <v>1983</v>
      </c>
      <c r="E94" s="6" t="n">
        <v>3336</v>
      </c>
      <c r="F94" s="6" t="n">
        <v>78</v>
      </c>
      <c r="G94" s="6" t="n">
        <v>58259</v>
      </c>
      <c r="H94" s="6" t="n">
        <v>62780</v>
      </c>
      <c r="I94" s="6" t="n">
        <v>1445</v>
      </c>
      <c r="J94" s="6" t="n">
        <v>1475</v>
      </c>
      <c r="K94" s="6" t="n">
        <v>40</v>
      </c>
      <c r="L94" s="6" t="n">
        <v>1111366</v>
      </c>
      <c r="M94" s="6" t="n">
        <v>13177</v>
      </c>
    </row>
    <row r="95" customFormat="false" ht="15.75" hidden="false" customHeight="false" outlineLevel="0" collapsed="false">
      <c r="A95" s="0" t="s">
        <v>23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23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23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23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23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23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23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23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23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23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23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23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23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23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23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23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23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23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23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23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23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23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23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23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23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23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23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23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23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23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23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23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23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23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23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23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23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23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23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23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23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23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23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23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23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23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23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23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23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23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23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23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23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23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23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23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23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23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23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23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23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23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23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23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23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23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23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23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23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23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23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23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23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23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23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23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23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23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23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23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23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23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23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23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23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23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23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23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23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23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23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23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23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4" colorId="64" zoomScale="100" zoomScaleNormal="100" zoomScalePageLayoutView="100" workbookViewId="0">
      <selection pane="topLeft" activeCell="P145" activeCellId="0" sqref="P145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24</v>
      </c>
      <c r="B37" s="1" t="n">
        <v>43897</v>
      </c>
      <c r="C37" s="8" t="n">
        <v>109</v>
      </c>
      <c r="D37" s="8" t="n">
        <v>59</v>
      </c>
      <c r="E37" s="8" t="n">
        <v>0</v>
      </c>
      <c r="F37" s="8" t="n">
        <v>0</v>
      </c>
      <c r="G37" s="8" t="n">
        <v>1</v>
      </c>
      <c r="H37" s="8" t="n">
        <v>108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24</v>
      </c>
      <c r="B38" s="1" t="n">
        <v>43898</v>
      </c>
      <c r="C38" s="6" t="n">
        <v>169</v>
      </c>
      <c r="D38" s="6" t="n">
        <v>60</v>
      </c>
      <c r="E38" s="6" t="n">
        <v>0</v>
      </c>
      <c r="F38" s="6" t="n">
        <v>0</v>
      </c>
      <c r="G38" s="6" t="n">
        <v>1</v>
      </c>
      <c r="H38" s="6" t="n">
        <v>168</v>
      </c>
      <c r="I38" s="6" t="n">
        <v>1</v>
      </c>
      <c r="J38" s="6" t="n">
        <v>14.6</v>
      </c>
      <c r="K38" s="6"/>
      <c r="L38" s="6"/>
      <c r="M38" s="6"/>
    </row>
    <row r="39" customFormat="false" ht="15.75" hidden="false" customHeight="false" outlineLevel="0" collapsed="false">
      <c r="A39" s="0" t="s">
        <v>24</v>
      </c>
      <c r="B39" s="1" t="n">
        <v>43899</v>
      </c>
      <c r="C39" s="6" t="n">
        <v>200</v>
      </c>
      <c r="D39" s="6" t="n">
        <v>31</v>
      </c>
      <c r="E39" s="6" t="n">
        <v>0</v>
      </c>
      <c r="F39" s="6" t="n">
        <v>0</v>
      </c>
      <c r="G39" s="6" t="n">
        <v>1</v>
      </c>
      <c r="H39" s="6" t="n">
        <v>199</v>
      </c>
      <c r="I39" s="6" t="n">
        <v>1</v>
      </c>
      <c r="J39" s="6" t="n">
        <v>17.3</v>
      </c>
      <c r="K39" s="6"/>
      <c r="L39" s="6"/>
      <c r="M39" s="6"/>
    </row>
    <row r="40" customFormat="false" ht="15.75" hidden="false" customHeight="false" outlineLevel="0" collapsed="false">
      <c r="A40" s="0" t="s">
        <v>24</v>
      </c>
      <c r="B40" s="1" t="n">
        <v>43900</v>
      </c>
      <c r="C40" s="6" t="n">
        <v>239</v>
      </c>
      <c r="D40" s="6" t="n">
        <v>39</v>
      </c>
      <c r="E40" s="6" t="n">
        <v>0</v>
      </c>
      <c r="F40" s="6" t="n">
        <v>0</v>
      </c>
      <c r="G40" s="6" t="n">
        <v>1</v>
      </c>
      <c r="H40" s="6" t="n">
        <v>238</v>
      </c>
      <c r="I40" s="6" t="n">
        <v>2</v>
      </c>
      <c r="J40" s="6" t="n">
        <v>20.6</v>
      </c>
      <c r="K40" s="6"/>
      <c r="L40" s="6"/>
      <c r="M40" s="6"/>
    </row>
    <row r="41" customFormat="false" ht="15.75" hidden="false" customHeight="false" outlineLevel="0" collapsed="false">
      <c r="A41" s="0" t="s">
        <v>24</v>
      </c>
      <c r="B41" s="1" t="n">
        <v>43901</v>
      </c>
      <c r="C41" s="6" t="n">
        <v>267</v>
      </c>
      <c r="D41" s="6" t="n">
        <v>28</v>
      </c>
      <c r="E41" s="6" t="n">
        <v>0</v>
      </c>
      <c r="F41" s="6" t="n">
        <v>0</v>
      </c>
      <c r="G41" s="6" t="n">
        <v>1</v>
      </c>
      <c r="H41" s="6" t="n">
        <v>266</v>
      </c>
      <c r="I41" s="6" t="n">
        <v>2</v>
      </c>
      <c r="J41" s="6" t="n">
        <v>23</v>
      </c>
      <c r="K41" s="6"/>
      <c r="L41" s="6"/>
      <c r="M41" s="6"/>
    </row>
    <row r="42" customFormat="false" ht="15.75" hidden="false" customHeight="false" outlineLevel="0" collapsed="false">
      <c r="A42" s="0" t="s">
        <v>24</v>
      </c>
      <c r="B42" s="1" t="n">
        <v>43902</v>
      </c>
      <c r="C42" s="6" t="n">
        <v>314</v>
      </c>
      <c r="D42" s="6" t="n">
        <v>47</v>
      </c>
      <c r="E42" s="6" t="n">
        <v>3</v>
      </c>
      <c r="F42" s="6" t="n">
        <v>3</v>
      </c>
      <c r="G42" s="6" t="n">
        <v>1</v>
      </c>
      <c r="H42" s="6" t="n">
        <v>310</v>
      </c>
      <c r="I42" s="6" t="n">
        <v>2</v>
      </c>
      <c r="J42" s="6" t="n">
        <v>27.1</v>
      </c>
      <c r="K42" s="6"/>
      <c r="L42" s="6"/>
      <c r="M42" s="6"/>
    </row>
    <row r="43" customFormat="false" ht="15.75" hidden="false" customHeight="false" outlineLevel="0" collapsed="false">
      <c r="A43" s="0" t="s">
        <v>24</v>
      </c>
      <c r="B43" s="1" t="n">
        <v>43903</v>
      </c>
      <c r="C43" s="6" t="n">
        <v>399</v>
      </c>
      <c r="D43" s="6" t="n">
        <v>85</v>
      </c>
      <c r="E43" s="6" t="n">
        <v>3</v>
      </c>
      <c r="F43" s="6" t="n">
        <v>0</v>
      </c>
      <c r="G43" s="6" t="n">
        <v>1</v>
      </c>
      <c r="H43" s="6" t="n">
        <v>395</v>
      </c>
      <c r="I43" s="6" t="n">
        <v>2</v>
      </c>
      <c r="J43" s="6" t="n">
        <v>34.4</v>
      </c>
      <c r="K43" s="6"/>
      <c r="L43" s="6"/>
      <c r="M43" s="6"/>
    </row>
    <row r="44" customFormat="false" ht="15.75" hidden="false" customHeight="false" outlineLevel="0" collapsed="false">
      <c r="A44" s="0" t="s">
        <v>24</v>
      </c>
      <c r="B44" s="1" t="n">
        <v>43904</v>
      </c>
      <c r="C44" s="6" t="n">
        <v>559</v>
      </c>
      <c r="D44" s="6" t="n">
        <v>160</v>
      </c>
      <c r="E44" s="6" t="n">
        <v>3</v>
      </c>
      <c r="F44" s="6" t="n">
        <v>0</v>
      </c>
      <c r="G44" s="6" t="n">
        <v>1</v>
      </c>
      <c r="H44" s="6" t="n">
        <v>555</v>
      </c>
      <c r="I44" s="6" t="n">
        <v>2</v>
      </c>
      <c r="J44" s="6" t="n">
        <v>48.2</v>
      </c>
      <c r="K44" s="6"/>
      <c r="L44" s="6"/>
      <c r="M44" s="6"/>
    </row>
    <row r="45" customFormat="false" ht="15.75" hidden="false" customHeight="false" outlineLevel="0" collapsed="false">
      <c r="A45" s="0" t="s">
        <v>24</v>
      </c>
      <c r="B45" s="1" t="n">
        <v>43905</v>
      </c>
      <c r="C45" s="6" t="n">
        <v>689</v>
      </c>
      <c r="D45" s="6" t="n">
        <v>130</v>
      </c>
      <c r="E45" s="6" t="n">
        <v>4</v>
      </c>
      <c r="F45" s="6" t="n">
        <v>1</v>
      </c>
      <c r="G45" s="6" t="n">
        <v>1</v>
      </c>
      <c r="H45" s="6" t="n">
        <v>684</v>
      </c>
      <c r="I45" s="6" t="n">
        <v>24</v>
      </c>
      <c r="J45" s="6" t="n">
        <v>59.4</v>
      </c>
      <c r="K45" s="6"/>
      <c r="L45" s="6"/>
      <c r="M45" s="6"/>
    </row>
    <row r="46" customFormat="false" ht="15.75" hidden="false" customHeight="false" outlineLevel="0" collapsed="false">
      <c r="A46" s="0" t="s">
        <v>24</v>
      </c>
      <c r="B46" s="1" t="n">
        <v>43906</v>
      </c>
      <c r="C46" s="6" t="n">
        <v>886</v>
      </c>
      <c r="D46" s="6" t="n">
        <v>197</v>
      </c>
      <c r="E46" s="6" t="n">
        <v>4</v>
      </c>
      <c r="F46" s="6" t="n">
        <v>0</v>
      </c>
      <c r="G46" s="6" t="n">
        <v>1</v>
      </c>
      <c r="H46" s="6" t="n">
        <v>881</v>
      </c>
      <c r="I46" s="6" t="n">
        <v>33</v>
      </c>
      <c r="J46" s="6" t="n">
        <v>76.4</v>
      </c>
      <c r="K46" s="6"/>
      <c r="L46" s="6"/>
      <c r="M46" s="6"/>
    </row>
    <row r="47" customFormat="false" ht="15.75" hidden="false" customHeight="false" outlineLevel="0" collapsed="false">
      <c r="A47" s="0" t="s">
        <v>24</v>
      </c>
      <c r="B47" s="1" t="n">
        <v>43907</v>
      </c>
      <c r="C47" s="6" t="n">
        <v>1058</v>
      </c>
      <c r="D47" s="6" t="n">
        <v>172</v>
      </c>
      <c r="E47" s="6" t="n">
        <v>10</v>
      </c>
      <c r="F47" s="6" t="n">
        <v>6</v>
      </c>
      <c r="G47" s="6" t="n">
        <v>1</v>
      </c>
      <c r="H47" s="6" t="n">
        <v>1047</v>
      </c>
      <c r="I47" s="6" t="n">
        <v>33</v>
      </c>
      <c r="J47" s="6" t="n">
        <v>91.3</v>
      </c>
      <c r="K47" s="6"/>
      <c r="L47" s="6"/>
      <c r="M47" s="6"/>
    </row>
    <row r="48" customFormat="false" ht="15.75" hidden="false" customHeight="false" outlineLevel="0" collapsed="false">
      <c r="A48" s="0" t="s">
        <v>24</v>
      </c>
      <c r="B48" s="1" t="n">
        <v>43908</v>
      </c>
      <c r="C48" s="6" t="n">
        <v>1243</v>
      </c>
      <c r="D48" s="6" t="n">
        <v>185</v>
      </c>
      <c r="E48" s="6" t="n">
        <v>10</v>
      </c>
      <c r="F48" s="6" t="n">
        <v>0</v>
      </c>
      <c r="G48" s="6" t="n">
        <v>14</v>
      </c>
      <c r="H48" s="6" t="n">
        <v>1219</v>
      </c>
      <c r="I48" s="6" t="n">
        <v>33</v>
      </c>
      <c r="J48" s="6" t="n">
        <v>107.3</v>
      </c>
      <c r="K48" s="6"/>
      <c r="L48" s="6"/>
      <c r="M48" s="6"/>
    </row>
    <row r="49" customFormat="false" ht="15.75" hidden="false" customHeight="false" outlineLevel="0" collapsed="false">
      <c r="A49" s="0" t="s">
        <v>24</v>
      </c>
      <c r="B49" s="1" t="n">
        <v>43909</v>
      </c>
      <c r="C49" s="6" t="n">
        <v>1486</v>
      </c>
      <c r="D49" s="6" t="n">
        <v>243</v>
      </c>
      <c r="E49" s="6" t="n">
        <v>14</v>
      </c>
      <c r="F49" s="6" t="n">
        <v>4</v>
      </c>
      <c r="G49" s="6" t="n">
        <v>31</v>
      </c>
      <c r="H49" s="6" t="n">
        <v>1441</v>
      </c>
      <c r="I49" s="6" t="n">
        <v>33</v>
      </c>
      <c r="J49" s="6" t="n">
        <v>128</v>
      </c>
      <c r="K49" s="6"/>
      <c r="L49" s="6"/>
      <c r="M49" s="6"/>
    </row>
    <row r="50" customFormat="false" ht="15.75" hidden="false" customHeight="false" outlineLevel="0" collapsed="false">
      <c r="A50" s="0" t="s">
        <v>24</v>
      </c>
      <c r="B50" s="1" t="n">
        <v>43910</v>
      </c>
      <c r="C50" s="6" t="n">
        <v>1795</v>
      </c>
      <c r="D50" s="6" t="n">
        <v>309</v>
      </c>
      <c r="E50" s="6" t="n">
        <v>21</v>
      </c>
      <c r="F50" s="6" t="n">
        <v>7</v>
      </c>
      <c r="G50" s="6" t="n">
        <v>165</v>
      </c>
      <c r="H50" s="6" t="n">
        <v>1609</v>
      </c>
      <c r="I50" s="6" t="n">
        <v>130</v>
      </c>
      <c r="J50" s="6" t="n">
        <v>155</v>
      </c>
      <c r="K50" s="6"/>
      <c r="L50" s="6"/>
      <c r="M50" s="6"/>
    </row>
    <row r="51" customFormat="false" ht="15.75" hidden="false" customHeight="false" outlineLevel="0" collapsed="false">
      <c r="A51" s="0" t="s">
        <v>24</v>
      </c>
      <c r="B51" s="1" t="n">
        <v>43911</v>
      </c>
      <c r="C51" s="6" t="n">
        <v>2815</v>
      </c>
      <c r="D51" s="6" t="n">
        <v>1020</v>
      </c>
      <c r="E51" s="6" t="n">
        <v>67</v>
      </c>
      <c r="F51" s="6" t="n">
        <v>46</v>
      </c>
      <c r="G51" s="6" t="n">
        <v>263</v>
      </c>
      <c r="H51" s="6" t="n">
        <v>2485</v>
      </c>
      <c r="I51" s="6" t="n">
        <v>288</v>
      </c>
      <c r="J51" s="6" t="n">
        <v>243</v>
      </c>
      <c r="K51" s="6"/>
      <c r="L51" s="6"/>
      <c r="M51" s="6"/>
    </row>
    <row r="52" customFormat="false" ht="15.75" hidden="false" customHeight="false" outlineLevel="0" collapsed="false">
      <c r="A52" s="0" t="s">
        <v>24</v>
      </c>
      <c r="B52" s="1" t="n">
        <v>43912</v>
      </c>
      <c r="C52" s="6" t="n">
        <v>2815</v>
      </c>
      <c r="D52" s="6" t="n">
        <v>0</v>
      </c>
      <c r="E52" s="6" t="n">
        <v>67</v>
      </c>
      <c r="F52" s="6" t="n">
        <v>0</v>
      </c>
      <c r="G52" s="6" t="n">
        <v>263</v>
      </c>
      <c r="H52" s="6" t="n">
        <v>2485</v>
      </c>
      <c r="I52" s="6" t="n">
        <v>288</v>
      </c>
      <c r="J52" s="6" t="n">
        <v>243</v>
      </c>
      <c r="K52" s="6"/>
      <c r="L52" s="6"/>
      <c r="M52" s="6"/>
    </row>
    <row r="53" customFormat="false" ht="15.75" hidden="false" customHeight="false" outlineLevel="0" collapsed="false">
      <c r="A53" s="0" t="s">
        <v>24</v>
      </c>
      <c r="B53" s="1" t="n">
        <v>43913</v>
      </c>
      <c r="C53" s="6" t="n">
        <v>3401</v>
      </c>
      <c r="D53" s="6" t="n">
        <v>586</v>
      </c>
      <c r="E53" s="6" t="n">
        <v>75</v>
      </c>
      <c r="F53" s="6" t="n">
        <v>8</v>
      </c>
      <c r="G53" s="6" t="n">
        <v>263</v>
      </c>
      <c r="H53" s="6" t="n">
        <v>3063</v>
      </c>
      <c r="I53" s="6" t="n">
        <v>288</v>
      </c>
      <c r="J53" s="6" t="n">
        <v>293</v>
      </c>
      <c r="K53" s="6"/>
      <c r="L53" s="6"/>
      <c r="M53" s="6"/>
    </row>
    <row r="54" customFormat="false" ht="15.75" hidden="false" customHeight="false" outlineLevel="0" collapsed="false">
      <c r="A54" s="0" t="s">
        <v>24</v>
      </c>
      <c r="B54" s="1" t="n">
        <v>43914</v>
      </c>
      <c r="C54" s="6" t="n">
        <v>3743</v>
      </c>
      <c r="D54" s="6" t="n">
        <v>342</v>
      </c>
      <c r="E54" s="6" t="n">
        <v>88</v>
      </c>
      <c r="F54" s="6" t="n">
        <v>13</v>
      </c>
      <c r="G54" s="6" t="n">
        <v>401</v>
      </c>
      <c r="H54" s="6" t="n">
        <v>3254</v>
      </c>
      <c r="I54" s="6" t="n">
        <v>322</v>
      </c>
      <c r="J54" s="6" t="n">
        <v>323</v>
      </c>
      <c r="K54" s="6"/>
      <c r="L54" s="6"/>
      <c r="M54" s="6"/>
    </row>
    <row r="55" customFormat="false" ht="15.75" hidden="false" customHeight="false" outlineLevel="0" collapsed="false">
      <c r="A55" s="0" t="s">
        <v>24</v>
      </c>
      <c r="B55" s="1" t="n">
        <v>43915</v>
      </c>
      <c r="C55" s="7" t="n">
        <v>4269</v>
      </c>
      <c r="D55" s="7" t="n">
        <v>526</v>
      </c>
      <c r="E55" s="7" t="n">
        <v>122</v>
      </c>
      <c r="F55" s="7" t="n">
        <v>34</v>
      </c>
      <c r="G55" s="7" t="n">
        <v>461</v>
      </c>
      <c r="H55" s="7" t="n">
        <v>3686</v>
      </c>
      <c r="I55" s="7" t="n">
        <v>381</v>
      </c>
      <c r="J55" s="7" t="n">
        <v>368</v>
      </c>
      <c r="K55" s="7" t="n">
        <v>11</v>
      </c>
      <c r="L55" s="7"/>
      <c r="M55" s="7"/>
    </row>
    <row r="56" customFormat="false" ht="15.75" hidden="false" customHeight="false" outlineLevel="0" collapsed="false">
      <c r="A56" s="0" t="s">
        <v>24</v>
      </c>
      <c r="B56" s="1" t="n">
        <v>43916</v>
      </c>
      <c r="C56" s="7" t="n">
        <v>4937</v>
      </c>
      <c r="D56" s="7" t="n">
        <v>668</v>
      </c>
      <c r="E56" s="7" t="n">
        <v>178</v>
      </c>
      <c r="F56" s="7" t="n">
        <v>56</v>
      </c>
      <c r="G56" s="7" t="n">
        <v>547</v>
      </c>
      <c r="H56" s="7" t="n">
        <v>4212</v>
      </c>
      <c r="I56" s="7" t="n">
        <v>474</v>
      </c>
      <c r="J56" s="7" t="n">
        <v>426</v>
      </c>
      <c r="K56" s="7" t="n">
        <v>15</v>
      </c>
      <c r="L56" s="7"/>
      <c r="M56" s="7"/>
    </row>
    <row r="57" customFormat="false" ht="15.75" hidden="false" customHeight="false" outlineLevel="0" collapsed="false">
      <c r="A57" s="0" t="s">
        <v>24</v>
      </c>
      <c r="B57" s="1" t="n">
        <v>43917</v>
      </c>
      <c r="C57" s="7" t="n">
        <v>6235</v>
      </c>
      <c r="D57" s="7" t="n">
        <v>1298</v>
      </c>
      <c r="E57" s="7" t="n">
        <v>220</v>
      </c>
      <c r="F57" s="7" t="n">
        <v>42</v>
      </c>
      <c r="G57" s="7" t="n">
        <v>675</v>
      </c>
      <c r="H57" s="7" t="n">
        <v>5340</v>
      </c>
      <c r="I57" s="7" t="n">
        <v>605</v>
      </c>
      <c r="J57" s="7" t="n">
        <v>538</v>
      </c>
      <c r="K57" s="7" t="n">
        <v>19</v>
      </c>
      <c r="L57" s="7"/>
      <c r="M57" s="7"/>
    </row>
    <row r="58" customFormat="false" ht="15.75" hidden="false" customHeight="false" outlineLevel="0" collapsed="false">
      <c r="A58" s="0" t="s">
        <v>24</v>
      </c>
      <c r="B58" s="1" t="n">
        <v>43918</v>
      </c>
      <c r="C58" s="7" t="n">
        <v>7284</v>
      </c>
      <c r="D58" s="7" t="n">
        <v>1049</v>
      </c>
      <c r="E58" s="7" t="n">
        <v>289</v>
      </c>
      <c r="F58" s="7" t="n">
        <v>69</v>
      </c>
      <c r="G58" s="7" t="n">
        <v>858</v>
      </c>
      <c r="H58" s="7" t="n">
        <v>6137</v>
      </c>
      <c r="I58" s="7" t="n">
        <v>690</v>
      </c>
      <c r="J58" s="7" t="n">
        <v>628</v>
      </c>
      <c r="K58" s="7" t="n">
        <v>25</v>
      </c>
      <c r="L58" s="7"/>
      <c r="M58" s="7"/>
    </row>
    <row r="59" customFormat="false" ht="15.75" hidden="false" customHeight="false" outlineLevel="0" collapsed="false">
      <c r="A59" s="0" t="s">
        <v>24</v>
      </c>
      <c r="B59" s="1" t="n">
        <v>43919</v>
      </c>
      <c r="C59" s="7" t="n">
        <v>9134</v>
      </c>
      <c r="D59" s="7" t="n">
        <v>1850</v>
      </c>
      <c r="E59" s="7" t="n">
        <v>353</v>
      </c>
      <c r="F59" s="7" t="n">
        <v>64</v>
      </c>
      <c r="G59" s="7" t="n">
        <v>1063</v>
      </c>
      <c r="H59" s="7" t="n">
        <v>7718</v>
      </c>
      <c r="I59" s="7" t="n">
        <v>789</v>
      </c>
      <c r="J59" s="7" t="n">
        <v>788</v>
      </c>
      <c r="K59" s="7" t="n">
        <v>30</v>
      </c>
      <c r="L59" s="7"/>
      <c r="M59" s="7"/>
    </row>
    <row r="60" customFormat="false" ht="15.75" hidden="false" customHeight="false" outlineLevel="0" collapsed="false">
      <c r="A60" s="0" t="s">
        <v>24</v>
      </c>
      <c r="B60" s="1" t="n">
        <v>43920</v>
      </c>
      <c r="C60" s="7" t="n">
        <v>10836</v>
      </c>
      <c r="D60" s="7" t="n">
        <v>1702</v>
      </c>
      <c r="E60" s="7" t="n">
        <v>431</v>
      </c>
      <c r="F60" s="7" t="n">
        <v>78</v>
      </c>
      <c r="G60" s="7" t="n">
        <v>1359</v>
      </c>
      <c r="H60" s="7" t="n">
        <v>9046</v>
      </c>
      <c r="I60" s="7" t="n">
        <v>867</v>
      </c>
      <c r="J60" s="7" t="n">
        <v>935</v>
      </c>
      <c r="K60" s="7" t="n">
        <v>37</v>
      </c>
      <c r="L60" s="7"/>
      <c r="M60" s="7"/>
    </row>
    <row r="61" customFormat="false" ht="15.75" hidden="false" customHeight="false" outlineLevel="0" collapsed="false">
      <c r="A61" s="0" t="s">
        <v>24</v>
      </c>
      <c r="B61" s="1" t="n">
        <v>43921</v>
      </c>
      <c r="C61" s="7" t="n">
        <v>11899</v>
      </c>
      <c r="D61" s="7" t="n">
        <v>1063</v>
      </c>
      <c r="E61" s="7" t="n">
        <v>513</v>
      </c>
      <c r="F61" s="7" t="n">
        <v>82</v>
      </c>
      <c r="G61" s="7" t="n">
        <v>1527</v>
      </c>
      <c r="H61" s="7" t="n">
        <v>9859</v>
      </c>
      <c r="I61" s="7" t="n">
        <v>927</v>
      </c>
      <c r="J61" s="7" t="n">
        <v>1027</v>
      </c>
      <c r="K61" s="7" t="n">
        <v>44</v>
      </c>
      <c r="L61" s="7"/>
      <c r="M61" s="7"/>
    </row>
    <row r="62" customFormat="false" ht="15.75" hidden="false" customHeight="false" outlineLevel="0" collapsed="false">
      <c r="A62" s="0" t="s">
        <v>24</v>
      </c>
      <c r="B62" s="1" t="n">
        <v>43922</v>
      </c>
      <c r="C62" s="7" t="n">
        <v>12775</v>
      </c>
      <c r="D62" s="7" t="n">
        <v>876</v>
      </c>
      <c r="E62" s="7" t="n">
        <v>705</v>
      </c>
      <c r="F62" s="7" t="n">
        <v>192</v>
      </c>
      <c r="G62" s="7" t="n">
        <v>1696</v>
      </c>
      <c r="H62" s="7" t="n">
        <v>10374</v>
      </c>
      <c r="I62" s="7" t="n">
        <v>1021</v>
      </c>
      <c r="J62" s="7" t="n">
        <v>1102</v>
      </c>
      <c r="K62" s="7" t="n">
        <v>61</v>
      </c>
      <c r="L62" s="7"/>
      <c r="M62" s="7"/>
    </row>
    <row r="63" customFormat="false" ht="15.75" hidden="false" customHeight="false" outlineLevel="0" collapsed="false">
      <c r="A63" s="0" t="s">
        <v>24</v>
      </c>
      <c r="B63" s="1" t="n">
        <v>43923</v>
      </c>
      <c r="C63" s="7" t="n">
        <v>13964</v>
      </c>
      <c r="D63" s="7" t="n">
        <v>1189</v>
      </c>
      <c r="E63" s="7" t="n">
        <v>828</v>
      </c>
      <c r="F63" s="7" t="n">
        <v>123</v>
      </c>
      <c r="G63" s="7" t="n">
        <v>2132</v>
      </c>
      <c r="H63" s="7" t="n">
        <v>11004</v>
      </c>
      <c r="I63" s="7" t="n">
        <v>1088</v>
      </c>
      <c r="J63" s="7" t="n">
        <v>1205</v>
      </c>
      <c r="K63" s="7" t="n">
        <v>71</v>
      </c>
      <c r="L63" s="7"/>
      <c r="M63" s="7"/>
    </row>
    <row r="64" customFormat="false" ht="15.75" hidden="false" customHeight="false" outlineLevel="0" collapsed="false">
      <c r="A64" s="0" t="s">
        <v>24</v>
      </c>
      <c r="B64" s="1" t="n">
        <v>43924</v>
      </c>
      <c r="C64" s="7" t="n">
        <v>15348</v>
      </c>
      <c r="D64" s="7" t="n">
        <v>1384</v>
      </c>
      <c r="E64" s="7" t="n">
        <v>1011</v>
      </c>
      <c r="F64" s="7" t="n">
        <v>183</v>
      </c>
      <c r="G64" s="7" t="n">
        <v>2495</v>
      </c>
      <c r="H64" s="7" t="n">
        <v>11842</v>
      </c>
      <c r="I64" s="7" t="n">
        <v>1144</v>
      </c>
      <c r="J64" s="7" t="n">
        <v>1324</v>
      </c>
      <c r="K64" s="7" t="n">
        <v>87</v>
      </c>
      <c r="L64" s="7"/>
      <c r="M64" s="7"/>
    </row>
    <row r="65" customFormat="false" ht="15.75" hidden="false" customHeight="false" outlineLevel="0" collapsed="false">
      <c r="A65" s="0" t="s">
        <v>24</v>
      </c>
      <c r="B65" s="1" t="n">
        <v>43925</v>
      </c>
      <c r="C65" s="7" t="n">
        <v>16770</v>
      </c>
      <c r="D65" s="7" t="n">
        <v>1422</v>
      </c>
      <c r="E65" s="7" t="n">
        <v>1143</v>
      </c>
      <c r="F65" s="7" t="n">
        <v>132</v>
      </c>
      <c r="G65" s="7" t="n">
        <v>2872</v>
      </c>
      <c r="H65" s="7" t="n">
        <v>12755</v>
      </c>
      <c r="I65" s="7" t="n">
        <v>1205</v>
      </c>
      <c r="J65" s="7" t="n">
        <v>1447</v>
      </c>
      <c r="K65" s="7" t="n">
        <v>99</v>
      </c>
      <c r="L65" s="7"/>
      <c r="M65" s="7"/>
    </row>
    <row r="66" customFormat="false" ht="15.75" hidden="false" customHeight="false" outlineLevel="0" collapsed="false">
      <c r="A66" s="0" t="s">
        <v>24</v>
      </c>
      <c r="B66" s="1" t="n">
        <v>43926</v>
      </c>
      <c r="C66" s="7" t="n">
        <v>18431</v>
      </c>
      <c r="D66" s="7" t="n">
        <v>1661</v>
      </c>
      <c r="E66" s="7" t="n">
        <v>1283</v>
      </c>
      <c r="F66" s="7" t="n">
        <v>140</v>
      </c>
      <c r="G66" s="7" t="n">
        <v>3247</v>
      </c>
      <c r="H66" s="7" t="n">
        <v>13901</v>
      </c>
      <c r="I66" s="7" t="n">
        <v>1245</v>
      </c>
      <c r="J66" s="7" t="n">
        <v>1590</v>
      </c>
      <c r="K66" s="7" t="n">
        <v>111</v>
      </c>
      <c r="L66" s="7" t="n">
        <v>62867</v>
      </c>
      <c r="M66" s="7" t="n">
        <v>5424</v>
      </c>
    </row>
    <row r="67" customFormat="false" ht="15.75" hidden="false" customHeight="false" outlineLevel="0" collapsed="false">
      <c r="A67" s="0" t="s">
        <v>24</v>
      </c>
      <c r="B67" s="1" t="n">
        <v>43927</v>
      </c>
      <c r="C67" s="7" t="n">
        <v>19691</v>
      </c>
      <c r="D67" s="7" t="n">
        <v>1260</v>
      </c>
      <c r="E67" s="7" t="n">
        <v>1447</v>
      </c>
      <c r="F67" s="7" t="n">
        <v>164</v>
      </c>
      <c r="G67" s="7" t="n">
        <v>3751</v>
      </c>
      <c r="H67" s="7" t="n">
        <v>14493</v>
      </c>
      <c r="I67" s="7" t="n">
        <v>1261</v>
      </c>
      <c r="J67" s="7" t="n">
        <v>1699</v>
      </c>
      <c r="K67" s="7" t="n">
        <v>125</v>
      </c>
      <c r="L67" s="7" t="n">
        <v>70000</v>
      </c>
      <c r="M67" s="7" t="n">
        <v>6040</v>
      </c>
    </row>
    <row r="68" customFormat="false" ht="15.75" hidden="false" customHeight="false" outlineLevel="0" collapsed="false">
      <c r="A68" s="0" t="s">
        <v>24</v>
      </c>
      <c r="B68" s="1" t="n">
        <v>43928</v>
      </c>
      <c r="C68" s="12" t="n">
        <v>20814</v>
      </c>
      <c r="D68" s="12" t="n">
        <v>1123</v>
      </c>
      <c r="E68" s="12" t="n">
        <v>1632</v>
      </c>
      <c r="F68" s="12" t="n">
        <v>185</v>
      </c>
      <c r="G68" s="12" t="n">
        <v>3986</v>
      </c>
      <c r="H68" s="12" t="n">
        <v>15196</v>
      </c>
      <c r="I68" s="12" t="n">
        <v>1257</v>
      </c>
      <c r="J68" s="12" t="n">
        <v>1796</v>
      </c>
      <c r="K68" s="12" t="n">
        <v>141</v>
      </c>
      <c r="L68" s="12" t="n">
        <v>70000</v>
      </c>
      <c r="M68" s="12" t="n">
        <v>6040</v>
      </c>
    </row>
    <row r="69" customFormat="false" ht="15.75" hidden="false" customHeight="false" outlineLevel="0" collapsed="false">
      <c r="A69" s="0" t="s">
        <v>24</v>
      </c>
      <c r="B69" s="1" t="n">
        <v>43929</v>
      </c>
      <c r="C69" s="14" t="n">
        <v>22194</v>
      </c>
      <c r="D69" s="14" t="n">
        <v>1380</v>
      </c>
      <c r="E69" s="14" t="n">
        <v>2035</v>
      </c>
      <c r="F69" s="14" t="n">
        <v>403</v>
      </c>
      <c r="G69" s="14" t="n">
        <v>4157</v>
      </c>
      <c r="H69" s="14" t="n">
        <v>16002</v>
      </c>
      <c r="I69" s="14" t="n">
        <v>1260</v>
      </c>
      <c r="J69" s="14" t="n">
        <v>1915</v>
      </c>
      <c r="K69" s="14" t="n">
        <v>176</v>
      </c>
      <c r="L69" s="14" t="n">
        <v>80512</v>
      </c>
      <c r="M69" s="14" t="n">
        <v>6947</v>
      </c>
    </row>
    <row r="70" customFormat="false" ht="15.75" hidden="false" customHeight="false" outlineLevel="0" collapsed="false">
      <c r="A70" s="0" t="s">
        <v>24</v>
      </c>
      <c r="B70" s="1" t="n">
        <v>43930</v>
      </c>
      <c r="C70" s="14" t="n">
        <v>23403</v>
      </c>
      <c r="D70" s="14" t="n">
        <v>1209</v>
      </c>
      <c r="E70" s="14" t="n">
        <v>2240</v>
      </c>
      <c r="F70" s="14" t="n">
        <v>205</v>
      </c>
      <c r="G70" s="14" t="n">
        <v>4681</v>
      </c>
      <c r="H70" s="14" t="n">
        <v>16482</v>
      </c>
      <c r="I70" s="14" t="n">
        <v>1276</v>
      </c>
      <c r="J70" s="14" t="n">
        <v>2019</v>
      </c>
      <c r="K70" s="14" t="n">
        <v>193</v>
      </c>
      <c r="L70" s="14" t="n">
        <v>84248</v>
      </c>
      <c r="M70" s="14" t="n">
        <v>7269</v>
      </c>
    </row>
    <row r="71" customFormat="false" ht="15.75" hidden="false" customHeight="false" outlineLevel="0" collapsed="false">
      <c r="A71" s="0" t="s">
        <v>24</v>
      </c>
      <c r="B71" s="1" t="n">
        <v>43931</v>
      </c>
      <c r="C71" s="14" t="n">
        <v>24983</v>
      </c>
      <c r="D71" s="14" t="n">
        <v>1580</v>
      </c>
      <c r="E71" s="14" t="n">
        <v>2523</v>
      </c>
      <c r="F71" s="14" t="n">
        <v>283</v>
      </c>
      <c r="G71" s="14" t="n">
        <v>5164</v>
      </c>
      <c r="H71" s="14" t="n">
        <v>17296</v>
      </c>
      <c r="I71" s="14" t="n">
        <v>1285</v>
      </c>
      <c r="J71" s="14" t="n">
        <v>2156</v>
      </c>
      <c r="K71" s="14" t="n">
        <v>218</v>
      </c>
      <c r="L71" s="14" t="n">
        <v>84248</v>
      </c>
      <c r="M71" s="14" t="n">
        <v>7269</v>
      </c>
    </row>
    <row r="72" customFormat="false" ht="15.75" hidden="false" customHeight="false" outlineLevel="0" collapsed="false">
      <c r="A72" s="0" t="s">
        <v>24</v>
      </c>
      <c r="B72" s="1" t="n">
        <v>43932</v>
      </c>
      <c r="C72" s="14" t="n">
        <v>26667</v>
      </c>
      <c r="D72" s="14" t="n">
        <v>1684</v>
      </c>
      <c r="E72" s="14" t="n">
        <v>3019</v>
      </c>
      <c r="F72" s="14" t="n">
        <v>496</v>
      </c>
      <c r="G72" s="14" t="n">
        <v>5568</v>
      </c>
      <c r="H72" s="14" t="n">
        <v>18080</v>
      </c>
      <c r="I72" s="14" t="n">
        <v>1278</v>
      </c>
      <c r="J72" s="14" t="n">
        <v>2301</v>
      </c>
      <c r="K72" s="14" t="n">
        <v>260</v>
      </c>
      <c r="L72" s="14" t="n">
        <v>84248</v>
      </c>
      <c r="M72" s="14" t="n">
        <v>7269</v>
      </c>
    </row>
    <row r="73" customFormat="false" ht="15.75" hidden="false" customHeight="false" outlineLevel="0" collapsed="false">
      <c r="A73" s="0" t="s">
        <v>24</v>
      </c>
      <c r="B73" s="1" t="n">
        <v>43933</v>
      </c>
      <c r="C73" s="14" t="n">
        <v>28018</v>
      </c>
      <c r="D73" s="14" t="n">
        <v>1351</v>
      </c>
      <c r="E73" s="14" t="n">
        <v>3346</v>
      </c>
      <c r="F73" s="14" t="n">
        <v>327</v>
      </c>
      <c r="G73" s="14" t="n">
        <v>5986</v>
      </c>
      <c r="H73" s="14" t="n">
        <v>18686</v>
      </c>
      <c r="I73" s="14" t="n">
        <v>1262</v>
      </c>
      <c r="J73" s="14" t="n">
        <v>2418</v>
      </c>
      <c r="K73" s="14" t="n">
        <v>289</v>
      </c>
      <c r="L73" s="14" t="n">
        <v>102151</v>
      </c>
      <c r="M73" s="14" t="n">
        <v>8814</v>
      </c>
    </row>
    <row r="74" customFormat="false" ht="15.75" hidden="false" customHeight="false" outlineLevel="0" collapsed="false">
      <c r="A74" s="0" t="s">
        <v>24</v>
      </c>
      <c r="B74" s="1" t="n">
        <v>43934</v>
      </c>
      <c r="C74" s="14" t="n">
        <v>29647</v>
      </c>
      <c r="D74" s="14" t="n">
        <v>1629</v>
      </c>
      <c r="E74" s="14" t="n">
        <v>3600</v>
      </c>
      <c r="F74" s="14" t="n">
        <v>254</v>
      </c>
      <c r="G74" s="14" t="n">
        <v>6463</v>
      </c>
      <c r="H74" s="14" t="n">
        <v>19584</v>
      </c>
      <c r="I74" s="14" t="n">
        <v>1223</v>
      </c>
      <c r="J74" s="14" t="n">
        <v>2558</v>
      </c>
      <c r="K74" s="14" t="n">
        <v>311</v>
      </c>
      <c r="L74" s="14" t="n">
        <v>102151</v>
      </c>
      <c r="M74" s="14" t="n">
        <v>8814</v>
      </c>
    </row>
    <row r="75" customFormat="false" ht="15.75" hidden="false" customHeight="false" outlineLevel="0" collapsed="false">
      <c r="A75" s="0" t="s">
        <v>24</v>
      </c>
      <c r="B75" s="1" t="n">
        <v>43935</v>
      </c>
      <c r="C75" s="14" t="n">
        <v>30589</v>
      </c>
      <c r="D75" s="14" t="n">
        <v>942</v>
      </c>
      <c r="E75" s="14" t="n">
        <v>3903</v>
      </c>
      <c r="F75" s="14" t="n">
        <v>303</v>
      </c>
      <c r="G75" s="14" t="n">
        <v>6707</v>
      </c>
      <c r="H75" s="14" t="n">
        <v>19979</v>
      </c>
      <c r="I75" s="14" t="n">
        <v>1234</v>
      </c>
      <c r="J75" s="14" t="n">
        <v>2639</v>
      </c>
      <c r="K75" s="14" t="n">
        <v>337</v>
      </c>
      <c r="L75" s="14" t="n">
        <v>102151</v>
      </c>
      <c r="M75" s="14" t="n">
        <v>8814</v>
      </c>
    </row>
    <row r="76" customFormat="false" ht="15.75" hidden="false" customHeight="false" outlineLevel="0" collapsed="false">
      <c r="A76" s="0" t="s">
        <v>24</v>
      </c>
      <c r="B76" s="1" t="n">
        <v>43936</v>
      </c>
      <c r="C76" s="14" t="n">
        <v>31119</v>
      </c>
      <c r="D76" s="14" t="n">
        <v>530</v>
      </c>
      <c r="E76" s="14" t="n">
        <v>4157</v>
      </c>
      <c r="F76" s="14" t="n">
        <v>254</v>
      </c>
      <c r="G76" s="14" t="n">
        <v>6868</v>
      </c>
      <c r="H76" s="14" t="n">
        <v>20094</v>
      </c>
      <c r="I76" s="14" t="n">
        <v>1223</v>
      </c>
      <c r="J76" s="14" t="n">
        <v>2685</v>
      </c>
      <c r="K76" s="14" t="n">
        <v>359</v>
      </c>
      <c r="L76" s="14" t="n">
        <v>102151</v>
      </c>
      <c r="M76" s="14" t="n">
        <v>8814</v>
      </c>
    </row>
    <row r="77" customFormat="false" ht="15.75" hidden="false" customHeight="false" outlineLevel="0" collapsed="false">
      <c r="A77" s="0" t="s">
        <v>24</v>
      </c>
      <c r="B77" s="1" t="n">
        <v>43937</v>
      </c>
      <c r="C77" s="14" t="n">
        <v>33573</v>
      </c>
      <c r="D77" s="14" t="n">
        <v>2454</v>
      </c>
      <c r="E77" s="14" t="n">
        <v>4440</v>
      </c>
      <c r="F77" s="14" t="n">
        <v>283</v>
      </c>
      <c r="G77" s="14" t="n">
        <v>7107</v>
      </c>
      <c r="H77" s="14" t="n">
        <v>22026</v>
      </c>
      <c r="I77" s="14" t="n">
        <v>1204</v>
      </c>
      <c r="J77" s="14" t="n">
        <v>2897</v>
      </c>
      <c r="K77" s="14" t="n">
        <v>383</v>
      </c>
      <c r="L77" s="14" t="n">
        <v>128132</v>
      </c>
      <c r="M77" s="14" t="n">
        <v>11056</v>
      </c>
    </row>
    <row r="78" customFormat="false" ht="15.75" hidden="false" customHeight="false" outlineLevel="0" collapsed="false">
      <c r="A78" s="0" t="s">
        <v>24</v>
      </c>
      <c r="B78" s="1" t="n">
        <v>43938</v>
      </c>
      <c r="C78" s="14" t="n">
        <v>34809</v>
      </c>
      <c r="D78" s="14" t="n">
        <v>1236</v>
      </c>
      <c r="E78" s="14" t="n">
        <v>4857</v>
      </c>
      <c r="F78" s="14" t="n">
        <v>417</v>
      </c>
      <c r="G78" s="14" t="n">
        <v>7562</v>
      </c>
      <c r="H78" s="14" t="n">
        <v>22390</v>
      </c>
      <c r="I78" s="14" t="n">
        <v>1182</v>
      </c>
      <c r="J78" s="14" t="n">
        <v>3003</v>
      </c>
      <c r="K78" s="14" t="n">
        <v>419</v>
      </c>
      <c r="L78" s="14" t="n">
        <v>134303</v>
      </c>
      <c r="M78" s="14" t="n">
        <v>11588</v>
      </c>
    </row>
    <row r="79" customFormat="false" ht="15.75" hidden="false" customHeight="false" outlineLevel="0" collapsed="false">
      <c r="A79" s="0" t="s">
        <v>24</v>
      </c>
      <c r="B79" s="1" t="n">
        <v>43939</v>
      </c>
      <c r="C79" s="14" t="n">
        <v>36138</v>
      </c>
      <c r="D79" s="14" t="n">
        <v>1329</v>
      </c>
      <c r="E79" s="14" t="n">
        <v>5163</v>
      </c>
      <c r="F79" s="14" t="n">
        <v>306</v>
      </c>
      <c r="G79" s="14" t="n">
        <v>7961</v>
      </c>
      <c r="H79" s="14" t="n">
        <v>23014</v>
      </c>
      <c r="I79" s="14" t="n">
        <v>1140</v>
      </c>
      <c r="J79" s="14" t="n">
        <v>3118</v>
      </c>
      <c r="K79" s="14" t="n">
        <v>445</v>
      </c>
      <c r="L79" s="14" t="n">
        <v>139387</v>
      </c>
      <c r="M79" s="14" t="n">
        <v>12027</v>
      </c>
    </row>
    <row r="80" customFormat="false" ht="15.75" hidden="false" customHeight="false" outlineLevel="0" collapsed="false">
      <c r="A80" s="0" t="s">
        <v>24</v>
      </c>
      <c r="B80" s="1" t="n">
        <v>43940</v>
      </c>
      <c r="C80" s="14" t="n">
        <v>37183</v>
      </c>
      <c r="D80" s="14" t="n">
        <v>1045</v>
      </c>
      <c r="E80" s="14" t="n">
        <v>5453</v>
      </c>
      <c r="F80" s="14" t="n">
        <v>290</v>
      </c>
      <c r="G80" s="14" t="n">
        <v>8348</v>
      </c>
      <c r="H80" s="14" t="n">
        <v>23382</v>
      </c>
      <c r="I80" s="14" t="n">
        <v>1119</v>
      </c>
      <c r="J80" s="14" t="n">
        <v>3208</v>
      </c>
      <c r="K80" s="14" t="n">
        <v>471</v>
      </c>
      <c r="L80" s="14" t="n">
        <v>145997</v>
      </c>
      <c r="M80" s="14" t="n">
        <v>12597</v>
      </c>
    </row>
    <row r="81" customFormat="false" ht="15.75" hidden="false" customHeight="false" outlineLevel="0" collapsed="false">
      <c r="A81" s="0" t="s">
        <v>24</v>
      </c>
      <c r="B81" s="1" t="n">
        <v>43941</v>
      </c>
      <c r="C81" s="14" t="n">
        <v>38496</v>
      </c>
      <c r="D81" s="14" t="n">
        <v>1313</v>
      </c>
      <c r="E81" s="14" t="n">
        <v>5683</v>
      </c>
      <c r="F81" s="14" t="n">
        <v>230</v>
      </c>
      <c r="G81" s="14" t="n">
        <v>8757</v>
      </c>
      <c r="H81" s="14" t="n">
        <v>24056</v>
      </c>
      <c r="I81" s="14" t="n">
        <v>1081</v>
      </c>
      <c r="J81" s="14" t="n">
        <v>3322</v>
      </c>
      <c r="K81" s="14" t="n">
        <v>490</v>
      </c>
      <c r="L81" s="14" t="n">
        <v>153778</v>
      </c>
      <c r="M81" s="14" t="n">
        <v>13269</v>
      </c>
    </row>
    <row r="82" customFormat="false" ht="15.75" hidden="false" customHeight="false" outlineLevel="0" collapsed="false">
      <c r="A82" s="0" t="s">
        <v>24</v>
      </c>
      <c r="B82" s="1" t="n">
        <v>43942</v>
      </c>
      <c r="C82" s="6" t="n">
        <v>39983</v>
      </c>
      <c r="D82" s="6" t="n">
        <v>1487</v>
      </c>
      <c r="E82" s="6" t="n">
        <v>5828</v>
      </c>
      <c r="F82" s="6" t="n">
        <v>145</v>
      </c>
      <c r="G82" s="6" t="n">
        <v>8895</v>
      </c>
      <c r="H82" s="6" t="n">
        <v>25260</v>
      </c>
      <c r="I82" s="6" t="n">
        <v>1071</v>
      </c>
      <c r="J82" s="6" t="n">
        <v>3450</v>
      </c>
      <c r="K82" s="6" t="n">
        <v>503</v>
      </c>
      <c r="L82" s="6" t="n">
        <v>161896</v>
      </c>
      <c r="M82" s="6" t="n">
        <v>13969</v>
      </c>
    </row>
    <row r="83" customFormat="false" ht="15.75" hidden="false" customHeight="false" outlineLevel="0" collapsed="false">
      <c r="A83" s="0" t="s">
        <v>24</v>
      </c>
      <c r="B83" s="1" t="n">
        <v>43943</v>
      </c>
      <c r="C83" s="6" t="n">
        <v>40956</v>
      </c>
      <c r="D83" s="6" t="n">
        <v>973</v>
      </c>
      <c r="E83" s="6" t="n">
        <v>5998</v>
      </c>
      <c r="F83" s="6" t="n">
        <v>170</v>
      </c>
      <c r="G83" s="6" t="n">
        <v>9002</v>
      </c>
      <c r="H83" s="6" t="n">
        <v>25956</v>
      </c>
      <c r="I83" s="6" t="n">
        <v>1079</v>
      </c>
      <c r="J83" s="6" t="n">
        <v>3534</v>
      </c>
      <c r="K83" s="6" t="n">
        <v>518</v>
      </c>
      <c r="L83" s="6" t="n">
        <v>167110</v>
      </c>
      <c r="M83" s="6" t="n">
        <v>14419</v>
      </c>
    </row>
    <row r="84" customFormat="false" ht="15.75" hidden="false" customHeight="false" outlineLevel="0" collapsed="false">
      <c r="A84" s="0" t="s">
        <v>24</v>
      </c>
      <c r="B84" s="1" t="n">
        <v>43944</v>
      </c>
      <c r="C84" s="6" t="n">
        <v>41889</v>
      </c>
      <c r="D84" s="6" t="n">
        <v>933</v>
      </c>
      <c r="E84" s="6" t="n">
        <v>6262</v>
      </c>
      <c r="F84" s="6" t="n">
        <v>264</v>
      </c>
      <c r="G84" s="6" t="n">
        <v>9433</v>
      </c>
      <c r="H84" s="6" t="n">
        <v>26194</v>
      </c>
      <c r="I84" s="6" t="n">
        <v>1020</v>
      </c>
      <c r="J84" s="6" t="n">
        <v>3614</v>
      </c>
      <c r="K84" s="6" t="n">
        <v>540</v>
      </c>
      <c r="L84" s="6" t="n">
        <v>171400</v>
      </c>
      <c r="M84" s="6" t="n">
        <v>14789</v>
      </c>
    </row>
    <row r="85" customFormat="false" ht="15.75" hidden="false" customHeight="false" outlineLevel="0" collapsed="false">
      <c r="A85" s="0" t="s">
        <v>24</v>
      </c>
      <c r="B85" s="1" t="n">
        <v>43945</v>
      </c>
      <c r="C85" s="6" t="n">
        <v>42797</v>
      </c>
      <c r="D85" s="6" t="n">
        <v>908</v>
      </c>
      <c r="E85" s="6" t="n">
        <v>6490</v>
      </c>
      <c r="F85" s="6" t="n">
        <v>228</v>
      </c>
      <c r="G85" s="6" t="n">
        <v>9800</v>
      </c>
      <c r="H85" s="6" t="n">
        <v>26507</v>
      </c>
      <c r="I85" s="6" t="n">
        <v>993</v>
      </c>
      <c r="J85" s="6" t="n">
        <v>3693</v>
      </c>
      <c r="K85" s="6" t="n">
        <v>560</v>
      </c>
      <c r="L85" s="6" t="n">
        <v>179666</v>
      </c>
      <c r="M85" s="6" t="n">
        <v>15502</v>
      </c>
    </row>
    <row r="86" customFormat="false" ht="15.75" hidden="false" customHeight="false" outlineLevel="0" collapsed="false">
      <c r="A86" s="0" t="s">
        <v>24</v>
      </c>
      <c r="B86" s="1" t="n">
        <v>43946</v>
      </c>
      <c r="C86" s="6" t="n">
        <v>44293</v>
      </c>
      <c r="D86" s="6" t="n">
        <v>1496</v>
      </c>
      <c r="E86" s="6" t="n">
        <v>6679</v>
      </c>
      <c r="F86" s="6" t="n">
        <v>189</v>
      </c>
      <c r="G86" s="6" t="n">
        <v>10122</v>
      </c>
      <c r="H86" s="6" t="n">
        <v>27492</v>
      </c>
      <c r="I86" s="6" t="n">
        <v>970</v>
      </c>
      <c r="J86" s="6" t="n">
        <v>3822</v>
      </c>
      <c r="K86" s="6" t="n">
        <v>576</v>
      </c>
      <c r="L86" s="6" t="n">
        <v>189067</v>
      </c>
      <c r="M86" s="6" t="n">
        <v>16313</v>
      </c>
    </row>
    <row r="87" customFormat="false" ht="15.75" hidden="false" customHeight="false" outlineLevel="0" collapsed="false">
      <c r="A87" s="0" t="s">
        <v>24</v>
      </c>
      <c r="B87" s="1" t="n">
        <v>43947</v>
      </c>
      <c r="C87" s="6" t="n">
        <v>45325</v>
      </c>
      <c r="D87" s="6" t="n">
        <v>1032</v>
      </c>
      <c r="E87" s="6" t="n">
        <v>6917</v>
      </c>
      <c r="F87" s="6" t="n">
        <v>238</v>
      </c>
      <c r="G87" s="6" t="n">
        <v>10417</v>
      </c>
      <c r="H87" s="6" t="n">
        <v>27991</v>
      </c>
      <c r="I87" s="6" t="n">
        <v>934</v>
      </c>
      <c r="J87" s="6" t="n">
        <v>3911</v>
      </c>
      <c r="K87" s="6" t="n">
        <v>597</v>
      </c>
      <c r="L87" s="6" t="n">
        <v>189067</v>
      </c>
      <c r="M87" s="6" t="n">
        <v>16313</v>
      </c>
    </row>
    <row r="88" customFormat="false" ht="15.75" hidden="false" customHeight="false" outlineLevel="0" collapsed="false">
      <c r="A88" s="0" t="s">
        <v>24</v>
      </c>
      <c r="B88" s="1" t="n">
        <v>43948</v>
      </c>
      <c r="C88" s="6" t="n">
        <v>46134</v>
      </c>
      <c r="D88" s="6" t="n">
        <v>809</v>
      </c>
      <c r="E88" s="6" t="n">
        <v>7094</v>
      </c>
      <c r="F88" s="6" t="n">
        <v>177</v>
      </c>
      <c r="G88" s="6" t="n">
        <v>10785</v>
      </c>
      <c r="H88" s="6" t="n">
        <v>28255</v>
      </c>
      <c r="I88" s="6" t="n">
        <v>891</v>
      </c>
      <c r="J88" s="6" t="n">
        <v>3981</v>
      </c>
      <c r="K88" s="6" t="n">
        <v>612</v>
      </c>
      <c r="L88" s="6" t="n">
        <v>189067</v>
      </c>
      <c r="M88" s="6" t="n">
        <v>16313</v>
      </c>
    </row>
    <row r="89" customFormat="false" ht="13.5" hidden="false" customHeight="false" outlineLevel="0" collapsed="false">
      <c r="A89" s="0" t="s">
        <v>24</v>
      </c>
      <c r="B89" s="1" t="n">
        <v>43949</v>
      </c>
      <c r="C89" s="2" t="n">
        <v>46687</v>
      </c>
      <c r="D89" s="2" t="n">
        <v>553</v>
      </c>
      <c r="E89" s="2" t="n">
        <v>7207</v>
      </c>
      <c r="F89" s="2" t="n">
        <v>113</v>
      </c>
      <c r="G89" s="2" t="n">
        <v>10878</v>
      </c>
      <c r="H89" s="2" t="n">
        <v>28602</v>
      </c>
      <c r="I89" s="2" t="n">
        <v>903</v>
      </c>
      <c r="J89" s="2" t="n">
        <v>4028</v>
      </c>
      <c r="K89" s="2" t="n">
        <v>622</v>
      </c>
      <c r="L89" s="2" t="n">
        <v>214042</v>
      </c>
      <c r="M89" s="2" t="n">
        <v>18468</v>
      </c>
    </row>
    <row r="90" customFormat="false" ht="13.5" hidden="false" customHeight="false" outlineLevel="0" collapsed="false">
      <c r="A90" s="0" t="s">
        <v>24</v>
      </c>
      <c r="B90" s="1" t="n">
        <v>43950</v>
      </c>
      <c r="C90" s="2" t="n">
        <v>47334</v>
      </c>
      <c r="D90" s="2" t="n">
        <v>647</v>
      </c>
      <c r="E90" s="2" t="n">
        <v>7331</v>
      </c>
      <c r="F90" s="2" t="n">
        <v>124</v>
      </c>
      <c r="G90" s="2" t="n">
        <v>10943</v>
      </c>
      <c r="H90" s="2" t="n">
        <v>29060</v>
      </c>
      <c r="I90" s="2" t="n">
        <v>876</v>
      </c>
      <c r="J90" s="2" t="n">
        <v>4084</v>
      </c>
      <c r="K90" s="2" t="n">
        <v>633</v>
      </c>
      <c r="L90" s="2" t="n">
        <v>220204</v>
      </c>
      <c r="M90" s="2" t="n">
        <v>19000</v>
      </c>
    </row>
    <row r="91" customFormat="false" ht="13.5" hidden="false" customHeight="false" outlineLevel="0" collapsed="false">
      <c r="A91" s="0" t="s">
        <v>24</v>
      </c>
      <c r="B91" s="1" t="n">
        <v>43951</v>
      </c>
      <c r="C91" s="2" t="n">
        <v>47859</v>
      </c>
      <c r="D91" s="2" t="n">
        <v>525</v>
      </c>
      <c r="E91" s="2" t="n">
        <v>7501</v>
      </c>
      <c r="F91" s="2" t="n">
        <v>170</v>
      </c>
      <c r="G91" s="2" t="n">
        <v>11283</v>
      </c>
      <c r="H91" s="2" t="n">
        <v>29075</v>
      </c>
      <c r="I91" s="2" t="n">
        <v>797</v>
      </c>
      <c r="J91" s="2" t="n">
        <v>4129</v>
      </c>
      <c r="K91" s="2" t="n">
        <v>647</v>
      </c>
      <c r="L91" s="2" t="n">
        <v>226724</v>
      </c>
      <c r="M91" s="2" t="n">
        <v>19563</v>
      </c>
    </row>
    <row r="92" customFormat="false" ht="14.25" hidden="false" customHeight="false" outlineLevel="0" collapsed="false">
      <c r="A92" s="0" t="s">
        <v>24</v>
      </c>
      <c r="B92" s="1" t="n">
        <v>43952</v>
      </c>
      <c r="C92" s="2" t="n">
        <v>48519</v>
      </c>
      <c r="D92" s="2" t="n">
        <v>660</v>
      </c>
      <c r="E92" s="2" t="n">
        <v>7594</v>
      </c>
      <c r="F92" s="2" t="n">
        <v>93</v>
      </c>
      <c r="G92" s="2" t="n">
        <v>11576</v>
      </c>
      <c r="H92" s="2" t="n">
        <v>29349</v>
      </c>
      <c r="I92" s="2" t="n">
        <v>769</v>
      </c>
      <c r="J92" s="2" t="n">
        <v>4186</v>
      </c>
      <c r="K92" s="2" t="n">
        <v>655</v>
      </c>
      <c r="L92" s="2" t="n">
        <v>237963</v>
      </c>
      <c r="M92" s="2" t="n">
        <v>20532</v>
      </c>
    </row>
    <row r="93" customFormat="false" ht="15.75" hidden="false" customHeight="false" outlineLevel="0" collapsed="false">
      <c r="A93" s="0" t="s">
        <v>24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24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24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24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24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24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24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24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24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24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24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24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24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24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24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24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24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24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24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24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24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24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24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24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24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24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24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24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24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24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24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24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24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24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24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24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24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24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24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24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24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24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24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24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24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24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24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24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24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24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24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24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24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24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24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24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24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24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24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24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24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24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24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24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24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24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24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24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24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24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24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24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24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24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24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24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24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24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24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24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24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24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24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24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24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24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24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24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24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24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24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24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24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24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24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25</v>
      </c>
      <c r="B37" s="1" t="n">
        <v>43897</v>
      </c>
      <c r="C37" s="8" t="n">
        <v>128</v>
      </c>
      <c r="D37" s="8" t="n">
        <v>46</v>
      </c>
      <c r="E37" s="8" t="n">
        <v>1</v>
      </c>
      <c r="F37" s="8" t="n">
        <v>1</v>
      </c>
      <c r="G37" s="8" t="n">
        <v>0</v>
      </c>
      <c r="H37" s="8" t="n">
        <v>127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25</v>
      </c>
      <c r="B38" s="1" t="n">
        <v>43898</v>
      </c>
      <c r="C38" s="6" t="n">
        <v>188</v>
      </c>
      <c r="D38" s="6" t="n">
        <v>60</v>
      </c>
      <c r="E38" s="6" t="n">
        <v>1</v>
      </c>
      <c r="F38" s="6" t="n">
        <v>0</v>
      </c>
      <c r="G38" s="6" t="n">
        <v>0</v>
      </c>
      <c r="H38" s="6" t="n">
        <v>187</v>
      </c>
      <c r="I38" s="6" t="n">
        <v>1</v>
      </c>
      <c r="J38" s="6" t="n">
        <v>11</v>
      </c>
      <c r="K38" s="6"/>
      <c r="L38" s="6"/>
      <c r="M38" s="6"/>
    </row>
    <row r="39" customFormat="false" ht="15.75" hidden="false" customHeight="false" outlineLevel="0" collapsed="false">
      <c r="A39" s="0" t="s">
        <v>25</v>
      </c>
      <c r="B39" s="1" t="n">
        <v>43899</v>
      </c>
      <c r="C39" s="6" t="n">
        <v>265</v>
      </c>
      <c r="D39" s="6" t="n">
        <v>77</v>
      </c>
      <c r="E39" s="6" t="n">
        <v>3</v>
      </c>
      <c r="F39" s="6" t="n">
        <v>2</v>
      </c>
      <c r="G39" s="6" t="n">
        <v>0</v>
      </c>
      <c r="H39" s="6" t="n">
        <v>262</v>
      </c>
      <c r="I39" s="6" t="n">
        <v>1</v>
      </c>
      <c r="J39" s="6" t="n">
        <v>15.5</v>
      </c>
      <c r="K39" s="6"/>
      <c r="L39" s="6"/>
      <c r="M39" s="6"/>
    </row>
    <row r="40" customFormat="false" ht="15.75" hidden="false" customHeight="false" outlineLevel="0" collapsed="false">
      <c r="A40" s="0" t="s">
        <v>25</v>
      </c>
      <c r="B40" s="1" t="n">
        <v>43900</v>
      </c>
      <c r="C40" s="6" t="n">
        <v>321</v>
      </c>
      <c r="D40" s="6" t="n">
        <v>56</v>
      </c>
      <c r="E40" s="6" t="n">
        <v>4</v>
      </c>
      <c r="F40" s="6" t="n">
        <v>1</v>
      </c>
      <c r="G40" s="6" t="n">
        <v>0</v>
      </c>
      <c r="H40" s="6" t="n">
        <v>317</v>
      </c>
      <c r="I40" s="6" t="n">
        <v>1</v>
      </c>
      <c r="J40" s="6" t="n">
        <v>18.7</v>
      </c>
      <c r="K40" s="6"/>
      <c r="L40" s="6"/>
      <c r="M40" s="6"/>
    </row>
    <row r="41" customFormat="false" ht="15.75" hidden="false" customHeight="false" outlineLevel="0" collapsed="false">
      <c r="A41" s="0" t="s">
        <v>25</v>
      </c>
      <c r="B41" s="1" t="n">
        <v>43901</v>
      </c>
      <c r="C41" s="6" t="n">
        <v>382</v>
      </c>
      <c r="D41" s="6" t="n">
        <v>61</v>
      </c>
      <c r="E41" s="6" t="n">
        <v>4</v>
      </c>
      <c r="F41" s="6" t="n">
        <v>0</v>
      </c>
      <c r="G41" s="6" t="n">
        <v>0</v>
      </c>
      <c r="H41" s="6" t="n">
        <v>378</v>
      </c>
      <c r="I41" s="6" t="n">
        <v>1</v>
      </c>
      <c r="J41" s="6" t="n">
        <v>22.3</v>
      </c>
      <c r="K41" s="6"/>
      <c r="L41" s="6"/>
      <c r="M41" s="6"/>
    </row>
    <row r="42" customFormat="false" ht="15.75" hidden="false" customHeight="false" outlineLevel="0" collapsed="false">
      <c r="A42" s="0" t="s">
        <v>25</v>
      </c>
      <c r="B42" s="1" t="n">
        <v>43902</v>
      </c>
      <c r="C42" s="6" t="n">
        <v>503</v>
      </c>
      <c r="D42" s="6" t="n">
        <v>121</v>
      </c>
      <c r="E42" s="6" t="n">
        <v>5</v>
      </c>
      <c r="F42" s="6" t="n">
        <v>1</v>
      </c>
      <c r="G42" s="6" t="n">
        <v>0</v>
      </c>
      <c r="H42" s="6" t="n">
        <v>498</v>
      </c>
      <c r="I42" s="6" t="n">
        <v>1</v>
      </c>
      <c r="J42" s="6" t="n">
        <v>29.4</v>
      </c>
      <c r="K42" s="6"/>
      <c r="L42" s="6"/>
      <c r="M42" s="6"/>
    </row>
    <row r="43" customFormat="false" ht="15.75" hidden="false" customHeight="false" outlineLevel="0" collapsed="false">
      <c r="A43" s="0" t="s">
        <v>25</v>
      </c>
      <c r="B43" s="1" t="n">
        <v>43903</v>
      </c>
      <c r="C43" s="6" t="n">
        <v>614</v>
      </c>
      <c r="D43" s="6" t="n">
        <v>111</v>
      </c>
      <c r="E43" s="6" t="n">
        <v>5</v>
      </c>
      <c r="F43" s="6" t="n">
        <v>0</v>
      </c>
      <c r="G43" s="6" t="n">
        <v>2</v>
      </c>
      <c r="H43" s="6" t="n">
        <v>607</v>
      </c>
      <c r="I43" s="6" t="n">
        <v>1</v>
      </c>
      <c r="J43" s="6" t="n">
        <v>35.8</v>
      </c>
      <c r="K43" s="6"/>
      <c r="L43" s="6"/>
      <c r="M43" s="6"/>
    </row>
    <row r="44" customFormat="false" ht="15.75" hidden="false" customHeight="false" outlineLevel="0" collapsed="false">
      <c r="A44" s="0" t="s">
        <v>25</v>
      </c>
      <c r="B44" s="1" t="n">
        <v>43904</v>
      </c>
      <c r="C44" s="6" t="n">
        <v>804</v>
      </c>
      <c r="D44" s="6" t="n">
        <v>190</v>
      </c>
      <c r="E44" s="6" t="n">
        <v>10</v>
      </c>
      <c r="F44" s="6" t="n">
        <v>5</v>
      </c>
      <c r="G44" s="6" t="n">
        <v>2</v>
      </c>
      <c r="H44" s="6" t="n">
        <v>792</v>
      </c>
      <c r="I44" s="6" t="n">
        <v>1</v>
      </c>
      <c r="J44" s="6" t="n">
        <v>46.9</v>
      </c>
      <c r="K44" s="6"/>
      <c r="L44" s="6"/>
      <c r="M44" s="6"/>
    </row>
    <row r="45" customFormat="false" ht="15.75" hidden="false" customHeight="false" outlineLevel="0" collapsed="false">
      <c r="A45" s="0" t="s">
        <v>25</v>
      </c>
      <c r="B45" s="1" t="n">
        <v>43905</v>
      </c>
      <c r="C45" s="6" t="n">
        <v>959</v>
      </c>
      <c r="D45" s="6" t="n">
        <v>155</v>
      </c>
      <c r="E45" s="6" t="n">
        <v>12</v>
      </c>
      <c r="F45" s="6" t="n">
        <v>2</v>
      </c>
      <c r="G45" s="6" t="n">
        <v>2</v>
      </c>
      <c r="H45" s="6" t="n">
        <v>945</v>
      </c>
      <c r="I45" s="6" t="n">
        <v>45</v>
      </c>
      <c r="J45" s="6" t="n">
        <v>56</v>
      </c>
      <c r="K45" s="6"/>
      <c r="L45" s="6"/>
      <c r="M45" s="6"/>
    </row>
    <row r="46" customFormat="false" ht="15.75" hidden="false" customHeight="false" outlineLevel="0" collapsed="false">
      <c r="A46" s="0" t="s">
        <v>25</v>
      </c>
      <c r="B46" s="1" t="n">
        <v>43906</v>
      </c>
      <c r="C46" s="6" t="n">
        <v>1135</v>
      </c>
      <c r="D46" s="6" t="n">
        <v>176</v>
      </c>
      <c r="E46" s="6" t="n">
        <v>20</v>
      </c>
      <c r="F46" s="6" t="n">
        <v>8</v>
      </c>
      <c r="G46" s="6" t="n">
        <v>2</v>
      </c>
      <c r="H46" s="6" t="n">
        <v>1113</v>
      </c>
      <c r="I46" s="6" t="n">
        <v>45</v>
      </c>
      <c r="J46" s="6" t="n">
        <v>66.2</v>
      </c>
      <c r="K46" s="6"/>
      <c r="L46" s="6"/>
      <c r="M46" s="6"/>
    </row>
    <row r="47" customFormat="false" ht="15.75" hidden="false" customHeight="false" outlineLevel="0" collapsed="false">
      <c r="A47" s="0" t="s">
        <v>25</v>
      </c>
      <c r="B47" s="1" t="n">
        <v>43907</v>
      </c>
      <c r="C47" s="6" t="n">
        <v>1413</v>
      </c>
      <c r="D47" s="6" t="n">
        <v>278</v>
      </c>
      <c r="E47" s="6" t="n">
        <v>24</v>
      </c>
      <c r="F47" s="6" t="n">
        <v>4</v>
      </c>
      <c r="G47" s="6" t="n">
        <v>2</v>
      </c>
      <c r="H47" s="6" t="n">
        <v>1387</v>
      </c>
      <c r="I47" s="6" t="n">
        <v>45</v>
      </c>
      <c r="J47" s="6" t="n">
        <v>82.5</v>
      </c>
      <c r="K47" s="6"/>
      <c r="L47" s="6"/>
      <c r="M47" s="6"/>
    </row>
    <row r="48" customFormat="false" ht="15.75" hidden="false" customHeight="false" outlineLevel="0" collapsed="false">
      <c r="A48" s="0" t="s">
        <v>25</v>
      </c>
      <c r="B48" s="1" t="n">
        <v>43908</v>
      </c>
      <c r="C48" s="6" t="n">
        <v>1705</v>
      </c>
      <c r="D48" s="6" t="n">
        <v>292</v>
      </c>
      <c r="E48" s="6" t="n">
        <v>43</v>
      </c>
      <c r="F48" s="6" t="n">
        <v>19</v>
      </c>
      <c r="G48" s="6" t="n">
        <v>2</v>
      </c>
      <c r="H48" s="6" t="n">
        <v>1660</v>
      </c>
      <c r="I48" s="6" t="n">
        <v>45</v>
      </c>
      <c r="J48" s="6" t="n">
        <v>99.5</v>
      </c>
      <c r="K48" s="6"/>
      <c r="L48" s="6"/>
      <c r="M48" s="6"/>
    </row>
    <row r="49" customFormat="false" ht="15.75" hidden="false" customHeight="false" outlineLevel="0" collapsed="false">
      <c r="A49" s="0" t="s">
        <v>25</v>
      </c>
      <c r="B49" s="1" t="n">
        <v>43909</v>
      </c>
      <c r="C49" s="6" t="n">
        <v>2051</v>
      </c>
      <c r="D49" s="6" t="n">
        <v>346</v>
      </c>
      <c r="E49" s="6" t="n">
        <v>58</v>
      </c>
      <c r="F49" s="6" t="n">
        <v>15</v>
      </c>
      <c r="G49" s="6" t="n">
        <v>2</v>
      </c>
      <c r="H49" s="6" t="n">
        <v>1991</v>
      </c>
      <c r="I49" s="6" t="n">
        <v>45</v>
      </c>
      <c r="J49" s="6" t="n">
        <v>120</v>
      </c>
      <c r="K49" s="6"/>
      <c r="L49" s="6"/>
      <c r="M49" s="6"/>
    </row>
    <row r="50" customFormat="false" ht="15.75" hidden="false" customHeight="false" outlineLevel="0" collapsed="false">
      <c r="A50" s="0" t="s">
        <v>25</v>
      </c>
      <c r="B50" s="1" t="n">
        <v>43910</v>
      </c>
      <c r="C50" s="6" t="n">
        <v>2460</v>
      </c>
      <c r="D50" s="6" t="n">
        <v>409</v>
      </c>
      <c r="E50" s="6" t="n">
        <v>76</v>
      </c>
      <c r="F50" s="6" t="n">
        <v>18</v>
      </c>
      <c r="G50" s="6" t="n">
        <v>2</v>
      </c>
      <c r="H50" s="6" t="n">
        <v>2382</v>
      </c>
      <c r="I50" s="6" t="n">
        <v>45</v>
      </c>
      <c r="J50" s="6" t="n">
        <v>144</v>
      </c>
      <c r="K50" s="6"/>
      <c r="L50" s="6"/>
      <c r="M50" s="6"/>
    </row>
    <row r="51" customFormat="false" ht="15.75" hidden="false" customHeight="false" outlineLevel="0" collapsed="false">
      <c r="A51" s="0" t="s">
        <v>25</v>
      </c>
      <c r="B51" s="1" t="n">
        <v>43911</v>
      </c>
      <c r="C51" s="6" t="n">
        <v>2994</v>
      </c>
      <c r="D51" s="6" t="n">
        <v>534</v>
      </c>
      <c r="E51" s="6" t="n">
        <v>106</v>
      </c>
      <c r="F51" s="6" t="n">
        <v>30</v>
      </c>
      <c r="G51" s="6" t="n">
        <v>2</v>
      </c>
      <c r="H51" s="6" t="n">
        <v>2886</v>
      </c>
      <c r="I51" s="6" t="n">
        <v>210</v>
      </c>
      <c r="J51" s="6" t="n">
        <v>175</v>
      </c>
      <c r="K51" s="6"/>
      <c r="L51" s="6"/>
      <c r="M51" s="6"/>
    </row>
    <row r="52" customFormat="false" ht="15.75" hidden="false" customHeight="false" outlineLevel="0" collapsed="false">
      <c r="A52" s="0" t="s">
        <v>25</v>
      </c>
      <c r="B52" s="1" t="n">
        <v>43912</v>
      </c>
      <c r="C52" s="6" t="n">
        <v>3631</v>
      </c>
      <c r="D52" s="6" t="n">
        <v>637</v>
      </c>
      <c r="E52" s="6" t="n">
        <v>136</v>
      </c>
      <c r="F52" s="6" t="n">
        <v>30</v>
      </c>
      <c r="G52" s="6" t="n">
        <v>2</v>
      </c>
      <c r="H52" s="6" t="n">
        <v>3493</v>
      </c>
      <c r="I52" s="6" t="n">
        <v>354</v>
      </c>
      <c r="J52" s="6" t="n">
        <v>212</v>
      </c>
      <c r="K52" s="6"/>
      <c r="L52" s="6"/>
      <c r="M52" s="6"/>
    </row>
    <row r="53" customFormat="false" ht="15.75" hidden="false" customHeight="false" outlineLevel="0" collapsed="false">
      <c r="A53" s="0" t="s">
        <v>25</v>
      </c>
      <c r="B53" s="1" t="n">
        <v>43913</v>
      </c>
      <c r="C53" s="6" t="n">
        <v>4204</v>
      </c>
      <c r="D53" s="6" t="n">
        <v>573</v>
      </c>
      <c r="E53" s="6" t="n">
        <v>179</v>
      </c>
      <c r="F53" s="6" t="n">
        <v>43</v>
      </c>
      <c r="G53" s="6" t="n">
        <v>2</v>
      </c>
      <c r="H53" s="6" t="n">
        <v>4023</v>
      </c>
      <c r="I53" s="6" t="n">
        <v>354</v>
      </c>
      <c r="J53" s="6" t="n">
        <v>245</v>
      </c>
      <c r="K53" s="6"/>
      <c r="L53" s="6"/>
      <c r="M53" s="6"/>
    </row>
    <row r="54" customFormat="false" ht="15.75" hidden="false" customHeight="false" outlineLevel="0" collapsed="false">
      <c r="A54" s="0" t="s">
        <v>25</v>
      </c>
      <c r="B54" s="1" t="n">
        <v>43914</v>
      </c>
      <c r="C54" s="6" t="n">
        <v>4749</v>
      </c>
      <c r="D54" s="6" t="n">
        <v>545</v>
      </c>
      <c r="E54" s="6" t="n">
        <v>213</v>
      </c>
      <c r="F54" s="6" t="n">
        <v>34</v>
      </c>
      <c r="G54" s="6" t="n">
        <v>2</v>
      </c>
      <c r="H54" s="6" t="n">
        <v>4534</v>
      </c>
      <c r="I54" s="6" t="n">
        <v>435</v>
      </c>
      <c r="J54" s="6" t="n">
        <v>277</v>
      </c>
      <c r="K54" s="6"/>
      <c r="L54" s="6"/>
      <c r="M54" s="6"/>
    </row>
    <row r="55" customFormat="false" ht="15.75" hidden="false" customHeight="false" outlineLevel="0" collapsed="false">
      <c r="A55" s="0" t="s">
        <v>25</v>
      </c>
      <c r="B55" s="1" t="n">
        <v>43915</v>
      </c>
      <c r="C55" s="7" t="n">
        <v>5560</v>
      </c>
      <c r="D55" s="7" t="n">
        <v>811</v>
      </c>
      <c r="E55" s="7" t="n">
        <v>276</v>
      </c>
      <c r="F55" s="7" t="n">
        <v>63</v>
      </c>
      <c r="G55" s="7" t="n">
        <v>2</v>
      </c>
      <c r="H55" s="7" t="n">
        <v>5282</v>
      </c>
      <c r="I55" s="7" t="n">
        <v>435</v>
      </c>
      <c r="J55" s="7" t="n">
        <v>324</v>
      </c>
      <c r="K55" s="7" t="n">
        <v>16</v>
      </c>
      <c r="L55" s="7"/>
      <c r="M55" s="7"/>
    </row>
    <row r="56" customFormat="false" ht="15.75" hidden="false" customHeight="false" outlineLevel="0" collapsed="false">
      <c r="A56" s="0" t="s">
        <v>25</v>
      </c>
      <c r="B56" s="1" t="n">
        <v>43916</v>
      </c>
      <c r="C56" s="7" t="n">
        <v>6412</v>
      </c>
      <c r="D56" s="7" t="n">
        <v>852</v>
      </c>
      <c r="E56" s="7" t="n">
        <v>356</v>
      </c>
      <c r="F56" s="7" t="n">
        <v>80</v>
      </c>
      <c r="G56" s="7" t="n">
        <v>3</v>
      </c>
      <c r="H56" s="7" t="n">
        <v>6053</v>
      </c>
      <c r="I56" s="7" t="n">
        <v>582</v>
      </c>
      <c r="J56" s="7" t="n">
        <v>374</v>
      </c>
      <c r="K56" s="7" t="n">
        <v>21</v>
      </c>
      <c r="L56" s="7"/>
      <c r="M56" s="7"/>
    </row>
    <row r="57" customFormat="false" ht="15.75" hidden="false" customHeight="false" outlineLevel="0" collapsed="false">
      <c r="A57" s="0" t="s">
        <v>25</v>
      </c>
      <c r="B57" s="1" t="n">
        <v>43917</v>
      </c>
      <c r="C57" s="7" t="n">
        <v>7431</v>
      </c>
      <c r="D57" s="7" t="n">
        <v>1019</v>
      </c>
      <c r="E57" s="7" t="n">
        <v>434</v>
      </c>
      <c r="F57" s="7" t="n">
        <v>78</v>
      </c>
      <c r="G57" s="7" t="n">
        <v>3</v>
      </c>
      <c r="H57" s="7" t="n">
        <v>6994</v>
      </c>
      <c r="I57" s="7" t="n">
        <v>761</v>
      </c>
      <c r="J57" s="7" t="n">
        <v>434</v>
      </c>
      <c r="K57" s="7" t="n">
        <v>25</v>
      </c>
      <c r="L57" s="7"/>
      <c r="M57" s="7"/>
    </row>
    <row r="58" customFormat="false" ht="15.75" hidden="false" customHeight="false" outlineLevel="0" collapsed="false">
      <c r="A58" s="0" t="s">
        <v>25</v>
      </c>
      <c r="B58" s="1" t="n">
        <v>43918</v>
      </c>
      <c r="C58" s="7" t="n">
        <v>8603</v>
      </c>
      <c r="D58" s="7" t="n">
        <v>1172</v>
      </c>
      <c r="E58" s="7" t="n">
        <v>546</v>
      </c>
      <c r="F58" s="7" t="n">
        <v>112</v>
      </c>
      <c r="G58" s="7" t="n">
        <v>3</v>
      </c>
      <c r="H58" s="7" t="n">
        <v>8054</v>
      </c>
      <c r="I58" s="7" t="n">
        <v>761</v>
      </c>
      <c r="J58" s="7" t="n">
        <v>502</v>
      </c>
      <c r="K58" s="7" t="n">
        <v>32</v>
      </c>
      <c r="L58" s="7"/>
      <c r="M58" s="7"/>
    </row>
    <row r="59" customFormat="false" ht="15.75" hidden="false" customHeight="false" outlineLevel="0" collapsed="false">
      <c r="A59" s="0" t="s">
        <v>25</v>
      </c>
      <c r="B59" s="1" t="n">
        <v>43919</v>
      </c>
      <c r="C59" s="7" t="n">
        <v>9762</v>
      </c>
      <c r="D59" s="7" t="n">
        <v>1159</v>
      </c>
      <c r="E59" s="7" t="n">
        <v>639</v>
      </c>
      <c r="F59" s="7" t="n">
        <v>93</v>
      </c>
      <c r="G59" s="7" t="n">
        <v>3</v>
      </c>
      <c r="H59" s="7" t="n">
        <v>9120</v>
      </c>
      <c r="I59" s="7" t="n">
        <v>761</v>
      </c>
      <c r="J59" s="7" t="n">
        <v>570</v>
      </c>
      <c r="K59" s="7" t="n">
        <v>37</v>
      </c>
      <c r="L59" s="7"/>
      <c r="M59" s="7"/>
    </row>
    <row r="60" customFormat="false" ht="15.75" hidden="false" customHeight="false" outlineLevel="0" collapsed="false">
      <c r="A60" s="0" t="s">
        <v>25</v>
      </c>
      <c r="B60" s="1" t="n">
        <v>43920</v>
      </c>
      <c r="C60" s="7" t="n">
        <v>10866</v>
      </c>
      <c r="D60" s="7" t="n">
        <v>1104</v>
      </c>
      <c r="E60" s="7" t="n">
        <v>771</v>
      </c>
      <c r="F60" s="7" t="n">
        <v>132</v>
      </c>
      <c r="G60" s="7" t="n">
        <v>250</v>
      </c>
      <c r="H60" s="7" t="n">
        <v>9845</v>
      </c>
      <c r="I60" s="7" t="n">
        <v>972</v>
      </c>
      <c r="J60" s="7" t="n">
        <v>634</v>
      </c>
      <c r="K60" s="7" t="n">
        <v>45</v>
      </c>
      <c r="L60" s="7"/>
      <c r="M60" s="7"/>
    </row>
    <row r="61" customFormat="false" ht="15.75" hidden="false" customHeight="false" outlineLevel="0" collapsed="false">
      <c r="A61" s="0" t="s">
        <v>25</v>
      </c>
      <c r="B61" s="1" t="n">
        <v>43921</v>
      </c>
      <c r="C61" s="7" t="n">
        <v>11750</v>
      </c>
      <c r="D61" s="7" t="n">
        <v>884</v>
      </c>
      <c r="E61" s="7" t="n">
        <v>864</v>
      </c>
      <c r="F61" s="7" t="n">
        <v>93</v>
      </c>
      <c r="G61" s="7" t="n">
        <v>250</v>
      </c>
      <c r="H61" s="7" t="n">
        <v>10636</v>
      </c>
      <c r="I61" s="7" t="n">
        <v>1053</v>
      </c>
      <c r="J61" s="7" t="n">
        <v>686</v>
      </c>
      <c r="K61" s="7" t="n">
        <v>50</v>
      </c>
      <c r="L61" s="7"/>
      <c r="M61" s="7"/>
    </row>
    <row r="62" customFormat="false" ht="15.75" hidden="false" customHeight="false" outlineLevel="0" collapsed="false">
      <c r="A62" s="0" t="s">
        <v>25</v>
      </c>
      <c r="B62" s="1" t="n">
        <v>43922</v>
      </c>
      <c r="C62" s="7" t="n">
        <v>12595</v>
      </c>
      <c r="D62" s="7" t="n">
        <v>845</v>
      </c>
      <c r="E62" s="7" t="n">
        <v>1039</v>
      </c>
      <c r="F62" s="7" t="n">
        <v>175</v>
      </c>
      <c r="G62" s="7" t="n">
        <v>250</v>
      </c>
      <c r="H62" s="7" t="n">
        <v>11306</v>
      </c>
      <c r="I62" s="7" t="n">
        <v>1053</v>
      </c>
      <c r="J62" s="7" t="n">
        <v>735</v>
      </c>
      <c r="K62" s="7" t="n">
        <v>61</v>
      </c>
      <c r="L62" s="7"/>
      <c r="M62" s="7"/>
    </row>
    <row r="63" customFormat="false" ht="15.75" hidden="false" customHeight="false" outlineLevel="0" collapsed="false">
      <c r="A63" s="0" t="s">
        <v>25</v>
      </c>
      <c r="B63" s="1" t="n">
        <v>43923</v>
      </c>
      <c r="C63" s="7" t="n">
        <v>13614</v>
      </c>
      <c r="D63" s="7" t="n">
        <v>1019</v>
      </c>
      <c r="E63" s="7" t="n">
        <v>1173</v>
      </c>
      <c r="F63" s="7" t="n">
        <v>134</v>
      </c>
      <c r="G63" s="7" t="n">
        <v>250</v>
      </c>
      <c r="H63" s="7" t="n">
        <v>12191</v>
      </c>
      <c r="I63" s="7" t="n">
        <v>1053</v>
      </c>
      <c r="J63" s="7" t="n">
        <v>795</v>
      </c>
      <c r="K63" s="7" t="n">
        <v>68</v>
      </c>
      <c r="L63" s="7"/>
      <c r="M63" s="7"/>
    </row>
    <row r="64" customFormat="false" ht="15.75" hidden="false" customHeight="false" outlineLevel="0" collapsed="false">
      <c r="A64" s="0" t="s">
        <v>25</v>
      </c>
      <c r="B64" s="1" t="n">
        <v>43924</v>
      </c>
      <c r="C64" s="7" t="n">
        <v>14697</v>
      </c>
      <c r="D64" s="7" t="n">
        <v>1083</v>
      </c>
      <c r="E64" s="7" t="n">
        <v>1339</v>
      </c>
      <c r="F64" s="7" t="n">
        <v>166</v>
      </c>
      <c r="G64" s="7" t="n">
        <v>250</v>
      </c>
      <c r="H64" s="7" t="n">
        <v>13108</v>
      </c>
      <c r="I64" s="7" t="n">
        <v>1053</v>
      </c>
      <c r="J64" s="7" t="n">
        <v>858</v>
      </c>
      <c r="K64" s="7" t="n">
        <v>78</v>
      </c>
      <c r="L64" s="7"/>
      <c r="M64" s="7"/>
    </row>
    <row r="65" customFormat="false" ht="15.75" hidden="false" customHeight="false" outlineLevel="0" collapsed="false">
      <c r="A65" s="0" t="s">
        <v>25</v>
      </c>
      <c r="B65" s="1" t="n">
        <v>43925</v>
      </c>
      <c r="C65" s="7" t="n">
        <v>15723</v>
      </c>
      <c r="D65" s="7" t="n">
        <v>1026</v>
      </c>
      <c r="E65" s="7" t="n">
        <v>1487</v>
      </c>
      <c r="F65" s="7" t="n">
        <v>148</v>
      </c>
      <c r="G65" s="7" t="n">
        <v>250</v>
      </c>
      <c r="H65" s="7" t="n">
        <v>13986</v>
      </c>
      <c r="I65" s="7" t="n">
        <v>1324</v>
      </c>
      <c r="J65" s="7" t="n">
        <v>918</v>
      </c>
      <c r="K65" s="7" t="n">
        <v>87</v>
      </c>
      <c r="L65" s="7"/>
      <c r="M65" s="7"/>
    </row>
    <row r="66" customFormat="false" ht="15.75" hidden="false" customHeight="false" outlineLevel="0" collapsed="false">
      <c r="A66" s="0" t="s">
        <v>25</v>
      </c>
      <c r="B66" s="1" t="n">
        <v>43926</v>
      </c>
      <c r="C66" s="7" t="n">
        <v>16627</v>
      </c>
      <c r="D66" s="7" t="n">
        <v>904</v>
      </c>
      <c r="E66" s="7" t="n">
        <v>1651</v>
      </c>
      <c r="F66" s="7" t="n">
        <v>164</v>
      </c>
      <c r="G66" s="7" t="n">
        <v>250</v>
      </c>
      <c r="H66" s="7" t="n">
        <v>14726</v>
      </c>
      <c r="I66" s="7" t="n">
        <v>1360</v>
      </c>
      <c r="J66" s="7" t="n">
        <v>970</v>
      </c>
      <c r="K66" s="7" t="n">
        <v>96</v>
      </c>
      <c r="L66" s="7" t="n">
        <v>75415</v>
      </c>
      <c r="M66" s="7" t="n">
        <v>4401</v>
      </c>
    </row>
    <row r="67" customFormat="false" ht="15.75" hidden="false" customHeight="false" outlineLevel="0" collapsed="false">
      <c r="A67" s="0" t="s">
        <v>25</v>
      </c>
      <c r="B67" s="1" t="n">
        <v>43927</v>
      </c>
      <c r="C67" s="7" t="n">
        <v>17851</v>
      </c>
      <c r="D67" s="7" t="n">
        <v>1224</v>
      </c>
      <c r="E67" s="7" t="n">
        <v>1766</v>
      </c>
      <c r="F67" s="7" t="n">
        <v>115</v>
      </c>
      <c r="G67" s="7" t="n">
        <v>250</v>
      </c>
      <c r="H67" s="7" t="n">
        <v>15835</v>
      </c>
      <c r="I67" s="7" t="n">
        <v>1385</v>
      </c>
      <c r="J67" s="7" t="n">
        <v>1042</v>
      </c>
      <c r="K67" s="7" t="n">
        <v>103</v>
      </c>
      <c r="L67" s="7" t="n">
        <v>75415</v>
      </c>
      <c r="M67" s="7" t="n">
        <v>4401</v>
      </c>
    </row>
    <row r="68" customFormat="false" ht="15.75" hidden="false" customHeight="false" outlineLevel="0" collapsed="false">
      <c r="A68" s="0" t="s">
        <v>25</v>
      </c>
      <c r="B68" s="1" t="n">
        <v>43928</v>
      </c>
      <c r="C68" s="12" t="n">
        <v>18803</v>
      </c>
      <c r="D68" s="12" t="n">
        <v>952</v>
      </c>
      <c r="E68" s="12" t="n">
        <v>1867</v>
      </c>
      <c r="F68" s="12" t="n">
        <v>101</v>
      </c>
      <c r="G68" s="12" t="n">
        <v>250</v>
      </c>
      <c r="H68" s="12" t="n">
        <v>16686</v>
      </c>
      <c r="I68" s="12" t="n">
        <v>1409</v>
      </c>
      <c r="J68" s="12" t="n">
        <v>1097</v>
      </c>
      <c r="K68" s="12" t="n">
        <v>109</v>
      </c>
      <c r="L68" s="12" t="n">
        <v>86589</v>
      </c>
      <c r="M68" s="12" t="n">
        <v>5053</v>
      </c>
    </row>
    <row r="69" customFormat="false" ht="15.75" hidden="false" customHeight="false" outlineLevel="0" collapsed="false">
      <c r="A69" s="0" t="s">
        <v>25</v>
      </c>
      <c r="B69" s="1" t="n">
        <v>43929</v>
      </c>
      <c r="C69" s="14" t="n">
        <v>19580</v>
      </c>
      <c r="D69" s="14" t="n">
        <v>777</v>
      </c>
      <c r="E69" s="14" t="n">
        <v>2101</v>
      </c>
      <c r="F69" s="14" t="n">
        <v>234</v>
      </c>
      <c r="G69" s="14" t="n">
        <v>250</v>
      </c>
      <c r="H69" s="14" t="n">
        <v>17229</v>
      </c>
      <c r="I69" s="14" t="n">
        <v>1424</v>
      </c>
      <c r="J69" s="14" t="n">
        <v>1143</v>
      </c>
      <c r="K69" s="14" t="n">
        <v>123</v>
      </c>
      <c r="L69" s="14" t="n">
        <v>86589</v>
      </c>
      <c r="M69" s="14" t="n">
        <v>5053</v>
      </c>
    </row>
    <row r="70" customFormat="false" ht="15.75" hidden="false" customHeight="false" outlineLevel="0" collapsed="false">
      <c r="A70" s="0" t="s">
        <v>25</v>
      </c>
      <c r="B70" s="1" t="n">
        <v>43930</v>
      </c>
      <c r="C70" s="14" t="n">
        <v>20549</v>
      </c>
      <c r="D70" s="14" t="n">
        <v>969</v>
      </c>
      <c r="E70" s="14" t="n">
        <v>2248</v>
      </c>
      <c r="F70" s="14" t="n">
        <v>147</v>
      </c>
      <c r="G70" s="14" t="n">
        <v>250</v>
      </c>
      <c r="H70" s="14" t="n">
        <v>18051</v>
      </c>
      <c r="I70" s="14" t="n">
        <v>1424</v>
      </c>
      <c r="J70" s="14" t="n">
        <v>1199</v>
      </c>
      <c r="K70" s="14" t="n">
        <v>131</v>
      </c>
      <c r="L70" s="14" t="n">
        <v>101534</v>
      </c>
      <c r="M70" s="14" t="n">
        <v>5926</v>
      </c>
    </row>
    <row r="71" customFormat="false" ht="15.75" hidden="false" customHeight="false" outlineLevel="0" collapsed="false">
      <c r="A71" s="0" t="s">
        <v>25</v>
      </c>
      <c r="B71" s="1" t="n">
        <v>43931</v>
      </c>
      <c r="C71" s="14" t="n">
        <v>21762</v>
      </c>
      <c r="D71" s="14" t="n">
        <v>1213</v>
      </c>
      <c r="E71" s="14" t="n">
        <v>2396</v>
      </c>
      <c r="F71" s="14" t="n">
        <v>148</v>
      </c>
      <c r="G71" s="14" t="n">
        <v>250</v>
      </c>
      <c r="H71" s="14" t="n">
        <v>19116</v>
      </c>
      <c r="I71" s="14" t="n">
        <v>1424</v>
      </c>
      <c r="J71" s="14" t="n">
        <v>1270</v>
      </c>
      <c r="K71" s="14" t="n">
        <v>140</v>
      </c>
      <c r="L71" s="14" t="n">
        <v>101534</v>
      </c>
      <c r="M71" s="14" t="n">
        <v>5926</v>
      </c>
    </row>
    <row r="72" customFormat="false" ht="15.75" hidden="false" customHeight="false" outlineLevel="0" collapsed="false">
      <c r="A72" s="0" t="s">
        <v>25</v>
      </c>
      <c r="B72" s="1" t="n">
        <v>43932</v>
      </c>
      <c r="C72" s="14" t="n">
        <v>23097</v>
      </c>
      <c r="D72" s="14" t="n">
        <v>1335</v>
      </c>
      <c r="E72" s="14" t="n">
        <v>2511</v>
      </c>
      <c r="F72" s="14" t="n">
        <v>115</v>
      </c>
      <c r="G72" s="14" t="n">
        <v>250</v>
      </c>
      <c r="H72" s="14" t="n">
        <v>20336</v>
      </c>
      <c r="I72" s="14" t="n">
        <v>1424</v>
      </c>
      <c r="J72" s="14" t="n">
        <v>1348</v>
      </c>
      <c r="K72" s="14" t="n">
        <v>147</v>
      </c>
      <c r="L72" s="14" t="n">
        <v>101534</v>
      </c>
      <c r="M72" s="14" t="n">
        <v>5926</v>
      </c>
    </row>
    <row r="73" customFormat="false" ht="15.75" hidden="false" customHeight="false" outlineLevel="0" collapsed="false">
      <c r="A73" s="0" t="s">
        <v>25</v>
      </c>
      <c r="B73" s="1" t="n">
        <v>43933</v>
      </c>
      <c r="C73" s="14" t="n">
        <v>24413</v>
      </c>
      <c r="D73" s="14" t="n">
        <v>1316</v>
      </c>
      <c r="E73" s="14" t="n">
        <v>2643</v>
      </c>
      <c r="F73" s="14" t="n">
        <v>132</v>
      </c>
      <c r="G73" s="14" t="n">
        <v>250</v>
      </c>
      <c r="H73" s="14" t="n">
        <v>21520</v>
      </c>
      <c r="I73" s="14" t="n">
        <v>1384</v>
      </c>
      <c r="J73" s="14" t="n">
        <v>1425</v>
      </c>
      <c r="K73" s="14" t="n">
        <v>154</v>
      </c>
      <c r="L73" s="14" t="n">
        <v>101534</v>
      </c>
      <c r="M73" s="14" t="n">
        <v>5926</v>
      </c>
    </row>
    <row r="74" customFormat="false" ht="15.75" hidden="false" customHeight="false" outlineLevel="0" collapsed="false">
      <c r="A74" s="0" t="s">
        <v>25</v>
      </c>
      <c r="B74" s="1" t="n">
        <v>43934</v>
      </c>
      <c r="C74" s="14" t="n">
        <v>25587</v>
      </c>
      <c r="D74" s="14" t="n">
        <v>1174</v>
      </c>
      <c r="E74" s="14" t="n">
        <v>2737</v>
      </c>
      <c r="F74" s="14" t="n">
        <v>94</v>
      </c>
      <c r="G74" s="14" t="n">
        <v>250</v>
      </c>
      <c r="H74" s="14" t="n">
        <v>22600</v>
      </c>
      <c r="I74" s="14" t="n">
        <v>1384</v>
      </c>
      <c r="J74" s="14" t="n">
        <v>1493</v>
      </c>
      <c r="K74" s="14" t="n">
        <v>160</v>
      </c>
      <c r="L74" s="14" t="n">
        <v>101534</v>
      </c>
      <c r="M74" s="14" t="n">
        <v>5926</v>
      </c>
    </row>
    <row r="75" customFormat="false" ht="15.75" hidden="false" customHeight="false" outlineLevel="0" collapsed="false">
      <c r="A75" s="0" t="s">
        <v>25</v>
      </c>
      <c r="B75" s="1" t="n">
        <v>43935</v>
      </c>
      <c r="C75" s="14" t="n">
        <v>26551</v>
      </c>
      <c r="D75" s="14" t="n">
        <v>964</v>
      </c>
      <c r="E75" s="14" t="n">
        <v>2823</v>
      </c>
      <c r="F75" s="14" t="n">
        <v>86</v>
      </c>
      <c r="G75" s="14" t="n">
        <v>250</v>
      </c>
      <c r="H75" s="14" t="n">
        <v>23478</v>
      </c>
      <c r="I75" s="14" t="n">
        <v>1358</v>
      </c>
      <c r="J75" s="14" t="n">
        <v>1550</v>
      </c>
      <c r="K75" s="14" t="n">
        <v>165</v>
      </c>
      <c r="L75" s="14" t="n">
        <v>115992</v>
      </c>
      <c r="M75" s="14" t="n">
        <v>6769</v>
      </c>
    </row>
    <row r="76" customFormat="false" ht="15.75" hidden="false" customHeight="false" outlineLevel="0" collapsed="false">
      <c r="A76" s="0" t="s">
        <v>25</v>
      </c>
      <c r="B76" s="1" t="n">
        <v>43936</v>
      </c>
      <c r="C76" s="14" t="n">
        <v>27419</v>
      </c>
      <c r="D76" s="14" t="n">
        <v>868</v>
      </c>
      <c r="E76" s="14" t="n">
        <v>2945</v>
      </c>
      <c r="F76" s="14" t="n">
        <v>122</v>
      </c>
      <c r="G76" s="14" t="n">
        <v>250</v>
      </c>
      <c r="H76" s="14" t="n">
        <v>24224</v>
      </c>
      <c r="I76" s="14" t="n">
        <v>1358</v>
      </c>
      <c r="J76" s="14" t="n">
        <v>1600</v>
      </c>
      <c r="K76" s="14" t="n">
        <v>172</v>
      </c>
      <c r="L76" s="14" t="n">
        <v>134972</v>
      </c>
      <c r="M76" s="14" t="n">
        <v>7877</v>
      </c>
    </row>
    <row r="77" customFormat="false" ht="15.75" hidden="false" customHeight="false" outlineLevel="0" collapsed="false">
      <c r="A77" s="0" t="s">
        <v>25</v>
      </c>
      <c r="B77" s="1" t="n">
        <v>43937</v>
      </c>
      <c r="C77" s="14" t="n">
        <v>28153</v>
      </c>
      <c r="D77" s="14" t="n">
        <v>734</v>
      </c>
      <c r="E77" s="14" t="n">
        <v>3134</v>
      </c>
      <c r="F77" s="14" t="n">
        <v>189</v>
      </c>
      <c r="G77" s="14" t="n">
        <v>250</v>
      </c>
      <c r="H77" s="14" t="n">
        <v>24769</v>
      </c>
      <c r="I77" s="14" t="n">
        <v>1279</v>
      </c>
      <c r="J77" s="14" t="n">
        <v>1643</v>
      </c>
      <c r="K77" s="14" t="n">
        <v>183</v>
      </c>
      <c r="L77" s="14" t="n">
        <v>140845</v>
      </c>
      <c r="M77" s="14" t="n">
        <v>8220</v>
      </c>
    </row>
    <row r="78" customFormat="false" ht="15.75" hidden="false" customHeight="false" outlineLevel="0" collapsed="false">
      <c r="A78" s="0" t="s">
        <v>25</v>
      </c>
      <c r="B78" s="1" t="n">
        <v>43938</v>
      </c>
      <c r="C78" s="14" t="n">
        <v>29214</v>
      </c>
      <c r="D78" s="14" t="n">
        <v>1061</v>
      </c>
      <c r="E78" s="14" t="n">
        <v>3315</v>
      </c>
      <c r="F78" s="14" t="n">
        <v>181</v>
      </c>
      <c r="G78" s="14" t="n">
        <v>250</v>
      </c>
      <c r="H78" s="14" t="n">
        <v>25649</v>
      </c>
      <c r="I78" s="14" t="n">
        <v>1279</v>
      </c>
      <c r="J78" s="14" t="n">
        <v>1705</v>
      </c>
      <c r="K78" s="14" t="n">
        <v>193</v>
      </c>
      <c r="L78" s="14" t="n">
        <v>147948</v>
      </c>
      <c r="M78" s="14" t="n">
        <v>8634</v>
      </c>
    </row>
    <row r="79" customFormat="false" ht="15.75" hidden="false" customHeight="false" outlineLevel="0" collapsed="false">
      <c r="A79" s="0" t="s">
        <v>25</v>
      </c>
      <c r="B79" s="1" t="n">
        <v>43939</v>
      </c>
      <c r="C79" s="14" t="n">
        <v>30449</v>
      </c>
      <c r="D79" s="14" t="n">
        <v>1235</v>
      </c>
      <c r="E79" s="14" t="n">
        <v>3459</v>
      </c>
      <c r="F79" s="14" t="n">
        <v>144</v>
      </c>
      <c r="G79" s="14" t="n">
        <v>250</v>
      </c>
      <c r="H79" s="14" t="n">
        <v>26740</v>
      </c>
      <c r="I79" s="14" t="n">
        <v>1279</v>
      </c>
      <c r="J79" s="14" t="n">
        <v>1777</v>
      </c>
      <c r="K79" s="14" t="n">
        <v>202</v>
      </c>
      <c r="L79" s="14" t="n">
        <v>154911</v>
      </c>
      <c r="M79" s="14" t="n">
        <v>9041</v>
      </c>
    </row>
    <row r="80" customFormat="false" ht="15.75" hidden="false" customHeight="false" outlineLevel="0" collapsed="false">
      <c r="A80" s="0" t="s">
        <v>25</v>
      </c>
      <c r="B80" s="1" t="n">
        <v>43940</v>
      </c>
      <c r="C80" s="14" t="n">
        <v>31589</v>
      </c>
      <c r="D80" s="14" t="n">
        <v>1140</v>
      </c>
      <c r="E80" s="14" t="n">
        <v>3601</v>
      </c>
      <c r="F80" s="14" t="n">
        <v>142</v>
      </c>
      <c r="G80" s="14" t="n">
        <v>250</v>
      </c>
      <c r="H80" s="14" t="n">
        <v>27738</v>
      </c>
      <c r="I80" s="14" t="n">
        <v>1279</v>
      </c>
      <c r="J80" s="14" t="n">
        <v>1844</v>
      </c>
      <c r="K80" s="14" t="n">
        <v>210</v>
      </c>
      <c r="L80" s="14" t="n">
        <v>154911</v>
      </c>
      <c r="M80" s="14" t="n">
        <v>9041</v>
      </c>
    </row>
    <row r="81" customFormat="false" ht="15.75" hidden="false" customHeight="false" outlineLevel="0" collapsed="false">
      <c r="A81" s="0" t="s">
        <v>25</v>
      </c>
      <c r="B81" s="1" t="n">
        <v>43941</v>
      </c>
      <c r="C81" s="14" t="n">
        <v>32655</v>
      </c>
      <c r="D81" s="14" t="n">
        <v>1066</v>
      </c>
      <c r="E81" s="14" t="n">
        <v>3684</v>
      </c>
      <c r="F81" s="14" t="n">
        <v>83</v>
      </c>
      <c r="G81" s="14" t="n">
        <v>250</v>
      </c>
      <c r="H81" s="14" t="n">
        <v>28721</v>
      </c>
      <c r="I81" s="14" t="n">
        <v>1176</v>
      </c>
      <c r="J81" s="14" t="n">
        <v>1906</v>
      </c>
      <c r="K81" s="14" t="n">
        <v>215</v>
      </c>
      <c r="L81" s="14" t="n">
        <v>154911</v>
      </c>
      <c r="M81" s="14" t="n">
        <v>9041</v>
      </c>
    </row>
    <row r="82" customFormat="false" ht="15.75" hidden="false" customHeight="false" outlineLevel="0" collapsed="false">
      <c r="A82" s="0" t="s">
        <v>25</v>
      </c>
      <c r="B82" s="1" t="n">
        <v>43942</v>
      </c>
      <c r="C82" s="6" t="n">
        <v>33405</v>
      </c>
      <c r="D82" s="6" t="n">
        <v>750</v>
      </c>
      <c r="E82" s="6" t="n">
        <v>3751</v>
      </c>
      <c r="F82" s="6" t="n">
        <v>67</v>
      </c>
      <c r="G82" s="6" t="n">
        <v>250</v>
      </c>
      <c r="H82" s="6" t="n">
        <v>29404</v>
      </c>
      <c r="I82" s="6" t="n">
        <v>1158</v>
      </c>
      <c r="J82" s="6" t="n">
        <v>1950</v>
      </c>
      <c r="K82" s="6" t="n">
        <v>219</v>
      </c>
      <c r="L82" s="6" t="n">
        <v>171415</v>
      </c>
      <c r="M82" s="6" t="n">
        <v>10004</v>
      </c>
    </row>
    <row r="83" customFormat="false" ht="15.75" hidden="false" customHeight="false" outlineLevel="0" collapsed="false">
      <c r="A83" s="0" t="s">
        <v>25</v>
      </c>
      <c r="B83" s="1" t="n">
        <v>43943</v>
      </c>
      <c r="C83" s="6" t="n">
        <v>34134</v>
      </c>
      <c r="D83" s="6" t="n">
        <v>729</v>
      </c>
      <c r="E83" s="6" t="n">
        <v>3916</v>
      </c>
      <c r="F83" s="6" t="n">
        <v>165</v>
      </c>
      <c r="G83" s="6" t="s">
        <v>20</v>
      </c>
      <c r="H83" s="6" t="n">
        <v>29968</v>
      </c>
      <c r="I83" s="6" t="n">
        <v>1087</v>
      </c>
      <c r="J83" s="6" t="n">
        <v>1992</v>
      </c>
      <c r="K83" s="6" t="n">
        <v>229</v>
      </c>
      <c r="L83" s="6" t="n">
        <v>171415</v>
      </c>
      <c r="M83" s="6" t="n">
        <v>10004</v>
      </c>
    </row>
    <row r="84" customFormat="false" ht="15.75" hidden="false" customHeight="false" outlineLevel="0" collapsed="false">
      <c r="A84" s="0" t="s">
        <v>25</v>
      </c>
      <c r="B84" s="1" t="n">
        <v>43944</v>
      </c>
      <c r="C84" s="6" t="n">
        <v>34842</v>
      </c>
      <c r="D84" s="6" t="n">
        <v>708</v>
      </c>
      <c r="E84" s="6" t="n">
        <v>4054</v>
      </c>
      <c r="F84" s="6" t="n">
        <v>138</v>
      </c>
      <c r="G84" s="6" t="s">
        <v>20</v>
      </c>
      <c r="H84" s="6" t="n">
        <v>30538</v>
      </c>
      <c r="I84" s="6" t="n">
        <v>1050</v>
      </c>
      <c r="J84" s="6" t="n">
        <v>2033</v>
      </c>
      <c r="K84" s="6" t="n">
        <v>237</v>
      </c>
      <c r="L84" s="6" t="n">
        <v>171415</v>
      </c>
      <c r="M84" s="6" t="n">
        <v>10004</v>
      </c>
    </row>
    <row r="85" customFormat="false" ht="15.75" hidden="false" customHeight="false" outlineLevel="0" collapsed="false">
      <c r="A85" s="0" t="s">
        <v>25</v>
      </c>
      <c r="B85" s="1" t="n">
        <v>43945</v>
      </c>
      <c r="C85" s="6" t="n">
        <v>35729</v>
      </c>
      <c r="D85" s="6" t="n">
        <v>887</v>
      </c>
      <c r="E85" s="6" t="n">
        <v>4177</v>
      </c>
      <c r="F85" s="6" t="n">
        <v>123</v>
      </c>
      <c r="G85" s="6" t="s">
        <v>20</v>
      </c>
      <c r="H85" s="6" t="n">
        <v>31302</v>
      </c>
      <c r="I85" s="6" t="n">
        <v>1008</v>
      </c>
      <c r="J85" s="6" t="n">
        <v>2085</v>
      </c>
      <c r="K85" s="6" t="n">
        <v>244</v>
      </c>
      <c r="L85" s="6" t="n">
        <v>187000</v>
      </c>
      <c r="M85" s="6" t="n">
        <v>10913</v>
      </c>
    </row>
    <row r="86" customFormat="false" ht="15.75" hidden="false" customHeight="false" outlineLevel="0" collapsed="false">
      <c r="A86" s="0" t="s">
        <v>25</v>
      </c>
      <c r="B86" s="1" t="n">
        <v>43946</v>
      </c>
      <c r="C86" s="6" t="n">
        <v>36535</v>
      </c>
      <c r="D86" s="6" t="n">
        <v>806</v>
      </c>
      <c r="E86" s="6" t="n">
        <v>4289</v>
      </c>
      <c r="F86" s="6" t="n">
        <v>112</v>
      </c>
      <c r="G86" s="6" t="s">
        <v>20</v>
      </c>
      <c r="H86" s="6" t="n">
        <v>31996</v>
      </c>
      <c r="I86" s="6" t="n">
        <v>963</v>
      </c>
      <c r="J86" s="6" t="n">
        <v>2132</v>
      </c>
      <c r="K86" s="6" t="n">
        <v>250</v>
      </c>
      <c r="L86" s="6" t="n">
        <v>187000</v>
      </c>
      <c r="M86" s="6" t="n">
        <v>10913</v>
      </c>
    </row>
    <row r="87" customFormat="false" ht="15.75" hidden="false" customHeight="false" outlineLevel="0" collapsed="false">
      <c r="A87" s="0" t="s">
        <v>25</v>
      </c>
      <c r="B87" s="1" t="n">
        <v>43947</v>
      </c>
      <c r="C87" s="6" t="n">
        <v>37190</v>
      </c>
      <c r="D87" s="6" t="n">
        <v>655</v>
      </c>
      <c r="E87" s="6" t="n">
        <v>4409</v>
      </c>
      <c r="F87" s="6" t="n">
        <v>120</v>
      </c>
      <c r="G87" s="6" t="s">
        <v>20</v>
      </c>
      <c r="H87" s="6" t="n">
        <v>32531</v>
      </c>
      <c r="I87" s="6" t="n">
        <v>959</v>
      </c>
      <c r="J87" s="6" t="n">
        <v>2170</v>
      </c>
      <c r="K87" s="6" t="n">
        <v>257</v>
      </c>
      <c r="L87" s="6" t="n">
        <v>193950</v>
      </c>
      <c r="M87" s="6" t="n">
        <v>11319</v>
      </c>
    </row>
    <row r="88" customFormat="false" ht="15.75" hidden="false" customHeight="false" outlineLevel="0" collapsed="false">
      <c r="A88" s="0" t="s">
        <v>25</v>
      </c>
      <c r="B88" s="1" t="n">
        <v>43948</v>
      </c>
      <c r="C88" s="6" t="n">
        <v>37845</v>
      </c>
      <c r="D88" s="6" t="n">
        <v>655</v>
      </c>
      <c r="E88" s="6" t="n">
        <v>4475</v>
      </c>
      <c r="F88" s="6" t="n">
        <v>66</v>
      </c>
      <c r="G88" s="6" t="s">
        <v>20</v>
      </c>
      <c r="H88" s="6" t="n">
        <v>33120</v>
      </c>
      <c r="I88" s="6" t="n">
        <v>934</v>
      </c>
      <c r="J88" s="6" t="n">
        <v>2209</v>
      </c>
      <c r="K88" s="6" t="n">
        <v>261</v>
      </c>
      <c r="L88" s="6" t="n">
        <v>193950</v>
      </c>
      <c r="M88" s="6" t="n">
        <v>11319</v>
      </c>
    </row>
    <row r="89" customFormat="false" ht="15.75" hidden="false" customHeight="false" outlineLevel="0" collapsed="false">
      <c r="A89" s="0" t="s">
        <v>25</v>
      </c>
      <c r="B89" s="1" t="n">
        <v>43949</v>
      </c>
      <c r="C89" s="6" t="n">
        <v>38245</v>
      </c>
      <c r="D89" s="6" t="n">
        <v>400</v>
      </c>
      <c r="E89" s="6" t="n">
        <v>4518</v>
      </c>
      <c r="F89" s="6" t="n">
        <v>43</v>
      </c>
      <c r="G89" s="6" t="s">
        <v>20</v>
      </c>
      <c r="H89" s="6" t="n">
        <v>33477</v>
      </c>
      <c r="I89" s="6" t="n">
        <v>905</v>
      </c>
      <c r="J89" s="6" t="n">
        <v>2232</v>
      </c>
      <c r="K89" s="6" t="n">
        <v>264</v>
      </c>
      <c r="L89" s="6" t="n">
        <v>193950</v>
      </c>
      <c r="M89" s="6" t="n">
        <v>11319</v>
      </c>
    </row>
    <row r="90" customFormat="false" ht="13.5" hidden="false" customHeight="false" outlineLevel="0" collapsed="false">
      <c r="A90" s="0" t="s">
        <v>25</v>
      </c>
      <c r="B90" s="1" t="n">
        <v>43950</v>
      </c>
      <c r="C90" s="2" t="n">
        <v>38416</v>
      </c>
      <c r="D90" s="2" t="n">
        <v>171</v>
      </c>
      <c r="E90" s="2" t="n">
        <v>4566</v>
      </c>
      <c r="F90" s="2" t="n">
        <v>48</v>
      </c>
      <c r="G90" s="2" t="s">
        <v>20</v>
      </c>
      <c r="H90" s="2" t="n">
        <v>33600</v>
      </c>
      <c r="I90" s="2" t="n">
        <v>861</v>
      </c>
      <c r="J90" s="2" t="n">
        <v>2242</v>
      </c>
      <c r="K90" s="2" t="n">
        <v>266</v>
      </c>
      <c r="L90" s="2" t="n">
        <v>209726</v>
      </c>
      <c r="M90" s="2" t="n">
        <v>12240</v>
      </c>
    </row>
    <row r="91" customFormat="false" ht="13.5" hidden="false" customHeight="false" outlineLevel="0" collapsed="false">
      <c r="A91" s="0" t="s">
        <v>25</v>
      </c>
      <c r="B91" s="1" t="n">
        <v>43951</v>
      </c>
      <c r="C91" s="2" t="n">
        <v>38802</v>
      </c>
      <c r="D91" s="2" t="n">
        <v>386</v>
      </c>
      <c r="E91" s="2" t="n">
        <v>4711</v>
      </c>
      <c r="F91" s="2" t="n">
        <v>145</v>
      </c>
      <c r="G91" s="2" t="s">
        <v>20</v>
      </c>
      <c r="H91" s="2" t="n">
        <v>33841</v>
      </c>
      <c r="I91" s="2" t="n">
        <v>804</v>
      </c>
      <c r="J91" s="2" t="n">
        <v>2265</v>
      </c>
      <c r="K91" s="2" t="n">
        <v>275</v>
      </c>
      <c r="L91" s="2" t="n">
        <v>213372</v>
      </c>
      <c r="M91" s="2" t="n">
        <v>12453</v>
      </c>
    </row>
    <row r="92" customFormat="false" ht="14.25" hidden="false" customHeight="false" outlineLevel="0" collapsed="false">
      <c r="A92" s="0" t="s">
        <v>25</v>
      </c>
      <c r="B92" s="1" t="n">
        <v>43952</v>
      </c>
      <c r="C92" s="2" t="n">
        <v>39316</v>
      </c>
      <c r="D92" s="2" t="n">
        <v>514</v>
      </c>
      <c r="E92" s="2" t="n">
        <v>4795</v>
      </c>
      <c r="F92" s="2" t="n">
        <v>84</v>
      </c>
      <c r="G92" s="2" t="s">
        <v>20</v>
      </c>
      <c r="H92" s="2" t="n">
        <v>34271</v>
      </c>
      <c r="I92" s="2" t="n">
        <v>783</v>
      </c>
      <c r="J92" s="2" t="n">
        <v>2295</v>
      </c>
      <c r="K92" s="2" t="n">
        <v>280</v>
      </c>
      <c r="L92" s="2" t="n">
        <v>219744</v>
      </c>
      <c r="M92" s="2" t="n">
        <v>12824</v>
      </c>
    </row>
    <row r="93" customFormat="false" ht="15.75" hidden="false" customHeight="false" outlineLevel="0" collapsed="false">
      <c r="A93" s="0" t="s">
        <v>25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25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25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25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25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25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25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25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25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25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25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25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25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25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25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25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25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25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25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25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25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25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25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25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25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25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25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25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25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25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25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25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25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25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25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25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25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25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25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25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25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25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25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25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25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25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25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25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25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25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25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25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25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25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25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25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25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25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25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25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25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25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25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25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25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25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25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25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25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25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25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25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25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25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25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25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25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25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25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25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25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25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25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25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25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25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25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25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25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25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25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25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25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25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25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60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26</v>
      </c>
      <c r="B37" s="1" t="n">
        <v>43897</v>
      </c>
      <c r="C37" s="8" t="n">
        <v>52</v>
      </c>
      <c r="D37" s="8" t="n">
        <v>15</v>
      </c>
      <c r="E37" s="8"/>
      <c r="F37" s="8"/>
      <c r="G37" s="8" t="n">
        <v>8</v>
      </c>
      <c r="H37" s="8" t="n">
        <v>44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26</v>
      </c>
      <c r="B38" s="1" t="n">
        <v>43898</v>
      </c>
      <c r="C38" s="6" t="n">
        <v>60</v>
      </c>
      <c r="D38" s="6" t="n">
        <v>8</v>
      </c>
      <c r="E38" s="6"/>
      <c r="F38" s="6"/>
      <c r="G38" s="6" t="n">
        <v>8</v>
      </c>
      <c r="H38" s="6" t="n">
        <v>52</v>
      </c>
      <c r="I38" s="6" t="n">
        <v>1</v>
      </c>
      <c r="J38" s="6" t="n">
        <v>1.6</v>
      </c>
      <c r="K38" s="6"/>
      <c r="L38" s="6"/>
      <c r="M38" s="6"/>
    </row>
    <row r="39" customFormat="false" ht="15.75" hidden="false" customHeight="false" outlineLevel="0" collapsed="false">
      <c r="A39" s="0" t="s">
        <v>26</v>
      </c>
      <c r="B39" s="1" t="n">
        <v>43899</v>
      </c>
      <c r="C39" s="6" t="n">
        <v>64</v>
      </c>
      <c r="D39" s="6" t="n">
        <v>4</v>
      </c>
      <c r="E39" s="6"/>
      <c r="F39" s="6"/>
      <c r="G39" s="6" t="n">
        <v>8</v>
      </c>
      <c r="H39" s="6" t="n">
        <v>56</v>
      </c>
      <c r="I39" s="6" t="n">
        <v>1</v>
      </c>
      <c r="J39" s="6" t="n">
        <v>1.7</v>
      </c>
      <c r="K39" s="6"/>
      <c r="L39" s="6"/>
      <c r="M39" s="6"/>
    </row>
    <row r="40" customFormat="false" ht="15.75" hidden="false" customHeight="false" outlineLevel="0" collapsed="false">
      <c r="A40" s="0" t="s">
        <v>26</v>
      </c>
      <c r="B40" s="1" t="n">
        <v>43900</v>
      </c>
      <c r="C40" s="6" t="n">
        <v>77</v>
      </c>
      <c r="D40" s="6" t="n">
        <v>13</v>
      </c>
      <c r="E40" s="6" t="n">
        <v>1</v>
      </c>
      <c r="F40" s="6" t="n">
        <v>1</v>
      </c>
      <c r="G40" s="6" t="n">
        <v>8</v>
      </c>
      <c r="H40" s="6" t="n">
        <v>68</v>
      </c>
      <c r="I40" s="6" t="n">
        <v>1</v>
      </c>
      <c r="J40" s="6" t="n">
        <v>2</v>
      </c>
      <c r="K40" s="6"/>
      <c r="L40" s="6"/>
      <c r="M40" s="6"/>
    </row>
    <row r="41" customFormat="false" ht="15.75" hidden="false" customHeight="false" outlineLevel="0" collapsed="false">
      <c r="A41" s="0" t="s">
        <v>26</v>
      </c>
      <c r="B41" s="1" t="n">
        <v>43901</v>
      </c>
      <c r="C41" s="6" t="n">
        <v>94</v>
      </c>
      <c r="D41" s="6" t="n">
        <v>17</v>
      </c>
      <c r="E41" s="6" t="n">
        <v>1</v>
      </c>
      <c r="F41" s="6" t="n">
        <v>0</v>
      </c>
      <c r="G41" s="6" t="n">
        <v>8</v>
      </c>
      <c r="H41" s="6" t="n">
        <v>85</v>
      </c>
      <c r="I41" s="6" t="n">
        <v>1</v>
      </c>
      <c r="J41" s="6" t="n">
        <v>2.5</v>
      </c>
      <c r="K41" s="6"/>
      <c r="L41" s="6"/>
      <c r="M41" s="6"/>
    </row>
    <row r="42" customFormat="false" ht="15.75" hidden="false" customHeight="false" outlineLevel="0" collapsed="false">
      <c r="A42" s="0" t="s">
        <v>26</v>
      </c>
      <c r="B42" s="1" t="n">
        <v>43902</v>
      </c>
      <c r="C42" s="6" t="n">
        <v>109</v>
      </c>
      <c r="D42" s="6" t="n">
        <v>15</v>
      </c>
      <c r="E42" s="6" t="n">
        <v>1</v>
      </c>
      <c r="F42" s="6" t="n">
        <v>0</v>
      </c>
      <c r="G42" s="6" t="n">
        <v>9</v>
      </c>
      <c r="H42" s="6" t="n">
        <v>99</v>
      </c>
      <c r="I42" s="6" t="n">
        <v>1</v>
      </c>
      <c r="J42" s="6" t="n">
        <v>2.9</v>
      </c>
      <c r="K42" s="6"/>
      <c r="L42" s="6"/>
      <c r="M42" s="6"/>
    </row>
    <row r="43" customFormat="false" ht="15.75" hidden="false" customHeight="false" outlineLevel="0" collapsed="false">
      <c r="A43" s="0" t="s">
        <v>26</v>
      </c>
      <c r="B43" s="1" t="n">
        <v>43903</v>
      </c>
      <c r="C43" s="6" t="n">
        <v>142</v>
      </c>
      <c r="D43" s="6" t="n">
        <v>33</v>
      </c>
      <c r="E43" s="6" t="n">
        <v>1</v>
      </c>
      <c r="F43" s="6" t="n">
        <v>0</v>
      </c>
      <c r="G43" s="6" t="n">
        <v>11</v>
      </c>
      <c r="H43" s="6" t="n">
        <v>130</v>
      </c>
      <c r="I43" s="6" t="n">
        <v>1</v>
      </c>
      <c r="J43" s="6" t="n">
        <v>3.8</v>
      </c>
      <c r="K43" s="6"/>
      <c r="L43" s="6"/>
      <c r="M43" s="6"/>
    </row>
    <row r="44" customFormat="false" ht="15.75" hidden="false" customHeight="false" outlineLevel="0" collapsed="false">
      <c r="A44" s="0" t="s">
        <v>26</v>
      </c>
      <c r="B44" s="1" t="n">
        <v>43904</v>
      </c>
      <c r="C44" s="6" t="n">
        <v>179</v>
      </c>
      <c r="D44" s="6" t="n">
        <v>37</v>
      </c>
      <c r="E44" s="6" t="n">
        <v>1</v>
      </c>
      <c r="F44" s="6" t="n">
        <v>0</v>
      </c>
      <c r="G44" s="6" t="n">
        <v>11</v>
      </c>
      <c r="H44" s="6" t="n">
        <v>167</v>
      </c>
      <c r="I44" s="6" t="n">
        <v>1</v>
      </c>
      <c r="J44" s="6" t="n">
        <v>4.7</v>
      </c>
      <c r="K44" s="6"/>
      <c r="L44" s="6"/>
      <c r="M44" s="6"/>
    </row>
    <row r="45" customFormat="false" ht="15.75" hidden="false" customHeight="false" outlineLevel="0" collapsed="false">
      <c r="A45" s="0" t="s">
        <v>26</v>
      </c>
      <c r="B45" s="1" t="n">
        <v>43905</v>
      </c>
      <c r="C45" s="6" t="n">
        <v>247</v>
      </c>
      <c r="D45" s="6" t="n">
        <v>68</v>
      </c>
      <c r="E45" s="6" t="n">
        <v>1</v>
      </c>
      <c r="F45" s="6" t="n">
        <v>0</v>
      </c>
      <c r="G45" s="6" t="n">
        <v>11</v>
      </c>
      <c r="H45" s="6" t="n">
        <v>235</v>
      </c>
      <c r="I45" s="6" t="n">
        <v>1</v>
      </c>
      <c r="J45" s="6" t="n">
        <v>6.5</v>
      </c>
      <c r="K45" s="6"/>
      <c r="L45" s="6"/>
      <c r="M45" s="6"/>
    </row>
    <row r="46" customFormat="false" ht="15.75" hidden="false" customHeight="false" outlineLevel="0" collapsed="false">
      <c r="A46" s="0" t="s">
        <v>26</v>
      </c>
      <c r="B46" s="1" t="n">
        <v>43906</v>
      </c>
      <c r="C46" s="6" t="n">
        <v>341</v>
      </c>
      <c r="D46" s="6" t="n">
        <v>94</v>
      </c>
      <c r="E46" s="6" t="n">
        <v>1</v>
      </c>
      <c r="F46" s="6" t="n">
        <v>0</v>
      </c>
      <c r="G46" s="6" t="n">
        <v>11</v>
      </c>
      <c r="H46" s="6" t="n">
        <v>329</v>
      </c>
      <c r="I46" s="6" t="n">
        <v>1</v>
      </c>
      <c r="J46" s="6" t="n">
        <v>9</v>
      </c>
      <c r="K46" s="6"/>
      <c r="L46" s="6"/>
      <c r="M46" s="6"/>
    </row>
    <row r="47" customFormat="false" ht="15.75" hidden="false" customHeight="false" outlineLevel="0" collapsed="false">
      <c r="A47" s="0" t="s">
        <v>26</v>
      </c>
      <c r="B47" s="1" t="n">
        <v>43907</v>
      </c>
      <c r="C47" s="6" t="n">
        <v>422</v>
      </c>
      <c r="D47" s="6" t="n">
        <v>81</v>
      </c>
      <c r="E47" s="6" t="n">
        <v>4</v>
      </c>
      <c r="F47" s="6" t="n">
        <v>3</v>
      </c>
      <c r="G47" s="6" t="n">
        <v>11</v>
      </c>
      <c r="H47" s="6" t="n">
        <v>407</v>
      </c>
      <c r="I47" s="6" t="n">
        <v>1</v>
      </c>
      <c r="J47" s="6" t="n">
        <v>11.2</v>
      </c>
      <c r="K47" s="6"/>
      <c r="L47" s="6"/>
      <c r="M47" s="6"/>
    </row>
    <row r="48" customFormat="false" ht="15.75" hidden="false" customHeight="false" outlineLevel="0" collapsed="false">
      <c r="A48" s="0" t="s">
        <v>26</v>
      </c>
      <c r="B48" s="1" t="n">
        <v>43908</v>
      </c>
      <c r="C48" s="6" t="n">
        <v>598</v>
      </c>
      <c r="D48" s="6" t="n">
        <v>176</v>
      </c>
      <c r="E48" s="6" t="n">
        <v>8</v>
      </c>
      <c r="F48" s="6" t="n">
        <v>4</v>
      </c>
      <c r="G48" s="6" t="n">
        <v>12</v>
      </c>
      <c r="H48" s="6" t="n">
        <v>578</v>
      </c>
      <c r="I48" s="6" t="n">
        <v>1</v>
      </c>
      <c r="J48" s="6" t="n">
        <v>15.8</v>
      </c>
      <c r="K48" s="6"/>
      <c r="L48" s="6"/>
      <c r="M48" s="6"/>
    </row>
    <row r="49" customFormat="false" ht="15.75" hidden="false" customHeight="false" outlineLevel="0" collapsed="false">
      <c r="A49" s="0" t="s">
        <v>26</v>
      </c>
      <c r="B49" s="1" t="n">
        <v>43909</v>
      </c>
      <c r="C49" s="6" t="n">
        <v>727</v>
      </c>
      <c r="D49" s="6" t="n">
        <v>129</v>
      </c>
      <c r="E49" s="6" t="n">
        <v>9</v>
      </c>
      <c r="F49" s="6" t="n">
        <v>1</v>
      </c>
      <c r="G49" s="6" t="n">
        <v>12</v>
      </c>
      <c r="H49" s="6" t="n">
        <v>706</v>
      </c>
      <c r="I49" s="6" t="n">
        <v>1</v>
      </c>
      <c r="J49" s="6" t="n">
        <v>19</v>
      </c>
      <c r="K49" s="6"/>
      <c r="L49" s="6"/>
      <c r="M49" s="6"/>
    </row>
    <row r="50" customFormat="false" ht="15.75" hidden="false" customHeight="false" outlineLevel="0" collapsed="false">
      <c r="A50" s="0" t="s">
        <v>26</v>
      </c>
      <c r="B50" s="1" t="n">
        <v>43910</v>
      </c>
      <c r="C50" s="6" t="n">
        <v>873</v>
      </c>
      <c r="D50" s="6" t="n">
        <v>146</v>
      </c>
      <c r="E50" s="6" t="n">
        <v>12</v>
      </c>
      <c r="F50" s="6" t="n">
        <v>3</v>
      </c>
      <c r="G50" s="6" t="n">
        <v>11</v>
      </c>
      <c r="H50" s="6" t="n">
        <v>850</v>
      </c>
      <c r="I50" s="6" t="n">
        <v>1</v>
      </c>
      <c r="J50" s="6" t="n">
        <v>23</v>
      </c>
      <c r="K50" s="6"/>
      <c r="L50" s="6"/>
      <c r="M50" s="6"/>
    </row>
    <row r="51" customFormat="false" ht="15.75" hidden="false" customHeight="false" outlineLevel="0" collapsed="false">
      <c r="A51" s="0" t="s">
        <v>26</v>
      </c>
      <c r="B51" s="1" t="n">
        <v>43911</v>
      </c>
      <c r="C51" s="6" t="n">
        <v>1087</v>
      </c>
      <c r="D51" s="6" t="n">
        <v>214</v>
      </c>
      <c r="E51" s="6" t="n">
        <v>12</v>
      </c>
      <c r="F51" s="6" t="n">
        <v>0</v>
      </c>
      <c r="G51" s="6" t="n">
        <v>14</v>
      </c>
      <c r="H51" s="6" t="n">
        <v>1061</v>
      </c>
      <c r="I51" s="6" t="n">
        <v>1</v>
      </c>
      <c r="J51" s="6" t="n">
        <v>29</v>
      </c>
      <c r="K51" s="6"/>
      <c r="L51" s="6"/>
      <c r="M51" s="6"/>
    </row>
    <row r="52" customFormat="false" ht="15.75" hidden="false" customHeight="false" outlineLevel="0" collapsed="false">
      <c r="A52" s="0" t="s">
        <v>26</v>
      </c>
      <c r="B52" s="1" t="n">
        <v>43912</v>
      </c>
      <c r="C52" s="6" t="n">
        <v>1328</v>
      </c>
      <c r="D52" s="6" t="n">
        <v>241</v>
      </c>
      <c r="E52" s="6" t="n">
        <v>19</v>
      </c>
      <c r="F52" s="6" t="n">
        <v>7</v>
      </c>
      <c r="G52" s="6" t="n">
        <v>14</v>
      </c>
      <c r="H52" s="6" t="n">
        <v>1295</v>
      </c>
      <c r="I52" s="6" t="n">
        <v>1</v>
      </c>
      <c r="J52" s="6" t="n">
        <v>35</v>
      </c>
      <c r="K52" s="6"/>
      <c r="L52" s="6"/>
      <c r="M52" s="6"/>
    </row>
    <row r="53" customFormat="false" ht="15.75" hidden="false" customHeight="false" outlineLevel="0" collapsed="false">
      <c r="A53" s="0" t="s">
        <v>26</v>
      </c>
      <c r="B53" s="1" t="n">
        <v>43913</v>
      </c>
      <c r="C53" s="6" t="n">
        <v>1436</v>
      </c>
      <c r="D53" s="6" t="n">
        <v>108</v>
      </c>
      <c r="E53" s="6" t="n">
        <v>20</v>
      </c>
      <c r="F53" s="6" t="n">
        <v>1</v>
      </c>
      <c r="G53" s="6" t="n">
        <v>14</v>
      </c>
      <c r="H53" s="6" t="n">
        <v>1402</v>
      </c>
      <c r="I53" s="6" t="n">
        <v>1</v>
      </c>
      <c r="J53" s="6" t="n">
        <v>38</v>
      </c>
      <c r="K53" s="6"/>
      <c r="L53" s="6"/>
      <c r="M53" s="6"/>
    </row>
    <row r="54" customFormat="false" ht="15.75" hidden="false" customHeight="false" outlineLevel="0" collapsed="false">
      <c r="A54" s="0" t="s">
        <v>26</v>
      </c>
      <c r="B54" s="1" t="n">
        <v>43914</v>
      </c>
      <c r="C54" s="6" t="n">
        <v>2091</v>
      </c>
      <c r="D54" s="6" t="n">
        <v>655</v>
      </c>
      <c r="E54" s="6" t="n">
        <v>23</v>
      </c>
      <c r="F54" s="6" t="n">
        <v>3</v>
      </c>
      <c r="G54" s="6" t="n">
        <v>320</v>
      </c>
      <c r="H54" s="6" t="n">
        <v>1748</v>
      </c>
      <c r="I54" s="6" t="n">
        <v>1</v>
      </c>
      <c r="J54" s="6" t="n">
        <v>55</v>
      </c>
      <c r="K54" s="6"/>
      <c r="L54" s="6"/>
      <c r="M54" s="6"/>
    </row>
    <row r="55" customFormat="false" ht="15.75" hidden="false" customHeight="false" outlineLevel="0" collapsed="false">
      <c r="A55" s="0" t="s">
        <v>26</v>
      </c>
      <c r="B55" s="1" t="n">
        <v>43915</v>
      </c>
      <c r="C55" s="7" t="n">
        <v>2792</v>
      </c>
      <c r="D55" s="7" t="n">
        <v>701</v>
      </c>
      <c r="E55" s="7" t="n">
        <v>26</v>
      </c>
      <c r="F55" s="7" t="n">
        <v>3</v>
      </c>
      <c r="G55" s="7" t="n">
        <v>112</v>
      </c>
      <c r="H55" s="7" t="n">
        <v>2654</v>
      </c>
      <c r="I55" s="7" t="n">
        <v>1</v>
      </c>
      <c r="J55" s="7" t="n">
        <v>74</v>
      </c>
      <c r="K55" s="10" t="n">
        <v>0.7</v>
      </c>
      <c r="L55" s="7"/>
      <c r="M55" s="7"/>
    </row>
    <row r="56" customFormat="false" ht="15.75" hidden="false" customHeight="false" outlineLevel="0" collapsed="false">
      <c r="A56" s="0" t="s">
        <v>26</v>
      </c>
      <c r="B56" s="1" t="n">
        <v>43916</v>
      </c>
      <c r="C56" s="7" t="n">
        <v>3367</v>
      </c>
      <c r="D56" s="7" t="n">
        <v>575</v>
      </c>
      <c r="E56" s="7" t="n">
        <v>30</v>
      </c>
      <c r="F56" s="7" t="n">
        <v>4</v>
      </c>
      <c r="G56" s="7" t="n">
        <v>185</v>
      </c>
      <c r="H56" s="7" t="n">
        <v>3152</v>
      </c>
      <c r="I56" s="7" t="n">
        <v>1</v>
      </c>
      <c r="J56" s="7" t="n">
        <v>89</v>
      </c>
      <c r="K56" s="10" t="n">
        <v>0.8</v>
      </c>
      <c r="L56" s="7"/>
      <c r="M56" s="7"/>
    </row>
    <row r="57" customFormat="false" ht="15.75" hidden="false" customHeight="false" outlineLevel="0" collapsed="false">
      <c r="A57" s="0" t="s">
        <v>26</v>
      </c>
      <c r="B57" s="1" t="n">
        <v>43917</v>
      </c>
      <c r="C57" s="7" t="n">
        <v>3910</v>
      </c>
      <c r="D57" s="7" t="n">
        <v>543</v>
      </c>
      <c r="E57" s="7" t="n">
        <v>39</v>
      </c>
      <c r="F57" s="7" t="n">
        <v>9</v>
      </c>
      <c r="G57" s="7" t="n">
        <v>199</v>
      </c>
      <c r="H57" s="7" t="n">
        <v>3672</v>
      </c>
      <c r="I57" s="7" t="n">
        <v>120</v>
      </c>
      <c r="J57" s="7" t="n">
        <v>104</v>
      </c>
      <c r="K57" s="7" t="n">
        <v>1</v>
      </c>
      <c r="L57" s="7"/>
      <c r="M57" s="7"/>
    </row>
    <row r="58" customFormat="false" ht="15.75" hidden="false" customHeight="false" outlineLevel="0" collapsed="false">
      <c r="A58" s="0" t="s">
        <v>26</v>
      </c>
      <c r="B58" s="1" t="n">
        <v>43918</v>
      </c>
      <c r="C58" s="7" t="n">
        <v>4633</v>
      </c>
      <c r="D58" s="7" t="n">
        <v>723</v>
      </c>
      <c r="E58" s="7" t="n">
        <v>53</v>
      </c>
      <c r="F58" s="7" t="n">
        <v>14</v>
      </c>
      <c r="G58" s="7" t="n">
        <v>228</v>
      </c>
      <c r="H58" s="7" t="n">
        <v>4352</v>
      </c>
      <c r="I58" s="7" t="n">
        <v>120</v>
      </c>
      <c r="J58" s="7" t="n">
        <v>123</v>
      </c>
      <c r="K58" s="7" t="n">
        <v>1</v>
      </c>
      <c r="L58" s="7"/>
      <c r="M58" s="7"/>
    </row>
    <row r="59" customFormat="false" ht="15.75" hidden="false" customHeight="false" outlineLevel="0" collapsed="false">
      <c r="A59" s="0" t="s">
        <v>26</v>
      </c>
      <c r="B59" s="1" t="n">
        <v>43919</v>
      </c>
      <c r="C59" s="7" t="n">
        <v>5576</v>
      </c>
      <c r="D59" s="7" t="n">
        <v>943</v>
      </c>
      <c r="E59" s="7" t="n">
        <v>60</v>
      </c>
      <c r="F59" s="7" t="n">
        <v>7</v>
      </c>
      <c r="G59" s="7" t="n">
        <v>354</v>
      </c>
      <c r="H59" s="7" t="n">
        <v>5162</v>
      </c>
      <c r="I59" s="7" t="n">
        <v>120</v>
      </c>
      <c r="J59" s="7" t="n">
        <v>148</v>
      </c>
      <c r="K59" s="7" t="n">
        <v>2</v>
      </c>
      <c r="L59" s="7"/>
      <c r="M59" s="7"/>
    </row>
    <row r="60" customFormat="false" ht="15.75" hidden="false" customHeight="false" outlineLevel="0" collapsed="false">
      <c r="A60" s="0" t="s">
        <v>26</v>
      </c>
      <c r="B60" s="1" t="n">
        <v>43920</v>
      </c>
      <c r="C60" s="7" t="n">
        <v>6280</v>
      </c>
      <c r="D60" s="7" t="n">
        <v>704</v>
      </c>
      <c r="E60" s="7" t="n">
        <v>63</v>
      </c>
      <c r="F60" s="7" t="n">
        <v>3</v>
      </c>
      <c r="G60" s="7" t="n">
        <v>508</v>
      </c>
      <c r="H60" s="7" t="n">
        <v>5709</v>
      </c>
      <c r="I60" s="7" t="n">
        <v>120</v>
      </c>
      <c r="J60" s="7" t="n">
        <v>166</v>
      </c>
      <c r="K60" s="7" t="n">
        <v>2</v>
      </c>
      <c r="L60" s="7"/>
      <c r="M60" s="7"/>
    </row>
    <row r="61" customFormat="false" ht="15.75" hidden="false" customHeight="false" outlineLevel="0" collapsed="false">
      <c r="A61" s="0" t="s">
        <v>26</v>
      </c>
      <c r="B61" s="1" t="n">
        <v>43921</v>
      </c>
      <c r="C61" s="7" t="n">
        <v>7427</v>
      </c>
      <c r="D61" s="7" t="n">
        <v>1147</v>
      </c>
      <c r="E61" s="7" t="n">
        <v>84</v>
      </c>
      <c r="F61" s="7" t="n">
        <v>21</v>
      </c>
      <c r="G61" s="7" t="n">
        <v>1093</v>
      </c>
      <c r="H61" s="7" t="n">
        <v>6250</v>
      </c>
      <c r="I61" s="7" t="n">
        <v>120</v>
      </c>
      <c r="J61" s="7" t="n">
        <v>197</v>
      </c>
      <c r="K61" s="7" t="n">
        <v>2</v>
      </c>
      <c r="L61" s="7"/>
      <c r="M61" s="7"/>
    </row>
    <row r="62" customFormat="false" ht="15.75" hidden="false" customHeight="false" outlineLevel="0" collapsed="false">
      <c r="A62" s="0" t="s">
        <v>26</v>
      </c>
      <c r="B62" s="1" t="n">
        <v>43922</v>
      </c>
      <c r="C62" s="7" t="n">
        <v>8505</v>
      </c>
      <c r="D62" s="7" t="n">
        <v>1078</v>
      </c>
      <c r="E62" s="7" t="n">
        <v>101</v>
      </c>
      <c r="F62" s="7" t="n">
        <v>17</v>
      </c>
      <c r="G62" s="7" t="n">
        <v>1162</v>
      </c>
      <c r="H62" s="7" t="n">
        <v>7242</v>
      </c>
      <c r="I62" s="7" t="n">
        <v>120</v>
      </c>
      <c r="J62" s="7" t="n">
        <v>225</v>
      </c>
      <c r="K62" s="7" t="n">
        <v>3</v>
      </c>
      <c r="L62" s="7"/>
      <c r="M62" s="7"/>
    </row>
    <row r="63" customFormat="false" ht="15.75" hidden="false" customHeight="false" outlineLevel="0" collapsed="false">
      <c r="A63" s="0" t="s">
        <v>26</v>
      </c>
      <c r="B63" s="1" t="n">
        <v>43923</v>
      </c>
      <c r="C63" s="7" t="n">
        <v>9677</v>
      </c>
      <c r="D63" s="7" t="n">
        <v>1172</v>
      </c>
      <c r="E63" s="7" t="n">
        <v>114</v>
      </c>
      <c r="F63" s="7" t="n">
        <v>13</v>
      </c>
      <c r="G63" s="7" t="n">
        <v>1615</v>
      </c>
      <c r="H63" s="7" t="n">
        <v>7948</v>
      </c>
      <c r="I63" s="7" t="n">
        <v>120</v>
      </c>
      <c r="J63" s="7" t="n">
        <v>256</v>
      </c>
      <c r="K63" s="7" t="n">
        <v>3</v>
      </c>
      <c r="L63" s="7"/>
      <c r="M63" s="7"/>
    </row>
    <row r="64" customFormat="false" ht="15.75" hidden="false" customHeight="false" outlineLevel="0" collapsed="false">
      <c r="A64" s="0" t="s">
        <v>26</v>
      </c>
      <c r="B64" s="1" t="n">
        <v>43924</v>
      </c>
      <c r="C64" s="7" t="n">
        <v>11131</v>
      </c>
      <c r="D64" s="7" t="n">
        <v>1454</v>
      </c>
      <c r="E64" s="7" t="n">
        <v>161</v>
      </c>
      <c r="F64" s="7" t="n">
        <v>47</v>
      </c>
      <c r="G64" s="7" t="n">
        <v>1906</v>
      </c>
      <c r="H64" s="7" t="n">
        <v>9064</v>
      </c>
      <c r="I64" s="7" t="n">
        <v>120</v>
      </c>
      <c r="J64" s="7" t="n">
        <v>295</v>
      </c>
      <c r="K64" s="7" t="n">
        <v>4</v>
      </c>
      <c r="L64" s="7"/>
      <c r="M64" s="7"/>
    </row>
    <row r="65" customFormat="false" ht="15.75" hidden="false" customHeight="false" outlineLevel="0" collapsed="false">
      <c r="A65" s="0" t="s">
        <v>26</v>
      </c>
      <c r="B65" s="1" t="n">
        <v>43925</v>
      </c>
      <c r="C65" s="7" t="n">
        <v>12375</v>
      </c>
      <c r="D65" s="7" t="n">
        <v>1244</v>
      </c>
      <c r="E65" s="7" t="n">
        <v>208</v>
      </c>
      <c r="F65" s="7" t="n">
        <v>47</v>
      </c>
      <c r="G65" s="7" t="n">
        <v>2186</v>
      </c>
      <c r="H65" s="7" t="n">
        <v>9981</v>
      </c>
      <c r="I65" s="7" t="n">
        <v>120</v>
      </c>
      <c r="J65" s="7" t="n">
        <v>328</v>
      </c>
      <c r="K65" s="7" t="n">
        <v>6</v>
      </c>
      <c r="L65" s="7"/>
      <c r="M65" s="7"/>
    </row>
    <row r="66" customFormat="false" ht="15.75" hidden="false" customHeight="false" outlineLevel="0" collapsed="false">
      <c r="A66" s="0" t="s">
        <v>26</v>
      </c>
      <c r="B66" s="1" t="n">
        <v>43926</v>
      </c>
      <c r="C66" s="7" t="n">
        <v>13912</v>
      </c>
      <c r="D66" s="7" t="n">
        <v>1537</v>
      </c>
      <c r="E66" s="7" t="n">
        <v>231</v>
      </c>
      <c r="F66" s="7" t="n">
        <v>23</v>
      </c>
      <c r="G66" s="7" t="n">
        <v>2595</v>
      </c>
      <c r="H66" s="7" t="n">
        <v>11086</v>
      </c>
      <c r="I66" s="7" t="n">
        <v>120</v>
      </c>
      <c r="J66" s="7" t="n">
        <v>369</v>
      </c>
      <c r="K66" s="7" t="n">
        <v>6</v>
      </c>
      <c r="L66" s="7" t="n">
        <v>302745</v>
      </c>
      <c r="M66" s="7" t="n">
        <v>8021</v>
      </c>
    </row>
    <row r="67" customFormat="false" ht="15.75" hidden="false" customHeight="false" outlineLevel="0" collapsed="false">
      <c r="A67" s="0" t="s">
        <v>26</v>
      </c>
      <c r="B67" s="1" t="n">
        <v>43927</v>
      </c>
      <c r="C67" s="7" t="n">
        <v>15425</v>
      </c>
      <c r="D67" s="7" t="n">
        <v>1513</v>
      </c>
      <c r="E67" s="7" t="n">
        <v>277</v>
      </c>
      <c r="F67" s="7" t="n">
        <v>46</v>
      </c>
      <c r="G67" s="7" t="n">
        <v>2847</v>
      </c>
      <c r="H67" s="7" t="n">
        <v>12301</v>
      </c>
      <c r="I67" s="7" t="n">
        <v>426</v>
      </c>
      <c r="J67" s="7" t="n">
        <v>409</v>
      </c>
      <c r="K67" s="7" t="n">
        <v>7</v>
      </c>
      <c r="L67" s="7" t="n">
        <v>317972</v>
      </c>
      <c r="M67" s="7" t="n">
        <v>8425</v>
      </c>
    </row>
    <row r="68" customFormat="false" ht="15.75" hidden="false" customHeight="false" outlineLevel="0" collapsed="false">
      <c r="A68" s="0" t="s">
        <v>26</v>
      </c>
      <c r="B68" s="1" t="n">
        <v>43928</v>
      </c>
      <c r="C68" s="12" t="n">
        <v>16558</v>
      </c>
      <c r="D68" s="12" t="n">
        <v>1133</v>
      </c>
      <c r="E68" s="12" t="n">
        <v>322</v>
      </c>
      <c r="F68" s="12" t="n">
        <v>45</v>
      </c>
      <c r="G68" s="12" t="n">
        <v>3534</v>
      </c>
      <c r="H68" s="12" t="n">
        <v>12702</v>
      </c>
      <c r="I68" s="12" t="n">
        <v>426</v>
      </c>
      <c r="J68" s="12" t="n">
        <v>439</v>
      </c>
      <c r="K68" s="12" t="n">
        <v>9</v>
      </c>
      <c r="L68" s="12" t="n">
        <v>330901</v>
      </c>
      <c r="M68" s="12" t="n">
        <v>8767</v>
      </c>
    </row>
    <row r="69" customFormat="false" ht="15.75" hidden="false" customHeight="false" outlineLevel="0" collapsed="false">
      <c r="A69" s="0" t="s">
        <v>26</v>
      </c>
      <c r="B69" s="1" t="n">
        <v>43929</v>
      </c>
      <c r="C69" s="14" t="n">
        <v>17872</v>
      </c>
      <c r="D69" s="14" t="n">
        <v>1314</v>
      </c>
      <c r="E69" s="14" t="n">
        <v>377</v>
      </c>
      <c r="F69" s="14" t="n">
        <v>55</v>
      </c>
      <c r="G69" s="14" t="n">
        <v>4028</v>
      </c>
      <c r="H69" s="14" t="n">
        <v>13467</v>
      </c>
      <c r="I69" s="14" t="n">
        <v>426</v>
      </c>
      <c r="J69" s="14" t="n">
        <v>474</v>
      </c>
      <c r="K69" s="14" t="n">
        <v>10</v>
      </c>
      <c r="L69" s="14" t="n">
        <v>346507</v>
      </c>
      <c r="M69" s="14" t="n">
        <v>9181</v>
      </c>
    </row>
    <row r="70" customFormat="false" ht="15.75" hidden="false" customHeight="false" outlineLevel="0" collapsed="false">
      <c r="A70" s="0" t="s">
        <v>26</v>
      </c>
      <c r="B70" s="1" t="n">
        <v>43930</v>
      </c>
      <c r="C70" s="14" t="n">
        <v>19195</v>
      </c>
      <c r="D70" s="14" t="n">
        <v>1323</v>
      </c>
      <c r="E70" s="14" t="n">
        <v>427</v>
      </c>
      <c r="F70" s="14" t="n">
        <v>50</v>
      </c>
      <c r="G70" s="14" t="n">
        <v>4548</v>
      </c>
      <c r="H70" s="14" t="n">
        <v>14220</v>
      </c>
      <c r="I70" s="14" t="n">
        <v>426</v>
      </c>
      <c r="J70" s="14" t="n">
        <v>509</v>
      </c>
      <c r="K70" s="14" t="n">
        <v>11</v>
      </c>
      <c r="L70" s="14" t="n">
        <v>348105</v>
      </c>
      <c r="M70" s="14" t="n">
        <v>9223</v>
      </c>
    </row>
    <row r="71" customFormat="false" ht="15.75" hidden="false" customHeight="false" outlineLevel="0" collapsed="false">
      <c r="A71" s="0" t="s">
        <v>26</v>
      </c>
      <c r="B71" s="1" t="n">
        <v>43931</v>
      </c>
      <c r="C71" s="14" t="n">
        <v>20703</v>
      </c>
      <c r="D71" s="14" t="n">
        <v>1508</v>
      </c>
      <c r="E71" s="14" t="n">
        <v>504</v>
      </c>
      <c r="F71" s="14" t="n">
        <v>77</v>
      </c>
      <c r="G71" s="14" t="n">
        <v>5218</v>
      </c>
      <c r="H71" s="14" t="n">
        <v>14981</v>
      </c>
      <c r="I71" s="14" t="n">
        <v>518</v>
      </c>
      <c r="J71" s="14" t="n">
        <v>549</v>
      </c>
      <c r="K71" s="14" t="n">
        <v>13</v>
      </c>
      <c r="L71" s="14" t="n">
        <v>370315</v>
      </c>
      <c r="M71" s="14" t="n">
        <v>9812</v>
      </c>
    </row>
    <row r="72" customFormat="false" ht="15.75" hidden="false" customHeight="false" outlineLevel="0" collapsed="false">
      <c r="A72" s="0" t="s">
        <v>26</v>
      </c>
      <c r="B72" s="1" t="n">
        <v>43932</v>
      </c>
      <c r="C72" s="14" t="n">
        <v>22108</v>
      </c>
      <c r="D72" s="14" t="n">
        <v>1405</v>
      </c>
      <c r="E72" s="14" t="n">
        <v>556</v>
      </c>
      <c r="F72" s="14" t="n">
        <v>52</v>
      </c>
      <c r="G72" s="14" t="n">
        <v>5871</v>
      </c>
      <c r="H72" s="14" t="n">
        <v>15681</v>
      </c>
      <c r="I72" s="14" t="n">
        <v>557</v>
      </c>
      <c r="J72" s="14" t="n">
        <v>586</v>
      </c>
      <c r="K72" s="14" t="n">
        <v>15</v>
      </c>
      <c r="L72" s="14" t="n">
        <v>370315</v>
      </c>
      <c r="M72" s="14" t="n">
        <v>9812</v>
      </c>
    </row>
    <row r="73" customFormat="false" ht="15.75" hidden="false" customHeight="false" outlineLevel="0" collapsed="false">
      <c r="A73" s="0" t="s">
        <v>26</v>
      </c>
      <c r="B73" s="1" t="n">
        <v>43933</v>
      </c>
      <c r="C73" s="14" t="n">
        <v>23318</v>
      </c>
      <c r="D73" s="14" t="n">
        <v>1210</v>
      </c>
      <c r="E73" s="14" t="n">
        <v>653</v>
      </c>
      <c r="F73" s="14" t="n">
        <v>97</v>
      </c>
      <c r="G73" s="14" t="n">
        <v>6309</v>
      </c>
      <c r="H73" s="14" t="n">
        <v>16356</v>
      </c>
      <c r="I73" s="14" t="n">
        <v>557</v>
      </c>
      <c r="J73" s="14" t="n">
        <v>618</v>
      </c>
      <c r="K73" s="14" t="n">
        <v>17</v>
      </c>
      <c r="L73" s="14" t="n">
        <v>401552</v>
      </c>
      <c r="M73" s="14" t="n">
        <v>10639</v>
      </c>
    </row>
    <row r="74" customFormat="false" ht="15.75" hidden="false" customHeight="false" outlineLevel="0" collapsed="false">
      <c r="A74" s="0" t="s">
        <v>26</v>
      </c>
      <c r="B74" s="1" t="n">
        <v>43934</v>
      </c>
      <c r="C74" s="14" t="n">
        <v>24292</v>
      </c>
      <c r="D74" s="14" t="n">
        <v>974</v>
      </c>
      <c r="E74" s="14" t="n">
        <v>713</v>
      </c>
      <c r="F74" s="14" t="n">
        <v>60</v>
      </c>
      <c r="G74" s="14" t="n">
        <v>7106</v>
      </c>
      <c r="H74" s="14" t="n">
        <v>16473</v>
      </c>
      <c r="I74" s="14" t="n">
        <v>557</v>
      </c>
      <c r="J74" s="14" t="n">
        <v>644</v>
      </c>
      <c r="K74" s="14" t="n">
        <v>19</v>
      </c>
      <c r="L74" s="14" t="n">
        <v>401552</v>
      </c>
      <c r="M74" s="14" t="n">
        <v>10639</v>
      </c>
    </row>
    <row r="75" customFormat="false" ht="15.75" hidden="false" customHeight="false" outlineLevel="0" collapsed="false">
      <c r="A75" s="0" t="s">
        <v>26</v>
      </c>
      <c r="B75" s="1" t="n">
        <v>43935</v>
      </c>
      <c r="C75" s="14" t="n">
        <v>25552</v>
      </c>
      <c r="D75" s="14" t="n">
        <v>1260</v>
      </c>
      <c r="E75" s="14" t="n">
        <v>767</v>
      </c>
      <c r="F75" s="14" t="n">
        <v>54</v>
      </c>
      <c r="G75" s="14" t="n">
        <v>7666</v>
      </c>
      <c r="H75" s="14" t="n">
        <v>17119</v>
      </c>
      <c r="I75" s="14" t="n">
        <v>557</v>
      </c>
      <c r="J75" s="14" t="n">
        <v>677</v>
      </c>
      <c r="K75" s="14" t="n">
        <v>20</v>
      </c>
      <c r="L75" s="14" t="n">
        <v>422200</v>
      </c>
      <c r="M75" s="14" t="n">
        <v>11186</v>
      </c>
    </row>
    <row r="76" customFormat="false" ht="15.75" hidden="false" customHeight="false" outlineLevel="0" collapsed="false">
      <c r="A76" s="0" t="s">
        <v>26</v>
      </c>
      <c r="B76" s="1" t="n">
        <v>43936</v>
      </c>
      <c r="C76" s="14" t="n">
        <v>26897</v>
      </c>
      <c r="D76" s="14" t="n">
        <v>1345</v>
      </c>
      <c r="E76" s="14" t="n">
        <v>898</v>
      </c>
      <c r="F76" s="14" t="n">
        <v>131</v>
      </c>
      <c r="G76" s="14" t="n">
        <v>8172</v>
      </c>
      <c r="H76" s="14" t="n">
        <v>17827</v>
      </c>
      <c r="I76" s="14" t="n">
        <v>557</v>
      </c>
      <c r="J76" s="14" t="n">
        <v>713</v>
      </c>
      <c r="K76" s="14" t="n">
        <v>24</v>
      </c>
      <c r="L76" s="14" t="n">
        <v>437475</v>
      </c>
      <c r="M76" s="14" t="n">
        <v>11591</v>
      </c>
    </row>
    <row r="77" customFormat="false" ht="15.75" hidden="false" customHeight="false" outlineLevel="0" collapsed="false">
      <c r="A77" s="0" t="s">
        <v>26</v>
      </c>
      <c r="B77" s="1" t="n">
        <v>43937</v>
      </c>
      <c r="C77" s="14" t="n">
        <v>28205</v>
      </c>
      <c r="D77" s="14" t="n">
        <v>1308</v>
      </c>
      <c r="E77" s="14" t="n">
        <v>1006</v>
      </c>
      <c r="F77" s="14" t="n">
        <v>108</v>
      </c>
      <c r="G77" s="14" t="n">
        <v>8937</v>
      </c>
      <c r="H77" s="14" t="n">
        <v>18262</v>
      </c>
      <c r="I77" s="14" t="n">
        <v>557</v>
      </c>
      <c r="J77" s="14" t="n">
        <v>747</v>
      </c>
      <c r="K77" s="14" t="n">
        <v>27</v>
      </c>
      <c r="L77" s="14" t="n">
        <v>462353</v>
      </c>
      <c r="M77" s="14" t="n">
        <v>12250</v>
      </c>
    </row>
    <row r="78" customFormat="false" ht="15.75" hidden="false" customHeight="false" outlineLevel="0" collapsed="false">
      <c r="A78" s="0" t="s">
        <v>26</v>
      </c>
      <c r="B78" s="1" t="n">
        <v>43938</v>
      </c>
      <c r="C78" s="14" t="n">
        <v>29929</v>
      </c>
      <c r="D78" s="14" t="n">
        <v>1724</v>
      </c>
      <c r="E78" s="14" t="n">
        <v>1191</v>
      </c>
      <c r="F78" s="14" t="n">
        <v>185</v>
      </c>
      <c r="G78" s="14" t="n">
        <v>9674</v>
      </c>
      <c r="H78" s="14" t="n">
        <v>19064</v>
      </c>
      <c r="I78" s="14" t="n">
        <v>557</v>
      </c>
      <c r="J78" s="14" t="n">
        <v>793</v>
      </c>
      <c r="K78" s="14" t="n">
        <v>32</v>
      </c>
      <c r="L78" s="14" t="n">
        <v>487625</v>
      </c>
      <c r="M78" s="14" t="n">
        <v>12920</v>
      </c>
    </row>
    <row r="79" customFormat="false" ht="15.75" hidden="false" customHeight="false" outlineLevel="0" collapsed="false">
      <c r="A79" s="0" t="s">
        <v>26</v>
      </c>
      <c r="B79" s="1" t="n">
        <v>43939</v>
      </c>
      <c r="C79" s="14" t="n">
        <v>31642</v>
      </c>
      <c r="D79" s="14" t="n">
        <v>1713</v>
      </c>
      <c r="E79" s="14" t="n">
        <v>1310</v>
      </c>
      <c r="F79" s="14" t="n">
        <v>119</v>
      </c>
      <c r="G79" s="14" t="n">
        <v>10328</v>
      </c>
      <c r="H79" s="14" t="n">
        <v>20004</v>
      </c>
      <c r="I79" s="14" t="n">
        <v>557</v>
      </c>
      <c r="J79" s="14" t="n">
        <v>838</v>
      </c>
      <c r="K79" s="14" t="n">
        <v>35</v>
      </c>
      <c r="L79" s="14" t="n">
        <v>503003</v>
      </c>
      <c r="M79" s="14" t="n">
        <v>13327</v>
      </c>
    </row>
    <row r="80" customFormat="false" ht="15.75" hidden="false" customHeight="false" outlineLevel="0" collapsed="false">
      <c r="A80" s="0" t="s">
        <v>26</v>
      </c>
      <c r="B80" s="1" t="n">
        <v>43940</v>
      </c>
      <c r="C80" s="14" t="n">
        <v>33218</v>
      </c>
      <c r="D80" s="14" t="n">
        <v>1576</v>
      </c>
      <c r="E80" s="14" t="n">
        <v>1469</v>
      </c>
      <c r="F80" s="14" t="n">
        <v>159</v>
      </c>
      <c r="G80" s="14" t="n">
        <v>11168</v>
      </c>
      <c r="H80" s="14" t="n">
        <v>20581</v>
      </c>
      <c r="I80" s="14" t="n">
        <v>557</v>
      </c>
      <c r="J80" s="14" t="n">
        <v>880</v>
      </c>
      <c r="K80" s="14" t="n">
        <v>39</v>
      </c>
      <c r="L80" s="14" t="n">
        <v>507701</v>
      </c>
      <c r="M80" s="14" t="n">
        <v>13452</v>
      </c>
    </row>
    <row r="81" customFormat="false" ht="15.75" hidden="false" customHeight="false" outlineLevel="0" collapsed="false">
      <c r="A81" s="0" t="s">
        <v>26</v>
      </c>
      <c r="B81" s="1" t="n">
        <v>43941</v>
      </c>
      <c r="C81" s="14" t="n">
        <v>34813</v>
      </c>
      <c r="D81" s="14" t="n">
        <v>1595</v>
      </c>
      <c r="E81" s="14" t="n">
        <v>1583</v>
      </c>
      <c r="F81" s="14" t="n">
        <v>114</v>
      </c>
      <c r="G81" s="14" t="n">
        <v>11807</v>
      </c>
      <c r="H81" s="14" t="n">
        <v>21423</v>
      </c>
      <c r="I81" s="14" t="n">
        <v>557</v>
      </c>
      <c r="J81" s="14" t="n">
        <v>922</v>
      </c>
      <c r="K81" s="14" t="n">
        <v>42</v>
      </c>
      <c r="L81" s="14" t="n">
        <v>536062</v>
      </c>
      <c r="M81" s="14" t="n">
        <v>14203</v>
      </c>
    </row>
    <row r="82" customFormat="false" ht="15.75" hidden="false" customHeight="false" outlineLevel="0" collapsed="false">
      <c r="A82" s="0" t="s">
        <v>26</v>
      </c>
      <c r="B82" s="1" t="n">
        <v>43942</v>
      </c>
      <c r="C82" s="6" t="n">
        <v>36670</v>
      </c>
      <c r="D82" s="6" t="n">
        <v>1857</v>
      </c>
      <c r="E82" s="6" t="n">
        <v>1680</v>
      </c>
      <c r="F82" s="6" t="n">
        <v>97</v>
      </c>
      <c r="G82" s="6" t="n">
        <v>12197</v>
      </c>
      <c r="H82" s="6" t="n">
        <v>22793</v>
      </c>
      <c r="I82" s="6" t="n">
        <v>557</v>
      </c>
      <c r="J82" s="6" t="n">
        <v>972</v>
      </c>
      <c r="K82" s="6" t="n">
        <v>45</v>
      </c>
      <c r="L82" s="6" t="n">
        <v>549349</v>
      </c>
      <c r="M82" s="6" t="n">
        <v>14555</v>
      </c>
    </row>
    <row r="83" customFormat="false" ht="15.75" hidden="false" customHeight="false" outlineLevel="0" collapsed="false">
      <c r="A83" s="0" t="s">
        <v>26</v>
      </c>
      <c r="B83" s="1" t="n">
        <v>43943</v>
      </c>
      <c r="C83" s="6" t="n">
        <v>38210</v>
      </c>
      <c r="D83" s="6" t="n">
        <v>1540</v>
      </c>
      <c r="E83" s="6" t="n">
        <v>1831</v>
      </c>
      <c r="F83" s="6" t="n">
        <v>151</v>
      </c>
      <c r="G83" s="6" t="n">
        <v>13143</v>
      </c>
      <c r="H83" s="6" t="n">
        <v>23236</v>
      </c>
      <c r="I83" s="6" t="n">
        <v>557</v>
      </c>
      <c r="J83" s="6" t="n">
        <v>1012</v>
      </c>
      <c r="K83" s="6" t="n">
        <v>49</v>
      </c>
      <c r="L83" s="6" t="n">
        <v>565931</v>
      </c>
      <c r="M83" s="6" t="n">
        <v>14995</v>
      </c>
    </row>
    <row r="84" customFormat="false" ht="15.75" hidden="false" customHeight="false" outlineLevel="0" collapsed="false">
      <c r="A84" s="0" t="s">
        <v>26</v>
      </c>
      <c r="B84" s="1" t="n">
        <v>43944</v>
      </c>
      <c r="C84" s="6" t="n">
        <v>39813</v>
      </c>
      <c r="D84" s="6" t="n">
        <v>1603</v>
      </c>
      <c r="E84" s="6" t="n">
        <v>1966</v>
      </c>
      <c r="F84" s="6" t="n">
        <v>135</v>
      </c>
      <c r="G84" s="6" t="n">
        <v>13647</v>
      </c>
      <c r="H84" s="6" t="n">
        <v>24200</v>
      </c>
      <c r="I84" s="6" t="n">
        <v>557</v>
      </c>
      <c r="J84" s="6" t="n">
        <v>1055</v>
      </c>
      <c r="K84" s="6" t="n">
        <v>52</v>
      </c>
      <c r="L84" s="6" t="n">
        <v>569878</v>
      </c>
      <c r="M84" s="6" t="n">
        <v>15099</v>
      </c>
    </row>
    <row r="85" customFormat="false" ht="15.75" hidden="false" customHeight="false" outlineLevel="0" collapsed="false">
      <c r="A85" s="0" t="s">
        <v>26</v>
      </c>
      <c r="B85" s="1" t="n">
        <v>43945</v>
      </c>
      <c r="C85" s="6" t="n">
        <v>41791</v>
      </c>
      <c r="D85" s="6" t="n">
        <v>1978</v>
      </c>
      <c r="E85" s="6" t="n">
        <v>2141</v>
      </c>
      <c r="F85" s="6" t="n">
        <v>175</v>
      </c>
      <c r="G85" s="6" t="n">
        <v>13986</v>
      </c>
      <c r="H85" s="6" t="n">
        <v>25664</v>
      </c>
      <c r="I85" s="6" t="n">
        <v>557</v>
      </c>
      <c r="J85" s="6" t="n">
        <v>1107</v>
      </c>
      <c r="K85" s="6" t="n">
        <v>57</v>
      </c>
      <c r="L85" s="6" t="n">
        <v>620101</v>
      </c>
      <c r="M85" s="6" t="n">
        <v>16430</v>
      </c>
    </row>
    <row r="86" customFormat="false" ht="15.75" hidden="false" customHeight="false" outlineLevel="0" collapsed="false">
      <c r="A86" s="0" t="s">
        <v>26</v>
      </c>
      <c r="B86" s="1" t="n">
        <v>43946</v>
      </c>
      <c r="C86" s="6" t="n">
        <v>43552</v>
      </c>
      <c r="D86" s="6" t="n">
        <v>1761</v>
      </c>
      <c r="E86" s="6" t="n">
        <v>2294</v>
      </c>
      <c r="F86" s="6" t="n">
        <v>153</v>
      </c>
      <c r="G86" s="6" t="n">
        <v>15469</v>
      </c>
      <c r="H86" s="6" t="n">
        <v>25789</v>
      </c>
      <c r="I86" s="6" t="n">
        <v>557</v>
      </c>
      <c r="J86" s="6" t="n">
        <v>1154</v>
      </c>
      <c r="K86" s="6" t="n">
        <v>61</v>
      </c>
      <c r="L86" s="6" t="n">
        <v>643398</v>
      </c>
      <c r="M86" s="6" t="n">
        <v>17047</v>
      </c>
    </row>
    <row r="87" customFormat="false" ht="15.75" hidden="false" customHeight="false" outlineLevel="0" collapsed="false">
      <c r="A87" s="0" t="s">
        <v>26</v>
      </c>
      <c r="B87" s="1" t="n">
        <v>43947</v>
      </c>
      <c r="C87" s="6" t="n">
        <v>45138</v>
      </c>
      <c r="D87" s="6" t="n">
        <v>1586</v>
      </c>
      <c r="E87" s="6" t="n">
        <v>2464</v>
      </c>
      <c r="F87" s="6" t="n">
        <v>170</v>
      </c>
      <c r="G87" s="6" t="n">
        <v>16351</v>
      </c>
      <c r="H87" s="6" t="n">
        <v>26323</v>
      </c>
      <c r="I87" s="6" t="n">
        <v>557</v>
      </c>
      <c r="J87" s="6" t="n">
        <v>1196</v>
      </c>
      <c r="K87" s="6" t="n">
        <v>65</v>
      </c>
      <c r="L87" s="6" t="n">
        <v>669588</v>
      </c>
      <c r="M87" s="6" t="n">
        <v>17741</v>
      </c>
    </row>
    <row r="88" customFormat="false" ht="15.75" hidden="false" customHeight="false" outlineLevel="0" collapsed="false">
      <c r="A88" s="0" t="s">
        <v>26</v>
      </c>
      <c r="B88" s="1" t="n">
        <v>43948</v>
      </c>
      <c r="C88" s="6" t="n">
        <v>46644</v>
      </c>
      <c r="D88" s="6" t="n">
        <v>1506</v>
      </c>
      <c r="E88" s="6" t="n">
        <v>2560</v>
      </c>
      <c r="F88" s="6" t="n">
        <v>96</v>
      </c>
      <c r="G88" s="6" t="n">
        <v>17239</v>
      </c>
      <c r="H88" s="6" t="n">
        <v>26845</v>
      </c>
      <c r="I88" s="6" t="n">
        <v>557</v>
      </c>
      <c r="J88" s="6" t="n">
        <v>1236</v>
      </c>
      <c r="K88" s="6" t="n">
        <v>68</v>
      </c>
      <c r="L88" s="6" t="n">
        <v>684271</v>
      </c>
      <c r="M88" s="6" t="n">
        <v>14303</v>
      </c>
    </row>
    <row r="89" customFormat="false" ht="15.75" hidden="false" customHeight="false" outlineLevel="0" collapsed="false">
      <c r="A89" s="0" t="s">
        <v>26</v>
      </c>
      <c r="B89" s="1" t="n">
        <v>43949</v>
      </c>
      <c r="C89" s="6" t="n">
        <v>48242</v>
      </c>
      <c r="D89" s="6" t="n">
        <v>1598</v>
      </c>
      <c r="E89" s="6" t="n">
        <v>2702</v>
      </c>
      <c r="F89" s="6" t="n">
        <v>142</v>
      </c>
      <c r="G89" s="6" t="n">
        <v>18100</v>
      </c>
      <c r="H89" s="6" t="n">
        <v>27440</v>
      </c>
      <c r="I89" s="6" t="n">
        <v>557</v>
      </c>
      <c r="J89" s="6" t="n">
        <v>1278</v>
      </c>
      <c r="K89" s="6" t="n">
        <v>72</v>
      </c>
      <c r="L89" s="6" t="n">
        <v>717451</v>
      </c>
      <c r="M89" s="6" t="n">
        <v>19009</v>
      </c>
    </row>
    <row r="90" customFormat="false" ht="15.75" hidden="false" customHeight="false" outlineLevel="0" collapsed="false">
      <c r="A90" s="0" t="s">
        <v>26</v>
      </c>
      <c r="B90" s="1" t="n">
        <v>43950</v>
      </c>
      <c r="C90" s="6" t="n">
        <v>49817</v>
      </c>
      <c r="D90" s="6" t="n">
        <v>1575</v>
      </c>
      <c r="E90" s="6" t="n">
        <v>2852</v>
      </c>
      <c r="F90" s="6" t="n">
        <v>150</v>
      </c>
      <c r="G90" s="6" t="n">
        <v>19050</v>
      </c>
      <c r="H90" s="6" t="n">
        <v>27915</v>
      </c>
      <c r="I90" s="6" t="n">
        <v>557</v>
      </c>
      <c r="J90" s="6" t="n">
        <v>1320</v>
      </c>
      <c r="K90" s="6" t="n">
        <v>76</v>
      </c>
      <c r="L90" s="6" t="n">
        <v>740859</v>
      </c>
      <c r="M90" s="6" t="n">
        <v>19629</v>
      </c>
    </row>
    <row r="91" customFormat="false" ht="15.75" hidden="false" customHeight="false" outlineLevel="0" collapsed="false">
      <c r="A91" s="0" t="s">
        <v>26</v>
      </c>
      <c r="B91" s="1" t="n">
        <v>43951</v>
      </c>
      <c r="C91" s="6" t="n">
        <v>51248</v>
      </c>
      <c r="D91" s="6" t="n">
        <v>1431</v>
      </c>
      <c r="E91" s="6" t="n">
        <v>2985</v>
      </c>
      <c r="F91" s="6" t="n">
        <v>133</v>
      </c>
      <c r="G91" s="6" t="n">
        <v>20100</v>
      </c>
      <c r="H91" s="6" t="n">
        <v>28163</v>
      </c>
      <c r="I91" s="6" t="n">
        <v>557</v>
      </c>
      <c r="J91" s="6" t="n">
        <v>1358</v>
      </c>
      <c r="K91" s="6" t="n">
        <v>79</v>
      </c>
      <c r="L91" s="6" t="n">
        <v>754800</v>
      </c>
      <c r="M91" s="6" t="n">
        <v>19999</v>
      </c>
    </row>
    <row r="92" customFormat="false" ht="15.75" hidden="false" customHeight="false" outlineLevel="0" collapsed="false">
      <c r="A92" s="0" t="s">
        <v>26</v>
      </c>
      <c r="B92" s="1" t="n">
        <v>43952</v>
      </c>
      <c r="C92" s="6" t="n">
        <v>53021</v>
      </c>
      <c r="D92" s="6" t="n">
        <v>1773</v>
      </c>
      <c r="E92" s="6" t="n">
        <v>3180</v>
      </c>
      <c r="F92" s="6" t="n">
        <v>195</v>
      </c>
      <c r="G92" s="6" t="n">
        <v>21198</v>
      </c>
      <c r="H92" s="6" t="n">
        <v>28643</v>
      </c>
      <c r="I92" s="6" t="n">
        <v>557</v>
      </c>
      <c r="J92" s="6" t="n">
        <v>1405</v>
      </c>
      <c r="K92" s="6" t="n">
        <v>84</v>
      </c>
      <c r="L92" s="6" t="n">
        <v>788283</v>
      </c>
      <c r="M92" s="6" t="n">
        <v>20886</v>
      </c>
    </row>
    <row r="93" customFormat="false" ht="15.75" hidden="false" customHeight="false" outlineLevel="0" collapsed="false">
      <c r="A93" s="0" t="s">
        <v>26</v>
      </c>
      <c r="B93" s="1" t="n">
        <v>43953</v>
      </c>
      <c r="C93" s="6" t="n">
        <v>54810</v>
      </c>
      <c r="D93" s="6" t="n">
        <v>1789</v>
      </c>
      <c r="E93" s="6" t="n">
        <v>3387</v>
      </c>
      <c r="F93" s="6" t="n">
        <v>207</v>
      </c>
      <c r="G93" s="6" t="n">
        <v>22515</v>
      </c>
      <c r="H93" s="6" t="n">
        <v>28908</v>
      </c>
      <c r="I93" s="6" t="n">
        <v>557</v>
      </c>
      <c r="J93" s="6" t="n">
        <v>1452</v>
      </c>
      <c r="K93" s="6" t="n">
        <v>90</v>
      </c>
      <c r="L93" s="6" t="n">
        <v>832222</v>
      </c>
      <c r="M93" s="6" t="n">
        <v>22050</v>
      </c>
    </row>
    <row r="94" customFormat="false" ht="15.75" hidden="false" customHeight="false" outlineLevel="0" collapsed="false">
      <c r="A94" s="0" t="s">
        <v>26</v>
      </c>
      <c r="B94" s="1" t="n">
        <v>43954</v>
      </c>
      <c r="C94" s="6" t="n">
        <v>56611</v>
      </c>
      <c r="D94" s="6" t="n">
        <v>1801</v>
      </c>
      <c r="E94" s="6" t="n">
        <v>3564</v>
      </c>
      <c r="F94" s="6" t="n">
        <v>177</v>
      </c>
      <c r="G94" s="6" t="n">
        <v>23621</v>
      </c>
      <c r="H94" s="6" t="n">
        <v>29426</v>
      </c>
      <c r="I94" s="6" t="n">
        <v>557</v>
      </c>
      <c r="J94" s="6" t="n">
        <v>1500</v>
      </c>
      <c r="K94" s="6" t="n">
        <v>94</v>
      </c>
      <c r="L94" s="6" t="n">
        <v>832222</v>
      </c>
      <c r="M94" s="6" t="n">
        <v>22050</v>
      </c>
    </row>
    <row r="95" customFormat="false" ht="15.75" hidden="false" customHeight="false" outlineLevel="0" collapsed="false">
      <c r="A95" s="0" t="s">
        <v>26</v>
      </c>
      <c r="B95" s="1" t="n">
        <v>43955</v>
      </c>
      <c r="C95" s="6" t="n">
        <v>59474</v>
      </c>
      <c r="D95" s="6" t="n">
        <v>2863</v>
      </c>
      <c r="E95" s="6" t="n">
        <v>3682</v>
      </c>
      <c r="F95" s="6" t="n">
        <v>118</v>
      </c>
      <c r="G95" s="6" t="n">
        <v>24908</v>
      </c>
      <c r="H95" s="6" t="n">
        <v>30884</v>
      </c>
      <c r="I95" s="6" t="n">
        <v>557</v>
      </c>
      <c r="J95" s="6" t="n">
        <v>1576</v>
      </c>
      <c r="K95" s="6" t="n">
        <v>98</v>
      </c>
      <c r="L95" s="6" t="n">
        <v>893490</v>
      </c>
      <c r="M95" s="6" t="n">
        <v>23674</v>
      </c>
    </row>
    <row r="96" customFormat="false" ht="15.75" hidden="false" customHeight="false" outlineLevel="0" collapsed="false">
      <c r="A96" s="0" t="s">
        <v>26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26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26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26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26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26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26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26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26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26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26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26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26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26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26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26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26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26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26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26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26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26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26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26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26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26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26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26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26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26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26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26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26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26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26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26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26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26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26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26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26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26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26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26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26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26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26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26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26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26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26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26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26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26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26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26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26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26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26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26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26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26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26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26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26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26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26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26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26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26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26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26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26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26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26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26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26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26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26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26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26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26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26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26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26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26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26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26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26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26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26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26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27</v>
      </c>
      <c r="B37" s="1" t="n">
        <v>43897</v>
      </c>
      <c r="C37" s="8" t="n">
        <v>214</v>
      </c>
      <c r="D37" s="8" t="n">
        <v>94</v>
      </c>
      <c r="E37" s="8" t="n">
        <v>1</v>
      </c>
      <c r="F37" s="8" t="n">
        <v>0</v>
      </c>
      <c r="G37" s="8" t="n">
        <v>3</v>
      </c>
      <c r="H37" s="8" t="n">
        <v>210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27</v>
      </c>
      <c r="B38" s="1" t="n">
        <v>43898</v>
      </c>
      <c r="C38" s="6" t="n">
        <v>268</v>
      </c>
      <c r="D38" s="6" t="n">
        <v>54</v>
      </c>
      <c r="E38" s="6" t="n">
        <v>1</v>
      </c>
      <c r="F38" s="6" t="n">
        <v>0</v>
      </c>
      <c r="G38" s="6" t="n">
        <v>3</v>
      </c>
      <c r="H38" s="6" t="n">
        <v>264</v>
      </c>
      <c r="I38" s="6" t="n">
        <v>0</v>
      </c>
      <c r="J38" s="6" t="n">
        <v>31</v>
      </c>
      <c r="K38" s="6"/>
      <c r="L38" s="6"/>
      <c r="M38" s="6"/>
    </row>
    <row r="39" customFormat="false" ht="15.75" hidden="false" customHeight="false" outlineLevel="0" collapsed="false">
      <c r="A39" s="0" t="s">
        <v>27</v>
      </c>
      <c r="B39" s="1" t="n">
        <v>43899</v>
      </c>
      <c r="C39" s="6" t="n">
        <v>337</v>
      </c>
      <c r="D39" s="6" t="n">
        <v>69</v>
      </c>
      <c r="E39" s="6" t="n">
        <v>2</v>
      </c>
      <c r="F39" s="6" t="n">
        <v>1</v>
      </c>
      <c r="G39" s="6" t="n">
        <v>3</v>
      </c>
      <c r="H39" s="6" t="n">
        <v>332</v>
      </c>
      <c r="I39" s="6" t="n">
        <v>0</v>
      </c>
      <c r="J39" s="6" t="n">
        <v>38.9</v>
      </c>
      <c r="K39" s="6"/>
      <c r="L39" s="6"/>
      <c r="M39" s="6"/>
    </row>
    <row r="40" customFormat="false" ht="15.75" hidden="false" customHeight="false" outlineLevel="0" collapsed="false">
      <c r="A40" s="0" t="s">
        <v>27</v>
      </c>
      <c r="B40" s="1" t="n">
        <v>43900</v>
      </c>
      <c r="C40" s="6" t="n">
        <v>374</v>
      </c>
      <c r="D40" s="6" t="n">
        <v>37</v>
      </c>
      <c r="E40" s="6" t="n">
        <v>2</v>
      </c>
      <c r="F40" s="6" t="n">
        <v>0</v>
      </c>
      <c r="G40" s="6" t="n">
        <v>3</v>
      </c>
      <c r="H40" s="6" t="n">
        <v>369</v>
      </c>
      <c r="I40" s="6" t="n">
        <v>0</v>
      </c>
      <c r="J40" s="6" t="n">
        <v>43.2</v>
      </c>
      <c r="K40" s="6"/>
      <c r="L40" s="6"/>
      <c r="M40" s="6"/>
    </row>
    <row r="41" customFormat="false" ht="15.75" hidden="false" customHeight="false" outlineLevel="0" collapsed="false">
      <c r="A41" s="0" t="s">
        <v>27</v>
      </c>
      <c r="B41" s="1" t="n">
        <v>43901</v>
      </c>
      <c r="C41" s="6" t="n">
        <v>497</v>
      </c>
      <c r="D41" s="6" t="n">
        <v>123</v>
      </c>
      <c r="E41" s="6" t="n">
        <v>3</v>
      </c>
      <c r="F41" s="6" t="n">
        <v>1</v>
      </c>
      <c r="G41" s="6" t="n">
        <v>3</v>
      </c>
      <c r="H41" s="6" t="n">
        <v>491</v>
      </c>
      <c r="I41" s="6" t="n">
        <v>0</v>
      </c>
      <c r="J41" s="6" t="n">
        <v>57.4</v>
      </c>
      <c r="K41" s="6"/>
      <c r="L41" s="6"/>
      <c r="M41" s="6"/>
    </row>
    <row r="42" customFormat="false" ht="15.75" hidden="false" customHeight="false" outlineLevel="0" collapsed="false">
      <c r="A42" s="0" t="s">
        <v>27</v>
      </c>
      <c r="B42" s="1" t="n">
        <v>43902</v>
      </c>
      <c r="C42" s="6" t="n">
        <v>652</v>
      </c>
      <c r="D42" s="6" t="n">
        <v>155</v>
      </c>
      <c r="E42" s="6" t="n">
        <v>4</v>
      </c>
      <c r="F42" s="6" t="n">
        <v>1</v>
      </c>
      <c r="G42" s="6" t="n">
        <v>4</v>
      </c>
      <c r="H42" s="6" t="n">
        <v>644</v>
      </c>
      <c r="I42" s="6" t="n">
        <v>0</v>
      </c>
      <c r="J42" s="6" t="n">
        <v>75.3</v>
      </c>
      <c r="K42" s="6"/>
      <c r="L42" s="6"/>
      <c r="M42" s="6"/>
    </row>
    <row r="43" customFormat="false" ht="15.75" hidden="false" customHeight="false" outlineLevel="0" collapsed="false">
      <c r="A43" s="0" t="s">
        <v>27</v>
      </c>
      <c r="B43" s="1" t="n">
        <v>43903</v>
      </c>
      <c r="C43" s="6" t="n">
        <v>868</v>
      </c>
      <c r="D43" s="6" t="n">
        <v>216</v>
      </c>
      <c r="E43" s="6" t="n">
        <v>7</v>
      </c>
      <c r="F43" s="6" t="n">
        <v>3</v>
      </c>
      <c r="G43" s="6" t="n">
        <v>4</v>
      </c>
      <c r="H43" s="6" t="n">
        <v>857</v>
      </c>
      <c r="I43" s="6" t="n">
        <v>0</v>
      </c>
      <c r="J43" s="6" t="n">
        <v>100.3</v>
      </c>
      <c r="K43" s="6"/>
      <c r="L43" s="6"/>
      <c r="M43" s="6"/>
    </row>
    <row r="44" customFormat="false" ht="15.75" hidden="false" customHeight="false" outlineLevel="0" collapsed="false">
      <c r="A44" s="0" t="s">
        <v>27</v>
      </c>
      <c r="B44" s="1" t="n">
        <v>43904</v>
      </c>
      <c r="C44" s="6" t="n">
        <v>1139</v>
      </c>
      <c r="D44" s="6" t="n">
        <v>271</v>
      </c>
      <c r="E44" s="6" t="n">
        <v>11</v>
      </c>
      <c r="F44" s="6" t="n">
        <v>4</v>
      </c>
      <c r="G44" s="6" t="n">
        <v>4</v>
      </c>
      <c r="H44" s="6" t="n">
        <v>1124</v>
      </c>
      <c r="I44" s="6" t="n">
        <v>0</v>
      </c>
      <c r="J44" s="6" t="n">
        <v>131.6</v>
      </c>
      <c r="K44" s="6"/>
      <c r="L44" s="6"/>
      <c r="M44" s="6"/>
    </row>
    <row r="45" customFormat="false" ht="15.75" hidden="false" customHeight="false" outlineLevel="0" collapsed="false">
      <c r="A45" s="0" t="s">
        <v>27</v>
      </c>
      <c r="B45" s="1" t="n">
        <v>43905</v>
      </c>
      <c r="C45" s="6" t="n">
        <v>1375</v>
      </c>
      <c r="D45" s="6" t="n">
        <v>236</v>
      </c>
      <c r="E45" s="6" t="n">
        <v>13</v>
      </c>
      <c r="F45" s="6" t="n">
        <v>2</v>
      </c>
      <c r="G45" s="6" t="n">
        <v>4</v>
      </c>
      <c r="H45" s="6" t="n">
        <v>1358</v>
      </c>
      <c r="I45" s="6" t="n">
        <v>0</v>
      </c>
      <c r="J45" s="6" t="n">
        <v>158.9</v>
      </c>
      <c r="K45" s="6"/>
      <c r="L45" s="6"/>
      <c r="M45" s="6"/>
    </row>
    <row r="46" customFormat="false" ht="15.75" hidden="false" customHeight="false" outlineLevel="0" collapsed="false">
      <c r="A46" s="0" t="s">
        <v>27</v>
      </c>
      <c r="B46" s="1" t="n">
        <v>43906</v>
      </c>
      <c r="C46" s="6" t="n">
        <v>2217</v>
      </c>
      <c r="D46" s="6" t="n">
        <v>842</v>
      </c>
      <c r="E46" s="6" t="n">
        <v>14</v>
      </c>
      <c r="F46" s="6" t="n">
        <v>1</v>
      </c>
      <c r="G46" s="6" t="n">
        <v>4</v>
      </c>
      <c r="H46" s="6" t="n">
        <v>2199</v>
      </c>
      <c r="I46" s="6" t="n">
        <v>0</v>
      </c>
      <c r="J46" s="6" t="n">
        <v>256.2</v>
      </c>
      <c r="K46" s="6"/>
      <c r="L46" s="6"/>
      <c r="M46" s="6"/>
    </row>
    <row r="47" customFormat="false" ht="15.75" hidden="false" customHeight="false" outlineLevel="0" collapsed="false">
      <c r="A47" s="0" t="s">
        <v>27</v>
      </c>
      <c r="B47" s="1" t="n">
        <v>43907</v>
      </c>
      <c r="C47" s="6" t="n">
        <v>2353</v>
      </c>
      <c r="D47" s="6" t="n">
        <v>136</v>
      </c>
      <c r="E47" s="6" t="n">
        <v>19</v>
      </c>
      <c r="F47" s="6" t="n">
        <v>5</v>
      </c>
      <c r="G47" s="6" t="n">
        <v>4</v>
      </c>
      <c r="H47" s="6" t="n">
        <v>2330</v>
      </c>
      <c r="I47" s="6" t="n">
        <v>0</v>
      </c>
      <c r="J47" s="6" t="n">
        <v>271.9</v>
      </c>
      <c r="K47" s="6"/>
      <c r="L47" s="6"/>
      <c r="M47" s="6"/>
    </row>
    <row r="48" customFormat="false" ht="15.75" hidden="false" customHeight="false" outlineLevel="0" collapsed="false">
      <c r="A48" s="0" t="s">
        <v>27</v>
      </c>
      <c r="B48" s="1" t="n">
        <v>43908</v>
      </c>
      <c r="C48" s="6" t="n">
        <v>2742</v>
      </c>
      <c r="D48" s="6" t="n">
        <v>389</v>
      </c>
      <c r="E48" s="6" t="n">
        <v>27</v>
      </c>
      <c r="F48" s="6" t="n">
        <v>8</v>
      </c>
      <c r="G48" s="6" t="n">
        <v>15</v>
      </c>
      <c r="H48" s="6" t="n">
        <v>2700</v>
      </c>
      <c r="I48" s="6" t="n">
        <v>0</v>
      </c>
      <c r="J48" s="6" t="n">
        <v>316.8</v>
      </c>
      <c r="K48" s="6"/>
      <c r="L48" s="6"/>
      <c r="M48" s="6"/>
    </row>
    <row r="49" customFormat="false" ht="15.75" hidden="false" customHeight="false" outlineLevel="0" collapsed="false">
      <c r="A49" s="0" t="s">
        <v>27</v>
      </c>
      <c r="B49" s="1" t="n">
        <v>43909</v>
      </c>
      <c r="C49" s="6" t="n">
        <v>3115</v>
      </c>
      <c r="D49" s="6" t="n">
        <v>373</v>
      </c>
      <c r="E49" s="6" t="n">
        <v>33</v>
      </c>
      <c r="F49" s="6" t="n">
        <v>6</v>
      </c>
      <c r="G49" s="6" t="n">
        <v>15</v>
      </c>
      <c r="H49" s="6" t="n">
        <v>3067</v>
      </c>
      <c r="I49" s="6" t="n">
        <v>0</v>
      </c>
      <c r="J49" s="6" t="n">
        <v>360</v>
      </c>
      <c r="K49" s="6"/>
      <c r="L49" s="6"/>
      <c r="M49" s="6"/>
    </row>
    <row r="50" customFormat="false" ht="15.75" hidden="false" customHeight="false" outlineLevel="0" collapsed="false">
      <c r="A50" s="0" t="s">
        <v>27</v>
      </c>
      <c r="B50" s="1" t="n">
        <v>43910</v>
      </c>
      <c r="C50" s="6" t="n">
        <v>4222</v>
      </c>
      <c r="D50" s="6" t="n">
        <v>1107</v>
      </c>
      <c r="E50" s="6" t="n">
        <v>43</v>
      </c>
      <c r="F50" s="6" t="n">
        <v>10</v>
      </c>
      <c r="G50" s="6" t="n">
        <v>15</v>
      </c>
      <c r="H50" s="6" t="n">
        <v>4164</v>
      </c>
      <c r="I50" s="6" t="n">
        <v>0</v>
      </c>
      <c r="J50" s="6" t="n">
        <v>488</v>
      </c>
      <c r="K50" s="6"/>
      <c r="L50" s="6"/>
      <c r="M50" s="6"/>
    </row>
    <row r="51" customFormat="false" ht="15.75" hidden="false" customHeight="false" outlineLevel="0" collapsed="false">
      <c r="A51" s="0" t="s">
        <v>27</v>
      </c>
      <c r="B51" s="1" t="n">
        <v>43911</v>
      </c>
      <c r="C51" s="6" t="n">
        <v>5711</v>
      </c>
      <c r="D51" s="6" t="n">
        <v>1489</v>
      </c>
      <c r="E51" s="6" t="n">
        <v>57</v>
      </c>
      <c r="F51" s="6" t="n">
        <v>14</v>
      </c>
      <c r="G51" s="6" t="n">
        <v>15</v>
      </c>
      <c r="H51" s="6" t="n">
        <v>5639</v>
      </c>
      <c r="I51" s="6" t="n">
        <v>141</v>
      </c>
      <c r="J51" s="6" t="n">
        <v>660</v>
      </c>
      <c r="K51" s="6"/>
      <c r="L51" s="6"/>
      <c r="M51" s="6"/>
    </row>
    <row r="52" customFormat="false" ht="15.75" hidden="false" customHeight="false" outlineLevel="0" collapsed="false">
      <c r="A52" s="0" t="s">
        <v>27</v>
      </c>
      <c r="B52" s="1" t="n">
        <v>43912</v>
      </c>
      <c r="C52" s="6" t="n">
        <v>6863</v>
      </c>
      <c r="D52" s="6" t="n">
        <v>1152</v>
      </c>
      <c r="E52" s="6" t="n">
        <v>80</v>
      </c>
      <c r="F52" s="6" t="n">
        <v>23</v>
      </c>
      <c r="G52" s="6" t="n">
        <v>131</v>
      </c>
      <c r="H52" s="6" t="n">
        <v>6652</v>
      </c>
      <c r="I52" s="6" t="n">
        <v>141</v>
      </c>
      <c r="J52" s="6" t="n">
        <v>793</v>
      </c>
      <c r="K52" s="6"/>
      <c r="L52" s="6"/>
      <c r="M52" s="6"/>
    </row>
    <row r="53" customFormat="false" ht="15.75" hidden="false" customHeight="false" outlineLevel="0" collapsed="false">
      <c r="A53" s="0" t="s">
        <v>27</v>
      </c>
      <c r="B53" s="1" t="n">
        <v>43913</v>
      </c>
      <c r="C53" s="6" t="n">
        <v>7474</v>
      </c>
      <c r="D53" s="6" t="n">
        <v>611</v>
      </c>
      <c r="E53" s="6" t="n">
        <v>98</v>
      </c>
      <c r="F53" s="6" t="n">
        <v>18</v>
      </c>
      <c r="G53" s="6" t="n">
        <v>131</v>
      </c>
      <c r="H53" s="6" t="n">
        <v>7245</v>
      </c>
      <c r="I53" s="6" t="n">
        <v>141</v>
      </c>
      <c r="J53" s="6" t="n">
        <v>864</v>
      </c>
      <c r="K53" s="6"/>
      <c r="L53" s="6"/>
      <c r="M53" s="6"/>
    </row>
    <row r="54" customFormat="false" ht="15.75" hidden="false" customHeight="false" outlineLevel="0" collapsed="false">
      <c r="A54" s="0" t="s">
        <v>27</v>
      </c>
      <c r="B54" s="1" t="n">
        <v>43914</v>
      </c>
      <c r="C54" s="6" t="n">
        <v>8795</v>
      </c>
      <c r="D54" s="6" t="n">
        <v>1321</v>
      </c>
      <c r="E54" s="6" t="n">
        <v>120</v>
      </c>
      <c r="F54" s="6" t="n">
        <v>22</v>
      </c>
      <c r="G54" s="6" t="n">
        <v>131</v>
      </c>
      <c r="H54" s="6" t="n">
        <v>8544</v>
      </c>
      <c r="I54" s="6" t="n">
        <v>141</v>
      </c>
      <c r="J54" s="6" t="n">
        <v>1016</v>
      </c>
      <c r="K54" s="6"/>
      <c r="L54" s="6"/>
      <c r="M54" s="6"/>
    </row>
    <row r="55" customFormat="false" ht="15.75" hidden="false" customHeight="false" outlineLevel="0" collapsed="false">
      <c r="A55" s="0" t="s">
        <v>27</v>
      </c>
      <c r="B55" s="1" t="n">
        <v>43915</v>
      </c>
      <c r="C55" s="7" t="n">
        <v>9877</v>
      </c>
      <c r="D55" s="7" t="n">
        <v>1082</v>
      </c>
      <c r="E55" s="7" t="n">
        <v>122</v>
      </c>
      <c r="F55" s="7" t="n">
        <v>2</v>
      </c>
      <c r="G55" s="7" t="n">
        <v>131</v>
      </c>
      <c r="H55" s="7" t="n">
        <v>9624</v>
      </c>
      <c r="I55" s="7" t="n">
        <v>141</v>
      </c>
      <c r="J55" s="7" t="n">
        <v>1141</v>
      </c>
      <c r="K55" s="7" t="n">
        <v>14</v>
      </c>
      <c r="L55" s="7"/>
      <c r="M55" s="7"/>
    </row>
    <row r="56" customFormat="false" ht="15.75" hidden="false" customHeight="false" outlineLevel="0" collapsed="false">
      <c r="A56" s="0" t="s">
        <v>27</v>
      </c>
      <c r="B56" s="1" t="n">
        <v>43916</v>
      </c>
      <c r="C56" s="7" t="n">
        <v>10897</v>
      </c>
      <c r="D56" s="7" t="n">
        <v>1020</v>
      </c>
      <c r="E56" s="7" t="n">
        <v>153</v>
      </c>
      <c r="F56" s="7" t="n">
        <v>31</v>
      </c>
      <c r="G56" s="7" t="n">
        <v>131</v>
      </c>
      <c r="H56" s="7" t="n">
        <v>10613</v>
      </c>
      <c r="I56" s="7" t="n">
        <v>141</v>
      </c>
      <c r="J56" s="7" t="n">
        <v>1259</v>
      </c>
      <c r="K56" s="7" t="n">
        <v>18</v>
      </c>
      <c r="L56" s="7"/>
      <c r="M56" s="7"/>
    </row>
    <row r="57" customFormat="false" ht="15.75" hidden="false" customHeight="false" outlineLevel="0" collapsed="false">
      <c r="A57" s="0" t="s">
        <v>27</v>
      </c>
      <c r="B57" s="1" t="n">
        <v>43917</v>
      </c>
      <c r="C57" s="7" t="n">
        <v>11811</v>
      </c>
      <c r="D57" s="7" t="n">
        <v>914</v>
      </c>
      <c r="E57" s="7" t="n">
        <v>191</v>
      </c>
      <c r="F57" s="7" t="n">
        <v>38</v>
      </c>
      <c r="G57" s="7" t="n">
        <v>131</v>
      </c>
      <c r="H57" s="7" t="n">
        <v>11489</v>
      </c>
      <c r="I57" s="7" t="n">
        <v>141</v>
      </c>
      <c r="J57" s="7" t="n">
        <v>1365</v>
      </c>
      <c r="K57" s="7" t="n">
        <v>22</v>
      </c>
      <c r="L57" s="7"/>
      <c r="M57" s="7"/>
    </row>
    <row r="58" customFormat="false" ht="15.75" hidden="false" customHeight="false" outlineLevel="0" collapsed="false">
      <c r="A58" s="0" t="s">
        <v>27</v>
      </c>
      <c r="B58" s="1" t="n">
        <v>43918</v>
      </c>
      <c r="C58" s="7" t="n">
        <v>12928</v>
      </c>
      <c r="D58" s="7" t="n">
        <v>1117</v>
      </c>
      <c r="E58" s="7" t="n">
        <v>231</v>
      </c>
      <c r="F58" s="7" t="n">
        <v>40</v>
      </c>
      <c r="G58" s="7" t="n">
        <v>1530</v>
      </c>
      <c r="H58" s="7" t="n">
        <v>11167</v>
      </c>
      <c r="I58" s="7" t="n">
        <v>203</v>
      </c>
      <c r="J58" s="7" t="n">
        <v>1494</v>
      </c>
      <c r="K58" s="7" t="n">
        <v>27</v>
      </c>
      <c r="L58" s="7"/>
      <c r="M58" s="7"/>
    </row>
    <row r="59" customFormat="false" ht="15.75" hidden="false" customHeight="false" outlineLevel="0" collapsed="false">
      <c r="A59" s="0" t="s">
        <v>27</v>
      </c>
      <c r="B59" s="1" t="n">
        <v>43919</v>
      </c>
      <c r="C59" s="7" t="n">
        <v>14076</v>
      </c>
      <c r="D59" s="7" t="n">
        <v>1148</v>
      </c>
      <c r="E59" s="7" t="n">
        <v>264</v>
      </c>
      <c r="F59" s="7" t="n">
        <v>33</v>
      </c>
      <c r="G59" s="7" t="n">
        <v>1530</v>
      </c>
      <c r="H59" s="7" t="n">
        <v>12282</v>
      </c>
      <c r="I59" s="7" t="n">
        <v>301</v>
      </c>
      <c r="J59" s="7" t="n">
        <v>1626</v>
      </c>
      <c r="K59" s="7" t="n">
        <v>31</v>
      </c>
      <c r="L59" s="7"/>
      <c r="M59" s="7"/>
    </row>
    <row r="60" customFormat="false" ht="15.75" hidden="false" customHeight="false" outlineLevel="0" collapsed="false">
      <c r="A60" s="0" t="s">
        <v>27</v>
      </c>
      <c r="B60" s="1" t="n">
        <v>43920</v>
      </c>
      <c r="C60" s="7" t="n">
        <v>14829</v>
      </c>
      <c r="D60" s="7" t="n">
        <v>753</v>
      </c>
      <c r="E60" s="7" t="n">
        <v>300</v>
      </c>
      <c r="F60" s="7" t="n">
        <v>36</v>
      </c>
      <c r="G60" s="7" t="n">
        <v>1595</v>
      </c>
      <c r="H60" s="7" t="n">
        <v>12934</v>
      </c>
      <c r="I60" s="7" t="n">
        <v>301</v>
      </c>
      <c r="J60" s="7" t="n">
        <v>1713</v>
      </c>
      <c r="K60" s="7" t="n">
        <v>35</v>
      </c>
      <c r="L60" s="7"/>
      <c r="M60" s="7"/>
    </row>
    <row r="61" customFormat="false" ht="15.75" hidden="false" customHeight="false" outlineLevel="0" collapsed="false">
      <c r="A61" s="0" t="s">
        <v>27</v>
      </c>
      <c r="B61" s="1" t="n">
        <v>43921</v>
      </c>
      <c r="C61" s="7" t="n">
        <v>15922</v>
      </c>
      <c r="D61" s="7" t="n">
        <v>1093</v>
      </c>
      <c r="E61" s="7" t="n">
        <v>359</v>
      </c>
      <c r="F61" s="7" t="n">
        <v>59</v>
      </c>
      <c r="G61" s="7" t="n">
        <v>1823</v>
      </c>
      <c r="H61" s="7" t="n">
        <v>13740</v>
      </c>
      <c r="I61" s="7" t="n">
        <v>301</v>
      </c>
      <c r="J61" s="7" t="n">
        <v>1840</v>
      </c>
      <c r="K61" s="7" t="n">
        <v>41</v>
      </c>
      <c r="L61" s="7"/>
      <c r="M61" s="7"/>
    </row>
    <row r="62" customFormat="false" ht="15.75" hidden="false" customHeight="false" outlineLevel="0" collapsed="false">
      <c r="A62" s="0" t="s">
        <v>27</v>
      </c>
      <c r="B62" s="1" t="n">
        <v>43922</v>
      </c>
      <c r="C62" s="7" t="n">
        <v>16605</v>
      </c>
      <c r="D62" s="7" t="n">
        <v>683</v>
      </c>
      <c r="E62" s="7" t="n">
        <v>433</v>
      </c>
      <c r="F62" s="7" t="n">
        <v>74</v>
      </c>
      <c r="G62" s="7" t="n">
        <v>1823</v>
      </c>
      <c r="H62" s="7" t="n">
        <v>14349</v>
      </c>
      <c r="I62" s="7" t="n">
        <v>301</v>
      </c>
      <c r="J62" s="7" t="n">
        <v>1919</v>
      </c>
      <c r="K62" s="7" t="n">
        <v>50</v>
      </c>
      <c r="L62" s="7"/>
      <c r="M62" s="7"/>
    </row>
    <row r="63" customFormat="false" ht="15.75" hidden="false" customHeight="false" outlineLevel="0" collapsed="false">
      <c r="A63" s="0" t="s">
        <v>27</v>
      </c>
      <c r="B63" s="1" t="n">
        <v>43923</v>
      </c>
      <c r="C63" s="7" t="n">
        <v>17768</v>
      </c>
      <c r="D63" s="7" t="n">
        <v>1163</v>
      </c>
      <c r="E63" s="7" t="n">
        <v>488</v>
      </c>
      <c r="F63" s="7" t="n">
        <v>55</v>
      </c>
      <c r="G63" s="7" t="n">
        <v>2967</v>
      </c>
      <c r="H63" s="7" t="n">
        <v>14313</v>
      </c>
      <c r="I63" s="7" t="n">
        <v>348</v>
      </c>
      <c r="J63" s="7" t="n">
        <v>2053</v>
      </c>
      <c r="K63" s="7" t="n">
        <v>56</v>
      </c>
      <c r="L63" s="7"/>
      <c r="M63" s="7"/>
    </row>
    <row r="64" customFormat="false" ht="15.75" hidden="false" customHeight="false" outlineLevel="0" collapsed="false">
      <c r="A64" s="0" t="s">
        <v>27</v>
      </c>
      <c r="B64" s="1" t="n">
        <v>43924</v>
      </c>
      <c r="C64" s="7" t="n">
        <v>18827</v>
      </c>
      <c r="D64" s="7" t="n">
        <v>1059</v>
      </c>
      <c r="E64" s="7" t="n">
        <v>536</v>
      </c>
      <c r="F64" s="7" t="n">
        <v>48</v>
      </c>
      <c r="G64" s="7" t="n">
        <v>4013</v>
      </c>
      <c r="H64" s="7" t="n">
        <v>14278</v>
      </c>
      <c r="I64" s="7" t="n">
        <v>348</v>
      </c>
      <c r="J64" s="7" t="n">
        <v>2175</v>
      </c>
      <c r="K64" s="7" t="n">
        <v>62</v>
      </c>
      <c r="L64" s="7"/>
      <c r="M64" s="7"/>
    </row>
    <row r="65" customFormat="false" ht="15.75" hidden="false" customHeight="false" outlineLevel="0" collapsed="false">
      <c r="A65" s="0" t="s">
        <v>27</v>
      </c>
      <c r="B65" s="1" t="n">
        <v>43925</v>
      </c>
      <c r="C65" s="7" t="n">
        <v>19606</v>
      </c>
      <c r="D65" s="7" t="n">
        <v>779</v>
      </c>
      <c r="E65" s="7" t="n">
        <v>591</v>
      </c>
      <c r="F65" s="7" t="n">
        <v>55</v>
      </c>
      <c r="G65" s="7" t="n">
        <v>4846</v>
      </c>
      <c r="H65" s="7" t="n">
        <v>14169</v>
      </c>
      <c r="I65" s="7" t="n">
        <v>348</v>
      </c>
      <c r="J65" s="7" t="n">
        <v>2265</v>
      </c>
      <c r="K65" s="7" t="n">
        <v>68</v>
      </c>
      <c r="L65" s="7"/>
      <c r="M65" s="7"/>
    </row>
    <row r="66" customFormat="false" ht="15.75" hidden="false" customHeight="false" outlineLevel="0" collapsed="false">
      <c r="A66" s="0" t="s">
        <v>27</v>
      </c>
      <c r="B66" s="1" t="n">
        <v>43926</v>
      </c>
      <c r="C66" s="7" t="n">
        <v>20505</v>
      </c>
      <c r="D66" s="7" t="n">
        <v>899</v>
      </c>
      <c r="E66" s="7" t="n">
        <v>666</v>
      </c>
      <c r="F66" s="7" t="n">
        <v>75</v>
      </c>
      <c r="G66" s="7" t="n">
        <v>6415</v>
      </c>
      <c r="H66" s="7" t="n">
        <v>13424</v>
      </c>
      <c r="I66" s="7" t="n">
        <v>391</v>
      </c>
      <c r="J66" s="7" t="n">
        <v>2369</v>
      </c>
      <c r="K66" s="7" t="n">
        <v>77</v>
      </c>
      <c r="L66" s="7" t="n">
        <v>153440</v>
      </c>
      <c r="M66" s="7" t="n">
        <v>17729</v>
      </c>
    </row>
    <row r="67" customFormat="false" ht="15.75" hidden="false" customHeight="false" outlineLevel="0" collapsed="false">
      <c r="A67" s="0" t="s">
        <v>27</v>
      </c>
      <c r="B67" s="1" t="n">
        <v>43927</v>
      </c>
      <c r="C67" s="7" t="n">
        <v>21100</v>
      </c>
      <c r="D67" s="7" t="n">
        <v>595</v>
      </c>
      <c r="E67" s="7" t="n">
        <v>715</v>
      </c>
      <c r="F67" s="7" t="n">
        <v>49</v>
      </c>
      <c r="G67" s="7" t="n">
        <v>6415</v>
      </c>
      <c r="H67" s="7" t="n">
        <v>13970</v>
      </c>
      <c r="I67" s="7" t="n">
        <v>391</v>
      </c>
      <c r="J67" s="7" t="n">
        <v>2438</v>
      </c>
      <c r="K67" s="7" t="n">
        <v>83</v>
      </c>
      <c r="L67" s="7" t="n">
        <v>158000</v>
      </c>
      <c r="M67" s="7" t="n">
        <v>18256</v>
      </c>
    </row>
    <row r="68" customFormat="false" ht="15.75" hidden="false" customHeight="false" outlineLevel="0" collapsed="false">
      <c r="A68" s="0" t="s">
        <v>27</v>
      </c>
      <c r="B68" s="1" t="n">
        <v>43928</v>
      </c>
      <c r="C68" s="12" t="n">
        <v>21657</v>
      </c>
      <c r="D68" s="12" t="n">
        <v>557</v>
      </c>
      <c r="E68" s="12" t="n">
        <v>765</v>
      </c>
      <c r="F68" s="12" t="n">
        <v>50</v>
      </c>
      <c r="G68" s="12" t="n">
        <v>8056</v>
      </c>
      <c r="H68" s="12" t="n">
        <v>12836</v>
      </c>
      <c r="I68" s="12" t="n">
        <v>391</v>
      </c>
      <c r="J68" s="12" t="n">
        <v>2502</v>
      </c>
      <c r="K68" s="12" t="n">
        <v>88</v>
      </c>
      <c r="L68" s="12" t="n">
        <v>162500</v>
      </c>
      <c r="M68" s="12" t="n">
        <v>18776</v>
      </c>
    </row>
    <row r="69" customFormat="false" ht="15.75" hidden="false" customHeight="false" outlineLevel="0" collapsed="false">
      <c r="A69" s="0" t="s">
        <v>27</v>
      </c>
      <c r="B69" s="1" t="n">
        <v>43929</v>
      </c>
      <c r="C69" s="14" t="n">
        <v>22253</v>
      </c>
      <c r="D69" s="14" t="n">
        <v>596</v>
      </c>
      <c r="E69" s="14" t="n">
        <v>821</v>
      </c>
      <c r="F69" s="14" t="n">
        <v>56</v>
      </c>
      <c r="G69" s="14" t="n">
        <v>8704</v>
      </c>
      <c r="H69" s="14" t="n">
        <v>12728</v>
      </c>
      <c r="I69" s="14" t="n">
        <v>391</v>
      </c>
      <c r="J69" s="14" t="n">
        <v>2571</v>
      </c>
      <c r="K69" s="14" t="n">
        <v>95</v>
      </c>
      <c r="L69" s="14" t="n">
        <v>167429</v>
      </c>
      <c r="M69" s="14" t="n">
        <v>19346</v>
      </c>
    </row>
    <row r="70" customFormat="false" ht="15.75" hidden="false" customHeight="false" outlineLevel="0" collapsed="false">
      <c r="A70" s="0" t="s">
        <v>27</v>
      </c>
      <c r="B70" s="1" t="n">
        <v>43930</v>
      </c>
      <c r="C70" s="14" t="n">
        <v>23280</v>
      </c>
      <c r="D70" s="14" t="n">
        <v>1027</v>
      </c>
      <c r="E70" s="14" t="n">
        <v>895</v>
      </c>
      <c r="F70" s="14" t="n">
        <v>74</v>
      </c>
      <c r="G70" s="14" t="n">
        <v>9800</v>
      </c>
      <c r="H70" s="14" t="n">
        <v>12585</v>
      </c>
      <c r="I70" s="14" t="n">
        <v>391</v>
      </c>
      <c r="J70" s="14" t="n">
        <v>2690</v>
      </c>
      <c r="K70" s="14" t="n">
        <v>103</v>
      </c>
      <c r="L70" s="14" t="n">
        <v>171938</v>
      </c>
      <c r="M70" s="14" t="n">
        <v>19867</v>
      </c>
    </row>
    <row r="71" customFormat="false" ht="15.75" hidden="false" customHeight="false" outlineLevel="0" collapsed="false">
      <c r="A71" s="0" t="s">
        <v>27</v>
      </c>
      <c r="B71" s="1" t="n">
        <v>43931</v>
      </c>
      <c r="C71" s="14" t="n">
        <v>24046</v>
      </c>
      <c r="D71" s="14" t="n">
        <v>766</v>
      </c>
      <c r="E71" s="14" t="n">
        <v>948</v>
      </c>
      <c r="F71" s="14" t="n">
        <v>53</v>
      </c>
      <c r="G71" s="14" t="n">
        <v>10600</v>
      </c>
      <c r="H71" s="14" t="n">
        <v>12498</v>
      </c>
      <c r="I71" s="14" t="n">
        <v>386</v>
      </c>
      <c r="J71" s="14" t="n">
        <v>2778</v>
      </c>
      <c r="K71" s="14" t="n">
        <v>110</v>
      </c>
      <c r="L71" s="14" t="n">
        <v>178500</v>
      </c>
      <c r="M71" s="14" t="n">
        <v>20625</v>
      </c>
    </row>
    <row r="72" customFormat="false" ht="15.75" hidden="false" customHeight="false" outlineLevel="0" collapsed="false">
      <c r="A72" s="0" t="s">
        <v>27</v>
      </c>
      <c r="B72" s="1" t="n">
        <v>43932</v>
      </c>
      <c r="C72" s="14" t="n">
        <v>24551</v>
      </c>
      <c r="D72" s="14" t="n">
        <v>505</v>
      </c>
      <c r="E72" s="14" t="n">
        <v>1002</v>
      </c>
      <c r="F72" s="14" t="n">
        <v>54</v>
      </c>
      <c r="G72" s="14" t="n">
        <v>11100</v>
      </c>
      <c r="H72" s="14" t="n">
        <v>12449</v>
      </c>
      <c r="I72" s="14" t="n">
        <v>386</v>
      </c>
      <c r="J72" s="14" t="n">
        <v>2837</v>
      </c>
      <c r="K72" s="14" t="n">
        <v>116</v>
      </c>
      <c r="L72" s="14" t="n">
        <v>178500</v>
      </c>
      <c r="M72" s="14" t="n">
        <v>20625</v>
      </c>
    </row>
    <row r="73" customFormat="false" ht="15.75" hidden="false" customHeight="false" outlineLevel="0" collapsed="false">
      <c r="A73" s="0" t="s">
        <v>27</v>
      </c>
      <c r="B73" s="1" t="n">
        <v>43933</v>
      </c>
      <c r="C73" s="14" t="n">
        <v>25107</v>
      </c>
      <c r="D73" s="14" t="n">
        <v>556</v>
      </c>
      <c r="E73" s="14" t="n">
        <v>1036</v>
      </c>
      <c r="F73" s="14" t="n">
        <v>34</v>
      </c>
      <c r="G73" s="14" t="n">
        <v>12100</v>
      </c>
      <c r="H73" s="14" t="n">
        <v>11971</v>
      </c>
      <c r="I73" s="14" t="n">
        <v>386</v>
      </c>
      <c r="J73" s="14" t="n">
        <v>2901</v>
      </c>
      <c r="K73" s="14" t="n">
        <v>120</v>
      </c>
      <c r="L73" s="14" t="n">
        <v>190000</v>
      </c>
      <c r="M73" s="14" t="n">
        <v>21954</v>
      </c>
    </row>
    <row r="74" customFormat="false" ht="15.75" hidden="false" customHeight="false" outlineLevel="0" collapsed="false">
      <c r="A74" s="0" t="s">
        <v>27</v>
      </c>
      <c r="B74" s="1" t="n">
        <v>43934</v>
      </c>
      <c r="C74" s="14" t="n">
        <v>25415</v>
      </c>
      <c r="D74" s="14" t="n">
        <v>308</v>
      </c>
      <c r="E74" s="14" t="n">
        <v>1106</v>
      </c>
      <c r="F74" s="14" t="n">
        <v>70</v>
      </c>
      <c r="G74" s="14" t="n">
        <v>12700</v>
      </c>
      <c r="H74" s="14" t="n">
        <v>11609</v>
      </c>
      <c r="I74" s="14" t="n">
        <v>386</v>
      </c>
      <c r="J74" s="14" t="n">
        <v>2937</v>
      </c>
      <c r="K74" s="14" t="n">
        <v>128</v>
      </c>
      <c r="L74" s="14" t="n">
        <v>193800</v>
      </c>
      <c r="M74" s="14" t="n">
        <v>22393</v>
      </c>
    </row>
    <row r="75" customFormat="false" ht="15.75" hidden="false" customHeight="false" outlineLevel="0" collapsed="false">
      <c r="A75" s="0" t="s">
        <v>27</v>
      </c>
      <c r="B75" s="1" t="n">
        <v>43935</v>
      </c>
      <c r="C75" s="14" t="n">
        <v>25688</v>
      </c>
      <c r="D75" s="14" t="n">
        <v>273</v>
      </c>
      <c r="E75" s="14" t="n">
        <v>1138</v>
      </c>
      <c r="F75" s="14" t="n">
        <v>32</v>
      </c>
      <c r="G75" s="14" t="n">
        <v>13700</v>
      </c>
      <c r="H75" s="14" t="n">
        <v>10850</v>
      </c>
      <c r="I75" s="14" t="n">
        <v>386</v>
      </c>
      <c r="J75" s="14" t="n">
        <v>2968</v>
      </c>
      <c r="K75" s="14" t="n">
        <v>131</v>
      </c>
      <c r="L75" s="14" t="n">
        <v>193800</v>
      </c>
      <c r="M75" s="14" t="n">
        <v>22393</v>
      </c>
    </row>
    <row r="76" customFormat="false" ht="15.75" hidden="false" customHeight="false" outlineLevel="0" collapsed="false">
      <c r="A76" s="0" t="s">
        <v>27</v>
      </c>
      <c r="B76" s="1" t="n">
        <v>43936</v>
      </c>
      <c r="C76" s="14" t="n">
        <v>25936</v>
      </c>
      <c r="D76" s="14" t="n">
        <v>248</v>
      </c>
      <c r="E76" s="14" t="n">
        <v>1174</v>
      </c>
      <c r="F76" s="14" t="n">
        <v>36</v>
      </c>
      <c r="G76" s="14" t="n">
        <v>13700</v>
      </c>
      <c r="H76" s="14" t="n">
        <v>11062</v>
      </c>
      <c r="I76" s="14" t="n">
        <v>386</v>
      </c>
      <c r="J76" s="14" t="n">
        <v>2997</v>
      </c>
      <c r="K76" s="14" t="n">
        <v>136</v>
      </c>
      <c r="L76" s="14" t="n">
        <v>199000</v>
      </c>
      <c r="M76" s="14" t="n">
        <v>22993</v>
      </c>
    </row>
    <row r="77" customFormat="false" ht="15.75" hidden="false" customHeight="false" outlineLevel="0" collapsed="false">
      <c r="A77" s="0" t="s">
        <v>27</v>
      </c>
      <c r="B77" s="1" t="n">
        <v>43937</v>
      </c>
      <c r="C77" s="14" t="n">
        <v>26336</v>
      </c>
      <c r="D77" s="14" t="n">
        <v>400</v>
      </c>
      <c r="E77" s="14" t="n">
        <v>1239</v>
      </c>
      <c r="F77" s="14" t="n">
        <v>65</v>
      </c>
      <c r="G77" s="14" t="n">
        <v>15400</v>
      </c>
      <c r="H77" s="14" t="n">
        <v>9697</v>
      </c>
      <c r="I77" s="14" t="n">
        <v>386</v>
      </c>
      <c r="J77" s="14" t="n">
        <v>3043</v>
      </c>
      <c r="K77" s="14" t="n">
        <v>143</v>
      </c>
      <c r="L77" s="14" t="n">
        <v>199000</v>
      </c>
      <c r="M77" s="14" t="n">
        <v>22993</v>
      </c>
    </row>
    <row r="78" customFormat="false" ht="15.75" hidden="false" customHeight="false" outlineLevel="0" collapsed="false">
      <c r="A78" s="0" t="s">
        <v>27</v>
      </c>
      <c r="B78" s="1" t="n">
        <v>43938</v>
      </c>
      <c r="C78" s="14" t="n">
        <v>26732</v>
      </c>
      <c r="D78" s="14" t="n">
        <v>396</v>
      </c>
      <c r="E78" s="14" t="n">
        <v>1281</v>
      </c>
      <c r="F78" s="14" t="n">
        <v>42</v>
      </c>
      <c r="G78" s="14" t="n">
        <v>15900</v>
      </c>
      <c r="H78" s="14" t="n">
        <v>9551</v>
      </c>
      <c r="I78" s="14" t="n">
        <v>386</v>
      </c>
      <c r="J78" s="14" t="n">
        <v>3089</v>
      </c>
      <c r="K78" s="14" t="n">
        <v>148</v>
      </c>
      <c r="L78" s="14" t="n">
        <v>206400</v>
      </c>
      <c r="M78" s="14" t="n">
        <v>23849</v>
      </c>
    </row>
    <row r="79" customFormat="false" ht="15.75" hidden="false" customHeight="false" outlineLevel="0" collapsed="false">
      <c r="A79" s="0" t="s">
        <v>27</v>
      </c>
      <c r="B79" s="1" t="n">
        <v>43939</v>
      </c>
      <c r="C79" s="14" t="n">
        <v>27078</v>
      </c>
      <c r="D79" s="14" t="n">
        <v>346</v>
      </c>
      <c r="E79" s="14" t="n">
        <v>1327</v>
      </c>
      <c r="F79" s="14" t="n">
        <v>46</v>
      </c>
      <c r="G79" s="14" t="n">
        <v>16400</v>
      </c>
      <c r="H79" s="14" t="n">
        <v>9351</v>
      </c>
      <c r="I79" s="14" t="n">
        <v>386</v>
      </c>
      <c r="J79" s="14" t="n">
        <v>3129</v>
      </c>
      <c r="K79" s="14" t="n">
        <v>153</v>
      </c>
      <c r="L79" s="14" t="n">
        <v>206400</v>
      </c>
      <c r="M79" s="14" t="n">
        <v>23849</v>
      </c>
    </row>
    <row r="80" customFormat="false" ht="15.75" hidden="false" customHeight="false" outlineLevel="0" collapsed="false">
      <c r="A80" s="0" t="s">
        <v>27</v>
      </c>
      <c r="B80" s="1" t="n">
        <v>43940</v>
      </c>
      <c r="C80" s="14" t="n">
        <v>27404</v>
      </c>
      <c r="D80" s="14" t="n">
        <v>326</v>
      </c>
      <c r="E80" s="14" t="n">
        <v>1368</v>
      </c>
      <c r="F80" s="14" t="n">
        <v>41</v>
      </c>
      <c r="G80" s="14" t="n">
        <v>17100</v>
      </c>
      <c r="H80" s="14" t="n">
        <v>8936</v>
      </c>
      <c r="I80" s="14" t="n">
        <v>386</v>
      </c>
      <c r="J80" s="14" t="n">
        <v>3166</v>
      </c>
      <c r="K80" s="14" t="n">
        <v>158</v>
      </c>
      <c r="L80" s="14" t="n">
        <v>216400</v>
      </c>
      <c r="M80" s="14" t="n">
        <v>25004</v>
      </c>
    </row>
    <row r="81" customFormat="false" ht="15.75" hidden="false" customHeight="false" outlineLevel="0" collapsed="false">
      <c r="A81" s="0" t="s">
        <v>27</v>
      </c>
      <c r="B81" s="1" t="n">
        <v>43941</v>
      </c>
      <c r="C81" s="14" t="n">
        <v>27740</v>
      </c>
      <c r="D81" s="14" t="n">
        <v>336</v>
      </c>
      <c r="E81" s="14" t="n">
        <v>1393</v>
      </c>
      <c r="F81" s="14" t="n">
        <v>25</v>
      </c>
      <c r="G81" s="14" t="n">
        <v>17800</v>
      </c>
      <c r="H81" s="14" t="n">
        <v>8547</v>
      </c>
      <c r="I81" s="14" t="n">
        <v>386</v>
      </c>
      <c r="J81" s="14" t="n">
        <v>3205</v>
      </c>
      <c r="K81" s="14" t="n">
        <v>161</v>
      </c>
      <c r="L81" s="14" t="n">
        <v>221263</v>
      </c>
      <c r="M81" s="14" t="n">
        <v>25566</v>
      </c>
    </row>
    <row r="82" customFormat="false" ht="15.75" hidden="false" customHeight="false" outlineLevel="0" collapsed="false">
      <c r="A82" s="0" t="s">
        <v>27</v>
      </c>
      <c r="B82" s="1" t="n">
        <v>43942</v>
      </c>
      <c r="C82" s="6" t="n">
        <v>27944</v>
      </c>
      <c r="D82" s="6" t="n">
        <v>204</v>
      </c>
      <c r="E82" s="6" t="n">
        <v>1429</v>
      </c>
      <c r="F82" s="6" t="n">
        <v>36</v>
      </c>
      <c r="G82" s="6" t="n">
        <v>18600</v>
      </c>
      <c r="H82" s="6" t="n">
        <v>7915</v>
      </c>
      <c r="I82" s="6" t="n">
        <v>386</v>
      </c>
      <c r="J82" s="6" t="n">
        <v>3229</v>
      </c>
      <c r="K82" s="6" t="n">
        <v>165</v>
      </c>
      <c r="L82" s="6" t="n">
        <v>224442</v>
      </c>
      <c r="M82" s="6" t="n">
        <v>25933</v>
      </c>
    </row>
    <row r="83" customFormat="false" ht="15.75" hidden="false" customHeight="false" outlineLevel="0" collapsed="false">
      <c r="A83" s="0" t="s">
        <v>27</v>
      </c>
      <c r="B83" s="1" t="n">
        <v>43943</v>
      </c>
      <c r="C83" s="6" t="n">
        <v>28063</v>
      </c>
      <c r="D83" s="6" t="n">
        <v>119</v>
      </c>
      <c r="E83" s="6" t="n">
        <v>1478</v>
      </c>
      <c r="F83" s="6" t="n">
        <v>49</v>
      </c>
      <c r="G83" s="6" t="n">
        <v>19400</v>
      </c>
      <c r="H83" s="6" t="n">
        <v>7185</v>
      </c>
      <c r="I83" s="6" t="n">
        <v>386</v>
      </c>
      <c r="J83" s="6" t="n">
        <v>3243</v>
      </c>
      <c r="K83" s="6" t="n">
        <v>171</v>
      </c>
      <c r="L83" s="6" t="n">
        <v>227554</v>
      </c>
      <c r="M83" s="6" t="n">
        <v>26293</v>
      </c>
    </row>
    <row r="84" customFormat="false" ht="15.75" hidden="false" customHeight="false" outlineLevel="0" collapsed="false">
      <c r="A84" s="0" t="s">
        <v>27</v>
      </c>
      <c r="B84" s="1" t="n">
        <v>43944</v>
      </c>
      <c r="C84" s="6" t="n">
        <v>28268</v>
      </c>
      <c r="D84" s="6" t="n">
        <v>205</v>
      </c>
      <c r="E84" s="6" t="n">
        <v>1509</v>
      </c>
      <c r="F84" s="6" t="n">
        <v>31</v>
      </c>
      <c r="G84" s="6" t="n">
        <v>19900</v>
      </c>
      <c r="H84" s="6" t="n">
        <v>6859</v>
      </c>
      <c r="I84" s="6" t="n">
        <v>386</v>
      </c>
      <c r="J84" s="6" t="n">
        <v>3266</v>
      </c>
      <c r="K84" s="6" t="n">
        <v>174</v>
      </c>
      <c r="L84" s="6" t="n">
        <v>227554</v>
      </c>
      <c r="M84" s="6" t="n">
        <v>26293</v>
      </c>
    </row>
    <row r="85" customFormat="false" ht="15.75" hidden="false" customHeight="false" outlineLevel="0" collapsed="false">
      <c r="A85" s="0" t="s">
        <v>27</v>
      </c>
      <c r="B85" s="1" t="n">
        <v>43945</v>
      </c>
      <c r="C85" s="6" t="n">
        <v>28496</v>
      </c>
      <c r="D85" s="6" t="n">
        <v>228</v>
      </c>
      <c r="E85" s="6" t="n">
        <v>1549</v>
      </c>
      <c r="F85" s="6" t="n">
        <v>40</v>
      </c>
      <c r="G85" s="6" t="n">
        <v>20600</v>
      </c>
      <c r="H85" s="6" t="n">
        <v>6347</v>
      </c>
      <c r="I85" s="6" t="n">
        <v>386</v>
      </c>
      <c r="J85" s="6" t="n">
        <v>3293</v>
      </c>
      <c r="K85" s="6" t="n">
        <v>179</v>
      </c>
      <c r="L85" s="6" t="n">
        <v>227554</v>
      </c>
      <c r="M85" s="6" t="n">
        <v>26293</v>
      </c>
    </row>
    <row r="86" customFormat="false" ht="15.75" hidden="false" customHeight="false" outlineLevel="0" collapsed="false">
      <c r="A86" s="0" t="s">
        <v>27</v>
      </c>
      <c r="B86" s="1" t="n">
        <v>43946</v>
      </c>
      <c r="C86" s="6" t="n">
        <v>28677</v>
      </c>
      <c r="D86" s="6" t="n">
        <v>181</v>
      </c>
      <c r="E86" s="6" t="n">
        <v>1589</v>
      </c>
      <c r="F86" s="6" t="n">
        <v>40</v>
      </c>
      <c r="G86" s="6" t="n">
        <v>21000</v>
      </c>
      <c r="H86" s="6" t="n">
        <v>6088</v>
      </c>
      <c r="I86" s="6" t="n">
        <v>386</v>
      </c>
      <c r="J86" s="6" t="n">
        <v>3313</v>
      </c>
      <c r="K86" s="6" t="n">
        <v>184</v>
      </c>
      <c r="L86" s="6" t="n">
        <v>235252</v>
      </c>
      <c r="M86" s="6" t="n">
        <v>27182</v>
      </c>
    </row>
    <row r="87" customFormat="false" ht="15.75" hidden="false" customHeight="false" outlineLevel="0" collapsed="false">
      <c r="A87" s="0" t="s">
        <v>27</v>
      </c>
      <c r="B87" s="1" t="n">
        <v>43947</v>
      </c>
      <c r="C87" s="6" t="n">
        <v>28894</v>
      </c>
      <c r="D87" s="6" t="n">
        <v>217</v>
      </c>
      <c r="E87" s="6" t="n">
        <v>1599</v>
      </c>
      <c r="F87" s="6" t="n">
        <v>10</v>
      </c>
      <c r="G87" s="6" t="n">
        <v>21300</v>
      </c>
      <c r="H87" s="6" t="n">
        <v>5995</v>
      </c>
      <c r="I87" s="6" t="n">
        <v>204</v>
      </c>
      <c r="J87" s="6" t="n">
        <v>3339</v>
      </c>
      <c r="K87" s="6" t="n">
        <v>185</v>
      </c>
      <c r="L87" s="6" t="n">
        <v>245300</v>
      </c>
      <c r="M87" s="6" t="n">
        <v>28343</v>
      </c>
    </row>
    <row r="88" customFormat="false" ht="15.75" hidden="false" customHeight="false" outlineLevel="0" collapsed="false">
      <c r="A88" s="0" t="s">
        <v>27</v>
      </c>
      <c r="B88" s="1" t="n">
        <v>43948</v>
      </c>
      <c r="C88" s="6" t="n">
        <v>29061</v>
      </c>
      <c r="D88" s="6" t="n">
        <v>167</v>
      </c>
      <c r="E88" s="6" t="n">
        <v>1610</v>
      </c>
      <c r="F88" s="6" t="n">
        <v>11</v>
      </c>
      <c r="G88" s="6" t="n">
        <v>21300</v>
      </c>
      <c r="H88" s="6" t="n">
        <v>6151</v>
      </c>
      <c r="I88" s="6" t="n">
        <v>204</v>
      </c>
      <c r="J88" s="6" t="n">
        <v>3358</v>
      </c>
      <c r="K88" s="6" t="n">
        <v>186</v>
      </c>
      <c r="L88" s="6" t="n">
        <v>245300</v>
      </c>
      <c r="M88" s="6" t="n">
        <v>28343</v>
      </c>
    </row>
    <row r="89" customFormat="false" ht="15.75" hidden="false" customHeight="false" outlineLevel="0" collapsed="false">
      <c r="A89" s="0" t="s">
        <v>27</v>
      </c>
      <c r="B89" s="1" t="n">
        <v>43949</v>
      </c>
      <c r="C89" s="6" t="n">
        <v>29164</v>
      </c>
      <c r="D89" s="6" t="n">
        <v>103</v>
      </c>
      <c r="E89" s="6" t="n">
        <v>1665</v>
      </c>
      <c r="F89" s="6" t="n">
        <v>55</v>
      </c>
      <c r="G89" s="6" t="n">
        <v>22200</v>
      </c>
      <c r="H89" s="6" t="n">
        <v>5299</v>
      </c>
      <c r="I89" s="6" t="n">
        <v>185</v>
      </c>
      <c r="J89" s="6" t="n">
        <v>3370</v>
      </c>
      <c r="K89" s="6" t="n">
        <v>192</v>
      </c>
      <c r="L89" s="6" t="n">
        <v>245300</v>
      </c>
      <c r="M89" s="6" t="n">
        <v>28343</v>
      </c>
    </row>
    <row r="90" customFormat="false" ht="15.75" hidden="false" customHeight="false" outlineLevel="0" collapsed="false">
      <c r="A90" s="0" t="s">
        <v>27</v>
      </c>
      <c r="B90" s="1" t="n">
        <v>43950</v>
      </c>
      <c r="C90" s="6" t="n">
        <v>29264</v>
      </c>
      <c r="D90" s="6" t="n">
        <v>100</v>
      </c>
      <c r="E90" s="6" t="n">
        <v>1699</v>
      </c>
      <c r="F90" s="6" t="n">
        <v>34</v>
      </c>
      <c r="G90" s="6" t="n">
        <v>22600</v>
      </c>
      <c r="H90" s="6" t="n">
        <v>4965</v>
      </c>
      <c r="I90" s="6" t="n">
        <v>185</v>
      </c>
      <c r="J90" s="6" t="n">
        <v>3381</v>
      </c>
      <c r="K90" s="6" t="n">
        <v>196</v>
      </c>
      <c r="L90" s="6" t="n">
        <v>256500</v>
      </c>
      <c r="M90" s="6" t="n">
        <v>29637</v>
      </c>
    </row>
    <row r="91" customFormat="false" ht="15.75" hidden="false" customHeight="false" outlineLevel="0" collapsed="false">
      <c r="A91" s="0" t="s">
        <v>27</v>
      </c>
      <c r="B91" s="1" t="n">
        <v>43951</v>
      </c>
      <c r="C91" s="6" t="n">
        <v>29407</v>
      </c>
      <c r="D91" s="6" t="n">
        <v>143</v>
      </c>
      <c r="E91" s="6" t="n">
        <v>1716</v>
      </c>
      <c r="F91" s="6" t="n">
        <v>17</v>
      </c>
      <c r="G91" s="6" t="n">
        <v>22600</v>
      </c>
      <c r="H91" s="6" t="n">
        <v>5091</v>
      </c>
      <c r="I91" s="6" t="n">
        <v>185</v>
      </c>
      <c r="J91" s="6" t="n">
        <v>3398</v>
      </c>
      <c r="K91" s="6" t="n">
        <v>198</v>
      </c>
      <c r="L91" s="6" t="n">
        <v>260500</v>
      </c>
      <c r="M91" s="6" t="n">
        <v>30100</v>
      </c>
    </row>
    <row r="92" customFormat="false" ht="15.75" hidden="false" customHeight="false" outlineLevel="0" collapsed="false">
      <c r="A92" s="0" t="s">
        <v>27</v>
      </c>
      <c r="B92" s="1" t="n">
        <v>43952</v>
      </c>
      <c r="C92" s="6" t="n">
        <v>29586</v>
      </c>
      <c r="D92" s="6" t="n">
        <v>179</v>
      </c>
      <c r="E92" s="6" t="n">
        <v>1737</v>
      </c>
      <c r="F92" s="6" t="n">
        <v>21</v>
      </c>
      <c r="G92" s="6" t="n">
        <v>23400</v>
      </c>
      <c r="H92" s="6" t="n">
        <v>4449</v>
      </c>
      <c r="I92" s="6" t="n">
        <v>167</v>
      </c>
      <c r="J92" s="6" t="n">
        <v>3419</v>
      </c>
      <c r="K92" s="6" t="n">
        <v>201</v>
      </c>
      <c r="L92" s="6" t="n">
        <v>266200</v>
      </c>
      <c r="M92" s="6" t="n">
        <v>30758</v>
      </c>
    </row>
    <row r="93" customFormat="false" ht="15.75" hidden="false" customHeight="false" outlineLevel="0" collapsed="false">
      <c r="A93" s="0" t="s">
        <v>27</v>
      </c>
      <c r="B93" s="1" t="n">
        <v>43953</v>
      </c>
      <c r="C93" s="6" t="n">
        <v>29705</v>
      </c>
      <c r="D93" s="6" t="n">
        <v>119</v>
      </c>
      <c r="E93" s="6" t="n">
        <v>1754</v>
      </c>
      <c r="F93" s="6" t="n">
        <v>17</v>
      </c>
      <c r="G93" s="6" t="n">
        <v>23900</v>
      </c>
      <c r="H93" s="6" t="n">
        <v>4051</v>
      </c>
      <c r="I93" s="6" t="n">
        <v>167</v>
      </c>
      <c r="J93" s="6" t="n">
        <v>3432</v>
      </c>
      <c r="K93" s="6" t="n">
        <v>203</v>
      </c>
      <c r="L93" s="6" t="n">
        <v>271500</v>
      </c>
      <c r="M93" s="6" t="n">
        <v>31371</v>
      </c>
    </row>
    <row r="94" customFormat="false" ht="15.75" hidden="false" customHeight="false" outlineLevel="0" collapsed="false">
      <c r="A94" s="0" t="s">
        <v>27</v>
      </c>
      <c r="B94" s="1" t="n">
        <v>43954</v>
      </c>
      <c r="C94" s="6" t="n">
        <v>29817</v>
      </c>
      <c r="D94" s="6" t="n">
        <v>112</v>
      </c>
      <c r="E94" s="6" t="n">
        <v>1762</v>
      </c>
      <c r="F94" s="6" t="n">
        <v>8</v>
      </c>
      <c r="G94" s="6" t="n">
        <v>24200</v>
      </c>
      <c r="H94" s="6" t="n">
        <v>3855</v>
      </c>
      <c r="I94" s="6" t="n">
        <v>141</v>
      </c>
      <c r="J94" s="6" t="n">
        <v>3445</v>
      </c>
      <c r="K94" s="6" t="n">
        <v>204</v>
      </c>
      <c r="L94" s="6" t="n">
        <v>276000</v>
      </c>
      <c r="M94" s="6" t="n">
        <v>31890</v>
      </c>
    </row>
    <row r="95" customFormat="false" ht="13.5" hidden="false" customHeight="false" outlineLevel="0" collapsed="false">
      <c r="A95" s="0" t="s">
        <v>27</v>
      </c>
      <c r="B95" s="1" t="n">
        <v>43955</v>
      </c>
      <c r="C95" s="2" t="e">
        <f aca="false">#REF!</f>
        <v>#REF!</v>
      </c>
      <c r="D95" s="2" t="e">
        <f aca="false">#REF!</f>
        <v>#REF!</v>
      </c>
      <c r="E95" s="2" t="e">
        <f aca="false">#REF!</f>
        <v>#REF!</v>
      </c>
      <c r="F95" s="2" t="e">
        <f aca="false">#REF!</f>
        <v>#REF!</v>
      </c>
      <c r="G95" s="2" t="e">
        <f aca="false">#REF!</f>
        <v>#REF!</v>
      </c>
      <c r="H95" s="2" t="e">
        <f aca="false">#REF!</f>
        <v>#REF!</v>
      </c>
      <c r="I95" s="2" t="e">
        <f aca="false">#REF!</f>
        <v>#REF!</v>
      </c>
      <c r="J95" s="2" t="e">
        <f aca="false">#REF!</f>
        <v>#REF!</v>
      </c>
      <c r="K95" s="2" t="e">
        <f aca="false">#REF!</f>
        <v>#REF!</v>
      </c>
      <c r="L95" s="2" t="e">
        <f aca="false">#REF!</f>
        <v>#REF!</v>
      </c>
      <c r="M95" s="2" t="e">
        <f aca="false">#REF!</f>
        <v>#REF!</v>
      </c>
    </row>
    <row r="96" customFormat="false" ht="13.5" hidden="false" customHeight="false" outlineLevel="0" collapsed="false">
      <c r="A96" s="0" t="s">
        <v>27</v>
      </c>
      <c r="B96" s="1" t="n">
        <v>43956</v>
      </c>
      <c r="C96" s="2" t="e">
        <f aca="false">#REF!</f>
        <v>#REF!</v>
      </c>
      <c r="D96" s="2" t="e">
        <f aca="false">#REF!</f>
        <v>#REF!</v>
      </c>
      <c r="E96" s="2" t="e">
        <f aca="false">#REF!</f>
        <v>#REF!</v>
      </c>
      <c r="F96" s="2" t="e">
        <f aca="false">#REF!</f>
        <v>#REF!</v>
      </c>
      <c r="G96" s="2" t="e">
        <f aca="false">#REF!</f>
        <v>#REF!</v>
      </c>
      <c r="H96" s="2" t="e">
        <f aca="false">#REF!</f>
        <v>#REF!</v>
      </c>
      <c r="I96" s="2" t="e">
        <f aca="false">#REF!</f>
        <v>#REF!</v>
      </c>
      <c r="J96" s="2" t="e">
        <f aca="false">#REF!</f>
        <v>#REF!</v>
      </c>
      <c r="K96" s="2" t="e">
        <f aca="false">#REF!</f>
        <v>#REF!</v>
      </c>
      <c r="L96" s="2" t="e">
        <f aca="false">#REF!</f>
        <v>#REF!</v>
      </c>
      <c r="M96" s="2" t="e">
        <f aca="false">#REF!</f>
        <v>#REF!</v>
      </c>
    </row>
    <row r="97" customFormat="false" ht="13.5" hidden="false" customHeight="false" outlineLevel="0" collapsed="false">
      <c r="A97" s="0" t="s">
        <v>27</v>
      </c>
      <c r="B97" s="1" t="n">
        <v>43957</v>
      </c>
      <c r="C97" s="2" t="e">
        <f aca="false">#REF!</f>
        <v>#REF!</v>
      </c>
      <c r="D97" s="2" t="e">
        <f aca="false">#REF!</f>
        <v>#REF!</v>
      </c>
      <c r="E97" s="2" t="e">
        <f aca="false">#REF!</f>
        <v>#REF!</v>
      </c>
      <c r="F97" s="2" t="e">
        <f aca="false">#REF!</f>
        <v>#REF!</v>
      </c>
      <c r="G97" s="2" t="e">
        <f aca="false">#REF!</f>
        <v>#REF!</v>
      </c>
      <c r="H97" s="2" t="e">
        <f aca="false">#REF!</f>
        <v>#REF!</v>
      </c>
      <c r="I97" s="2" t="e">
        <f aca="false">#REF!</f>
        <v>#REF!</v>
      </c>
      <c r="J97" s="2" t="e">
        <f aca="false">#REF!</f>
        <v>#REF!</v>
      </c>
      <c r="K97" s="2" t="e">
        <f aca="false">#REF!</f>
        <v>#REF!</v>
      </c>
      <c r="L97" s="2" t="e">
        <f aca="false">#REF!</f>
        <v>#REF!</v>
      </c>
      <c r="M97" s="2" t="e">
        <f aca="false">#REF!</f>
        <v>#REF!</v>
      </c>
    </row>
    <row r="98" customFormat="false" ht="13.5" hidden="false" customHeight="false" outlineLevel="0" collapsed="false">
      <c r="A98" s="0" t="s">
        <v>27</v>
      </c>
      <c r="B98" s="1" t="n">
        <v>43958</v>
      </c>
      <c r="C98" s="2" t="e">
        <f aca="false">#REF!</f>
        <v>#REF!</v>
      </c>
      <c r="D98" s="2" t="e">
        <f aca="false">#REF!</f>
        <v>#REF!</v>
      </c>
      <c r="E98" s="2" t="e">
        <f aca="false">#REF!</f>
        <v>#REF!</v>
      </c>
      <c r="F98" s="2" t="e">
        <f aca="false">#REF!</f>
        <v>#REF!</v>
      </c>
      <c r="G98" s="2" t="e">
        <f aca="false">#REF!</f>
        <v>#REF!</v>
      </c>
      <c r="H98" s="2" t="e">
        <f aca="false">#REF!</f>
        <v>#REF!</v>
      </c>
      <c r="I98" s="2" t="e">
        <f aca="false">#REF!</f>
        <v>#REF!</v>
      </c>
      <c r="J98" s="2" t="e">
        <f aca="false">#REF!</f>
        <v>#REF!</v>
      </c>
      <c r="K98" s="2" t="e">
        <f aca="false">#REF!</f>
        <v>#REF!</v>
      </c>
      <c r="L98" s="2" t="e">
        <f aca="false">#REF!</f>
        <v>#REF!</v>
      </c>
      <c r="M98" s="2" t="e">
        <f aca="false">#REF!</f>
        <v>#REF!</v>
      </c>
    </row>
    <row r="99" customFormat="false" ht="13.5" hidden="false" customHeight="false" outlineLevel="0" collapsed="false">
      <c r="A99" s="0" t="s">
        <v>27</v>
      </c>
      <c r="B99" s="1" t="n">
        <v>43959</v>
      </c>
      <c r="C99" s="2" t="e">
        <f aca="false">#REF!</f>
        <v>#REF!</v>
      </c>
      <c r="D99" s="2" t="e">
        <f aca="false">#REF!</f>
        <v>#REF!</v>
      </c>
      <c r="E99" s="2" t="e">
        <f aca="false">#REF!</f>
        <v>#REF!</v>
      </c>
      <c r="F99" s="2" t="e">
        <f aca="false">#REF!</f>
        <v>#REF!</v>
      </c>
      <c r="G99" s="2" t="e">
        <f aca="false">#REF!</f>
        <v>#REF!</v>
      </c>
      <c r="H99" s="2" t="e">
        <f aca="false">#REF!</f>
        <v>#REF!</v>
      </c>
      <c r="I99" s="2" t="e">
        <f aca="false">#REF!</f>
        <v>#REF!</v>
      </c>
      <c r="J99" s="2" t="e">
        <f aca="false">#REF!</f>
        <v>#REF!</v>
      </c>
      <c r="K99" s="2" t="e">
        <f aca="false">#REF!</f>
        <v>#REF!</v>
      </c>
      <c r="L99" s="2" t="e">
        <f aca="false">#REF!</f>
        <v>#REF!</v>
      </c>
      <c r="M99" s="2" t="e">
        <f aca="false">#REF!</f>
        <v>#REF!</v>
      </c>
    </row>
    <row r="100" customFormat="false" ht="13.5" hidden="false" customHeight="false" outlineLevel="0" collapsed="false">
      <c r="A100" s="0" t="s">
        <v>27</v>
      </c>
      <c r="B100" s="1" t="n">
        <v>43960</v>
      </c>
      <c r="C100" s="2" t="e">
        <f aca="false">#REF!</f>
        <v>#REF!</v>
      </c>
      <c r="D100" s="2" t="e">
        <f aca="false">#REF!</f>
        <v>#REF!</v>
      </c>
      <c r="E100" s="2" t="e">
        <f aca="false">#REF!</f>
        <v>#REF!</v>
      </c>
      <c r="F100" s="2" t="e">
        <f aca="false">#REF!</f>
        <v>#REF!</v>
      </c>
      <c r="G100" s="2" t="e">
        <f aca="false">#REF!</f>
        <v>#REF!</v>
      </c>
      <c r="H100" s="2" t="e">
        <f aca="false">#REF!</f>
        <v>#REF!</v>
      </c>
      <c r="I100" s="2" t="e">
        <f aca="false">#REF!</f>
        <v>#REF!</v>
      </c>
      <c r="J100" s="2" t="e">
        <f aca="false">#REF!</f>
        <v>#REF!</v>
      </c>
      <c r="K100" s="2" t="e">
        <f aca="false">#REF!</f>
        <v>#REF!</v>
      </c>
      <c r="L100" s="2" t="e">
        <f aca="false">#REF!</f>
        <v>#REF!</v>
      </c>
      <c r="M100" s="2" t="e">
        <f aca="false">#REF!</f>
        <v>#REF!</v>
      </c>
    </row>
    <row r="101" customFormat="false" ht="13.5" hidden="false" customHeight="false" outlineLevel="0" collapsed="false">
      <c r="A101" s="0" t="s">
        <v>27</v>
      </c>
      <c r="B101" s="1" t="n">
        <v>43961</v>
      </c>
      <c r="C101" s="2" t="e">
        <f aca="false">#REF!</f>
        <v>#REF!</v>
      </c>
      <c r="D101" s="2" t="e">
        <f aca="false">#REF!</f>
        <v>#REF!</v>
      </c>
      <c r="E101" s="2" t="e">
        <f aca="false">#REF!</f>
        <v>#REF!</v>
      </c>
      <c r="F101" s="2" t="e">
        <f aca="false">#REF!</f>
        <v>#REF!</v>
      </c>
      <c r="G101" s="2" t="e">
        <f aca="false">#REF!</f>
        <v>#REF!</v>
      </c>
      <c r="H101" s="2" t="e">
        <f aca="false">#REF!</f>
        <v>#REF!</v>
      </c>
      <c r="I101" s="2" t="e">
        <f aca="false">#REF!</f>
        <v>#REF!</v>
      </c>
      <c r="J101" s="2" t="e">
        <f aca="false">#REF!</f>
        <v>#REF!</v>
      </c>
      <c r="K101" s="2" t="e">
        <f aca="false">#REF!</f>
        <v>#REF!</v>
      </c>
      <c r="L101" s="2" t="e">
        <f aca="false">#REF!</f>
        <v>#REF!</v>
      </c>
      <c r="M101" s="2" t="e">
        <f aca="false">#REF!</f>
        <v>#REF!</v>
      </c>
    </row>
    <row r="102" customFormat="false" ht="13.5" hidden="false" customHeight="false" outlineLevel="0" collapsed="false">
      <c r="A102" s="0" t="s">
        <v>27</v>
      </c>
      <c r="B102" s="1" t="n">
        <v>43962</v>
      </c>
      <c r="C102" s="2" t="e">
        <f aca="false">#REF!</f>
        <v>#REF!</v>
      </c>
      <c r="D102" s="2" t="e">
        <f aca="false">#REF!</f>
        <v>#REF!</v>
      </c>
      <c r="E102" s="2" t="e">
        <f aca="false">#REF!</f>
        <v>#REF!</v>
      </c>
      <c r="F102" s="2" t="e">
        <f aca="false">#REF!</f>
        <v>#REF!</v>
      </c>
      <c r="G102" s="2" t="e">
        <f aca="false">#REF!</f>
        <v>#REF!</v>
      </c>
      <c r="H102" s="2" t="e">
        <f aca="false">#REF!</f>
        <v>#REF!</v>
      </c>
      <c r="I102" s="2" t="e">
        <f aca="false">#REF!</f>
        <v>#REF!</v>
      </c>
      <c r="J102" s="2" t="e">
        <f aca="false">#REF!</f>
        <v>#REF!</v>
      </c>
      <c r="K102" s="2" t="e">
        <f aca="false">#REF!</f>
        <v>#REF!</v>
      </c>
      <c r="L102" s="2" t="e">
        <f aca="false">#REF!</f>
        <v>#REF!</v>
      </c>
      <c r="M102" s="2" t="e">
        <f aca="false">#REF!</f>
        <v>#REF!</v>
      </c>
    </row>
    <row r="103" customFormat="false" ht="13.5" hidden="false" customHeight="false" outlineLevel="0" collapsed="false">
      <c r="A103" s="0" t="s">
        <v>27</v>
      </c>
      <c r="B103" s="1" t="n">
        <v>43963</v>
      </c>
      <c r="C103" s="2" t="e">
        <f aca="false">#REF!</f>
        <v>#REF!</v>
      </c>
      <c r="D103" s="2" t="e">
        <f aca="false">#REF!</f>
        <v>#REF!</v>
      </c>
      <c r="E103" s="2" t="e">
        <f aca="false">#REF!</f>
        <v>#REF!</v>
      </c>
      <c r="F103" s="2" t="e">
        <f aca="false">#REF!</f>
        <v>#REF!</v>
      </c>
      <c r="G103" s="2" t="e">
        <f aca="false">#REF!</f>
        <v>#REF!</v>
      </c>
      <c r="H103" s="2" t="e">
        <f aca="false">#REF!</f>
        <v>#REF!</v>
      </c>
      <c r="I103" s="2" t="e">
        <f aca="false">#REF!</f>
        <v>#REF!</v>
      </c>
      <c r="J103" s="2" t="e">
        <f aca="false">#REF!</f>
        <v>#REF!</v>
      </c>
      <c r="K103" s="2" t="e">
        <f aca="false">#REF!</f>
        <v>#REF!</v>
      </c>
      <c r="L103" s="2" t="e">
        <f aca="false">#REF!</f>
        <v>#REF!</v>
      </c>
      <c r="M103" s="2" t="e">
        <f aca="false">#REF!</f>
        <v>#REF!</v>
      </c>
    </row>
    <row r="104" customFormat="false" ht="13.5" hidden="false" customHeight="false" outlineLevel="0" collapsed="false">
      <c r="A104" s="0" t="s">
        <v>27</v>
      </c>
      <c r="B104" s="1" t="n">
        <v>43964</v>
      </c>
      <c r="C104" s="2" t="e">
        <f aca="false">#REF!</f>
        <v>#REF!</v>
      </c>
      <c r="D104" s="2" t="e">
        <f aca="false">#REF!</f>
        <v>#REF!</v>
      </c>
      <c r="E104" s="2" t="e">
        <f aca="false">#REF!</f>
        <v>#REF!</v>
      </c>
      <c r="F104" s="2" t="e">
        <f aca="false">#REF!</f>
        <v>#REF!</v>
      </c>
      <c r="G104" s="2" t="e">
        <f aca="false">#REF!</f>
        <v>#REF!</v>
      </c>
      <c r="H104" s="2" t="e">
        <f aca="false">#REF!</f>
        <v>#REF!</v>
      </c>
      <c r="I104" s="2" t="e">
        <f aca="false">#REF!</f>
        <v>#REF!</v>
      </c>
      <c r="J104" s="2" t="e">
        <f aca="false">#REF!</f>
        <v>#REF!</v>
      </c>
      <c r="K104" s="2" t="e">
        <f aca="false">#REF!</f>
        <v>#REF!</v>
      </c>
      <c r="L104" s="2" t="e">
        <f aca="false">#REF!</f>
        <v>#REF!</v>
      </c>
      <c r="M104" s="2" t="e">
        <f aca="false">#REF!</f>
        <v>#REF!</v>
      </c>
    </row>
    <row r="105" customFormat="false" ht="13.5" hidden="false" customHeight="false" outlineLevel="0" collapsed="false">
      <c r="A105" s="0" t="s">
        <v>27</v>
      </c>
      <c r="B105" s="1" t="n">
        <v>43965</v>
      </c>
      <c r="C105" s="2" t="e">
        <f aca="false">#REF!</f>
        <v>#REF!</v>
      </c>
      <c r="D105" s="2" t="e">
        <f aca="false">#REF!</f>
        <v>#REF!</v>
      </c>
      <c r="E105" s="2" t="e">
        <f aca="false">#REF!</f>
        <v>#REF!</v>
      </c>
      <c r="F105" s="2" t="e">
        <f aca="false">#REF!</f>
        <v>#REF!</v>
      </c>
      <c r="G105" s="2" t="e">
        <f aca="false">#REF!</f>
        <v>#REF!</v>
      </c>
      <c r="H105" s="2" t="e">
        <f aca="false">#REF!</f>
        <v>#REF!</v>
      </c>
      <c r="I105" s="2" t="e">
        <f aca="false">#REF!</f>
        <v>#REF!</v>
      </c>
      <c r="J105" s="2" t="e">
        <f aca="false">#REF!</f>
        <v>#REF!</v>
      </c>
      <c r="K105" s="2" t="e">
        <f aca="false">#REF!</f>
        <v>#REF!</v>
      </c>
      <c r="L105" s="2" t="e">
        <f aca="false">#REF!</f>
        <v>#REF!</v>
      </c>
      <c r="M105" s="2" t="e">
        <f aca="false">#REF!</f>
        <v>#REF!</v>
      </c>
    </row>
    <row r="106" customFormat="false" ht="13.5" hidden="false" customHeight="false" outlineLevel="0" collapsed="false">
      <c r="A106" s="0" t="s">
        <v>27</v>
      </c>
      <c r="B106" s="1" t="n">
        <v>43966</v>
      </c>
      <c r="C106" s="2" t="e">
        <f aca="false">#REF!</f>
        <v>#REF!</v>
      </c>
      <c r="D106" s="2" t="e">
        <f aca="false">#REF!</f>
        <v>#REF!</v>
      </c>
      <c r="E106" s="2" t="e">
        <f aca="false">#REF!</f>
        <v>#REF!</v>
      </c>
      <c r="F106" s="2" t="e">
        <f aca="false">#REF!</f>
        <v>#REF!</v>
      </c>
      <c r="G106" s="2" t="e">
        <f aca="false">#REF!</f>
        <v>#REF!</v>
      </c>
      <c r="H106" s="2" t="e">
        <f aca="false">#REF!</f>
        <v>#REF!</v>
      </c>
      <c r="I106" s="2" t="e">
        <f aca="false">#REF!</f>
        <v>#REF!</v>
      </c>
      <c r="J106" s="2" t="e">
        <f aca="false">#REF!</f>
        <v>#REF!</v>
      </c>
      <c r="K106" s="2" t="e">
        <f aca="false">#REF!</f>
        <v>#REF!</v>
      </c>
      <c r="L106" s="2" t="e">
        <f aca="false">#REF!</f>
        <v>#REF!</v>
      </c>
      <c r="M106" s="2" t="e">
        <f aca="false">#REF!</f>
        <v>#REF!</v>
      </c>
    </row>
    <row r="107" customFormat="false" ht="13.5" hidden="false" customHeight="false" outlineLevel="0" collapsed="false">
      <c r="A107" s="0" t="s">
        <v>27</v>
      </c>
      <c r="B107" s="1" t="n">
        <v>43967</v>
      </c>
      <c r="C107" s="2" t="e">
        <f aca="false">#REF!</f>
        <v>#REF!</v>
      </c>
      <c r="D107" s="2" t="e">
        <f aca="false">#REF!</f>
        <v>#REF!</v>
      </c>
      <c r="E107" s="2" t="e">
        <f aca="false">#REF!</f>
        <v>#REF!</v>
      </c>
      <c r="F107" s="2" t="e">
        <f aca="false">#REF!</f>
        <v>#REF!</v>
      </c>
      <c r="G107" s="2" t="e">
        <f aca="false">#REF!</f>
        <v>#REF!</v>
      </c>
      <c r="H107" s="2" t="e">
        <f aca="false">#REF!</f>
        <v>#REF!</v>
      </c>
      <c r="I107" s="2" t="e">
        <f aca="false">#REF!</f>
        <v>#REF!</v>
      </c>
      <c r="J107" s="2" t="e">
        <f aca="false">#REF!</f>
        <v>#REF!</v>
      </c>
      <c r="K107" s="2" t="e">
        <f aca="false">#REF!</f>
        <v>#REF!</v>
      </c>
      <c r="L107" s="2" t="e">
        <f aca="false">#REF!</f>
        <v>#REF!</v>
      </c>
      <c r="M107" s="2" t="e">
        <f aca="false">#REF!</f>
        <v>#REF!</v>
      </c>
    </row>
    <row r="108" customFormat="false" ht="13.5" hidden="false" customHeight="false" outlineLevel="0" collapsed="false">
      <c r="A108" s="0" t="s">
        <v>27</v>
      </c>
      <c r="B108" s="1" t="n">
        <v>43968</v>
      </c>
      <c r="C108" s="2" t="e">
        <f aca="false">#REF!</f>
        <v>#REF!</v>
      </c>
      <c r="D108" s="2" t="e">
        <f aca="false">#REF!</f>
        <v>#REF!</v>
      </c>
      <c r="E108" s="2" t="e">
        <f aca="false">#REF!</f>
        <v>#REF!</v>
      </c>
      <c r="F108" s="2" t="e">
        <f aca="false">#REF!</f>
        <v>#REF!</v>
      </c>
      <c r="G108" s="2" t="e">
        <f aca="false">#REF!</f>
        <v>#REF!</v>
      </c>
      <c r="H108" s="2" t="e">
        <f aca="false">#REF!</f>
        <v>#REF!</v>
      </c>
      <c r="I108" s="2" t="e">
        <f aca="false">#REF!</f>
        <v>#REF!</v>
      </c>
      <c r="J108" s="2" t="e">
        <f aca="false">#REF!</f>
        <v>#REF!</v>
      </c>
      <c r="K108" s="2" t="e">
        <f aca="false">#REF!</f>
        <v>#REF!</v>
      </c>
      <c r="L108" s="2" t="e">
        <f aca="false">#REF!</f>
        <v>#REF!</v>
      </c>
      <c r="M108" s="2" t="e">
        <f aca="false">#REF!</f>
        <v>#REF!</v>
      </c>
    </row>
    <row r="109" customFormat="false" ht="13.5" hidden="false" customHeight="false" outlineLevel="0" collapsed="false">
      <c r="A109" s="0" t="s">
        <v>27</v>
      </c>
      <c r="B109" s="1" t="n">
        <v>43969</v>
      </c>
      <c r="C109" s="2" t="e">
        <f aca="false">#REF!</f>
        <v>#REF!</v>
      </c>
      <c r="D109" s="2" t="e">
        <f aca="false">#REF!</f>
        <v>#REF!</v>
      </c>
      <c r="E109" s="2" t="e">
        <f aca="false">#REF!</f>
        <v>#REF!</v>
      </c>
      <c r="F109" s="2" t="e">
        <f aca="false">#REF!</f>
        <v>#REF!</v>
      </c>
      <c r="G109" s="2" t="e">
        <f aca="false">#REF!</f>
        <v>#REF!</v>
      </c>
      <c r="H109" s="2" t="e">
        <f aca="false">#REF!</f>
        <v>#REF!</v>
      </c>
      <c r="I109" s="2" t="e">
        <f aca="false">#REF!</f>
        <v>#REF!</v>
      </c>
      <c r="J109" s="2" t="e">
        <f aca="false">#REF!</f>
        <v>#REF!</v>
      </c>
      <c r="K109" s="2" t="e">
        <f aca="false">#REF!</f>
        <v>#REF!</v>
      </c>
      <c r="L109" s="2" t="e">
        <f aca="false">#REF!</f>
        <v>#REF!</v>
      </c>
      <c r="M109" s="2" t="e">
        <f aca="false">#REF!</f>
        <v>#REF!</v>
      </c>
    </row>
    <row r="110" customFormat="false" ht="13.5" hidden="false" customHeight="false" outlineLevel="0" collapsed="false">
      <c r="A110" s="0" t="s">
        <v>27</v>
      </c>
      <c r="B110" s="1" t="n">
        <v>43970</v>
      </c>
      <c r="C110" s="2" t="e">
        <f aca="false">#REF!</f>
        <v>#REF!</v>
      </c>
      <c r="D110" s="2" t="e">
        <f aca="false">#REF!</f>
        <v>#REF!</v>
      </c>
      <c r="E110" s="2" t="e">
        <f aca="false">#REF!</f>
        <v>#REF!</v>
      </c>
      <c r="F110" s="2" t="e">
        <f aca="false">#REF!</f>
        <v>#REF!</v>
      </c>
      <c r="G110" s="2" t="e">
        <f aca="false">#REF!</f>
        <v>#REF!</v>
      </c>
      <c r="H110" s="2" t="e">
        <f aca="false">#REF!</f>
        <v>#REF!</v>
      </c>
      <c r="I110" s="2" t="e">
        <f aca="false">#REF!</f>
        <v>#REF!</v>
      </c>
      <c r="J110" s="2" t="e">
        <f aca="false">#REF!</f>
        <v>#REF!</v>
      </c>
      <c r="K110" s="2" t="e">
        <f aca="false">#REF!</f>
        <v>#REF!</v>
      </c>
      <c r="L110" s="2" t="e">
        <f aca="false">#REF!</f>
        <v>#REF!</v>
      </c>
      <c r="M110" s="2" t="e">
        <f aca="false">#REF!</f>
        <v>#REF!</v>
      </c>
    </row>
    <row r="111" customFormat="false" ht="13.5" hidden="false" customHeight="false" outlineLevel="0" collapsed="false">
      <c r="A111" s="0" t="s">
        <v>27</v>
      </c>
      <c r="B111" s="1" t="n">
        <v>43971</v>
      </c>
      <c r="C111" s="2" t="e">
        <f aca="false">#REF!</f>
        <v>#REF!</v>
      </c>
      <c r="D111" s="2" t="e">
        <f aca="false">#REF!</f>
        <v>#REF!</v>
      </c>
      <c r="E111" s="2" t="e">
        <f aca="false">#REF!</f>
        <v>#REF!</v>
      </c>
      <c r="F111" s="2" t="e">
        <f aca="false">#REF!</f>
        <v>#REF!</v>
      </c>
      <c r="G111" s="2" t="e">
        <f aca="false">#REF!</f>
        <v>#REF!</v>
      </c>
      <c r="H111" s="2" t="e">
        <f aca="false">#REF!</f>
        <v>#REF!</v>
      </c>
      <c r="I111" s="2" t="e">
        <f aca="false">#REF!</f>
        <v>#REF!</v>
      </c>
      <c r="J111" s="2" t="e">
        <f aca="false">#REF!</f>
        <v>#REF!</v>
      </c>
      <c r="K111" s="2" t="e">
        <f aca="false">#REF!</f>
        <v>#REF!</v>
      </c>
      <c r="L111" s="2" t="e">
        <f aca="false">#REF!</f>
        <v>#REF!</v>
      </c>
      <c r="M111" s="2" t="e">
        <f aca="false">#REF!</f>
        <v>#REF!</v>
      </c>
    </row>
    <row r="112" customFormat="false" ht="13.5" hidden="false" customHeight="false" outlineLevel="0" collapsed="false">
      <c r="A112" s="0" t="s">
        <v>27</v>
      </c>
      <c r="B112" s="1" t="n">
        <v>43972</v>
      </c>
      <c r="C112" s="2" t="e">
        <f aca="false">#REF!</f>
        <v>#REF!</v>
      </c>
      <c r="D112" s="2" t="e">
        <f aca="false">#REF!</f>
        <v>#REF!</v>
      </c>
      <c r="E112" s="2" t="e">
        <f aca="false">#REF!</f>
        <v>#REF!</v>
      </c>
      <c r="F112" s="2" t="e">
        <f aca="false">#REF!</f>
        <v>#REF!</v>
      </c>
      <c r="G112" s="2" t="e">
        <f aca="false">#REF!</f>
        <v>#REF!</v>
      </c>
      <c r="H112" s="2" t="e">
        <f aca="false">#REF!</f>
        <v>#REF!</v>
      </c>
      <c r="I112" s="2" t="e">
        <f aca="false">#REF!</f>
        <v>#REF!</v>
      </c>
      <c r="J112" s="2" t="e">
        <f aca="false">#REF!</f>
        <v>#REF!</v>
      </c>
      <c r="K112" s="2" t="e">
        <f aca="false">#REF!</f>
        <v>#REF!</v>
      </c>
      <c r="L112" s="2" t="e">
        <f aca="false">#REF!</f>
        <v>#REF!</v>
      </c>
      <c r="M112" s="2" t="e">
        <f aca="false">#REF!</f>
        <v>#REF!</v>
      </c>
    </row>
    <row r="113" customFormat="false" ht="13.5" hidden="false" customHeight="false" outlineLevel="0" collapsed="false">
      <c r="A113" s="0" t="s">
        <v>27</v>
      </c>
      <c r="B113" s="1" t="n">
        <v>43973</v>
      </c>
      <c r="C113" s="2" t="e">
        <f aca="false">#REF!</f>
        <v>#REF!</v>
      </c>
      <c r="D113" s="2" t="e">
        <f aca="false">#REF!</f>
        <v>#REF!</v>
      </c>
      <c r="E113" s="2" t="e">
        <f aca="false">#REF!</f>
        <v>#REF!</v>
      </c>
      <c r="F113" s="2" t="e">
        <f aca="false">#REF!</f>
        <v>#REF!</v>
      </c>
      <c r="G113" s="2" t="e">
        <f aca="false">#REF!</f>
        <v>#REF!</v>
      </c>
      <c r="H113" s="2" t="e">
        <f aca="false">#REF!</f>
        <v>#REF!</v>
      </c>
      <c r="I113" s="2" t="e">
        <f aca="false">#REF!</f>
        <v>#REF!</v>
      </c>
      <c r="J113" s="2" t="e">
        <f aca="false">#REF!</f>
        <v>#REF!</v>
      </c>
      <c r="K113" s="2" t="e">
        <f aca="false">#REF!</f>
        <v>#REF!</v>
      </c>
      <c r="L113" s="2" t="e">
        <f aca="false">#REF!</f>
        <v>#REF!</v>
      </c>
      <c r="M113" s="2" t="e">
        <f aca="false">#REF!</f>
        <v>#REF!</v>
      </c>
    </row>
    <row r="114" customFormat="false" ht="13.5" hidden="false" customHeight="false" outlineLevel="0" collapsed="false">
      <c r="A114" s="0" t="s">
        <v>27</v>
      </c>
      <c r="B114" s="1" t="n">
        <v>43974</v>
      </c>
      <c r="C114" s="2" t="e">
        <f aca="false">#REF!</f>
        <v>#REF!</v>
      </c>
      <c r="D114" s="2" t="e">
        <f aca="false">#REF!</f>
        <v>#REF!</v>
      </c>
      <c r="E114" s="2" t="e">
        <f aca="false">#REF!</f>
        <v>#REF!</v>
      </c>
      <c r="F114" s="2" t="e">
        <f aca="false">#REF!</f>
        <v>#REF!</v>
      </c>
      <c r="G114" s="2" t="e">
        <f aca="false">#REF!</f>
        <v>#REF!</v>
      </c>
      <c r="H114" s="2" t="e">
        <f aca="false">#REF!</f>
        <v>#REF!</v>
      </c>
      <c r="I114" s="2" t="e">
        <f aca="false">#REF!</f>
        <v>#REF!</v>
      </c>
      <c r="J114" s="2" t="e">
        <f aca="false">#REF!</f>
        <v>#REF!</v>
      </c>
      <c r="K114" s="2" t="e">
        <f aca="false">#REF!</f>
        <v>#REF!</v>
      </c>
      <c r="L114" s="2" t="e">
        <f aca="false">#REF!</f>
        <v>#REF!</v>
      </c>
      <c r="M114" s="2" t="e">
        <f aca="false">#REF!</f>
        <v>#REF!</v>
      </c>
    </row>
    <row r="115" customFormat="false" ht="13.5" hidden="false" customHeight="false" outlineLevel="0" collapsed="false">
      <c r="A115" s="0" t="s">
        <v>27</v>
      </c>
      <c r="B115" s="1" t="n">
        <v>43975</v>
      </c>
      <c r="C115" s="2" t="e">
        <f aca="false">#REF!</f>
        <v>#REF!</v>
      </c>
      <c r="D115" s="2" t="e">
        <f aca="false">#REF!</f>
        <v>#REF!</v>
      </c>
      <c r="E115" s="2" t="e">
        <f aca="false">#REF!</f>
        <v>#REF!</v>
      </c>
      <c r="F115" s="2" t="e">
        <f aca="false">#REF!</f>
        <v>#REF!</v>
      </c>
      <c r="G115" s="2" t="e">
        <f aca="false">#REF!</f>
        <v>#REF!</v>
      </c>
      <c r="H115" s="2" t="e">
        <f aca="false">#REF!</f>
        <v>#REF!</v>
      </c>
      <c r="I115" s="2" t="e">
        <f aca="false">#REF!</f>
        <v>#REF!</v>
      </c>
      <c r="J115" s="2" t="e">
        <f aca="false">#REF!</f>
        <v>#REF!</v>
      </c>
      <c r="K115" s="2" t="e">
        <f aca="false">#REF!</f>
        <v>#REF!</v>
      </c>
      <c r="L115" s="2" t="e">
        <f aca="false">#REF!</f>
        <v>#REF!</v>
      </c>
      <c r="M115" s="2" t="e">
        <f aca="false">#REF!</f>
        <v>#REF!</v>
      </c>
    </row>
    <row r="116" customFormat="false" ht="13.5" hidden="false" customHeight="false" outlineLevel="0" collapsed="false">
      <c r="A116" s="0" t="s">
        <v>27</v>
      </c>
      <c r="B116" s="1" t="n">
        <v>43976</v>
      </c>
      <c r="C116" s="2" t="e">
        <f aca="false">#REF!</f>
        <v>#REF!</v>
      </c>
      <c r="D116" s="2" t="e">
        <f aca="false">#REF!</f>
        <v>#REF!</v>
      </c>
      <c r="E116" s="2" t="e">
        <f aca="false">#REF!</f>
        <v>#REF!</v>
      </c>
      <c r="F116" s="2" t="e">
        <f aca="false">#REF!</f>
        <v>#REF!</v>
      </c>
      <c r="G116" s="2" t="e">
        <f aca="false">#REF!</f>
        <v>#REF!</v>
      </c>
      <c r="H116" s="2" t="e">
        <f aca="false">#REF!</f>
        <v>#REF!</v>
      </c>
      <c r="I116" s="2" t="e">
        <f aca="false">#REF!</f>
        <v>#REF!</v>
      </c>
      <c r="J116" s="2" t="e">
        <f aca="false">#REF!</f>
        <v>#REF!</v>
      </c>
      <c r="K116" s="2" t="e">
        <f aca="false">#REF!</f>
        <v>#REF!</v>
      </c>
      <c r="L116" s="2" t="e">
        <f aca="false">#REF!</f>
        <v>#REF!</v>
      </c>
      <c r="M116" s="2" t="e">
        <f aca="false">#REF!</f>
        <v>#REF!</v>
      </c>
    </row>
    <row r="117" customFormat="false" ht="13.5" hidden="false" customHeight="false" outlineLevel="0" collapsed="false">
      <c r="A117" s="0" t="s">
        <v>27</v>
      </c>
      <c r="B117" s="1" t="n">
        <v>43977</v>
      </c>
      <c r="C117" s="2" t="e">
        <f aca="false">#REF!</f>
        <v>#REF!</v>
      </c>
      <c r="D117" s="2" t="e">
        <f aca="false">#REF!</f>
        <v>#REF!</v>
      </c>
      <c r="E117" s="2" t="e">
        <f aca="false">#REF!</f>
        <v>#REF!</v>
      </c>
      <c r="F117" s="2" t="e">
        <f aca="false">#REF!</f>
        <v>#REF!</v>
      </c>
      <c r="G117" s="2" t="e">
        <f aca="false">#REF!</f>
        <v>#REF!</v>
      </c>
      <c r="H117" s="2" t="e">
        <f aca="false">#REF!</f>
        <v>#REF!</v>
      </c>
      <c r="I117" s="2" t="e">
        <f aca="false">#REF!</f>
        <v>#REF!</v>
      </c>
      <c r="J117" s="2" t="e">
        <f aca="false">#REF!</f>
        <v>#REF!</v>
      </c>
      <c r="K117" s="2" t="e">
        <f aca="false">#REF!</f>
        <v>#REF!</v>
      </c>
      <c r="L117" s="2" t="e">
        <f aca="false">#REF!</f>
        <v>#REF!</v>
      </c>
      <c r="M117" s="2" t="e">
        <f aca="false">#REF!</f>
        <v>#REF!</v>
      </c>
    </row>
    <row r="118" customFormat="false" ht="13.5" hidden="false" customHeight="false" outlineLevel="0" collapsed="false">
      <c r="A118" s="0" t="s">
        <v>27</v>
      </c>
      <c r="B118" s="1" t="n">
        <v>43978</v>
      </c>
      <c r="C118" s="2" t="e">
        <f aca="false">#REF!</f>
        <v>#REF!</v>
      </c>
      <c r="D118" s="2" t="e">
        <f aca="false">#REF!</f>
        <v>#REF!</v>
      </c>
      <c r="E118" s="2" t="e">
        <f aca="false">#REF!</f>
        <v>#REF!</v>
      </c>
      <c r="F118" s="2" t="e">
        <f aca="false">#REF!</f>
        <v>#REF!</v>
      </c>
      <c r="G118" s="2" t="e">
        <f aca="false">#REF!</f>
        <v>#REF!</v>
      </c>
      <c r="H118" s="2" t="e">
        <f aca="false">#REF!</f>
        <v>#REF!</v>
      </c>
      <c r="I118" s="2" t="e">
        <f aca="false">#REF!</f>
        <v>#REF!</v>
      </c>
      <c r="J118" s="2" t="e">
        <f aca="false">#REF!</f>
        <v>#REF!</v>
      </c>
      <c r="K118" s="2" t="e">
        <f aca="false">#REF!</f>
        <v>#REF!</v>
      </c>
      <c r="L118" s="2" t="e">
        <f aca="false">#REF!</f>
        <v>#REF!</v>
      </c>
      <c r="M118" s="2" t="e">
        <f aca="false">#REF!</f>
        <v>#REF!</v>
      </c>
    </row>
    <row r="119" customFormat="false" ht="13.5" hidden="false" customHeight="false" outlineLevel="0" collapsed="false">
      <c r="A119" s="0" t="s">
        <v>27</v>
      </c>
      <c r="B119" s="1" t="n">
        <v>43979</v>
      </c>
      <c r="C119" s="2" t="e">
        <f aca="false">#REF!</f>
        <v>#REF!</v>
      </c>
      <c r="D119" s="2" t="e">
        <f aca="false">#REF!</f>
        <v>#REF!</v>
      </c>
      <c r="E119" s="2" t="e">
        <f aca="false">#REF!</f>
        <v>#REF!</v>
      </c>
      <c r="F119" s="2" t="e">
        <f aca="false">#REF!</f>
        <v>#REF!</v>
      </c>
      <c r="G119" s="2" t="e">
        <f aca="false">#REF!</f>
        <v>#REF!</v>
      </c>
      <c r="H119" s="2" t="e">
        <f aca="false">#REF!</f>
        <v>#REF!</v>
      </c>
      <c r="I119" s="2" t="e">
        <f aca="false">#REF!</f>
        <v>#REF!</v>
      </c>
      <c r="J119" s="2" t="e">
        <f aca="false">#REF!</f>
        <v>#REF!</v>
      </c>
      <c r="K119" s="2" t="e">
        <f aca="false">#REF!</f>
        <v>#REF!</v>
      </c>
      <c r="L119" s="2" t="e">
        <f aca="false">#REF!</f>
        <v>#REF!</v>
      </c>
      <c r="M119" s="2" t="e">
        <f aca="false">#REF!</f>
        <v>#REF!</v>
      </c>
    </row>
    <row r="120" customFormat="false" ht="13.5" hidden="false" customHeight="false" outlineLevel="0" collapsed="false">
      <c r="A120" s="0" t="s">
        <v>27</v>
      </c>
      <c r="B120" s="1" t="n">
        <v>43980</v>
      </c>
      <c r="C120" s="2" t="e">
        <f aca="false">#REF!</f>
        <v>#REF!</v>
      </c>
      <c r="D120" s="2" t="e">
        <f aca="false">#REF!</f>
        <v>#REF!</v>
      </c>
      <c r="E120" s="2" t="e">
        <f aca="false">#REF!</f>
        <v>#REF!</v>
      </c>
      <c r="F120" s="2" t="e">
        <f aca="false">#REF!</f>
        <v>#REF!</v>
      </c>
      <c r="G120" s="2" t="e">
        <f aca="false">#REF!</f>
        <v>#REF!</v>
      </c>
      <c r="H120" s="2" t="e">
        <f aca="false">#REF!</f>
        <v>#REF!</v>
      </c>
      <c r="I120" s="2" t="e">
        <f aca="false">#REF!</f>
        <v>#REF!</v>
      </c>
      <c r="J120" s="2" t="e">
        <f aca="false">#REF!</f>
        <v>#REF!</v>
      </c>
      <c r="K120" s="2" t="e">
        <f aca="false">#REF!</f>
        <v>#REF!</v>
      </c>
      <c r="L120" s="2" t="e">
        <f aca="false">#REF!</f>
        <v>#REF!</v>
      </c>
      <c r="M120" s="2" t="e">
        <f aca="false">#REF!</f>
        <v>#REF!</v>
      </c>
    </row>
    <row r="121" customFormat="false" ht="13.5" hidden="false" customHeight="false" outlineLevel="0" collapsed="false">
      <c r="A121" s="0" t="s">
        <v>27</v>
      </c>
      <c r="B121" s="1" t="n">
        <v>43981</v>
      </c>
      <c r="C121" s="2" t="e">
        <f aca="false">#REF!</f>
        <v>#REF!</v>
      </c>
      <c r="D121" s="2" t="e">
        <f aca="false">#REF!</f>
        <v>#REF!</v>
      </c>
      <c r="E121" s="2" t="e">
        <f aca="false">#REF!</f>
        <v>#REF!</v>
      </c>
      <c r="F121" s="2" t="e">
        <f aca="false">#REF!</f>
        <v>#REF!</v>
      </c>
      <c r="G121" s="2" t="e">
        <f aca="false">#REF!</f>
        <v>#REF!</v>
      </c>
      <c r="H121" s="2" t="e">
        <f aca="false">#REF!</f>
        <v>#REF!</v>
      </c>
      <c r="I121" s="2" t="e">
        <f aca="false">#REF!</f>
        <v>#REF!</v>
      </c>
      <c r="J121" s="2" t="e">
        <f aca="false">#REF!</f>
        <v>#REF!</v>
      </c>
      <c r="K121" s="2" t="e">
        <f aca="false">#REF!</f>
        <v>#REF!</v>
      </c>
      <c r="L121" s="2" t="e">
        <f aca="false">#REF!</f>
        <v>#REF!</v>
      </c>
      <c r="M121" s="2" t="e">
        <f aca="false">#REF!</f>
        <v>#REF!</v>
      </c>
    </row>
    <row r="122" customFormat="false" ht="13.5" hidden="false" customHeight="false" outlineLevel="0" collapsed="false">
      <c r="A122" s="0" t="s">
        <v>27</v>
      </c>
      <c r="B122" s="1" t="n">
        <v>43982</v>
      </c>
      <c r="C122" s="2" t="e">
        <f aca="false">#REF!</f>
        <v>#REF!</v>
      </c>
      <c r="D122" s="2" t="e">
        <f aca="false">#REF!</f>
        <v>#REF!</v>
      </c>
      <c r="E122" s="2" t="e">
        <f aca="false">#REF!</f>
        <v>#REF!</v>
      </c>
      <c r="F122" s="2" t="e">
        <f aca="false">#REF!</f>
        <v>#REF!</v>
      </c>
      <c r="G122" s="2" t="e">
        <f aca="false">#REF!</f>
        <v>#REF!</v>
      </c>
      <c r="H122" s="2" t="e">
        <f aca="false">#REF!</f>
        <v>#REF!</v>
      </c>
      <c r="I122" s="2" t="e">
        <f aca="false">#REF!</f>
        <v>#REF!</v>
      </c>
      <c r="J122" s="2" t="e">
        <f aca="false">#REF!</f>
        <v>#REF!</v>
      </c>
      <c r="K122" s="2" t="e">
        <f aca="false">#REF!</f>
        <v>#REF!</v>
      </c>
      <c r="L122" s="2" t="e">
        <f aca="false">#REF!</f>
        <v>#REF!</v>
      </c>
      <c r="M122" s="2" t="e">
        <f aca="false">#REF!</f>
        <v>#REF!</v>
      </c>
    </row>
    <row r="123" customFormat="false" ht="13.5" hidden="false" customHeight="false" outlineLevel="0" collapsed="false">
      <c r="A123" s="0" t="s">
        <v>27</v>
      </c>
      <c r="B123" s="1" t="n">
        <v>43983</v>
      </c>
      <c r="C123" s="2" t="e">
        <f aca="false">#REF!</f>
        <v>#REF!</v>
      </c>
      <c r="D123" s="2" t="e">
        <f aca="false">#REF!</f>
        <v>#REF!</v>
      </c>
      <c r="E123" s="2" t="e">
        <f aca="false">#REF!</f>
        <v>#REF!</v>
      </c>
      <c r="F123" s="2" t="e">
        <f aca="false">#REF!</f>
        <v>#REF!</v>
      </c>
      <c r="G123" s="2" t="e">
        <f aca="false">#REF!</f>
        <v>#REF!</v>
      </c>
      <c r="H123" s="2" t="e">
        <f aca="false">#REF!</f>
        <v>#REF!</v>
      </c>
      <c r="I123" s="2" t="e">
        <f aca="false">#REF!</f>
        <v>#REF!</v>
      </c>
      <c r="J123" s="2" t="e">
        <f aca="false">#REF!</f>
        <v>#REF!</v>
      </c>
      <c r="K123" s="2" t="e">
        <f aca="false">#REF!</f>
        <v>#REF!</v>
      </c>
      <c r="L123" s="2" t="e">
        <f aca="false">#REF!</f>
        <v>#REF!</v>
      </c>
      <c r="M123" s="2" t="e">
        <f aca="false">#REF!</f>
        <v>#REF!</v>
      </c>
    </row>
    <row r="124" customFormat="false" ht="13.5" hidden="false" customHeight="false" outlineLevel="0" collapsed="false">
      <c r="A124" s="0" t="s">
        <v>27</v>
      </c>
      <c r="B124" s="1" t="n">
        <v>43984</v>
      </c>
      <c r="C124" s="2" t="e">
        <f aca="false">#REF!</f>
        <v>#REF!</v>
      </c>
      <c r="D124" s="2" t="e">
        <f aca="false">#REF!</f>
        <v>#REF!</v>
      </c>
      <c r="E124" s="2" t="e">
        <f aca="false">#REF!</f>
        <v>#REF!</v>
      </c>
      <c r="F124" s="2" t="e">
        <f aca="false">#REF!</f>
        <v>#REF!</v>
      </c>
      <c r="G124" s="2" t="e">
        <f aca="false">#REF!</f>
        <v>#REF!</v>
      </c>
      <c r="H124" s="2" t="e">
        <f aca="false">#REF!</f>
        <v>#REF!</v>
      </c>
      <c r="I124" s="2" t="e">
        <f aca="false">#REF!</f>
        <v>#REF!</v>
      </c>
      <c r="J124" s="2" t="e">
        <f aca="false">#REF!</f>
        <v>#REF!</v>
      </c>
      <c r="K124" s="2" t="e">
        <f aca="false">#REF!</f>
        <v>#REF!</v>
      </c>
      <c r="L124" s="2" t="e">
        <f aca="false">#REF!</f>
        <v>#REF!</v>
      </c>
      <c r="M124" s="2" t="e">
        <f aca="false">#REF!</f>
        <v>#REF!</v>
      </c>
    </row>
    <row r="125" customFormat="false" ht="13.5" hidden="false" customHeight="false" outlineLevel="0" collapsed="false">
      <c r="A125" s="0" t="s">
        <v>27</v>
      </c>
      <c r="B125" s="1" t="n">
        <v>43985</v>
      </c>
      <c r="C125" s="2" t="e">
        <f aca="false">#REF!</f>
        <v>#REF!</v>
      </c>
      <c r="D125" s="2" t="e">
        <f aca="false">#REF!</f>
        <v>#REF!</v>
      </c>
      <c r="E125" s="2" t="e">
        <f aca="false">#REF!</f>
        <v>#REF!</v>
      </c>
      <c r="F125" s="2" t="e">
        <f aca="false">#REF!</f>
        <v>#REF!</v>
      </c>
      <c r="G125" s="2" t="e">
        <f aca="false">#REF!</f>
        <v>#REF!</v>
      </c>
      <c r="H125" s="2" t="e">
        <f aca="false">#REF!</f>
        <v>#REF!</v>
      </c>
      <c r="I125" s="2" t="e">
        <f aca="false">#REF!</f>
        <v>#REF!</v>
      </c>
      <c r="J125" s="2" t="e">
        <f aca="false">#REF!</f>
        <v>#REF!</v>
      </c>
      <c r="K125" s="2" t="e">
        <f aca="false">#REF!</f>
        <v>#REF!</v>
      </c>
      <c r="L125" s="2" t="e">
        <f aca="false">#REF!</f>
        <v>#REF!</v>
      </c>
      <c r="M125" s="2" t="e">
        <f aca="false">#REF!</f>
        <v>#REF!</v>
      </c>
    </row>
    <row r="126" customFormat="false" ht="13.5" hidden="false" customHeight="false" outlineLevel="0" collapsed="false">
      <c r="A126" s="0" t="s">
        <v>27</v>
      </c>
      <c r="B126" s="1" t="n">
        <v>43986</v>
      </c>
      <c r="C126" s="2" t="e">
        <f aca="false">#REF!</f>
        <v>#REF!</v>
      </c>
      <c r="D126" s="2" t="e">
        <f aca="false">#REF!</f>
        <v>#REF!</v>
      </c>
      <c r="E126" s="2" t="e">
        <f aca="false">#REF!</f>
        <v>#REF!</v>
      </c>
      <c r="F126" s="2" t="e">
        <f aca="false">#REF!</f>
        <v>#REF!</v>
      </c>
      <c r="G126" s="2" t="e">
        <f aca="false">#REF!</f>
        <v>#REF!</v>
      </c>
      <c r="H126" s="2" t="e">
        <f aca="false">#REF!</f>
        <v>#REF!</v>
      </c>
      <c r="I126" s="2" t="e">
        <f aca="false">#REF!</f>
        <v>#REF!</v>
      </c>
      <c r="J126" s="2" t="e">
        <f aca="false">#REF!</f>
        <v>#REF!</v>
      </c>
      <c r="K126" s="2" t="e">
        <f aca="false">#REF!</f>
        <v>#REF!</v>
      </c>
      <c r="L126" s="2" t="e">
        <f aca="false">#REF!</f>
        <v>#REF!</v>
      </c>
      <c r="M126" s="2" t="e">
        <f aca="false">#REF!</f>
        <v>#REF!</v>
      </c>
    </row>
    <row r="127" customFormat="false" ht="13.5" hidden="false" customHeight="false" outlineLevel="0" collapsed="false">
      <c r="A127" s="0" t="s">
        <v>27</v>
      </c>
      <c r="B127" s="1" t="n">
        <v>43987</v>
      </c>
      <c r="C127" s="2" t="e">
        <f aca="false">#REF!</f>
        <v>#REF!</v>
      </c>
      <c r="D127" s="2" t="e">
        <f aca="false">#REF!</f>
        <v>#REF!</v>
      </c>
      <c r="E127" s="2" t="e">
        <f aca="false">#REF!</f>
        <v>#REF!</v>
      </c>
      <c r="F127" s="2" t="e">
        <f aca="false">#REF!</f>
        <v>#REF!</v>
      </c>
      <c r="G127" s="2" t="e">
        <f aca="false">#REF!</f>
        <v>#REF!</v>
      </c>
      <c r="H127" s="2" t="e">
        <f aca="false">#REF!</f>
        <v>#REF!</v>
      </c>
      <c r="I127" s="2" t="e">
        <f aca="false">#REF!</f>
        <v>#REF!</v>
      </c>
      <c r="J127" s="2" t="e">
        <f aca="false">#REF!</f>
        <v>#REF!</v>
      </c>
      <c r="K127" s="2" t="e">
        <f aca="false">#REF!</f>
        <v>#REF!</v>
      </c>
      <c r="L127" s="2" t="e">
        <f aca="false">#REF!</f>
        <v>#REF!</v>
      </c>
      <c r="M127" s="2" t="e">
        <f aca="false">#REF!</f>
        <v>#REF!</v>
      </c>
    </row>
    <row r="128" customFormat="false" ht="13.5" hidden="false" customHeight="false" outlineLevel="0" collapsed="false">
      <c r="A128" s="0" t="s">
        <v>27</v>
      </c>
      <c r="B128" s="1" t="n">
        <v>43988</v>
      </c>
      <c r="C128" s="2" t="e">
        <f aca="false">#REF!</f>
        <v>#REF!</v>
      </c>
      <c r="D128" s="2" t="e">
        <f aca="false">#REF!</f>
        <v>#REF!</v>
      </c>
      <c r="E128" s="2" t="e">
        <f aca="false">#REF!</f>
        <v>#REF!</v>
      </c>
      <c r="F128" s="2" t="e">
        <f aca="false">#REF!</f>
        <v>#REF!</v>
      </c>
      <c r="G128" s="2" t="e">
        <f aca="false">#REF!</f>
        <v>#REF!</v>
      </c>
      <c r="H128" s="2" t="e">
        <f aca="false">#REF!</f>
        <v>#REF!</v>
      </c>
      <c r="I128" s="2" t="e">
        <f aca="false">#REF!</f>
        <v>#REF!</v>
      </c>
      <c r="J128" s="2" t="e">
        <f aca="false">#REF!</f>
        <v>#REF!</v>
      </c>
      <c r="K128" s="2" t="e">
        <f aca="false">#REF!</f>
        <v>#REF!</v>
      </c>
      <c r="L128" s="2" t="e">
        <f aca="false">#REF!</f>
        <v>#REF!</v>
      </c>
      <c r="M128" s="2" t="e">
        <f aca="false">#REF!</f>
        <v>#REF!</v>
      </c>
    </row>
    <row r="129" customFormat="false" ht="13.5" hidden="false" customHeight="false" outlineLevel="0" collapsed="false">
      <c r="A129" s="0" t="s">
        <v>27</v>
      </c>
      <c r="B129" s="1" t="n">
        <v>43989</v>
      </c>
      <c r="C129" s="2" t="e">
        <f aca="false">#REF!</f>
        <v>#REF!</v>
      </c>
      <c r="D129" s="2" t="e">
        <f aca="false">#REF!</f>
        <v>#REF!</v>
      </c>
      <c r="E129" s="2" t="e">
        <f aca="false">#REF!</f>
        <v>#REF!</v>
      </c>
      <c r="F129" s="2" t="e">
        <f aca="false">#REF!</f>
        <v>#REF!</v>
      </c>
      <c r="G129" s="2" t="e">
        <f aca="false">#REF!</f>
        <v>#REF!</v>
      </c>
      <c r="H129" s="2" t="e">
        <f aca="false">#REF!</f>
        <v>#REF!</v>
      </c>
      <c r="I129" s="2" t="e">
        <f aca="false">#REF!</f>
        <v>#REF!</v>
      </c>
      <c r="J129" s="2" t="e">
        <f aca="false">#REF!</f>
        <v>#REF!</v>
      </c>
      <c r="K129" s="2" t="e">
        <f aca="false">#REF!</f>
        <v>#REF!</v>
      </c>
      <c r="L129" s="2" t="e">
        <f aca="false">#REF!</f>
        <v>#REF!</v>
      </c>
      <c r="M129" s="2" t="e">
        <f aca="false">#REF!</f>
        <v>#REF!</v>
      </c>
    </row>
    <row r="130" customFormat="false" ht="13.5" hidden="false" customHeight="false" outlineLevel="0" collapsed="false">
      <c r="A130" s="0" t="s">
        <v>27</v>
      </c>
      <c r="B130" s="1" t="n">
        <v>43990</v>
      </c>
      <c r="C130" s="2" t="e">
        <f aca="false">#REF!</f>
        <v>#REF!</v>
      </c>
      <c r="D130" s="2" t="e">
        <f aca="false">#REF!</f>
        <v>#REF!</v>
      </c>
      <c r="E130" s="2" t="e">
        <f aca="false">#REF!</f>
        <v>#REF!</v>
      </c>
      <c r="F130" s="2" t="e">
        <f aca="false">#REF!</f>
        <v>#REF!</v>
      </c>
      <c r="G130" s="2" t="e">
        <f aca="false">#REF!</f>
        <v>#REF!</v>
      </c>
      <c r="H130" s="2" t="e">
        <f aca="false">#REF!</f>
        <v>#REF!</v>
      </c>
      <c r="I130" s="2" t="e">
        <f aca="false">#REF!</f>
        <v>#REF!</v>
      </c>
      <c r="J130" s="2" t="e">
        <f aca="false">#REF!</f>
        <v>#REF!</v>
      </c>
      <c r="K130" s="2" t="e">
        <f aca="false">#REF!</f>
        <v>#REF!</v>
      </c>
      <c r="L130" s="2" t="e">
        <f aca="false">#REF!</f>
        <v>#REF!</v>
      </c>
      <c r="M130" s="2" t="e">
        <f aca="false">#REF!</f>
        <v>#REF!</v>
      </c>
    </row>
    <row r="131" customFormat="false" ht="13.5" hidden="false" customHeight="false" outlineLevel="0" collapsed="false">
      <c r="A131" s="0" t="s">
        <v>27</v>
      </c>
      <c r="B131" s="1" t="n">
        <v>43991</v>
      </c>
      <c r="C131" s="2" t="e">
        <f aca="false">#REF!</f>
        <v>#REF!</v>
      </c>
      <c r="D131" s="2" t="e">
        <f aca="false">#REF!</f>
        <v>#REF!</v>
      </c>
      <c r="E131" s="2" t="e">
        <f aca="false">#REF!</f>
        <v>#REF!</v>
      </c>
      <c r="F131" s="2" t="e">
        <f aca="false">#REF!</f>
        <v>#REF!</v>
      </c>
      <c r="G131" s="2" t="e">
        <f aca="false">#REF!</f>
        <v>#REF!</v>
      </c>
      <c r="H131" s="2" t="e">
        <f aca="false">#REF!</f>
        <v>#REF!</v>
      </c>
      <c r="I131" s="2" t="e">
        <f aca="false">#REF!</f>
        <v>#REF!</v>
      </c>
      <c r="J131" s="2" t="e">
        <f aca="false">#REF!</f>
        <v>#REF!</v>
      </c>
      <c r="K131" s="2" t="e">
        <f aca="false">#REF!</f>
        <v>#REF!</v>
      </c>
      <c r="L131" s="2" t="e">
        <f aca="false">#REF!</f>
        <v>#REF!</v>
      </c>
      <c r="M131" s="2" t="e">
        <f aca="false">#REF!</f>
        <v>#REF!</v>
      </c>
    </row>
    <row r="132" customFormat="false" ht="13.5" hidden="false" customHeight="false" outlineLevel="0" collapsed="false">
      <c r="A132" s="0" t="s">
        <v>27</v>
      </c>
      <c r="B132" s="1" t="n">
        <v>43992</v>
      </c>
      <c r="C132" s="2" t="e">
        <f aca="false">#REF!</f>
        <v>#REF!</v>
      </c>
      <c r="D132" s="2" t="e">
        <f aca="false">#REF!</f>
        <v>#REF!</v>
      </c>
      <c r="E132" s="2" t="e">
        <f aca="false">#REF!</f>
        <v>#REF!</v>
      </c>
      <c r="F132" s="2" t="e">
        <f aca="false">#REF!</f>
        <v>#REF!</v>
      </c>
      <c r="G132" s="2" t="e">
        <f aca="false">#REF!</f>
        <v>#REF!</v>
      </c>
      <c r="H132" s="2" t="e">
        <f aca="false">#REF!</f>
        <v>#REF!</v>
      </c>
      <c r="I132" s="2" t="e">
        <f aca="false">#REF!</f>
        <v>#REF!</v>
      </c>
      <c r="J132" s="2" t="e">
        <f aca="false">#REF!</f>
        <v>#REF!</v>
      </c>
      <c r="K132" s="2" t="e">
        <f aca="false">#REF!</f>
        <v>#REF!</v>
      </c>
      <c r="L132" s="2" t="e">
        <f aca="false">#REF!</f>
        <v>#REF!</v>
      </c>
      <c r="M132" s="2" t="e">
        <f aca="false">#REF!</f>
        <v>#REF!</v>
      </c>
    </row>
    <row r="133" customFormat="false" ht="13.5" hidden="false" customHeight="false" outlineLevel="0" collapsed="false">
      <c r="A133" s="0" t="s">
        <v>27</v>
      </c>
      <c r="B133" s="1" t="n">
        <v>43993</v>
      </c>
      <c r="C133" s="2" t="e">
        <f aca="false">#REF!</f>
        <v>#REF!</v>
      </c>
      <c r="D133" s="2" t="e">
        <f aca="false">#REF!</f>
        <v>#REF!</v>
      </c>
      <c r="E133" s="2" t="e">
        <f aca="false">#REF!</f>
        <v>#REF!</v>
      </c>
      <c r="F133" s="2" t="e">
        <f aca="false">#REF!</f>
        <v>#REF!</v>
      </c>
      <c r="G133" s="2" t="e">
        <f aca="false">#REF!</f>
        <v>#REF!</v>
      </c>
      <c r="H133" s="2" t="e">
        <f aca="false">#REF!</f>
        <v>#REF!</v>
      </c>
      <c r="I133" s="2" t="e">
        <f aca="false">#REF!</f>
        <v>#REF!</v>
      </c>
      <c r="J133" s="2" t="e">
        <f aca="false">#REF!</f>
        <v>#REF!</v>
      </c>
      <c r="K133" s="2" t="e">
        <f aca="false">#REF!</f>
        <v>#REF!</v>
      </c>
      <c r="L133" s="2" t="e">
        <f aca="false">#REF!</f>
        <v>#REF!</v>
      </c>
      <c r="M133" s="2" t="e">
        <f aca="false">#REF!</f>
        <v>#REF!</v>
      </c>
    </row>
    <row r="134" customFormat="false" ht="13.5" hidden="false" customHeight="false" outlineLevel="0" collapsed="false">
      <c r="A134" s="0" t="s">
        <v>27</v>
      </c>
      <c r="B134" s="1" t="n">
        <v>43994</v>
      </c>
      <c r="C134" s="2" t="e">
        <f aca="false">#REF!</f>
        <v>#REF!</v>
      </c>
      <c r="D134" s="2" t="e">
        <f aca="false">#REF!</f>
        <v>#REF!</v>
      </c>
      <c r="E134" s="2" t="e">
        <f aca="false">#REF!</f>
        <v>#REF!</v>
      </c>
      <c r="F134" s="2" t="e">
        <f aca="false">#REF!</f>
        <v>#REF!</v>
      </c>
      <c r="G134" s="2" t="e">
        <f aca="false">#REF!</f>
        <v>#REF!</v>
      </c>
      <c r="H134" s="2" t="e">
        <f aca="false">#REF!</f>
        <v>#REF!</v>
      </c>
      <c r="I134" s="2" t="e">
        <f aca="false">#REF!</f>
        <v>#REF!</v>
      </c>
      <c r="J134" s="2" t="e">
        <f aca="false">#REF!</f>
        <v>#REF!</v>
      </c>
      <c r="K134" s="2" t="e">
        <f aca="false">#REF!</f>
        <v>#REF!</v>
      </c>
      <c r="L134" s="2" t="e">
        <f aca="false">#REF!</f>
        <v>#REF!</v>
      </c>
      <c r="M134" s="2" t="e">
        <f aca="false">#REF!</f>
        <v>#REF!</v>
      </c>
    </row>
    <row r="135" customFormat="false" ht="13.5" hidden="false" customHeight="false" outlineLevel="0" collapsed="false">
      <c r="A135" s="0" t="s">
        <v>27</v>
      </c>
      <c r="B135" s="1" t="n">
        <v>43995</v>
      </c>
      <c r="C135" s="2" t="e">
        <f aca="false">#REF!</f>
        <v>#REF!</v>
      </c>
      <c r="D135" s="2" t="e">
        <f aca="false">#REF!</f>
        <v>#REF!</v>
      </c>
      <c r="E135" s="2" t="e">
        <f aca="false">#REF!</f>
        <v>#REF!</v>
      </c>
      <c r="F135" s="2" t="e">
        <f aca="false">#REF!</f>
        <v>#REF!</v>
      </c>
      <c r="G135" s="2" t="e">
        <f aca="false">#REF!</f>
        <v>#REF!</v>
      </c>
      <c r="H135" s="2" t="e">
        <f aca="false">#REF!</f>
        <v>#REF!</v>
      </c>
      <c r="I135" s="2" t="e">
        <f aca="false">#REF!</f>
        <v>#REF!</v>
      </c>
      <c r="J135" s="2" t="e">
        <f aca="false">#REF!</f>
        <v>#REF!</v>
      </c>
      <c r="K135" s="2" t="e">
        <f aca="false">#REF!</f>
        <v>#REF!</v>
      </c>
      <c r="L135" s="2" t="e">
        <f aca="false">#REF!</f>
        <v>#REF!</v>
      </c>
      <c r="M135" s="2" t="e">
        <f aca="false">#REF!</f>
        <v>#REF!</v>
      </c>
    </row>
    <row r="136" customFormat="false" ht="13.5" hidden="false" customHeight="false" outlineLevel="0" collapsed="false">
      <c r="A136" s="0" t="s">
        <v>27</v>
      </c>
      <c r="B136" s="1" t="n">
        <v>43996</v>
      </c>
      <c r="C136" s="2" t="e">
        <f aca="false">#REF!</f>
        <v>#REF!</v>
      </c>
      <c r="D136" s="2" t="e">
        <f aca="false">#REF!</f>
        <v>#REF!</v>
      </c>
      <c r="E136" s="2" t="e">
        <f aca="false">#REF!</f>
        <v>#REF!</v>
      </c>
      <c r="F136" s="2" t="e">
        <f aca="false">#REF!</f>
        <v>#REF!</v>
      </c>
      <c r="G136" s="2" t="e">
        <f aca="false">#REF!</f>
        <v>#REF!</v>
      </c>
      <c r="H136" s="2" t="e">
        <f aca="false">#REF!</f>
        <v>#REF!</v>
      </c>
      <c r="I136" s="2" t="e">
        <f aca="false">#REF!</f>
        <v>#REF!</v>
      </c>
      <c r="J136" s="2" t="e">
        <f aca="false">#REF!</f>
        <v>#REF!</v>
      </c>
      <c r="K136" s="2" t="e">
        <f aca="false">#REF!</f>
        <v>#REF!</v>
      </c>
      <c r="L136" s="2" t="e">
        <f aca="false">#REF!</f>
        <v>#REF!</v>
      </c>
      <c r="M136" s="2" t="e">
        <f aca="false">#REF!</f>
        <v>#REF!</v>
      </c>
    </row>
    <row r="137" customFormat="false" ht="13.5" hidden="false" customHeight="false" outlineLevel="0" collapsed="false">
      <c r="A137" s="0" t="s">
        <v>27</v>
      </c>
      <c r="B137" s="1" t="n">
        <v>43997</v>
      </c>
      <c r="C137" s="2" t="e">
        <f aca="false">#REF!</f>
        <v>#REF!</v>
      </c>
      <c r="D137" s="2" t="e">
        <f aca="false">#REF!</f>
        <v>#REF!</v>
      </c>
      <c r="E137" s="2" t="e">
        <f aca="false">#REF!</f>
        <v>#REF!</v>
      </c>
      <c r="F137" s="2" t="e">
        <f aca="false">#REF!</f>
        <v>#REF!</v>
      </c>
      <c r="G137" s="2" t="e">
        <f aca="false">#REF!</f>
        <v>#REF!</v>
      </c>
      <c r="H137" s="2" t="e">
        <f aca="false">#REF!</f>
        <v>#REF!</v>
      </c>
      <c r="I137" s="2" t="e">
        <f aca="false">#REF!</f>
        <v>#REF!</v>
      </c>
      <c r="J137" s="2" t="e">
        <f aca="false">#REF!</f>
        <v>#REF!</v>
      </c>
      <c r="K137" s="2" t="e">
        <f aca="false">#REF!</f>
        <v>#REF!</v>
      </c>
      <c r="L137" s="2" t="e">
        <f aca="false">#REF!</f>
        <v>#REF!</v>
      </c>
      <c r="M137" s="2" t="e">
        <f aca="false">#REF!</f>
        <v>#REF!</v>
      </c>
    </row>
    <row r="138" customFormat="false" ht="13.5" hidden="false" customHeight="false" outlineLevel="0" collapsed="false">
      <c r="A138" s="0" t="s">
        <v>27</v>
      </c>
      <c r="B138" s="1" t="n">
        <v>43998</v>
      </c>
      <c r="C138" s="2" t="e">
        <f aca="false">#REF!</f>
        <v>#REF!</v>
      </c>
      <c r="D138" s="2" t="e">
        <f aca="false">#REF!</f>
        <v>#REF!</v>
      </c>
      <c r="E138" s="2" t="e">
        <f aca="false">#REF!</f>
        <v>#REF!</v>
      </c>
      <c r="F138" s="2" t="e">
        <f aca="false">#REF!</f>
        <v>#REF!</v>
      </c>
      <c r="G138" s="2" t="e">
        <f aca="false">#REF!</f>
        <v>#REF!</v>
      </c>
      <c r="H138" s="2" t="e">
        <f aca="false">#REF!</f>
        <v>#REF!</v>
      </c>
      <c r="I138" s="2" t="e">
        <f aca="false">#REF!</f>
        <v>#REF!</v>
      </c>
      <c r="J138" s="2" t="e">
        <f aca="false">#REF!</f>
        <v>#REF!</v>
      </c>
      <c r="K138" s="2" t="e">
        <f aca="false">#REF!</f>
        <v>#REF!</v>
      </c>
      <c r="L138" s="2" t="e">
        <f aca="false">#REF!</f>
        <v>#REF!</v>
      </c>
      <c r="M138" s="2" t="e">
        <f aca="false">#REF!</f>
        <v>#REF!</v>
      </c>
    </row>
    <row r="139" customFormat="false" ht="13.5" hidden="false" customHeight="false" outlineLevel="0" collapsed="false">
      <c r="A139" s="0" t="s">
        <v>27</v>
      </c>
      <c r="B139" s="1" t="n">
        <v>43999</v>
      </c>
      <c r="C139" s="2" t="e">
        <f aca="false">#REF!</f>
        <v>#REF!</v>
      </c>
      <c r="D139" s="2" t="e">
        <f aca="false">#REF!</f>
        <v>#REF!</v>
      </c>
      <c r="E139" s="2" t="e">
        <f aca="false">#REF!</f>
        <v>#REF!</v>
      </c>
      <c r="F139" s="2" t="e">
        <f aca="false">#REF!</f>
        <v>#REF!</v>
      </c>
      <c r="G139" s="2" t="e">
        <f aca="false">#REF!</f>
        <v>#REF!</v>
      </c>
      <c r="H139" s="2" t="e">
        <f aca="false">#REF!</f>
        <v>#REF!</v>
      </c>
      <c r="I139" s="2" t="e">
        <f aca="false">#REF!</f>
        <v>#REF!</v>
      </c>
      <c r="J139" s="2" t="e">
        <f aca="false">#REF!</f>
        <v>#REF!</v>
      </c>
      <c r="K139" s="2" t="e">
        <f aca="false">#REF!</f>
        <v>#REF!</v>
      </c>
      <c r="L139" s="2" t="e">
        <f aca="false">#REF!</f>
        <v>#REF!</v>
      </c>
      <c r="M139" s="2" t="e">
        <f aca="false">#REF!</f>
        <v>#REF!</v>
      </c>
    </row>
    <row r="140" customFormat="false" ht="13.5" hidden="false" customHeight="false" outlineLevel="0" collapsed="false">
      <c r="A140" s="0" t="s">
        <v>27</v>
      </c>
      <c r="B140" s="1" t="n">
        <v>44000</v>
      </c>
      <c r="C140" s="2" t="e">
        <f aca="false">#REF!</f>
        <v>#REF!</v>
      </c>
      <c r="D140" s="2" t="e">
        <f aca="false">#REF!</f>
        <v>#REF!</v>
      </c>
      <c r="E140" s="2" t="e">
        <f aca="false">#REF!</f>
        <v>#REF!</v>
      </c>
      <c r="F140" s="2" t="e">
        <f aca="false">#REF!</f>
        <v>#REF!</v>
      </c>
      <c r="G140" s="2" t="e">
        <f aca="false">#REF!</f>
        <v>#REF!</v>
      </c>
      <c r="H140" s="2" t="e">
        <f aca="false">#REF!</f>
        <v>#REF!</v>
      </c>
      <c r="I140" s="2" t="e">
        <f aca="false">#REF!</f>
        <v>#REF!</v>
      </c>
      <c r="J140" s="2" t="e">
        <f aca="false">#REF!</f>
        <v>#REF!</v>
      </c>
      <c r="K140" s="2" t="e">
        <f aca="false">#REF!</f>
        <v>#REF!</v>
      </c>
      <c r="L140" s="2" t="e">
        <f aca="false">#REF!</f>
        <v>#REF!</v>
      </c>
      <c r="M140" s="2" t="e">
        <f aca="false">#REF!</f>
        <v>#REF!</v>
      </c>
    </row>
    <row r="141" customFormat="false" ht="13.5" hidden="false" customHeight="false" outlineLevel="0" collapsed="false">
      <c r="A141" s="0" t="s">
        <v>27</v>
      </c>
      <c r="B141" s="1" t="n">
        <v>44001</v>
      </c>
      <c r="C141" s="2" t="e">
        <f aca="false">#REF!</f>
        <v>#REF!</v>
      </c>
      <c r="D141" s="2" t="e">
        <f aca="false">#REF!</f>
        <v>#REF!</v>
      </c>
      <c r="E141" s="2" t="e">
        <f aca="false">#REF!</f>
        <v>#REF!</v>
      </c>
      <c r="F141" s="2" t="e">
        <f aca="false">#REF!</f>
        <v>#REF!</v>
      </c>
      <c r="G141" s="2" t="e">
        <f aca="false">#REF!</f>
        <v>#REF!</v>
      </c>
      <c r="H141" s="2" t="e">
        <f aca="false">#REF!</f>
        <v>#REF!</v>
      </c>
      <c r="I141" s="2" t="e">
        <f aca="false">#REF!</f>
        <v>#REF!</v>
      </c>
      <c r="J141" s="2" t="e">
        <f aca="false">#REF!</f>
        <v>#REF!</v>
      </c>
      <c r="K141" s="2" t="e">
        <f aca="false">#REF!</f>
        <v>#REF!</v>
      </c>
      <c r="L141" s="2" t="e">
        <f aca="false">#REF!</f>
        <v>#REF!</v>
      </c>
      <c r="M141" s="2" t="e">
        <f aca="false">#REF!</f>
        <v>#REF!</v>
      </c>
    </row>
    <row r="142" customFormat="false" ht="13.5" hidden="false" customHeight="false" outlineLevel="0" collapsed="false">
      <c r="A142" s="0" t="s">
        <v>27</v>
      </c>
      <c r="B142" s="1" t="n">
        <v>44002</v>
      </c>
      <c r="C142" s="2" t="e">
        <f aca="false">#REF!</f>
        <v>#REF!</v>
      </c>
      <c r="D142" s="2" t="e">
        <f aca="false">#REF!</f>
        <v>#REF!</v>
      </c>
      <c r="E142" s="2" t="e">
        <f aca="false">#REF!</f>
        <v>#REF!</v>
      </c>
      <c r="F142" s="2" t="e">
        <f aca="false">#REF!</f>
        <v>#REF!</v>
      </c>
      <c r="G142" s="2" t="e">
        <f aca="false">#REF!</f>
        <v>#REF!</v>
      </c>
      <c r="H142" s="2" t="e">
        <f aca="false">#REF!</f>
        <v>#REF!</v>
      </c>
      <c r="I142" s="2" t="e">
        <f aca="false">#REF!</f>
        <v>#REF!</v>
      </c>
      <c r="J142" s="2" t="e">
        <f aca="false">#REF!</f>
        <v>#REF!</v>
      </c>
      <c r="K142" s="2" t="e">
        <f aca="false">#REF!</f>
        <v>#REF!</v>
      </c>
      <c r="L142" s="2" t="e">
        <f aca="false">#REF!</f>
        <v>#REF!</v>
      </c>
      <c r="M142" s="2" t="e">
        <f aca="false">#REF!</f>
        <v>#REF!</v>
      </c>
    </row>
    <row r="143" customFormat="false" ht="13.5" hidden="false" customHeight="false" outlineLevel="0" collapsed="false">
      <c r="A143" s="0" t="s">
        <v>27</v>
      </c>
      <c r="B143" s="1" t="n">
        <v>44003</v>
      </c>
      <c r="C143" s="2" t="e">
        <f aca="false">#REF!</f>
        <v>#REF!</v>
      </c>
      <c r="D143" s="2" t="e">
        <f aca="false">#REF!</f>
        <v>#REF!</v>
      </c>
      <c r="E143" s="2" t="e">
        <f aca="false">#REF!</f>
        <v>#REF!</v>
      </c>
      <c r="F143" s="2" t="e">
        <f aca="false">#REF!</f>
        <v>#REF!</v>
      </c>
      <c r="G143" s="2" t="e">
        <f aca="false">#REF!</f>
        <v>#REF!</v>
      </c>
      <c r="H143" s="2" t="e">
        <f aca="false">#REF!</f>
        <v>#REF!</v>
      </c>
      <c r="I143" s="2" t="e">
        <f aca="false">#REF!</f>
        <v>#REF!</v>
      </c>
      <c r="J143" s="2" t="e">
        <f aca="false">#REF!</f>
        <v>#REF!</v>
      </c>
      <c r="K143" s="2" t="e">
        <f aca="false">#REF!</f>
        <v>#REF!</v>
      </c>
      <c r="L143" s="2" t="e">
        <f aca="false">#REF!</f>
        <v>#REF!</v>
      </c>
      <c r="M143" s="2" t="e">
        <f aca="false">#REF!</f>
        <v>#REF!</v>
      </c>
    </row>
    <row r="144" customFormat="false" ht="13.5" hidden="false" customHeight="false" outlineLevel="0" collapsed="false">
      <c r="A144" s="0" t="s">
        <v>27</v>
      </c>
      <c r="B144" s="1" t="n">
        <v>44004</v>
      </c>
      <c r="C144" s="2" t="e">
        <f aca="false">#REF!</f>
        <v>#REF!</v>
      </c>
      <c r="D144" s="2" t="e">
        <f aca="false">#REF!</f>
        <v>#REF!</v>
      </c>
      <c r="E144" s="2" t="e">
        <f aca="false">#REF!</f>
        <v>#REF!</v>
      </c>
      <c r="F144" s="2" t="e">
        <f aca="false">#REF!</f>
        <v>#REF!</v>
      </c>
      <c r="G144" s="2" t="e">
        <f aca="false">#REF!</f>
        <v>#REF!</v>
      </c>
      <c r="H144" s="2" t="e">
        <f aca="false">#REF!</f>
        <v>#REF!</v>
      </c>
      <c r="I144" s="2" t="e">
        <f aca="false">#REF!</f>
        <v>#REF!</v>
      </c>
      <c r="J144" s="2" t="e">
        <f aca="false">#REF!</f>
        <v>#REF!</v>
      </c>
      <c r="K144" s="2" t="e">
        <f aca="false">#REF!</f>
        <v>#REF!</v>
      </c>
      <c r="L144" s="2" t="e">
        <f aca="false">#REF!</f>
        <v>#REF!</v>
      </c>
      <c r="M144" s="2" t="e">
        <f aca="false">#REF!</f>
        <v>#REF!</v>
      </c>
    </row>
    <row r="145" customFormat="false" ht="13.5" hidden="false" customHeight="false" outlineLevel="0" collapsed="false">
      <c r="A145" s="0" t="s">
        <v>27</v>
      </c>
      <c r="B145" s="1" t="n">
        <v>44005</v>
      </c>
      <c r="C145" s="2" t="e">
        <f aca="false">#REF!</f>
        <v>#REF!</v>
      </c>
      <c r="D145" s="2" t="e">
        <f aca="false">#REF!</f>
        <v>#REF!</v>
      </c>
      <c r="E145" s="2" t="e">
        <f aca="false">#REF!</f>
        <v>#REF!</v>
      </c>
      <c r="F145" s="2" t="e">
        <f aca="false">#REF!</f>
        <v>#REF!</v>
      </c>
      <c r="G145" s="2" t="e">
        <f aca="false">#REF!</f>
        <v>#REF!</v>
      </c>
      <c r="H145" s="2" t="e">
        <f aca="false">#REF!</f>
        <v>#REF!</v>
      </c>
      <c r="I145" s="2" t="e">
        <f aca="false">#REF!</f>
        <v>#REF!</v>
      </c>
      <c r="J145" s="2" t="e">
        <f aca="false">#REF!</f>
        <v>#REF!</v>
      </c>
      <c r="K145" s="2" t="e">
        <f aca="false">#REF!</f>
        <v>#REF!</v>
      </c>
      <c r="L145" s="2" t="e">
        <f aca="false">#REF!</f>
        <v>#REF!</v>
      </c>
      <c r="M145" s="2" t="e">
        <f aca="false">#REF!</f>
        <v>#REF!</v>
      </c>
    </row>
    <row r="146" customFormat="false" ht="13.5" hidden="false" customHeight="false" outlineLevel="0" collapsed="false">
      <c r="A146" s="0" t="s">
        <v>27</v>
      </c>
      <c r="B146" s="1" t="n">
        <v>44006</v>
      </c>
      <c r="C146" s="2" t="e">
        <f aca="false">#REF!</f>
        <v>#REF!</v>
      </c>
      <c r="D146" s="2" t="e">
        <f aca="false">#REF!</f>
        <v>#REF!</v>
      </c>
      <c r="E146" s="2" t="e">
        <f aca="false">#REF!</f>
        <v>#REF!</v>
      </c>
      <c r="F146" s="2" t="e">
        <f aca="false">#REF!</f>
        <v>#REF!</v>
      </c>
      <c r="G146" s="2" t="e">
        <f aca="false">#REF!</f>
        <v>#REF!</v>
      </c>
      <c r="H146" s="2" t="e">
        <f aca="false">#REF!</f>
        <v>#REF!</v>
      </c>
      <c r="I146" s="2" t="e">
        <f aca="false">#REF!</f>
        <v>#REF!</v>
      </c>
      <c r="J146" s="2" t="e">
        <f aca="false">#REF!</f>
        <v>#REF!</v>
      </c>
      <c r="K146" s="2" t="e">
        <f aca="false">#REF!</f>
        <v>#REF!</v>
      </c>
      <c r="L146" s="2" t="e">
        <f aca="false">#REF!</f>
        <v>#REF!</v>
      </c>
      <c r="M146" s="2" t="e">
        <f aca="false">#REF!</f>
        <v>#REF!</v>
      </c>
    </row>
    <row r="147" customFormat="false" ht="13.5" hidden="false" customHeight="false" outlineLevel="0" collapsed="false">
      <c r="A147" s="0" t="s">
        <v>27</v>
      </c>
      <c r="B147" s="1" t="n">
        <v>44007</v>
      </c>
      <c r="C147" s="2" t="e">
        <f aca="false">#REF!</f>
        <v>#REF!</v>
      </c>
      <c r="D147" s="2" t="e">
        <f aca="false">#REF!</f>
        <v>#REF!</v>
      </c>
      <c r="E147" s="2" t="e">
        <f aca="false">#REF!</f>
        <v>#REF!</v>
      </c>
      <c r="F147" s="2" t="e">
        <f aca="false">#REF!</f>
        <v>#REF!</v>
      </c>
      <c r="G147" s="2" t="e">
        <f aca="false">#REF!</f>
        <v>#REF!</v>
      </c>
      <c r="H147" s="2" t="e">
        <f aca="false">#REF!</f>
        <v>#REF!</v>
      </c>
      <c r="I147" s="2" t="e">
        <f aca="false">#REF!</f>
        <v>#REF!</v>
      </c>
      <c r="J147" s="2" t="e">
        <f aca="false">#REF!</f>
        <v>#REF!</v>
      </c>
      <c r="K147" s="2" t="e">
        <f aca="false">#REF!</f>
        <v>#REF!</v>
      </c>
      <c r="L147" s="2" t="e">
        <f aca="false">#REF!</f>
        <v>#REF!</v>
      </c>
      <c r="M147" s="2" t="e">
        <f aca="false">#REF!</f>
        <v>#REF!</v>
      </c>
    </row>
    <row r="148" customFormat="false" ht="13.5" hidden="false" customHeight="false" outlineLevel="0" collapsed="false">
      <c r="A148" s="0" t="s">
        <v>27</v>
      </c>
      <c r="B148" s="1" t="n">
        <v>44008</v>
      </c>
      <c r="C148" s="2" t="e">
        <f aca="false">#REF!</f>
        <v>#REF!</v>
      </c>
      <c r="D148" s="2" t="e">
        <f aca="false">#REF!</f>
        <v>#REF!</v>
      </c>
      <c r="E148" s="2" t="e">
        <f aca="false">#REF!</f>
        <v>#REF!</v>
      </c>
      <c r="F148" s="2" t="e">
        <f aca="false">#REF!</f>
        <v>#REF!</v>
      </c>
      <c r="G148" s="2" t="e">
        <f aca="false">#REF!</f>
        <v>#REF!</v>
      </c>
      <c r="H148" s="2" t="e">
        <f aca="false">#REF!</f>
        <v>#REF!</v>
      </c>
      <c r="I148" s="2" t="e">
        <f aca="false">#REF!</f>
        <v>#REF!</v>
      </c>
      <c r="J148" s="2" t="e">
        <f aca="false">#REF!</f>
        <v>#REF!</v>
      </c>
      <c r="K148" s="2" t="e">
        <f aca="false">#REF!</f>
        <v>#REF!</v>
      </c>
      <c r="L148" s="2" t="e">
        <f aca="false">#REF!</f>
        <v>#REF!</v>
      </c>
      <c r="M148" s="2" t="e">
        <f aca="false">#REF!</f>
        <v>#REF!</v>
      </c>
    </row>
    <row r="149" customFormat="false" ht="13.5" hidden="false" customHeight="false" outlineLevel="0" collapsed="false">
      <c r="A149" s="0" t="s">
        <v>27</v>
      </c>
      <c r="B149" s="1" t="n">
        <v>44009</v>
      </c>
      <c r="C149" s="2" t="e">
        <f aca="false">#REF!</f>
        <v>#REF!</v>
      </c>
      <c r="D149" s="2" t="e">
        <f aca="false">#REF!</f>
        <v>#REF!</v>
      </c>
      <c r="E149" s="2" t="e">
        <f aca="false">#REF!</f>
        <v>#REF!</v>
      </c>
      <c r="F149" s="2" t="e">
        <f aca="false">#REF!</f>
        <v>#REF!</v>
      </c>
      <c r="G149" s="2" t="e">
        <f aca="false">#REF!</f>
        <v>#REF!</v>
      </c>
      <c r="H149" s="2" t="e">
        <f aca="false">#REF!</f>
        <v>#REF!</v>
      </c>
      <c r="I149" s="2" t="e">
        <f aca="false">#REF!</f>
        <v>#REF!</v>
      </c>
      <c r="J149" s="2" t="e">
        <f aca="false">#REF!</f>
        <v>#REF!</v>
      </c>
      <c r="K149" s="2" t="e">
        <f aca="false">#REF!</f>
        <v>#REF!</v>
      </c>
      <c r="L149" s="2" t="e">
        <f aca="false">#REF!</f>
        <v>#REF!</v>
      </c>
      <c r="M149" s="2" t="e">
        <f aca="false">#REF!</f>
        <v>#REF!</v>
      </c>
    </row>
    <row r="150" customFormat="false" ht="13.5" hidden="false" customHeight="false" outlineLevel="0" collapsed="false">
      <c r="A150" s="0" t="s">
        <v>27</v>
      </c>
      <c r="B150" s="1" t="n">
        <v>44010</v>
      </c>
      <c r="C150" s="2" t="e">
        <f aca="false">#REF!</f>
        <v>#REF!</v>
      </c>
      <c r="D150" s="2" t="e">
        <f aca="false">#REF!</f>
        <v>#REF!</v>
      </c>
      <c r="E150" s="2" t="e">
        <f aca="false">#REF!</f>
        <v>#REF!</v>
      </c>
      <c r="F150" s="2" t="e">
        <f aca="false">#REF!</f>
        <v>#REF!</v>
      </c>
      <c r="G150" s="2" t="e">
        <f aca="false">#REF!</f>
        <v>#REF!</v>
      </c>
      <c r="H150" s="2" t="e">
        <f aca="false">#REF!</f>
        <v>#REF!</v>
      </c>
      <c r="I150" s="2" t="e">
        <f aca="false">#REF!</f>
        <v>#REF!</v>
      </c>
      <c r="J150" s="2" t="e">
        <f aca="false">#REF!</f>
        <v>#REF!</v>
      </c>
      <c r="K150" s="2" t="e">
        <f aca="false">#REF!</f>
        <v>#REF!</v>
      </c>
      <c r="L150" s="2" t="e">
        <f aca="false">#REF!</f>
        <v>#REF!</v>
      </c>
      <c r="M150" s="2" t="e">
        <f aca="false">#REF!</f>
        <v>#REF!</v>
      </c>
    </row>
    <row r="151" customFormat="false" ht="13.5" hidden="false" customHeight="false" outlineLevel="0" collapsed="false">
      <c r="A151" s="0" t="s">
        <v>27</v>
      </c>
      <c r="B151" s="1" t="n">
        <v>44011</v>
      </c>
      <c r="C151" s="2" t="e">
        <f aca="false">#REF!</f>
        <v>#REF!</v>
      </c>
      <c r="D151" s="2" t="e">
        <f aca="false">#REF!</f>
        <v>#REF!</v>
      </c>
      <c r="E151" s="2" t="e">
        <f aca="false">#REF!</f>
        <v>#REF!</v>
      </c>
      <c r="F151" s="2" t="e">
        <f aca="false">#REF!</f>
        <v>#REF!</v>
      </c>
      <c r="G151" s="2" t="e">
        <f aca="false">#REF!</f>
        <v>#REF!</v>
      </c>
      <c r="H151" s="2" t="e">
        <f aca="false">#REF!</f>
        <v>#REF!</v>
      </c>
      <c r="I151" s="2" t="e">
        <f aca="false">#REF!</f>
        <v>#REF!</v>
      </c>
      <c r="J151" s="2" t="e">
        <f aca="false">#REF!</f>
        <v>#REF!</v>
      </c>
      <c r="K151" s="2" t="e">
        <f aca="false">#REF!</f>
        <v>#REF!</v>
      </c>
      <c r="L151" s="2" t="e">
        <f aca="false">#REF!</f>
        <v>#REF!</v>
      </c>
      <c r="M151" s="2" t="e">
        <f aca="false">#REF!</f>
        <v>#REF!</v>
      </c>
    </row>
    <row r="152" customFormat="false" ht="13.5" hidden="false" customHeight="false" outlineLevel="0" collapsed="false">
      <c r="A152" s="0" t="s">
        <v>27</v>
      </c>
      <c r="B152" s="1" t="n">
        <v>44012</v>
      </c>
      <c r="C152" s="2" t="e">
        <f aca="false">#REF!</f>
        <v>#REF!</v>
      </c>
      <c r="D152" s="2" t="e">
        <f aca="false">#REF!</f>
        <v>#REF!</v>
      </c>
      <c r="E152" s="2" t="e">
        <f aca="false">#REF!</f>
        <v>#REF!</v>
      </c>
      <c r="F152" s="2" t="e">
        <f aca="false">#REF!</f>
        <v>#REF!</v>
      </c>
      <c r="G152" s="2" t="e">
        <f aca="false">#REF!</f>
        <v>#REF!</v>
      </c>
      <c r="H152" s="2" t="e">
        <f aca="false">#REF!</f>
        <v>#REF!</v>
      </c>
      <c r="I152" s="2" t="e">
        <f aca="false">#REF!</f>
        <v>#REF!</v>
      </c>
      <c r="J152" s="2" t="e">
        <f aca="false">#REF!</f>
        <v>#REF!</v>
      </c>
      <c r="K152" s="2" t="e">
        <f aca="false">#REF!</f>
        <v>#REF!</v>
      </c>
      <c r="L152" s="2" t="e">
        <f aca="false">#REF!</f>
        <v>#REF!</v>
      </c>
      <c r="M152" s="2" t="e">
        <f aca="false">#REF!</f>
        <v>#REF!</v>
      </c>
    </row>
    <row r="153" customFormat="false" ht="13.5" hidden="false" customHeight="false" outlineLevel="0" collapsed="false">
      <c r="A153" s="0" t="s">
        <v>27</v>
      </c>
      <c r="B153" s="1" t="n">
        <v>44013</v>
      </c>
      <c r="C153" s="2" t="e">
        <f aca="false">#REF!</f>
        <v>#REF!</v>
      </c>
      <c r="D153" s="2" t="e">
        <f aca="false">#REF!</f>
        <v>#REF!</v>
      </c>
      <c r="E153" s="2" t="e">
        <f aca="false">#REF!</f>
        <v>#REF!</v>
      </c>
      <c r="F153" s="2" t="e">
        <f aca="false">#REF!</f>
        <v>#REF!</v>
      </c>
      <c r="G153" s="2" t="e">
        <f aca="false">#REF!</f>
        <v>#REF!</v>
      </c>
      <c r="H153" s="2" t="e">
        <f aca="false">#REF!</f>
        <v>#REF!</v>
      </c>
      <c r="I153" s="2" t="e">
        <f aca="false">#REF!</f>
        <v>#REF!</v>
      </c>
      <c r="J153" s="2" t="e">
        <f aca="false">#REF!</f>
        <v>#REF!</v>
      </c>
      <c r="K153" s="2" t="e">
        <f aca="false">#REF!</f>
        <v>#REF!</v>
      </c>
      <c r="L153" s="2" t="e">
        <f aca="false">#REF!</f>
        <v>#REF!</v>
      </c>
      <c r="M153" s="2" t="e">
        <f aca="false">#REF!</f>
        <v>#REF!</v>
      </c>
    </row>
    <row r="154" customFormat="false" ht="13.5" hidden="false" customHeight="false" outlineLevel="0" collapsed="false">
      <c r="A154" s="0" t="s">
        <v>27</v>
      </c>
      <c r="B154" s="1" t="n">
        <v>44014</v>
      </c>
      <c r="C154" s="2" t="e">
        <f aca="false">#REF!</f>
        <v>#REF!</v>
      </c>
      <c r="D154" s="2" t="e">
        <f aca="false">#REF!</f>
        <v>#REF!</v>
      </c>
      <c r="E154" s="2" t="e">
        <f aca="false">#REF!</f>
        <v>#REF!</v>
      </c>
      <c r="F154" s="2" t="e">
        <f aca="false">#REF!</f>
        <v>#REF!</v>
      </c>
      <c r="G154" s="2" t="e">
        <f aca="false">#REF!</f>
        <v>#REF!</v>
      </c>
      <c r="H154" s="2" t="e">
        <f aca="false">#REF!</f>
        <v>#REF!</v>
      </c>
      <c r="I154" s="2" t="e">
        <f aca="false">#REF!</f>
        <v>#REF!</v>
      </c>
      <c r="J154" s="2" t="e">
        <f aca="false">#REF!</f>
        <v>#REF!</v>
      </c>
      <c r="K154" s="2" t="e">
        <f aca="false">#REF!</f>
        <v>#REF!</v>
      </c>
      <c r="L154" s="2" t="e">
        <f aca="false">#REF!</f>
        <v>#REF!</v>
      </c>
      <c r="M154" s="2" t="e">
        <f aca="false">#REF!</f>
        <v>#REF!</v>
      </c>
    </row>
    <row r="155" customFormat="false" ht="13.5" hidden="false" customHeight="false" outlineLevel="0" collapsed="false">
      <c r="A155" s="0" t="s">
        <v>27</v>
      </c>
      <c r="B155" s="1" t="n">
        <v>44015</v>
      </c>
      <c r="C155" s="2" t="e">
        <f aca="false">#REF!</f>
        <v>#REF!</v>
      </c>
      <c r="D155" s="2" t="e">
        <f aca="false">#REF!</f>
        <v>#REF!</v>
      </c>
      <c r="E155" s="2" t="e">
        <f aca="false">#REF!</f>
        <v>#REF!</v>
      </c>
      <c r="F155" s="2" t="e">
        <f aca="false">#REF!</f>
        <v>#REF!</v>
      </c>
      <c r="G155" s="2" t="e">
        <f aca="false">#REF!</f>
        <v>#REF!</v>
      </c>
      <c r="H155" s="2" t="e">
        <f aca="false">#REF!</f>
        <v>#REF!</v>
      </c>
      <c r="I155" s="2" t="e">
        <f aca="false">#REF!</f>
        <v>#REF!</v>
      </c>
      <c r="J155" s="2" t="e">
        <f aca="false">#REF!</f>
        <v>#REF!</v>
      </c>
      <c r="K155" s="2" t="e">
        <f aca="false">#REF!</f>
        <v>#REF!</v>
      </c>
      <c r="L155" s="2" t="e">
        <f aca="false">#REF!</f>
        <v>#REF!</v>
      </c>
      <c r="M155" s="2" t="e">
        <f aca="false">#REF!</f>
        <v>#REF!</v>
      </c>
    </row>
    <row r="156" customFormat="false" ht="13.5" hidden="false" customHeight="false" outlineLevel="0" collapsed="false">
      <c r="A156" s="0" t="s">
        <v>27</v>
      </c>
      <c r="B156" s="1" t="n">
        <v>44016</v>
      </c>
      <c r="C156" s="2" t="e">
        <f aca="false">#REF!</f>
        <v>#REF!</v>
      </c>
      <c r="D156" s="2" t="e">
        <f aca="false">#REF!</f>
        <v>#REF!</v>
      </c>
      <c r="E156" s="2" t="e">
        <f aca="false">#REF!</f>
        <v>#REF!</v>
      </c>
      <c r="F156" s="2" t="e">
        <f aca="false">#REF!</f>
        <v>#REF!</v>
      </c>
      <c r="G156" s="2" t="e">
        <f aca="false">#REF!</f>
        <v>#REF!</v>
      </c>
      <c r="H156" s="2" t="e">
        <f aca="false">#REF!</f>
        <v>#REF!</v>
      </c>
      <c r="I156" s="2" t="e">
        <f aca="false">#REF!</f>
        <v>#REF!</v>
      </c>
      <c r="J156" s="2" t="e">
        <f aca="false">#REF!</f>
        <v>#REF!</v>
      </c>
      <c r="K156" s="2" t="e">
        <f aca="false">#REF!</f>
        <v>#REF!</v>
      </c>
      <c r="L156" s="2" t="e">
        <f aca="false">#REF!</f>
        <v>#REF!</v>
      </c>
      <c r="M156" s="2" t="e">
        <f aca="false">#REF!</f>
        <v>#REF!</v>
      </c>
    </row>
    <row r="157" customFormat="false" ht="13.5" hidden="false" customHeight="false" outlineLevel="0" collapsed="false">
      <c r="A157" s="0" t="s">
        <v>27</v>
      </c>
      <c r="B157" s="1" t="n">
        <v>44017</v>
      </c>
      <c r="C157" s="2" t="e">
        <f aca="false">#REF!</f>
        <v>#REF!</v>
      </c>
      <c r="D157" s="2" t="e">
        <f aca="false">#REF!</f>
        <v>#REF!</v>
      </c>
      <c r="E157" s="2" t="e">
        <f aca="false">#REF!</f>
        <v>#REF!</v>
      </c>
      <c r="F157" s="2" t="e">
        <f aca="false">#REF!</f>
        <v>#REF!</v>
      </c>
      <c r="G157" s="2" t="e">
        <f aca="false">#REF!</f>
        <v>#REF!</v>
      </c>
      <c r="H157" s="2" t="e">
        <f aca="false">#REF!</f>
        <v>#REF!</v>
      </c>
      <c r="I157" s="2" t="e">
        <f aca="false">#REF!</f>
        <v>#REF!</v>
      </c>
      <c r="J157" s="2" t="e">
        <f aca="false">#REF!</f>
        <v>#REF!</v>
      </c>
      <c r="K157" s="2" t="e">
        <f aca="false">#REF!</f>
        <v>#REF!</v>
      </c>
      <c r="L157" s="2" t="e">
        <f aca="false">#REF!</f>
        <v>#REF!</v>
      </c>
      <c r="M157" s="2" t="e">
        <f aca="false">#REF!</f>
        <v>#REF!</v>
      </c>
    </row>
    <row r="158" customFormat="false" ht="13.5" hidden="false" customHeight="false" outlineLevel="0" collapsed="false">
      <c r="A158" s="0" t="s">
        <v>27</v>
      </c>
      <c r="B158" s="1" t="n">
        <v>44018</v>
      </c>
      <c r="C158" s="2" t="e">
        <f aca="false">#REF!</f>
        <v>#REF!</v>
      </c>
      <c r="D158" s="2" t="e">
        <f aca="false">#REF!</f>
        <v>#REF!</v>
      </c>
      <c r="E158" s="2" t="e">
        <f aca="false">#REF!</f>
        <v>#REF!</v>
      </c>
      <c r="F158" s="2" t="e">
        <f aca="false">#REF!</f>
        <v>#REF!</v>
      </c>
      <c r="G158" s="2" t="e">
        <f aca="false">#REF!</f>
        <v>#REF!</v>
      </c>
      <c r="H158" s="2" t="e">
        <f aca="false">#REF!</f>
        <v>#REF!</v>
      </c>
      <c r="I158" s="2" t="e">
        <f aca="false">#REF!</f>
        <v>#REF!</v>
      </c>
      <c r="J158" s="2" t="e">
        <f aca="false">#REF!</f>
        <v>#REF!</v>
      </c>
      <c r="K158" s="2" t="e">
        <f aca="false">#REF!</f>
        <v>#REF!</v>
      </c>
      <c r="L158" s="2" t="e">
        <f aca="false">#REF!</f>
        <v>#REF!</v>
      </c>
      <c r="M158" s="2" t="e">
        <f aca="false">#REF!</f>
        <v>#REF!</v>
      </c>
    </row>
    <row r="159" customFormat="false" ht="13.5" hidden="false" customHeight="false" outlineLevel="0" collapsed="false">
      <c r="A159" s="0" t="s">
        <v>27</v>
      </c>
      <c r="B159" s="1" t="n">
        <v>44019</v>
      </c>
      <c r="C159" s="2" t="e">
        <f aca="false">#REF!</f>
        <v>#REF!</v>
      </c>
      <c r="D159" s="2" t="e">
        <f aca="false">#REF!</f>
        <v>#REF!</v>
      </c>
      <c r="E159" s="2" t="e">
        <f aca="false">#REF!</f>
        <v>#REF!</v>
      </c>
      <c r="F159" s="2" t="e">
        <f aca="false">#REF!</f>
        <v>#REF!</v>
      </c>
      <c r="G159" s="2" t="e">
        <f aca="false">#REF!</f>
        <v>#REF!</v>
      </c>
      <c r="H159" s="2" t="e">
        <f aca="false">#REF!</f>
        <v>#REF!</v>
      </c>
      <c r="I159" s="2" t="e">
        <f aca="false">#REF!</f>
        <v>#REF!</v>
      </c>
      <c r="J159" s="2" t="e">
        <f aca="false">#REF!</f>
        <v>#REF!</v>
      </c>
      <c r="K159" s="2" t="e">
        <f aca="false">#REF!</f>
        <v>#REF!</v>
      </c>
      <c r="L159" s="2" t="e">
        <f aca="false">#REF!</f>
        <v>#REF!</v>
      </c>
      <c r="M159" s="2" t="e">
        <f aca="false">#REF!</f>
        <v>#REF!</v>
      </c>
    </row>
    <row r="160" customFormat="false" ht="13.5" hidden="false" customHeight="false" outlineLevel="0" collapsed="false">
      <c r="A160" s="0" t="s">
        <v>27</v>
      </c>
      <c r="B160" s="1" t="n">
        <v>44020</v>
      </c>
      <c r="C160" s="2" t="e">
        <f aca="false">#REF!</f>
        <v>#REF!</v>
      </c>
      <c r="D160" s="2" t="e">
        <f aca="false">#REF!</f>
        <v>#REF!</v>
      </c>
      <c r="E160" s="2" t="e">
        <f aca="false">#REF!</f>
        <v>#REF!</v>
      </c>
      <c r="F160" s="2" t="e">
        <f aca="false">#REF!</f>
        <v>#REF!</v>
      </c>
      <c r="G160" s="2" t="e">
        <f aca="false">#REF!</f>
        <v>#REF!</v>
      </c>
      <c r="H160" s="2" t="e">
        <f aca="false">#REF!</f>
        <v>#REF!</v>
      </c>
      <c r="I160" s="2" t="e">
        <f aca="false">#REF!</f>
        <v>#REF!</v>
      </c>
      <c r="J160" s="2" t="e">
        <f aca="false">#REF!</f>
        <v>#REF!</v>
      </c>
      <c r="K160" s="2" t="e">
        <f aca="false">#REF!</f>
        <v>#REF!</v>
      </c>
      <c r="L160" s="2" t="e">
        <f aca="false">#REF!</f>
        <v>#REF!</v>
      </c>
      <c r="M160" s="2" t="e">
        <f aca="false">#REF!</f>
        <v>#REF!</v>
      </c>
    </row>
    <row r="161" customFormat="false" ht="13.5" hidden="false" customHeight="false" outlineLevel="0" collapsed="false">
      <c r="A161" s="0" t="s">
        <v>27</v>
      </c>
      <c r="B161" s="1" t="n">
        <v>44021</v>
      </c>
      <c r="C161" s="2" t="e">
        <f aca="false">#REF!</f>
        <v>#REF!</v>
      </c>
      <c r="D161" s="2" t="e">
        <f aca="false">#REF!</f>
        <v>#REF!</v>
      </c>
      <c r="E161" s="2" t="e">
        <f aca="false">#REF!</f>
        <v>#REF!</v>
      </c>
      <c r="F161" s="2" t="e">
        <f aca="false">#REF!</f>
        <v>#REF!</v>
      </c>
      <c r="G161" s="2" t="e">
        <f aca="false">#REF!</f>
        <v>#REF!</v>
      </c>
      <c r="H161" s="2" t="e">
        <f aca="false">#REF!</f>
        <v>#REF!</v>
      </c>
      <c r="I161" s="2" t="e">
        <f aca="false">#REF!</f>
        <v>#REF!</v>
      </c>
      <c r="J161" s="2" t="e">
        <f aca="false">#REF!</f>
        <v>#REF!</v>
      </c>
      <c r="K161" s="2" t="e">
        <f aca="false">#REF!</f>
        <v>#REF!</v>
      </c>
      <c r="L161" s="2" t="e">
        <f aca="false">#REF!</f>
        <v>#REF!</v>
      </c>
      <c r="M161" s="2" t="e">
        <f aca="false">#REF!</f>
        <v>#REF!</v>
      </c>
    </row>
    <row r="162" customFormat="false" ht="13.5" hidden="false" customHeight="false" outlineLevel="0" collapsed="false">
      <c r="A162" s="0" t="s">
        <v>27</v>
      </c>
      <c r="B162" s="1" t="n">
        <v>44022</v>
      </c>
      <c r="C162" s="2" t="e">
        <f aca="false">#REF!</f>
        <v>#REF!</v>
      </c>
      <c r="D162" s="2" t="e">
        <f aca="false">#REF!</f>
        <v>#REF!</v>
      </c>
      <c r="E162" s="2" t="e">
        <f aca="false">#REF!</f>
        <v>#REF!</v>
      </c>
      <c r="F162" s="2" t="e">
        <f aca="false">#REF!</f>
        <v>#REF!</v>
      </c>
      <c r="G162" s="2" t="e">
        <f aca="false">#REF!</f>
        <v>#REF!</v>
      </c>
      <c r="H162" s="2" t="e">
        <f aca="false">#REF!</f>
        <v>#REF!</v>
      </c>
      <c r="I162" s="2" t="e">
        <f aca="false">#REF!</f>
        <v>#REF!</v>
      </c>
      <c r="J162" s="2" t="e">
        <f aca="false">#REF!</f>
        <v>#REF!</v>
      </c>
      <c r="K162" s="2" t="e">
        <f aca="false">#REF!</f>
        <v>#REF!</v>
      </c>
      <c r="L162" s="2" t="e">
        <f aca="false">#REF!</f>
        <v>#REF!</v>
      </c>
      <c r="M162" s="2" t="e">
        <f aca="false">#REF!</f>
        <v>#REF!</v>
      </c>
    </row>
    <row r="163" customFormat="false" ht="13.5" hidden="false" customHeight="false" outlineLevel="0" collapsed="false">
      <c r="A163" s="0" t="s">
        <v>27</v>
      </c>
      <c r="B163" s="1" t="n">
        <v>44023</v>
      </c>
      <c r="C163" s="2" t="e">
        <f aca="false">#REF!</f>
        <v>#REF!</v>
      </c>
      <c r="D163" s="2" t="e">
        <f aca="false">#REF!</f>
        <v>#REF!</v>
      </c>
      <c r="E163" s="2" t="e">
        <f aca="false">#REF!</f>
        <v>#REF!</v>
      </c>
      <c r="F163" s="2" t="e">
        <f aca="false">#REF!</f>
        <v>#REF!</v>
      </c>
      <c r="G163" s="2" t="e">
        <f aca="false">#REF!</f>
        <v>#REF!</v>
      </c>
      <c r="H163" s="2" t="e">
        <f aca="false">#REF!</f>
        <v>#REF!</v>
      </c>
      <c r="I163" s="2" t="e">
        <f aca="false">#REF!</f>
        <v>#REF!</v>
      </c>
      <c r="J163" s="2" t="e">
        <f aca="false">#REF!</f>
        <v>#REF!</v>
      </c>
      <c r="K163" s="2" t="e">
        <f aca="false">#REF!</f>
        <v>#REF!</v>
      </c>
      <c r="L163" s="2" t="e">
        <f aca="false">#REF!</f>
        <v>#REF!</v>
      </c>
      <c r="M163" s="2" t="e">
        <f aca="false">#REF!</f>
        <v>#REF!</v>
      </c>
    </row>
    <row r="164" customFormat="false" ht="13.5" hidden="false" customHeight="false" outlineLevel="0" collapsed="false">
      <c r="A164" s="0" t="s">
        <v>27</v>
      </c>
      <c r="B164" s="1" t="n">
        <v>44024</v>
      </c>
      <c r="C164" s="2" t="e">
        <f aca="false">#REF!</f>
        <v>#REF!</v>
      </c>
      <c r="D164" s="2" t="e">
        <f aca="false">#REF!</f>
        <v>#REF!</v>
      </c>
      <c r="E164" s="2" t="e">
        <f aca="false">#REF!</f>
        <v>#REF!</v>
      </c>
      <c r="F164" s="2" t="e">
        <f aca="false">#REF!</f>
        <v>#REF!</v>
      </c>
      <c r="G164" s="2" t="e">
        <f aca="false">#REF!</f>
        <v>#REF!</v>
      </c>
      <c r="H164" s="2" t="e">
        <f aca="false">#REF!</f>
        <v>#REF!</v>
      </c>
      <c r="I164" s="2" t="e">
        <f aca="false">#REF!</f>
        <v>#REF!</v>
      </c>
      <c r="J164" s="2" t="e">
        <f aca="false">#REF!</f>
        <v>#REF!</v>
      </c>
      <c r="K164" s="2" t="e">
        <f aca="false">#REF!</f>
        <v>#REF!</v>
      </c>
      <c r="L164" s="2" t="e">
        <f aca="false">#REF!</f>
        <v>#REF!</v>
      </c>
      <c r="M164" s="2" t="e">
        <f aca="false">#REF!</f>
        <v>#REF!</v>
      </c>
    </row>
    <row r="165" customFormat="false" ht="13.5" hidden="false" customHeight="false" outlineLevel="0" collapsed="false">
      <c r="A165" s="0" t="s">
        <v>27</v>
      </c>
      <c r="B165" s="1" t="n">
        <v>44025</v>
      </c>
      <c r="C165" s="2" t="e">
        <f aca="false">#REF!</f>
        <v>#REF!</v>
      </c>
      <c r="D165" s="2" t="e">
        <f aca="false">#REF!</f>
        <v>#REF!</v>
      </c>
      <c r="E165" s="2" t="e">
        <f aca="false">#REF!</f>
        <v>#REF!</v>
      </c>
      <c r="F165" s="2" t="e">
        <f aca="false">#REF!</f>
        <v>#REF!</v>
      </c>
      <c r="G165" s="2" t="e">
        <f aca="false">#REF!</f>
        <v>#REF!</v>
      </c>
      <c r="H165" s="2" t="e">
        <f aca="false">#REF!</f>
        <v>#REF!</v>
      </c>
      <c r="I165" s="2" t="e">
        <f aca="false">#REF!</f>
        <v>#REF!</v>
      </c>
      <c r="J165" s="2" t="e">
        <f aca="false">#REF!</f>
        <v>#REF!</v>
      </c>
      <c r="K165" s="2" t="e">
        <f aca="false">#REF!</f>
        <v>#REF!</v>
      </c>
      <c r="L165" s="2" t="e">
        <f aca="false">#REF!</f>
        <v>#REF!</v>
      </c>
      <c r="M165" s="2" t="e">
        <f aca="false">#REF!</f>
        <v>#REF!</v>
      </c>
    </row>
    <row r="166" customFormat="false" ht="13.5" hidden="false" customHeight="false" outlineLevel="0" collapsed="false">
      <c r="A166" s="0" t="s">
        <v>27</v>
      </c>
      <c r="B166" s="1" t="n">
        <v>44026</v>
      </c>
      <c r="C166" s="2" t="e">
        <f aca="false">#REF!</f>
        <v>#REF!</v>
      </c>
      <c r="D166" s="2" t="e">
        <f aca="false">#REF!</f>
        <v>#REF!</v>
      </c>
      <c r="E166" s="2" t="e">
        <f aca="false">#REF!</f>
        <v>#REF!</v>
      </c>
      <c r="F166" s="2" t="e">
        <f aca="false">#REF!</f>
        <v>#REF!</v>
      </c>
      <c r="G166" s="2" t="e">
        <f aca="false">#REF!</f>
        <v>#REF!</v>
      </c>
      <c r="H166" s="2" t="e">
        <f aca="false">#REF!</f>
        <v>#REF!</v>
      </c>
      <c r="I166" s="2" t="e">
        <f aca="false">#REF!</f>
        <v>#REF!</v>
      </c>
      <c r="J166" s="2" t="e">
        <f aca="false">#REF!</f>
        <v>#REF!</v>
      </c>
      <c r="K166" s="2" t="e">
        <f aca="false">#REF!</f>
        <v>#REF!</v>
      </c>
      <c r="L166" s="2" t="e">
        <f aca="false">#REF!</f>
        <v>#REF!</v>
      </c>
      <c r="M166" s="2" t="e">
        <f aca="false">#REF!</f>
        <v>#REF!</v>
      </c>
    </row>
    <row r="167" customFormat="false" ht="13.5" hidden="false" customHeight="false" outlineLevel="0" collapsed="false">
      <c r="A167" s="0" t="s">
        <v>27</v>
      </c>
      <c r="B167" s="1" t="n">
        <v>44027</v>
      </c>
      <c r="C167" s="2" t="e">
        <f aca="false">#REF!</f>
        <v>#REF!</v>
      </c>
      <c r="D167" s="2" t="e">
        <f aca="false">#REF!</f>
        <v>#REF!</v>
      </c>
      <c r="E167" s="2" t="e">
        <f aca="false">#REF!</f>
        <v>#REF!</v>
      </c>
      <c r="F167" s="2" t="e">
        <f aca="false">#REF!</f>
        <v>#REF!</v>
      </c>
      <c r="G167" s="2" t="e">
        <f aca="false">#REF!</f>
        <v>#REF!</v>
      </c>
      <c r="H167" s="2" t="e">
        <f aca="false">#REF!</f>
        <v>#REF!</v>
      </c>
      <c r="I167" s="2" t="e">
        <f aca="false">#REF!</f>
        <v>#REF!</v>
      </c>
      <c r="J167" s="2" t="e">
        <f aca="false">#REF!</f>
        <v>#REF!</v>
      </c>
      <c r="K167" s="2" t="e">
        <f aca="false">#REF!</f>
        <v>#REF!</v>
      </c>
      <c r="L167" s="2" t="e">
        <f aca="false">#REF!</f>
        <v>#REF!</v>
      </c>
      <c r="M167" s="2" t="e">
        <f aca="false">#REF!</f>
        <v>#REF!</v>
      </c>
    </row>
    <row r="168" customFormat="false" ht="13.5" hidden="false" customHeight="false" outlineLevel="0" collapsed="false">
      <c r="A168" s="0" t="s">
        <v>27</v>
      </c>
      <c r="B168" s="1" t="n">
        <v>44028</v>
      </c>
      <c r="C168" s="2" t="e">
        <f aca="false">#REF!</f>
        <v>#REF!</v>
      </c>
      <c r="D168" s="2" t="e">
        <f aca="false">#REF!</f>
        <v>#REF!</v>
      </c>
      <c r="E168" s="2" t="e">
        <f aca="false">#REF!</f>
        <v>#REF!</v>
      </c>
      <c r="F168" s="2" t="e">
        <f aca="false">#REF!</f>
        <v>#REF!</v>
      </c>
      <c r="G168" s="2" t="e">
        <f aca="false">#REF!</f>
        <v>#REF!</v>
      </c>
      <c r="H168" s="2" t="e">
        <f aca="false">#REF!</f>
        <v>#REF!</v>
      </c>
      <c r="I168" s="2" t="e">
        <f aca="false">#REF!</f>
        <v>#REF!</v>
      </c>
      <c r="J168" s="2" t="e">
        <f aca="false">#REF!</f>
        <v>#REF!</v>
      </c>
      <c r="K168" s="2" t="e">
        <f aca="false">#REF!</f>
        <v>#REF!</v>
      </c>
      <c r="L168" s="2" t="e">
        <f aca="false">#REF!</f>
        <v>#REF!</v>
      </c>
      <c r="M168" s="2" t="e">
        <f aca="false">#REF!</f>
        <v>#REF!</v>
      </c>
    </row>
    <row r="169" customFormat="false" ht="13.5" hidden="false" customHeight="false" outlineLevel="0" collapsed="false">
      <c r="A169" s="0" t="s">
        <v>27</v>
      </c>
      <c r="B169" s="1" t="n">
        <v>44029</v>
      </c>
      <c r="C169" s="2" t="e">
        <f aca="false">#REF!</f>
        <v>#REF!</v>
      </c>
      <c r="D169" s="2" t="e">
        <f aca="false">#REF!</f>
        <v>#REF!</v>
      </c>
      <c r="E169" s="2" t="e">
        <f aca="false">#REF!</f>
        <v>#REF!</v>
      </c>
      <c r="F169" s="2" t="e">
        <f aca="false">#REF!</f>
        <v>#REF!</v>
      </c>
      <c r="G169" s="2" t="e">
        <f aca="false">#REF!</f>
        <v>#REF!</v>
      </c>
      <c r="H169" s="2" t="e">
        <f aca="false">#REF!</f>
        <v>#REF!</v>
      </c>
      <c r="I169" s="2" t="e">
        <f aca="false">#REF!</f>
        <v>#REF!</v>
      </c>
      <c r="J169" s="2" t="e">
        <f aca="false">#REF!</f>
        <v>#REF!</v>
      </c>
      <c r="K169" s="2" t="e">
        <f aca="false">#REF!</f>
        <v>#REF!</v>
      </c>
      <c r="L169" s="2" t="e">
        <f aca="false">#REF!</f>
        <v>#REF!</v>
      </c>
      <c r="M169" s="2" t="e">
        <f aca="false">#REF!</f>
        <v>#REF!</v>
      </c>
    </row>
    <row r="170" customFormat="false" ht="13.5" hidden="false" customHeight="false" outlineLevel="0" collapsed="false">
      <c r="A170" s="0" t="s">
        <v>27</v>
      </c>
      <c r="B170" s="1" t="n">
        <v>44030</v>
      </c>
      <c r="C170" s="2" t="e">
        <f aca="false">#REF!</f>
        <v>#REF!</v>
      </c>
      <c r="D170" s="2" t="e">
        <f aca="false">#REF!</f>
        <v>#REF!</v>
      </c>
      <c r="E170" s="2" t="e">
        <f aca="false">#REF!</f>
        <v>#REF!</v>
      </c>
      <c r="F170" s="2" t="e">
        <f aca="false">#REF!</f>
        <v>#REF!</v>
      </c>
      <c r="G170" s="2" t="e">
        <f aca="false">#REF!</f>
        <v>#REF!</v>
      </c>
      <c r="H170" s="2" t="e">
        <f aca="false">#REF!</f>
        <v>#REF!</v>
      </c>
      <c r="I170" s="2" t="e">
        <f aca="false">#REF!</f>
        <v>#REF!</v>
      </c>
      <c r="J170" s="2" t="e">
        <f aca="false">#REF!</f>
        <v>#REF!</v>
      </c>
      <c r="K170" s="2" t="e">
        <f aca="false">#REF!</f>
        <v>#REF!</v>
      </c>
      <c r="L170" s="2" t="e">
        <f aca="false">#REF!</f>
        <v>#REF!</v>
      </c>
      <c r="M170" s="2" t="e">
        <f aca="false">#REF!</f>
        <v>#REF!</v>
      </c>
    </row>
    <row r="171" customFormat="false" ht="13.5" hidden="false" customHeight="false" outlineLevel="0" collapsed="false">
      <c r="A171" s="0" t="s">
        <v>27</v>
      </c>
      <c r="B171" s="1" t="n">
        <v>44031</v>
      </c>
      <c r="C171" s="2" t="e">
        <f aca="false">#REF!</f>
        <v>#REF!</v>
      </c>
      <c r="D171" s="2" t="e">
        <f aca="false">#REF!</f>
        <v>#REF!</v>
      </c>
      <c r="E171" s="2" t="e">
        <f aca="false">#REF!</f>
        <v>#REF!</v>
      </c>
      <c r="F171" s="2" t="e">
        <f aca="false">#REF!</f>
        <v>#REF!</v>
      </c>
      <c r="G171" s="2" t="e">
        <f aca="false">#REF!</f>
        <v>#REF!</v>
      </c>
      <c r="H171" s="2" t="e">
        <f aca="false">#REF!</f>
        <v>#REF!</v>
      </c>
      <c r="I171" s="2" t="e">
        <f aca="false">#REF!</f>
        <v>#REF!</v>
      </c>
      <c r="J171" s="2" t="e">
        <f aca="false">#REF!</f>
        <v>#REF!</v>
      </c>
      <c r="K171" s="2" t="e">
        <f aca="false">#REF!</f>
        <v>#REF!</v>
      </c>
      <c r="L171" s="2" t="e">
        <f aca="false">#REF!</f>
        <v>#REF!</v>
      </c>
      <c r="M171" s="2" t="e">
        <f aca="false">#REF!</f>
        <v>#REF!</v>
      </c>
    </row>
    <row r="172" customFormat="false" ht="13.5" hidden="false" customHeight="false" outlineLevel="0" collapsed="false">
      <c r="A172" s="0" t="s">
        <v>27</v>
      </c>
      <c r="B172" s="1" t="n">
        <v>44032</v>
      </c>
      <c r="C172" s="2" t="e">
        <f aca="false">#REF!</f>
        <v>#REF!</v>
      </c>
      <c r="D172" s="2" t="e">
        <f aca="false">#REF!</f>
        <v>#REF!</v>
      </c>
      <c r="E172" s="2" t="e">
        <f aca="false">#REF!</f>
        <v>#REF!</v>
      </c>
      <c r="F172" s="2" t="e">
        <f aca="false">#REF!</f>
        <v>#REF!</v>
      </c>
      <c r="G172" s="2" t="e">
        <f aca="false">#REF!</f>
        <v>#REF!</v>
      </c>
      <c r="H172" s="2" t="e">
        <f aca="false">#REF!</f>
        <v>#REF!</v>
      </c>
      <c r="I172" s="2" t="e">
        <f aca="false">#REF!</f>
        <v>#REF!</v>
      </c>
      <c r="J172" s="2" t="e">
        <f aca="false">#REF!</f>
        <v>#REF!</v>
      </c>
      <c r="K172" s="2" t="e">
        <f aca="false">#REF!</f>
        <v>#REF!</v>
      </c>
      <c r="L172" s="2" t="e">
        <f aca="false">#REF!</f>
        <v>#REF!</v>
      </c>
      <c r="M172" s="2" t="e">
        <f aca="false">#REF!</f>
        <v>#REF!</v>
      </c>
    </row>
    <row r="173" customFormat="false" ht="13.5" hidden="false" customHeight="false" outlineLevel="0" collapsed="false">
      <c r="A173" s="0" t="s">
        <v>27</v>
      </c>
      <c r="B173" s="1" t="n">
        <v>44033</v>
      </c>
      <c r="C173" s="2" t="e">
        <f aca="false">#REF!</f>
        <v>#REF!</v>
      </c>
      <c r="D173" s="2" t="e">
        <f aca="false">#REF!</f>
        <v>#REF!</v>
      </c>
      <c r="E173" s="2" t="e">
        <f aca="false">#REF!</f>
        <v>#REF!</v>
      </c>
      <c r="F173" s="2" t="e">
        <f aca="false">#REF!</f>
        <v>#REF!</v>
      </c>
      <c r="G173" s="2" t="e">
        <f aca="false">#REF!</f>
        <v>#REF!</v>
      </c>
      <c r="H173" s="2" t="e">
        <f aca="false">#REF!</f>
        <v>#REF!</v>
      </c>
      <c r="I173" s="2" t="e">
        <f aca="false">#REF!</f>
        <v>#REF!</v>
      </c>
      <c r="J173" s="2" t="e">
        <f aca="false">#REF!</f>
        <v>#REF!</v>
      </c>
      <c r="K173" s="2" t="e">
        <f aca="false">#REF!</f>
        <v>#REF!</v>
      </c>
      <c r="L173" s="2" t="e">
        <f aca="false">#REF!</f>
        <v>#REF!</v>
      </c>
      <c r="M173" s="2" t="e">
        <f aca="false">#REF!</f>
        <v>#REF!</v>
      </c>
    </row>
    <row r="174" customFormat="false" ht="13.5" hidden="false" customHeight="false" outlineLevel="0" collapsed="false">
      <c r="A174" s="0" t="s">
        <v>27</v>
      </c>
      <c r="B174" s="1" t="n">
        <v>44034</v>
      </c>
      <c r="C174" s="2" t="e">
        <f aca="false">#REF!</f>
        <v>#REF!</v>
      </c>
      <c r="D174" s="2" t="e">
        <f aca="false">#REF!</f>
        <v>#REF!</v>
      </c>
      <c r="E174" s="2" t="e">
        <f aca="false">#REF!</f>
        <v>#REF!</v>
      </c>
      <c r="F174" s="2" t="e">
        <f aca="false">#REF!</f>
        <v>#REF!</v>
      </c>
      <c r="G174" s="2" t="e">
        <f aca="false">#REF!</f>
        <v>#REF!</v>
      </c>
      <c r="H174" s="2" t="e">
        <f aca="false">#REF!</f>
        <v>#REF!</v>
      </c>
      <c r="I174" s="2" t="e">
        <f aca="false">#REF!</f>
        <v>#REF!</v>
      </c>
      <c r="J174" s="2" t="e">
        <f aca="false">#REF!</f>
        <v>#REF!</v>
      </c>
      <c r="K174" s="2" t="e">
        <f aca="false">#REF!</f>
        <v>#REF!</v>
      </c>
      <c r="L174" s="2" t="e">
        <f aca="false">#REF!</f>
        <v>#REF!</v>
      </c>
      <c r="M174" s="2" t="e">
        <f aca="false">#REF!</f>
        <v>#REF!</v>
      </c>
    </row>
    <row r="175" customFormat="false" ht="13.5" hidden="false" customHeight="false" outlineLevel="0" collapsed="false">
      <c r="A175" s="0" t="s">
        <v>27</v>
      </c>
      <c r="B175" s="1" t="n">
        <v>44035</v>
      </c>
      <c r="C175" s="2" t="e">
        <f aca="false">#REF!</f>
        <v>#REF!</v>
      </c>
      <c r="D175" s="2" t="e">
        <f aca="false">#REF!</f>
        <v>#REF!</v>
      </c>
      <c r="E175" s="2" t="e">
        <f aca="false">#REF!</f>
        <v>#REF!</v>
      </c>
      <c r="F175" s="2" t="e">
        <f aca="false">#REF!</f>
        <v>#REF!</v>
      </c>
      <c r="G175" s="2" t="e">
        <f aca="false">#REF!</f>
        <v>#REF!</v>
      </c>
      <c r="H175" s="2" t="e">
        <f aca="false">#REF!</f>
        <v>#REF!</v>
      </c>
      <c r="I175" s="2" t="e">
        <f aca="false">#REF!</f>
        <v>#REF!</v>
      </c>
      <c r="J175" s="2" t="e">
        <f aca="false">#REF!</f>
        <v>#REF!</v>
      </c>
      <c r="K175" s="2" t="e">
        <f aca="false">#REF!</f>
        <v>#REF!</v>
      </c>
      <c r="L175" s="2" t="e">
        <f aca="false">#REF!</f>
        <v>#REF!</v>
      </c>
      <c r="M175" s="2" t="e">
        <f aca="false">#REF!</f>
        <v>#REF!</v>
      </c>
    </row>
    <row r="176" customFormat="false" ht="13.5" hidden="false" customHeight="false" outlineLevel="0" collapsed="false">
      <c r="A176" s="0" t="s">
        <v>27</v>
      </c>
      <c r="B176" s="1" t="n">
        <v>44036</v>
      </c>
      <c r="C176" s="2" t="e">
        <f aca="false">#REF!</f>
        <v>#REF!</v>
      </c>
      <c r="D176" s="2" t="e">
        <f aca="false">#REF!</f>
        <v>#REF!</v>
      </c>
      <c r="E176" s="2" t="e">
        <f aca="false">#REF!</f>
        <v>#REF!</v>
      </c>
      <c r="F176" s="2" t="e">
        <f aca="false">#REF!</f>
        <v>#REF!</v>
      </c>
      <c r="G176" s="2" t="e">
        <f aca="false">#REF!</f>
        <v>#REF!</v>
      </c>
      <c r="H176" s="2" t="e">
        <f aca="false">#REF!</f>
        <v>#REF!</v>
      </c>
      <c r="I176" s="2" t="e">
        <f aca="false">#REF!</f>
        <v>#REF!</v>
      </c>
      <c r="J176" s="2" t="e">
        <f aca="false">#REF!</f>
        <v>#REF!</v>
      </c>
      <c r="K176" s="2" t="e">
        <f aca="false">#REF!</f>
        <v>#REF!</v>
      </c>
      <c r="L176" s="2" t="e">
        <f aca="false">#REF!</f>
        <v>#REF!</v>
      </c>
      <c r="M176" s="2" t="e">
        <f aca="false">#REF!</f>
        <v>#REF!</v>
      </c>
    </row>
    <row r="177" customFormat="false" ht="13.5" hidden="false" customHeight="false" outlineLevel="0" collapsed="false">
      <c r="A177" s="0" t="s">
        <v>27</v>
      </c>
      <c r="B177" s="1" t="n">
        <v>44037</v>
      </c>
      <c r="C177" s="2" t="e">
        <f aca="false">#REF!</f>
        <v>#REF!</v>
      </c>
      <c r="D177" s="2" t="e">
        <f aca="false">#REF!</f>
        <v>#REF!</v>
      </c>
      <c r="E177" s="2" t="e">
        <f aca="false">#REF!</f>
        <v>#REF!</v>
      </c>
      <c r="F177" s="2" t="e">
        <f aca="false">#REF!</f>
        <v>#REF!</v>
      </c>
      <c r="G177" s="2" t="e">
        <f aca="false">#REF!</f>
        <v>#REF!</v>
      </c>
      <c r="H177" s="2" t="e">
        <f aca="false">#REF!</f>
        <v>#REF!</v>
      </c>
      <c r="I177" s="2" t="e">
        <f aca="false">#REF!</f>
        <v>#REF!</v>
      </c>
      <c r="J177" s="2" t="e">
        <f aca="false">#REF!</f>
        <v>#REF!</v>
      </c>
      <c r="K177" s="2" t="e">
        <f aca="false">#REF!</f>
        <v>#REF!</v>
      </c>
      <c r="L177" s="2" t="e">
        <f aca="false">#REF!</f>
        <v>#REF!</v>
      </c>
      <c r="M177" s="2" t="e">
        <f aca="false">#REF!</f>
        <v>#REF!</v>
      </c>
    </row>
    <row r="178" customFormat="false" ht="13.5" hidden="false" customHeight="false" outlineLevel="0" collapsed="false">
      <c r="A178" s="0" t="s">
        <v>27</v>
      </c>
      <c r="B178" s="1" t="n">
        <v>44038</v>
      </c>
      <c r="C178" s="2" t="e">
        <f aca="false">#REF!</f>
        <v>#REF!</v>
      </c>
      <c r="D178" s="2" t="e">
        <f aca="false">#REF!</f>
        <v>#REF!</v>
      </c>
      <c r="E178" s="2" t="e">
        <f aca="false">#REF!</f>
        <v>#REF!</v>
      </c>
      <c r="F178" s="2" t="e">
        <f aca="false">#REF!</f>
        <v>#REF!</v>
      </c>
      <c r="G178" s="2" t="e">
        <f aca="false">#REF!</f>
        <v>#REF!</v>
      </c>
      <c r="H178" s="2" t="e">
        <f aca="false">#REF!</f>
        <v>#REF!</v>
      </c>
      <c r="I178" s="2" t="e">
        <f aca="false">#REF!</f>
        <v>#REF!</v>
      </c>
      <c r="J178" s="2" t="e">
        <f aca="false">#REF!</f>
        <v>#REF!</v>
      </c>
      <c r="K178" s="2" t="e">
        <f aca="false">#REF!</f>
        <v>#REF!</v>
      </c>
      <c r="L178" s="2" t="e">
        <f aca="false">#REF!</f>
        <v>#REF!</v>
      </c>
      <c r="M178" s="2" t="e">
        <f aca="false">#REF!</f>
        <v>#REF!</v>
      </c>
    </row>
    <row r="179" customFormat="false" ht="13.5" hidden="false" customHeight="false" outlineLevel="0" collapsed="false">
      <c r="A179" s="0" t="s">
        <v>27</v>
      </c>
      <c r="B179" s="1" t="n">
        <v>44039</v>
      </c>
      <c r="C179" s="2" t="e">
        <f aca="false">#REF!</f>
        <v>#REF!</v>
      </c>
      <c r="D179" s="2" t="e">
        <f aca="false">#REF!</f>
        <v>#REF!</v>
      </c>
      <c r="E179" s="2" t="e">
        <f aca="false">#REF!</f>
        <v>#REF!</v>
      </c>
      <c r="F179" s="2" t="e">
        <f aca="false">#REF!</f>
        <v>#REF!</v>
      </c>
      <c r="G179" s="2" t="e">
        <f aca="false">#REF!</f>
        <v>#REF!</v>
      </c>
      <c r="H179" s="2" t="e">
        <f aca="false">#REF!</f>
        <v>#REF!</v>
      </c>
      <c r="I179" s="2" t="e">
        <f aca="false">#REF!</f>
        <v>#REF!</v>
      </c>
      <c r="J179" s="2" t="e">
        <f aca="false">#REF!</f>
        <v>#REF!</v>
      </c>
      <c r="K179" s="2" t="e">
        <f aca="false">#REF!</f>
        <v>#REF!</v>
      </c>
      <c r="L179" s="2" t="e">
        <f aca="false">#REF!</f>
        <v>#REF!</v>
      </c>
      <c r="M179" s="2" t="e">
        <f aca="false">#REF!</f>
        <v>#REF!</v>
      </c>
    </row>
    <row r="180" customFormat="false" ht="13.5" hidden="false" customHeight="false" outlineLevel="0" collapsed="false">
      <c r="A180" s="0" t="s">
        <v>27</v>
      </c>
      <c r="B180" s="1" t="n">
        <v>44040</v>
      </c>
      <c r="C180" s="2" t="e">
        <f aca="false">#REF!</f>
        <v>#REF!</v>
      </c>
      <c r="D180" s="2" t="e">
        <f aca="false">#REF!</f>
        <v>#REF!</v>
      </c>
      <c r="E180" s="2" t="e">
        <f aca="false">#REF!</f>
        <v>#REF!</v>
      </c>
      <c r="F180" s="2" t="e">
        <f aca="false">#REF!</f>
        <v>#REF!</v>
      </c>
      <c r="G180" s="2" t="e">
        <f aca="false">#REF!</f>
        <v>#REF!</v>
      </c>
      <c r="H180" s="2" t="e">
        <f aca="false">#REF!</f>
        <v>#REF!</v>
      </c>
      <c r="I180" s="2" t="e">
        <f aca="false">#REF!</f>
        <v>#REF!</v>
      </c>
      <c r="J180" s="2" t="e">
        <f aca="false">#REF!</f>
        <v>#REF!</v>
      </c>
      <c r="K180" s="2" t="e">
        <f aca="false">#REF!</f>
        <v>#REF!</v>
      </c>
      <c r="L180" s="2" t="e">
        <f aca="false">#REF!</f>
        <v>#REF!</v>
      </c>
      <c r="M180" s="2" t="e">
        <f aca="false">#REF!</f>
        <v>#REF!</v>
      </c>
    </row>
    <row r="181" customFormat="false" ht="13.5" hidden="false" customHeight="false" outlineLevel="0" collapsed="false">
      <c r="A181" s="0" t="s">
        <v>27</v>
      </c>
      <c r="B181" s="1" t="n">
        <v>44041</v>
      </c>
      <c r="C181" s="2" t="e">
        <f aca="false">#REF!</f>
        <v>#REF!</v>
      </c>
      <c r="D181" s="2" t="e">
        <f aca="false">#REF!</f>
        <v>#REF!</v>
      </c>
      <c r="E181" s="2" t="e">
        <f aca="false">#REF!</f>
        <v>#REF!</v>
      </c>
      <c r="F181" s="2" t="e">
        <f aca="false">#REF!</f>
        <v>#REF!</v>
      </c>
      <c r="G181" s="2" t="e">
        <f aca="false">#REF!</f>
        <v>#REF!</v>
      </c>
      <c r="H181" s="2" t="e">
        <f aca="false">#REF!</f>
        <v>#REF!</v>
      </c>
      <c r="I181" s="2" t="e">
        <f aca="false">#REF!</f>
        <v>#REF!</v>
      </c>
      <c r="J181" s="2" t="e">
        <f aca="false">#REF!</f>
        <v>#REF!</v>
      </c>
      <c r="K181" s="2" t="e">
        <f aca="false">#REF!</f>
        <v>#REF!</v>
      </c>
      <c r="L181" s="2" t="e">
        <f aca="false">#REF!</f>
        <v>#REF!</v>
      </c>
      <c r="M181" s="2" t="e">
        <f aca="false">#REF!</f>
        <v>#REF!</v>
      </c>
    </row>
    <row r="182" customFormat="false" ht="13.5" hidden="false" customHeight="false" outlineLevel="0" collapsed="false">
      <c r="A182" s="0" t="s">
        <v>27</v>
      </c>
      <c r="B182" s="1" t="n">
        <v>44042</v>
      </c>
      <c r="C182" s="2" t="e">
        <f aca="false">#REF!</f>
        <v>#REF!</v>
      </c>
      <c r="D182" s="2" t="e">
        <f aca="false">#REF!</f>
        <v>#REF!</v>
      </c>
      <c r="E182" s="2" t="e">
        <f aca="false">#REF!</f>
        <v>#REF!</v>
      </c>
      <c r="F182" s="2" t="e">
        <f aca="false">#REF!</f>
        <v>#REF!</v>
      </c>
      <c r="G182" s="2" t="e">
        <f aca="false">#REF!</f>
        <v>#REF!</v>
      </c>
      <c r="H182" s="2" t="e">
        <f aca="false">#REF!</f>
        <v>#REF!</v>
      </c>
      <c r="I182" s="2" t="e">
        <f aca="false">#REF!</f>
        <v>#REF!</v>
      </c>
      <c r="J182" s="2" t="e">
        <f aca="false">#REF!</f>
        <v>#REF!</v>
      </c>
      <c r="K182" s="2" t="e">
        <f aca="false">#REF!</f>
        <v>#REF!</v>
      </c>
      <c r="L182" s="2" t="e">
        <f aca="false">#REF!</f>
        <v>#REF!</v>
      </c>
      <c r="M182" s="2" t="e">
        <f aca="false">#REF!</f>
        <v>#REF!</v>
      </c>
    </row>
    <row r="183" customFormat="false" ht="13.5" hidden="false" customHeight="false" outlineLevel="0" collapsed="false">
      <c r="A183" s="0" t="s">
        <v>27</v>
      </c>
      <c r="B183" s="1" t="n">
        <v>44043</v>
      </c>
      <c r="C183" s="2" t="e">
        <f aca="false">#REF!</f>
        <v>#REF!</v>
      </c>
      <c r="D183" s="2" t="e">
        <f aca="false">#REF!</f>
        <v>#REF!</v>
      </c>
      <c r="E183" s="2" t="e">
        <f aca="false">#REF!</f>
        <v>#REF!</v>
      </c>
      <c r="F183" s="2" t="e">
        <f aca="false">#REF!</f>
        <v>#REF!</v>
      </c>
      <c r="G183" s="2" t="e">
        <f aca="false">#REF!</f>
        <v>#REF!</v>
      </c>
      <c r="H183" s="2" t="e">
        <f aca="false">#REF!</f>
        <v>#REF!</v>
      </c>
      <c r="I183" s="2" t="e">
        <f aca="false">#REF!</f>
        <v>#REF!</v>
      </c>
      <c r="J183" s="2" t="e">
        <f aca="false">#REF!</f>
        <v>#REF!</v>
      </c>
      <c r="K183" s="2" t="e">
        <f aca="false">#REF!</f>
        <v>#REF!</v>
      </c>
      <c r="L183" s="2" t="e">
        <f aca="false">#REF!</f>
        <v>#REF!</v>
      </c>
      <c r="M183" s="2" t="e">
        <f aca="false">#REF!</f>
        <v>#REF!</v>
      </c>
    </row>
    <row r="184" customFormat="false" ht="13.5" hidden="false" customHeight="false" outlineLevel="0" collapsed="false">
      <c r="A184" s="0" t="s">
        <v>27</v>
      </c>
      <c r="B184" s="1" t="n">
        <v>44044</v>
      </c>
      <c r="C184" s="2" t="e">
        <f aca="false">#REF!</f>
        <v>#REF!</v>
      </c>
      <c r="D184" s="2" t="e">
        <f aca="false">#REF!</f>
        <v>#REF!</v>
      </c>
      <c r="E184" s="2" t="e">
        <f aca="false">#REF!</f>
        <v>#REF!</v>
      </c>
      <c r="F184" s="2" t="e">
        <f aca="false">#REF!</f>
        <v>#REF!</v>
      </c>
      <c r="G184" s="2" t="e">
        <f aca="false">#REF!</f>
        <v>#REF!</v>
      </c>
      <c r="H184" s="2" t="e">
        <f aca="false">#REF!</f>
        <v>#REF!</v>
      </c>
      <c r="I184" s="2" t="e">
        <f aca="false">#REF!</f>
        <v>#REF!</v>
      </c>
      <c r="J184" s="2" t="e">
        <f aca="false">#REF!</f>
        <v>#REF!</v>
      </c>
      <c r="K184" s="2" t="e">
        <f aca="false">#REF!</f>
        <v>#REF!</v>
      </c>
      <c r="L184" s="2" t="e">
        <f aca="false">#REF!</f>
        <v>#REF!</v>
      </c>
      <c r="M184" s="2" t="e">
        <f aca="false">#REF!</f>
        <v>#REF!</v>
      </c>
    </row>
    <row r="185" customFormat="false" ht="13.5" hidden="false" customHeight="false" outlineLevel="0" collapsed="false">
      <c r="A185" s="0" t="s">
        <v>27</v>
      </c>
      <c r="B185" s="1" t="n">
        <v>44045</v>
      </c>
      <c r="C185" s="2" t="e">
        <f aca="false">#REF!</f>
        <v>#REF!</v>
      </c>
      <c r="D185" s="2" t="e">
        <f aca="false">#REF!</f>
        <v>#REF!</v>
      </c>
      <c r="E185" s="2" t="e">
        <f aca="false">#REF!</f>
        <v>#REF!</v>
      </c>
      <c r="F185" s="2" t="e">
        <f aca="false">#REF!</f>
        <v>#REF!</v>
      </c>
      <c r="G185" s="2" t="e">
        <f aca="false">#REF!</f>
        <v>#REF!</v>
      </c>
      <c r="H185" s="2" t="e">
        <f aca="false">#REF!</f>
        <v>#REF!</v>
      </c>
      <c r="I185" s="2" t="e">
        <f aca="false">#REF!</f>
        <v>#REF!</v>
      </c>
      <c r="J185" s="2" t="e">
        <f aca="false">#REF!</f>
        <v>#REF!</v>
      </c>
      <c r="K185" s="2" t="e">
        <f aca="false">#REF!</f>
        <v>#REF!</v>
      </c>
      <c r="L185" s="2" t="e">
        <f aca="false">#REF!</f>
        <v>#REF!</v>
      </c>
      <c r="M185" s="2" t="e">
        <f aca="false">#REF!</f>
        <v>#REF!</v>
      </c>
    </row>
    <row r="186" customFormat="false" ht="13.5" hidden="false" customHeight="false" outlineLevel="0" collapsed="false">
      <c r="A186" s="0" t="s">
        <v>27</v>
      </c>
      <c r="B186" s="1" t="n">
        <v>44046</v>
      </c>
      <c r="C186" s="2" t="e">
        <f aca="false">#REF!</f>
        <v>#REF!</v>
      </c>
      <c r="D186" s="2" t="e">
        <f aca="false">#REF!</f>
        <v>#REF!</v>
      </c>
      <c r="E186" s="2" t="e">
        <f aca="false">#REF!</f>
        <v>#REF!</v>
      </c>
      <c r="F186" s="2" t="e">
        <f aca="false">#REF!</f>
        <v>#REF!</v>
      </c>
      <c r="G186" s="2" t="e">
        <f aca="false">#REF!</f>
        <v>#REF!</v>
      </c>
      <c r="H186" s="2" t="e">
        <f aca="false">#REF!</f>
        <v>#REF!</v>
      </c>
      <c r="I186" s="2" t="e">
        <f aca="false">#REF!</f>
        <v>#REF!</v>
      </c>
      <c r="J186" s="2" t="e">
        <f aca="false">#REF!</f>
        <v>#REF!</v>
      </c>
      <c r="K186" s="2" t="e">
        <f aca="false">#REF!</f>
        <v>#REF!</v>
      </c>
      <c r="L186" s="2" t="e">
        <f aca="false">#REF!</f>
        <v>#REF!</v>
      </c>
      <c r="M186" s="2" t="e">
        <f aca="false">#REF!</f>
        <v>#REF!</v>
      </c>
    </row>
    <row r="187" customFormat="false" ht="13.5" hidden="false" customHeight="false" outlineLevel="0" collapsed="false">
      <c r="A187" s="0" t="s">
        <v>27</v>
      </c>
      <c r="B187" s="1" t="n">
        <v>44047</v>
      </c>
      <c r="C187" s="2" t="e">
        <f aca="false">#REF!</f>
        <v>#REF!</v>
      </c>
      <c r="D187" s="2" t="e">
        <f aca="false">#REF!</f>
        <v>#REF!</v>
      </c>
      <c r="E187" s="2" t="e">
        <f aca="false">#REF!</f>
        <v>#REF!</v>
      </c>
      <c r="F187" s="2" t="e">
        <f aca="false">#REF!</f>
        <v>#REF!</v>
      </c>
      <c r="G187" s="2" t="e">
        <f aca="false">#REF!</f>
        <v>#REF!</v>
      </c>
      <c r="H187" s="2" t="e">
        <f aca="false">#REF!</f>
        <v>#REF!</v>
      </c>
      <c r="I187" s="2" t="e">
        <f aca="false">#REF!</f>
        <v>#REF!</v>
      </c>
      <c r="J187" s="2" t="e">
        <f aca="false">#REF!</f>
        <v>#REF!</v>
      </c>
      <c r="K187" s="2" t="e">
        <f aca="false">#REF!</f>
        <v>#REF!</v>
      </c>
      <c r="L187" s="2" t="e">
        <f aca="false">#REF!</f>
        <v>#REF!</v>
      </c>
      <c r="M187" s="2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60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28</v>
      </c>
      <c r="B37" s="1" t="n">
        <v>43897</v>
      </c>
      <c r="C37" s="8" t="n">
        <v>13</v>
      </c>
      <c r="D37" s="8" t="n">
        <v>5</v>
      </c>
      <c r="E37" s="8"/>
      <c r="F37" s="8"/>
      <c r="G37" s="8"/>
      <c r="H37" s="8" t="n">
        <v>13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28</v>
      </c>
      <c r="B38" s="1" t="n">
        <v>43898</v>
      </c>
      <c r="C38" s="6" t="n">
        <v>19</v>
      </c>
      <c r="D38" s="6" t="n">
        <v>6</v>
      </c>
      <c r="E38" s="6"/>
      <c r="F38" s="6"/>
      <c r="G38" s="6"/>
      <c r="H38" s="6" t="n">
        <v>19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28</v>
      </c>
      <c r="B39" s="1" t="n">
        <v>43899</v>
      </c>
      <c r="C39" s="6" t="n">
        <v>25</v>
      </c>
      <c r="D39" s="6" t="n">
        <v>6</v>
      </c>
      <c r="E39" s="6"/>
      <c r="F39" s="6"/>
      <c r="G39" s="6"/>
      <c r="H39" s="6" t="n">
        <v>25</v>
      </c>
      <c r="I39" s="6" t="n">
        <v>1</v>
      </c>
      <c r="J39" s="6" t="n">
        <v>0.1</v>
      </c>
      <c r="K39" s="6"/>
      <c r="L39" s="6"/>
      <c r="M39" s="6"/>
    </row>
    <row r="40" customFormat="false" ht="15.75" hidden="false" customHeight="false" outlineLevel="0" collapsed="false">
      <c r="A40" s="0" t="s">
        <v>28</v>
      </c>
      <c r="B40" s="1" t="n">
        <v>43900</v>
      </c>
      <c r="C40" s="6" t="n">
        <v>25</v>
      </c>
      <c r="D40" s="6" t="n">
        <v>0</v>
      </c>
      <c r="E40" s="6"/>
      <c r="F40" s="6"/>
      <c r="G40" s="6"/>
      <c r="H40" s="6" t="n">
        <v>25</v>
      </c>
      <c r="I40" s="6" t="n">
        <v>1</v>
      </c>
      <c r="J40" s="6" t="n">
        <v>0.1</v>
      </c>
      <c r="K40" s="6"/>
      <c r="L40" s="6"/>
      <c r="M40" s="6"/>
    </row>
    <row r="41" customFormat="false" ht="15.75" hidden="false" customHeight="false" outlineLevel="0" collapsed="false">
      <c r="A41" s="0" t="s">
        <v>28</v>
      </c>
      <c r="B41" s="1" t="n">
        <v>43901</v>
      </c>
      <c r="C41" s="6" t="n">
        <v>34</v>
      </c>
      <c r="D41" s="6" t="n">
        <v>9</v>
      </c>
      <c r="E41" s="6"/>
      <c r="F41" s="6"/>
      <c r="G41" s="6"/>
      <c r="H41" s="6" t="n">
        <v>34</v>
      </c>
      <c r="I41" s="6" t="n">
        <v>1</v>
      </c>
      <c r="J41" s="6" t="n">
        <v>0.2</v>
      </c>
      <c r="K41" s="6"/>
      <c r="L41" s="6"/>
      <c r="M41" s="6"/>
    </row>
    <row r="42" customFormat="false" ht="15.75" hidden="false" customHeight="false" outlineLevel="0" collapsed="false">
      <c r="A42" s="0" t="s">
        <v>28</v>
      </c>
      <c r="B42" s="1" t="n">
        <v>43902</v>
      </c>
      <c r="C42" s="6" t="n">
        <v>52</v>
      </c>
      <c r="D42" s="6" t="n">
        <v>18</v>
      </c>
      <c r="E42" s="6"/>
      <c r="F42" s="6"/>
      <c r="G42" s="6"/>
      <c r="H42" s="6" t="n">
        <v>52</v>
      </c>
      <c r="I42" s="6" t="n">
        <v>2</v>
      </c>
      <c r="J42" s="6" t="n">
        <v>0.2</v>
      </c>
      <c r="K42" s="6"/>
      <c r="L42" s="6"/>
      <c r="M42" s="6"/>
    </row>
    <row r="43" customFormat="false" ht="15.75" hidden="false" customHeight="false" outlineLevel="0" collapsed="false">
      <c r="A43" s="0" t="s">
        <v>28</v>
      </c>
      <c r="B43" s="1" t="n">
        <v>43903</v>
      </c>
      <c r="C43" s="6" t="n">
        <v>77</v>
      </c>
      <c r="D43" s="6" t="n">
        <v>25</v>
      </c>
      <c r="E43" s="6"/>
      <c r="F43" s="6"/>
      <c r="G43" s="6"/>
      <c r="H43" s="6" t="n">
        <v>77</v>
      </c>
      <c r="I43" s="6" t="n">
        <v>2</v>
      </c>
      <c r="J43" s="6" t="n">
        <v>0.4</v>
      </c>
      <c r="K43" s="6"/>
      <c r="L43" s="6"/>
      <c r="M43" s="6"/>
    </row>
    <row r="44" customFormat="false" ht="15.75" hidden="false" customHeight="false" outlineLevel="0" collapsed="false">
      <c r="A44" s="0" t="s">
        <v>28</v>
      </c>
      <c r="B44" s="1" t="n">
        <v>43904</v>
      </c>
      <c r="C44" s="6" t="n">
        <v>151</v>
      </c>
      <c r="D44" s="6" t="n">
        <v>74</v>
      </c>
      <c r="E44" s="6"/>
      <c r="F44" s="6"/>
      <c r="G44" s="6"/>
      <c r="H44" s="6" t="n">
        <v>151</v>
      </c>
      <c r="I44" s="6" t="n">
        <v>2</v>
      </c>
      <c r="J44" s="6" t="n">
        <v>0.7</v>
      </c>
      <c r="K44" s="6"/>
      <c r="L44" s="6"/>
      <c r="M44" s="6"/>
    </row>
    <row r="45" customFormat="false" ht="15.75" hidden="false" customHeight="false" outlineLevel="0" collapsed="false">
      <c r="A45" s="0" t="s">
        <v>28</v>
      </c>
      <c r="B45" s="1" t="n">
        <v>43905</v>
      </c>
      <c r="C45" s="6" t="n">
        <v>151</v>
      </c>
      <c r="D45" s="6" t="n">
        <v>0</v>
      </c>
      <c r="E45" s="6"/>
      <c r="F45" s="6"/>
      <c r="G45" s="6" t="n">
        <v>1</v>
      </c>
      <c r="H45" s="6" t="n">
        <v>150</v>
      </c>
      <c r="I45" s="6" t="n">
        <v>2</v>
      </c>
      <c r="J45" s="6" t="n">
        <v>0.7</v>
      </c>
      <c r="K45" s="6"/>
      <c r="L45" s="6"/>
      <c r="M45" s="6"/>
    </row>
    <row r="46" customFormat="false" ht="15.75" hidden="false" customHeight="false" outlineLevel="0" collapsed="false">
      <c r="A46" s="0" t="s">
        <v>28</v>
      </c>
      <c r="B46" s="1" t="n">
        <v>43906</v>
      </c>
      <c r="C46" s="6" t="n">
        <v>200</v>
      </c>
      <c r="D46" s="6" t="n">
        <v>49</v>
      </c>
      <c r="E46" s="6"/>
      <c r="F46" s="6"/>
      <c r="G46" s="6" t="n">
        <v>1</v>
      </c>
      <c r="H46" s="6" t="n">
        <v>199</v>
      </c>
      <c r="I46" s="6" t="n">
        <v>2</v>
      </c>
      <c r="J46" s="6" t="n">
        <v>0.9</v>
      </c>
      <c r="K46" s="6"/>
      <c r="L46" s="6"/>
      <c r="M46" s="6"/>
    </row>
    <row r="47" customFormat="false" ht="15.75" hidden="false" customHeight="false" outlineLevel="0" collapsed="false">
      <c r="A47" s="0" t="s">
        <v>28</v>
      </c>
      <c r="B47" s="1" t="n">
        <v>43907</v>
      </c>
      <c r="C47" s="6" t="n">
        <v>234</v>
      </c>
      <c r="D47" s="6" t="n">
        <v>34</v>
      </c>
      <c r="E47" s="6"/>
      <c r="F47" s="6"/>
      <c r="G47" s="6" t="n">
        <v>2</v>
      </c>
      <c r="H47" s="6" t="n">
        <v>232</v>
      </c>
      <c r="I47" s="6" t="n">
        <v>2</v>
      </c>
      <c r="J47" s="6" t="n">
        <v>1.1</v>
      </c>
      <c r="K47" s="6"/>
      <c r="L47" s="6"/>
      <c r="M47" s="6"/>
    </row>
    <row r="48" customFormat="false" ht="15.75" hidden="false" customHeight="false" outlineLevel="0" collapsed="false">
      <c r="A48" s="0" t="s">
        <v>28</v>
      </c>
      <c r="B48" s="1" t="n">
        <v>43908</v>
      </c>
      <c r="C48" s="6" t="n">
        <v>346</v>
      </c>
      <c r="D48" s="6" t="n">
        <v>112</v>
      </c>
      <c r="E48" s="6" t="n">
        <v>1</v>
      </c>
      <c r="F48" s="6" t="n">
        <v>1</v>
      </c>
      <c r="G48" s="6" t="n">
        <v>2</v>
      </c>
      <c r="H48" s="6" t="n">
        <v>343</v>
      </c>
      <c r="I48" s="6" t="n">
        <v>18</v>
      </c>
      <c r="J48" s="6" t="n">
        <v>1.6</v>
      </c>
      <c r="K48" s="6"/>
      <c r="L48" s="6"/>
      <c r="M48" s="6"/>
    </row>
    <row r="49" customFormat="false" ht="15.75" hidden="false" customHeight="false" outlineLevel="0" collapsed="false">
      <c r="A49" s="0" t="s">
        <v>28</v>
      </c>
      <c r="B49" s="1" t="n">
        <v>43909</v>
      </c>
      <c r="C49" s="6" t="n">
        <v>509</v>
      </c>
      <c r="D49" s="6" t="n">
        <v>163</v>
      </c>
      <c r="E49" s="6" t="n">
        <v>4</v>
      </c>
      <c r="F49" s="6" t="n">
        <v>3</v>
      </c>
      <c r="G49" s="6" t="n">
        <v>2</v>
      </c>
      <c r="H49" s="6" t="n">
        <v>503</v>
      </c>
      <c r="I49" s="6" t="n">
        <v>18</v>
      </c>
      <c r="J49" s="6" t="n">
        <v>2</v>
      </c>
      <c r="K49" s="6"/>
      <c r="L49" s="6"/>
      <c r="M49" s="6"/>
    </row>
    <row r="50" customFormat="false" ht="15.75" hidden="false" customHeight="false" outlineLevel="0" collapsed="false">
      <c r="A50" s="0" t="s">
        <v>28</v>
      </c>
      <c r="B50" s="1" t="n">
        <v>43910</v>
      </c>
      <c r="C50" s="6" t="n">
        <v>635</v>
      </c>
      <c r="D50" s="6" t="n">
        <v>126</v>
      </c>
      <c r="E50" s="6" t="n">
        <v>7</v>
      </c>
      <c r="F50" s="6" t="n">
        <v>3</v>
      </c>
      <c r="G50" s="6" t="n">
        <v>2</v>
      </c>
      <c r="H50" s="6" t="n">
        <v>626</v>
      </c>
      <c r="I50" s="6" t="n">
        <v>18</v>
      </c>
      <c r="J50" s="6" t="n">
        <v>3</v>
      </c>
      <c r="K50" s="6"/>
      <c r="L50" s="6"/>
      <c r="M50" s="6"/>
    </row>
    <row r="51" customFormat="false" ht="15.75" hidden="false" customHeight="false" outlineLevel="0" collapsed="false">
      <c r="A51" s="0" t="s">
        <v>28</v>
      </c>
      <c r="B51" s="1" t="n">
        <v>43911</v>
      </c>
      <c r="C51" s="6" t="n">
        <v>977</v>
      </c>
      <c r="D51" s="6" t="n">
        <v>342</v>
      </c>
      <c r="E51" s="6" t="n">
        <v>11</v>
      </c>
      <c r="F51" s="6" t="n">
        <v>4</v>
      </c>
      <c r="G51" s="6" t="n">
        <v>2</v>
      </c>
      <c r="H51" s="6" t="n">
        <v>964</v>
      </c>
      <c r="I51" s="6" t="n">
        <v>18</v>
      </c>
      <c r="J51" s="6" t="n">
        <v>5</v>
      </c>
      <c r="K51" s="6"/>
      <c r="L51" s="6"/>
      <c r="M51" s="6"/>
    </row>
    <row r="52" customFormat="false" ht="15.75" hidden="false" customHeight="false" outlineLevel="0" collapsed="false">
      <c r="A52" s="0" t="s">
        <v>28</v>
      </c>
      <c r="B52" s="1" t="n">
        <v>43912</v>
      </c>
      <c r="C52" s="6" t="n">
        <v>1178</v>
      </c>
      <c r="D52" s="6" t="n">
        <v>201</v>
      </c>
      <c r="E52" s="6" t="n">
        <v>18</v>
      </c>
      <c r="F52" s="6" t="n">
        <v>7</v>
      </c>
      <c r="G52" s="6" t="n">
        <v>2</v>
      </c>
      <c r="H52" s="6" t="n">
        <v>1158</v>
      </c>
      <c r="I52" s="6" t="n">
        <v>18</v>
      </c>
      <c r="J52" s="6" t="n">
        <v>6</v>
      </c>
      <c r="K52" s="6"/>
      <c r="L52" s="6"/>
      <c r="M52" s="6"/>
    </row>
    <row r="53" customFormat="false" ht="15.75" hidden="false" customHeight="false" outlineLevel="0" collapsed="false">
      <c r="A53" s="0" t="s">
        <v>28</v>
      </c>
      <c r="B53" s="1" t="n">
        <v>43913</v>
      </c>
      <c r="C53" s="6" t="n">
        <v>1546</v>
      </c>
      <c r="D53" s="6" t="n">
        <v>368</v>
      </c>
      <c r="E53" s="6" t="n">
        <v>25</v>
      </c>
      <c r="F53" s="6" t="n">
        <v>7</v>
      </c>
      <c r="G53" s="6" t="n">
        <v>2</v>
      </c>
      <c r="H53" s="6" t="n">
        <v>1519</v>
      </c>
      <c r="I53" s="6" t="n">
        <v>18</v>
      </c>
      <c r="J53" s="6" t="n">
        <v>7</v>
      </c>
      <c r="K53" s="6"/>
      <c r="L53" s="6"/>
      <c r="M53" s="6"/>
    </row>
    <row r="54" customFormat="false" ht="15.75" hidden="false" customHeight="false" outlineLevel="0" collapsed="false">
      <c r="A54" s="0" t="s">
        <v>28</v>
      </c>
      <c r="B54" s="1" t="n">
        <v>43914</v>
      </c>
      <c r="C54" s="6" t="n">
        <v>1924</v>
      </c>
      <c r="D54" s="6" t="n">
        <v>378</v>
      </c>
      <c r="E54" s="6" t="n">
        <v>34</v>
      </c>
      <c r="F54" s="6" t="n">
        <v>9</v>
      </c>
      <c r="G54" s="6" t="n">
        <v>2</v>
      </c>
      <c r="H54" s="6" t="n">
        <v>1888</v>
      </c>
      <c r="I54" s="6" t="n">
        <v>18</v>
      </c>
      <c r="J54" s="6" t="n">
        <v>9</v>
      </c>
      <c r="K54" s="6"/>
      <c r="L54" s="6"/>
      <c r="M54" s="6"/>
    </row>
    <row r="55" customFormat="false" ht="15.75" hidden="false" customHeight="false" outlineLevel="0" collapsed="false">
      <c r="A55" s="0" t="s">
        <v>28</v>
      </c>
      <c r="B55" s="1" t="n">
        <v>43915</v>
      </c>
      <c r="C55" s="7" t="n">
        <v>2247</v>
      </c>
      <c r="D55" s="7" t="n">
        <v>323</v>
      </c>
      <c r="E55" s="7" t="n">
        <v>46</v>
      </c>
      <c r="F55" s="7" t="n">
        <v>12</v>
      </c>
      <c r="G55" s="7" t="n">
        <v>2</v>
      </c>
      <c r="H55" s="7" t="n">
        <v>2199</v>
      </c>
      <c r="I55" s="7" t="n">
        <v>18</v>
      </c>
      <c r="J55" s="7" t="n">
        <v>11</v>
      </c>
      <c r="K55" s="10" t="n">
        <v>0.2</v>
      </c>
      <c r="L55" s="7"/>
      <c r="M55" s="7"/>
    </row>
    <row r="56" customFormat="false" ht="15.75" hidden="false" customHeight="false" outlineLevel="0" collapsed="false">
      <c r="A56" s="0" t="s">
        <v>28</v>
      </c>
      <c r="B56" s="1" t="n">
        <v>43916</v>
      </c>
      <c r="C56" s="7" t="n">
        <v>2433</v>
      </c>
      <c r="D56" s="7" t="n">
        <v>186</v>
      </c>
      <c r="E56" s="7" t="n">
        <v>57</v>
      </c>
      <c r="F56" s="7" t="n">
        <v>11</v>
      </c>
      <c r="G56" s="7" t="n">
        <v>2</v>
      </c>
      <c r="H56" s="7" t="n">
        <v>2374</v>
      </c>
      <c r="I56" s="7" t="n">
        <v>18</v>
      </c>
      <c r="J56" s="7" t="n">
        <v>11</v>
      </c>
      <c r="K56" s="10" t="n">
        <v>0.3</v>
      </c>
      <c r="L56" s="7"/>
      <c r="M56" s="7"/>
    </row>
    <row r="57" customFormat="false" ht="15.75" hidden="false" customHeight="false" outlineLevel="0" collapsed="false">
      <c r="A57" s="0" t="s">
        <v>28</v>
      </c>
      <c r="B57" s="1" t="n">
        <v>43917</v>
      </c>
      <c r="C57" s="7" t="n">
        <v>2915</v>
      </c>
      <c r="D57" s="7" t="n">
        <v>482</v>
      </c>
      <c r="E57" s="7" t="n">
        <v>77</v>
      </c>
      <c r="F57" s="7" t="n">
        <v>20</v>
      </c>
      <c r="G57" s="7" t="n">
        <v>6</v>
      </c>
      <c r="H57" s="7" t="n">
        <v>2832</v>
      </c>
      <c r="I57" s="7" t="n">
        <v>18</v>
      </c>
      <c r="J57" s="7" t="n">
        <v>14</v>
      </c>
      <c r="K57" s="10" t="n">
        <v>0.4</v>
      </c>
      <c r="L57" s="7"/>
      <c r="M57" s="7"/>
    </row>
    <row r="58" customFormat="false" ht="15.75" hidden="false" customHeight="false" outlineLevel="0" collapsed="false">
      <c r="A58" s="0" t="s">
        <v>28</v>
      </c>
      <c r="B58" s="1" t="n">
        <v>43918</v>
      </c>
      <c r="C58" s="7" t="n">
        <v>3417</v>
      </c>
      <c r="D58" s="7" t="n">
        <v>502</v>
      </c>
      <c r="E58" s="7" t="n">
        <v>92</v>
      </c>
      <c r="F58" s="7" t="n">
        <v>15</v>
      </c>
      <c r="G58" s="7" t="n">
        <v>6</v>
      </c>
      <c r="H58" s="7" t="n">
        <v>3319</v>
      </c>
      <c r="I58" s="7" t="n">
        <v>296</v>
      </c>
      <c r="J58" s="7" t="n">
        <v>16</v>
      </c>
      <c r="K58" s="10" t="n">
        <v>0.4</v>
      </c>
      <c r="L58" s="7"/>
      <c r="M58" s="7"/>
    </row>
    <row r="59" customFormat="false" ht="15.75" hidden="false" customHeight="false" outlineLevel="0" collapsed="false">
      <c r="A59" s="0" t="s">
        <v>28</v>
      </c>
      <c r="B59" s="1" t="n">
        <v>43919</v>
      </c>
      <c r="C59" s="7" t="n">
        <v>3904</v>
      </c>
      <c r="D59" s="7" t="n">
        <v>487</v>
      </c>
      <c r="E59" s="7" t="n">
        <v>111</v>
      </c>
      <c r="F59" s="7" t="n">
        <v>19</v>
      </c>
      <c r="G59" s="7" t="n">
        <v>6</v>
      </c>
      <c r="H59" s="7" t="n">
        <v>3787</v>
      </c>
      <c r="I59" s="7" t="n">
        <v>296</v>
      </c>
      <c r="J59" s="7" t="n">
        <v>18</v>
      </c>
      <c r="K59" s="10" t="n">
        <v>0.5</v>
      </c>
      <c r="L59" s="7"/>
      <c r="M59" s="7"/>
    </row>
    <row r="60" customFormat="false" ht="15.75" hidden="false" customHeight="false" outlineLevel="0" collapsed="false">
      <c r="A60" s="0" t="s">
        <v>28</v>
      </c>
      <c r="B60" s="1" t="n">
        <v>43920</v>
      </c>
      <c r="C60" s="7" t="n">
        <v>4256</v>
      </c>
      <c r="D60" s="7" t="n">
        <v>352</v>
      </c>
      <c r="E60" s="7" t="n">
        <v>136</v>
      </c>
      <c r="F60" s="7" t="n">
        <v>25</v>
      </c>
      <c r="G60" s="7" t="n">
        <v>6</v>
      </c>
      <c r="H60" s="7" t="n">
        <v>4114</v>
      </c>
      <c r="I60" s="7" t="n">
        <v>296</v>
      </c>
      <c r="J60" s="7" t="n">
        <v>20</v>
      </c>
      <c r="K60" s="10" t="n">
        <v>0.6</v>
      </c>
      <c r="L60" s="7"/>
      <c r="M60" s="7"/>
    </row>
    <row r="61" customFormat="false" ht="15.75" hidden="false" customHeight="false" outlineLevel="0" collapsed="false">
      <c r="A61" s="0" t="s">
        <v>28</v>
      </c>
      <c r="B61" s="1" t="n">
        <v>43921</v>
      </c>
      <c r="C61" s="7" t="n">
        <v>4579</v>
      </c>
      <c r="D61" s="7" t="n">
        <v>323</v>
      </c>
      <c r="E61" s="7" t="n">
        <v>159</v>
      </c>
      <c r="F61" s="7" t="n">
        <v>23</v>
      </c>
      <c r="G61" s="7" t="n">
        <v>120</v>
      </c>
      <c r="H61" s="7" t="n">
        <v>4300</v>
      </c>
      <c r="I61" s="7" t="n">
        <v>296</v>
      </c>
      <c r="J61" s="7" t="n">
        <v>22</v>
      </c>
      <c r="K61" s="10" t="n">
        <v>0.7</v>
      </c>
      <c r="L61" s="7"/>
      <c r="M61" s="7"/>
    </row>
    <row r="62" customFormat="false" ht="15.75" hidden="false" customHeight="false" outlineLevel="0" collapsed="false">
      <c r="A62" s="0" t="s">
        <v>28</v>
      </c>
      <c r="B62" s="1" t="n">
        <v>43922</v>
      </c>
      <c r="C62" s="7" t="n">
        <v>5717</v>
      </c>
      <c r="D62" s="7" t="n">
        <v>1138</v>
      </c>
      <c r="E62" s="7" t="n">
        <v>201</v>
      </c>
      <c r="F62" s="7" t="n">
        <v>42</v>
      </c>
      <c r="G62" s="7" t="n">
        <v>127</v>
      </c>
      <c r="H62" s="7" t="n">
        <v>5389</v>
      </c>
      <c r="I62" s="7" t="n">
        <v>296</v>
      </c>
      <c r="J62" s="7" t="n">
        <v>27</v>
      </c>
      <c r="K62" s="10" t="n">
        <v>0.9</v>
      </c>
      <c r="L62" s="7"/>
      <c r="M62" s="7"/>
    </row>
    <row r="63" customFormat="false" ht="15.75" hidden="false" customHeight="false" outlineLevel="0" collapsed="false">
      <c r="A63" s="0" t="s">
        <v>28</v>
      </c>
      <c r="B63" s="1" t="n">
        <v>43923</v>
      </c>
      <c r="C63" s="7" t="n">
        <v>6836</v>
      </c>
      <c r="D63" s="7" t="n">
        <v>1119</v>
      </c>
      <c r="E63" s="7" t="n">
        <v>240</v>
      </c>
      <c r="F63" s="7" t="n">
        <v>39</v>
      </c>
      <c r="G63" s="7" t="n">
        <v>127</v>
      </c>
      <c r="H63" s="7" t="n">
        <v>6469</v>
      </c>
      <c r="I63" s="7" t="n">
        <v>296</v>
      </c>
      <c r="J63" s="7" t="n">
        <v>32</v>
      </c>
      <c r="K63" s="7" t="n">
        <v>1</v>
      </c>
      <c r="L63" s="7"/>
      <c r="M63" s="7"/>
    </row>
    <row r="64" customFormat="false" ht="15.75" hidden="false" customHeight="false" outlineLevel="0" collapsed="false">
      <c r="A64" s="0" t="s">
        <v>28</v>
      </c>
      <c r="B64" s="1" t="n">
        <v>43924</v>
      </c>
      <c r="C64" s="7" t="n">
        <v>7910</v>
      </c>
      <c r="D64" s="7" t="n">
        <v>1074</v>
      </c>
      <c r="E64" s="7" t="n">
        <v>299</v>
      </c>
      <c r="F64" s="7" t="n">
        <v>59</v>
      </c>
      <c r="G64" s="7" t="n">
        <v>127</v>
      </c>
      <c r="H64" s="7" t="n">
        <v>7484</v>
      </c>
      <c r="I64" s="7" t="n">
        <v>296</v>
      </c>
      <c r="J64" s="7" t="n">
        <v>37</v>
      </c>
      <c r="K64" s="7" t="n">
        <v>1</v>
      </c>
      <c r="L64" s="7"/>
      <c r="M64" s="7"/>
    </row>
    <row r="65" customFormat="false" ht="15.75" hidden="false" customHeight="false" outlineLevel="0" collapsed="false">
      <c r="A65" s="0" t="s">
        <v>28</v>
      </c>
      <c r="B65" s="1" t="n">
        <v>43925</v>
      </c>
      <c r="C65" s="7" t="n">
        <v>9056</v>
      </c>
      <c r="D65" s="7" t="n">
        <v>1146</v>
      </c>
      <c r="E65" s="7" t="n">
        <v>359</v>
      </c>
      <c r="F65" s="7" t="n">
        <v>60</v>
      </c>
      <c r="G65" s="7" t="n">
        <v>127</v>
      </c>
      <c r="H65" s="7" t="n">
        <v>8570</v>
      </c>
      <c r="I65" s="7" t="n">
        <v>296</v>
      </c>
      <c r="J65" s="7" t="n">
        <v>43</v>
      </c>
      <c r="K65" s="7" t="n">
        <v>2</v>
      </c>
      <c r="L65" s="7"/>
      <c r="M65" s="7"/>
    </row>
    <row r="66" customFormat="false" ht="15.75" hidden="false" customHeight="false" outlineLevel="0" collapsed="false">
      <c r="A66" s="0" t="s">
        <v>28</v>
      </c>
      <c r="B66" s="1" t="n">
        <v>43926</v>
      </c>
      <c r="C66" s="7" t="n">
        <v>10278</v>
      </c>
      <c r="D66" s="7" t="n">
        <v>1222</v>
      </c>
      <c r="E66" s="7" t="n">
        <v>431</v>
      </c>
      <c r="F66" s="7" t="n">
        <v>72</v>
      </c>
      <c r="G66" s="7" t="n">
        <v>127</v>
      </c>
      <c r="H66" s="7" t="n">
        <v>9720</v>
      </c>
      <c r="I66" s="7" t="n">
        <v>296</v>
      </c>
      <c r="J66" s="7" t="n">
        <v>48</v>
      </c>
      <c r="K66" s="7" t="n">
        <v>2</v>
      </c>
      <c r="L66" s="7" t="n">
        <v>54824</v>
      </c>
      <c r="M66" s="7" t="n">
        <v>258</v>
      </c>
    </row>
    <row r="67" customFormat="false" ht="15.75" hidden="false" customHeight="false" outlineLevel="0" collapsed="false">
      <c r="A67" s="0" t="s">
        <v>28</v>
      </c>
      <c r="B67" s="1" t="n">
        <v>43927</v>
      </c>
      <c r="C67" s="7" t="n">
        <v>11130</v>
      </c>
      <c r="D67" s="7" t="n">
        <v>852</v>
      </c>
      <c r="E67" s="7" t="n">
        <v>486</v>
      </c>
      <c r="F67" s="7" t="n">
        <v>55</v>
      </c>
      <c r="G67" s="7" t="n">
        <v>127</v>
      </c>
      <c r="H67" s="7" t="n">
        <v>10517</v>
      </c>
      <c r="I67" s="7" t="n">
        <v>296</v>
      </c>
      <c r="J67" s="7" t="n">
        <v>52</v>
      </c>
      <c r="K67" s="7" t="n">
        <v>2</v>
      </c>
      <c r="L67" s="7" t="n">
        <v>54824</v>
      </c>
      <c r="M67" s="7" t="n">
        <v>258</v>
      </c>
    </row>
    <row r="68" customFormat="false" ht="15.75" hidden="false" customHeight="false" outlineLevel="0" collapsed="false">
      <c r="A68" s="0" t="s">
        <v>28</v>
      </c>
      <c r="B68" s="1" t="n">
        <v>43928</v>
      </c>
      <c r="C68" s="12" t="n">
        <v>12056</v>
      </c>
      <c r="D68" s="12" t="n">
        <v>926</v>
      </c>
      <c r="E68" s="12" t="n">
        <v>553</v>
      </c>
      <c r="F68" s="12" t="n">
        <v>67</v>
      </c>
      <c r="G68" s="12" t="n">
        <v>127</v>
      </c>
      <c r="H68" s="12" t="n">
        <v>11376</v>
      </c>
      <c r="I68" s="12" t="n">
        <v>296</v>
      </c>
      <c r="J68" s="12" t="n">
        <v>57</v>
      </c>
      <c r="K68" s="12" t="n">
        <v>3</v>
      </c>
      <c r="L68" s="12" t="n">
        <v>54824</v>
      </c>
      <c r="M68" s="12" t="n">
        <v>258</v>
      </c>
    </row>
    <row r="69" customFormat="false" ht="15.75" hidden="false" customHeight="false" outlineLevel="0" collapsed="false">
      <c r="A69" s="0" t="s">
        <v>28</v>
      </c>
      <c r="B69" s="1" t="n">
        <v>43929</v>
      </c>
      <c r="C69" s="14" t="n">
        <v>14018</v>
      </c>
      <c r="D69" s="14" t="n">
        <v>1962</v>
      </c>
      <c r="E69" s="14" t="n">
        <v>686</v>
      </c>
      <c r="F69" s="14" t="n">
        <v>133</v>
      </c>
      <c r="G69" s="14" t="n">
        <v>127</v>
      </c>
      <c r="H69" s="14" t="n">
        <v>13205</v>
      </c>
      <c r="I69" s="14" t="n">
        <v>296</v>
      </c>
      <c r="J69" s="14" t="n">
        <v>66</v>
      </c>
      <c r="K69" s="14" t="n">
        <v>3</v>
      </c>
      <c r="L69" s="14" t="n">
        <v>54824</v>
      </c>
      <c r="M69" s="14" t="n">
        <v>258</v>
      </c>
    </row>
    <row r="70" customFormat="false" ht="15.75" hidden="false" customHeight="false" outlineLevel="0" collapsed="false">
      <c r="A70" s="0" t="s">
        <v>28</v>
      </c>
      <c r="B70" s="1" t="n">
        <v>43930</v>
      </c>
      <c r="C70" s="14" t="n">
        <v>15927</v>
      </c>
      <c r="D70" s="14" t="n">
        <v>1909</v>
      </c>
      <c r="E70" s="14" t="n">
        <v>800</v>
      </c>
      <c r="F70" s="14" t="n">
        <v>114</v>
      </c>
      <c r="G70" s="14" t="n">
        <v>127</v>
      </c>
      <c r="H70" s="14" t="n">
        <v>15000</v>
      </c>
      <c r="I70" s="14" t="n">
        <v>296</v>
      </c>
      <c r="J70" s="14" t="n">
        <v>75</v>
      </c>
      <c r="K70" s="14" t="n">
        <v>4</v>
      </c>
      <c r="L70" s="14" t="n">
        <v>54824</v>
      </c>
      <c r="M70" s="14" t="n">
        <v>258</v>
      </c>
    </row>
    <row r="71" customFormat="false" ht="15.75" hidden="false" customHeight="false" outlineLevel="0" collapsed="false">
      <c r="A71" s="0" t="s">
        <v>28</v>
      </c>
      <c r="B71" s="1" t="n">
        <v>43931</v>
      </c>
      <c r="C71" s="14" t="n">
        <v>17857</v>
      </c>
      <c r="D71" s="14" t="n">
        <v>1930</v>
      </c>
      <c r="E71" s="14" t="n">
        <v>941</v>
      </c>
      <c r="F71" s="14" t="n">
        <v>141</v>
      </c>
      <c r="G71" s="14" t="n">
        <v>173</v>
      </c>
      <c r="H71" s="14" t="n">
        <v>16743</v>
      </c>
      <c r="I71" s="14" t="n">
        <v>296</v>
      </c>
      <c r="J71" s="14" t="n">
        <v>84</v>
      </c>
      <c r="K71" s="14" t="n">
        <v>4</v>
      </c>
      <c r="L71" s="14" t="n">
        <v>63000</v>
      </c>
      <c r="M71" s="14" t="n">
        <v>296</v>
      </c>
    </row>
    <row r="72" customFormat="false" ht="15.75" hidden="false" customHeight="false" outlineLevel="0" collapsed="false">
      <c r="A72" s="0" t="s">
        <v>28</v>
      </c>
      <c r="B72" s="1" t="n">
        <v>43932</v>
      </c>
      <c r="C72" s="14" t="n">
        <v>19638</v>
      </c>
      <c r="D72" s="14" t="n">
        <v>1781</v>
      </c>
      <c r="E72" s="14" t="n">
        <v>1057</v>
      </c>
      <c r="F72" s="14" t="n">
        <v>116</v>
      </c>
      <c r="G72" s="14" t="n">
        <v>173</v>
      </c>
      <c r="H72" s="14" t="n">
        <v>18408</v>
      </c>
      <c r="I72" s="14" t="n">
        <v>296</v>
      </c>
      <c r="J72" s="14" t="n">
        <v>92</v>
      </c>
      <c r="K72" s="14" t="n">
        <v>5</v>
      </c>
      <c r="L72" s="14" t="n">
        <v>62985</v>
      </c>
      <c r="M72" s="14" t="n">
        <v>296</v>
      </c>
    </row>
    <row r="73" customFormat="false" ht="15.75" hidden="false" customHeight="false" outlineLevel="0" collapsed="false">
      <c r="A73" s="0" t="s">
        <v>28</v>
      </c>
      <c r="B73" s="1" t="n">
        <v>43933</v>
      </c>
      <c r="C73" s="14" t="n">
        <v>20727</v>
      </c>
      <c r="D73" s="14" t="n">
        <v>1089</v>
      </c>
      <c r="E73" s="14" t="n">
        <v>1124</v>
      </c>
      <c r="F73" s="14" t="n">
        <v>67</v>
      </c>
      <c r="G73" s="14" t="n">
        <v>173</v>
      </c>
      <c r="H73" s="14" t="n">
        <v>19430</v>
      </c>
      <c r="I73" s="14" t="n">
        <v>296</v>
      </c>
      <c r="J73" s="14" t="n">
        <v>98</v>
      </c>
      <c r="K73" s="14" t="n">
        <v>5</v>
      </c>
      <c r="L73" s="14" t="n">
        <v>62985</v>
      </c>
      <c r="M73" s="14" t="n">
        <v>296</v>
      </c>
    </row>
    <row r="74" customFormat="false" ht="15.75" hidden="false" customHeight="false" outlineLevel="0" collapsed="false">
      <c r="A74" s="0" t="s">
        <v>28</v>
      </c>
      <c r="B74" s="1" t="n">
        <v>43934</v>
      </c>
      <c r="C74" s="14" t="n">
        <v>22169</v>
      </c>
      <c r="D74" s="14" t="n">
        <v>1442</v>
      </c>
      <c r="E74" s="14" t="n">
        <v>1223</v>
      </c>
      <c r="F74" s="14" t="n">
        <v>99</v>
      </c>
      <c r="G74" s="14" t="n">
        <v>173</v>
      </c>
      <c r="H74" s="14" t="n">
        <v>20773</v>
      </c>
      <c r="I74" s="14" t="n">
        <v>296</v>
      </c>
      <c r="J74" s="14" t="n">
        <v>104</v>
      </c>
      <c r="K74" s="14" t="n">
        <v>6</v>
      </c>
      <c r="L74" s="14" t="n">
        <v>62985</v>
      </c>
      <c r="M74" s="14" t="n">
        <v>296</v>
      </c>
    </row>
    <row r="75" customFormat="false" ht="15.75" hidden="false" customHeight="false" outlineLevel="0" collapsed="false">
      <c r="A75" s="0" t="s">
        <v>28</v>
      </c>
      <c r="B75" s="1" t="n">
        <v>43935</v>
      </c>
      <c r="C75" s="14" t="n">
        <v>23430</v>
      </c>
      <c r="D75" s="14" t="n">
        <v>1261</v>
      </c>
      <c r="E75" s="14" t="n">
        <v>1328</v>
      </c>
      <c r="F75" s="14" t="n">
        <v>105</v>
      </c>
      <c r="G75" s="14" t="n">
        <v>173</v>
      </c>
      <c r="H75" s="14" t="n">
        <v>21929</v>
      </c>
      <c r="I75" s="14" t="n">
        <v>296</v>
      </c>
      <c r="J75" s="14" t="n">
        <v>110</v>
      </c>
      <c r="K75" s="14" t="n">
        <v>6</v>
      </c>
      <c r="L75" s="14" t="n">
        <v>62985</v>
      </c>
      <c r="M75" s="14" t="n">
        <v>296</v>
      </c>
    </row>
    <row r="76" customFormat="false" ht="15.75" hidden="false" customHeight="false" outlineLevel="0" collapsed="false">
      <c r="A76" s="0" t="s">
        <v>28</v>
      </c>
      <c r="B76" s="1" t="n">
        <v>43936</v>
      </c>
      <c r="C76" s="14" t="n">
        <v>24920</v>
      </c>
      <c r="D76" s="14" t="n">
        <v>1490</v>
      </c>
      <c r="E76" s="14" t="n">
        <v>1489</v>
      </c>
      <c r="F76" s="14" t="n">
        <v>161</v>
      </c>
      <c r="G76" s="14" t="n">
        <v>3046</v>
      </c>
      <c r="H76" s="14" t="n">
        <v>20385</v>
      </c>
      <c r="I76" s="14" t="n">
        <v>296</v>
      </c>
      <c r="J76" s="14" t="n">
        <v>117</v>
      </c>
      <c r="K76" s="14" t="n">
        <v>7</v>
      </c>
      <c r="L76" s="14" t="n">
        <v>62985</v>
      </c>
      <c r="M76" s="14" t="n">
        <v>296</v>
      </c>
    </row>
    <row r="77" customFormat="false" ht="15.75" hidden="false" customHeight="false" outlineLevel="0" collapsed="false">
      <c r="A77" s="0" t="s">
        <v>28</v>
      </c>
      <c r="B77" s="1" t="n">
        <v>43937</v>
      </c>
      <c r="C77" s="14" t="n">
        <v>28320</v>
      </c>
      <c r="D77" s="14" t="n">
        <v>3400</v>
      </c>
      <c r="E77" s="14" t="n">
        <v>1736</v>
      </c>
      <c r="F77" s="14" t="n">
        <v>247</v>
      </c>
      <c r="G77" s="14" t="n">
        <v>14026</v>
      </c>
      <c r="H77" s="14" t="n">
        <v>12558</v>
      </c>
      <c r="I77" s="14" t="n">
        <v>296</v>
      </c>
      <c r="J77" s="14" t="n">
        <v>133</v>
      </c>
      <c r="K77" s="14" t="n">
        <v>8</v>
      </c>
      <c r="L77" s="14" t="n">
        <v>62985</v>
      </c>
      <c r="M77" s="14" t="n">
        <v>296</v>
      </c>
    </row>
    <row r="78" customFormat="false" ht="15.75" hidden="false" customHeight="false" outlineLevel="0" collapsed="false">
      <c r="A78" s="0" t="s">
        <v>28</v>
      </c>
      <c r="B78" s="1" t="n">
        <v>43938</v>
      </c>
      <c r="C78" s="14" t="n">
        <v>30683</v>
      </c>
      <c r="D78" s="14" t="n">
        <v>2363</v>
      </c>
      <c r="E78" s="14" t="n">
        <v>1947</v>
      </c>
      <c r="F78" s="14" t="n">
        <v>211</v>
      </c>
      <c r="G78" s="14" t="n">
        <v>14026</v>
      </c>
      <c r="H78" s="14" t="n">
        <v>14710</v>
      </c>
      <c r="I78" s="14" t="n">
        <v>6634</v>
      </c>
      <c r="J78" s="14" t="n">
        <v>144</v>
      </c>
      <c r="K78" s="14" t="n">
        <v>9</v>
      </c>
      <c r="L78" s="14" t="n">
        <v>62985</v>
      </c>
      <c r="M78" s="14" t="n">
        <v>296</v>
      </c>
    </row>
    <row r="79" customFormat="false" ht="15.75" hidden="false" customHeight="false" outlineLevel="0" collapsed="false">
      <c r="A79" s="0" t="s">
        <v>28</v>
      </c>
      <c r="B79" s="1" t="n">
        <v>43939</v>
      </c>
      <c r="C79" s="14" t="n">
        <v>33682</v>
      </c>
      <c r="D79" s="14" t="n">
        <v>2999</v>
      </c>
      <c r="E79" s="14" t="n">
        <v>2141</v>
      </c>
      <c r="F79" s="14" t="n">
        <v>194</v>
      </c>
      <c r="G79" s="14" t="n">
        <v>14026</v>
      </c>
      <c r="H79" s="14" t="n">
        <v>17515</v>
      </c>
      <c r="I79" s="14" t="n">
        <v>6634</v>
      </c>
      <c r="J79" s="14" t="n">
        <v>158</v>
      </c>
      <c r="K79" s="14" t="n">
        <v>10</v>
      </c>
      <c r="L79" s="14" t="n">
        <v>62985</v>
      </c>
      <c r="M79" s="14" t="n">
        <v>296</v>
      </c>
    </row>
    <row r="80" customFormat="false" ht="15.75" hidden="false" customHeight="false" outlineLevel="0" collapsed="false">
      <c r="A80" s="0" t="s">
        <v>28</v>
      </c>
      <c r="B80" s="1" t="n">
        <v>43940</v>
      </c>
      <c r="C80" s="14" t="n">
        <v>36658</v>
      </c>
      <c r="D80" s="14" t="n">
        <v>2976</v>
      </c>
      <c r="E80" s="14" t="n">
        <v>2354</v>
      </c>
      <c r="F80" s="14" t="n">
        <v>213</v>
      </c>
      <c r="G80" s="14" t="n">
        <v>14026</v>
      </c>
      <c r="H80" s="14" t="n">
        <v>20278</v>
      </c>
      <c r="I80" s="14" t="n">
        <v>6634</v>
      </c>
      <c r="J80" s="14" t="n">
        <v>172</v>
      </c>
      <c r="K80" s="14" t="n">
        <v>11</v>
      </c>
      <c r="L80" s="14" t="n">
        <v>62985</v>
      </c>
      <c r="M80" s="14" t="n">
        <v>296</v>
      </c>
    </row>
    <row r="81" customFormat="false" ht="15.75" hidden="false" customHeight="false" outlineLevel="0" collapsed="false">
      <c r="A81" s="0" t="s">
        <v>28</v>
      </c>
      <c r="B81" s="1" t="n">
        <v>43941</v>
      </c>
      <c r="C81" s="14" t="n">
        <v>38654</v>
      </c>
      <c r="D81" s="14" t="n">
        <v>1996</v>
      </c>
      <c r="E81" s="14" t="n">
        <v>2462</v>
      </c>
      <c r="F81" s="14" t="n">
        <v>108</v>
      </c>
      <c r="G81" s="14" t="n">
        <v>14026</v>
      </c>
      <c r="H81" s="14" t="n">
        <v>22166</v>
      </c>
      <c r="I81" s="14" t="n">
        <v>6634</v>
      </c>
      <c r="J81" s="14" t="n">
        <v>182</v>
      </c>
      <c r="K81" s="14" t="n">
        <v>12</v>
      </c>
      <c r="L81" s="14" t="n">
        <v>62985</v>
      </c>
      <c r="M81" s="14" t="n">
        <v>296</v>
      </c>
    </row>
    <row r="82" customFormat="false" ht="15.75" hidden="false" customHeight="false" outlineLevel="0" collapsed="false">
      <c r="A82" s="0" t="s">
        <v>28</v>
      </c>
      <c r="B82" s="1" t="n">
        <v>43942</v>
      </c>
      <c r="C82" s="6" t="n">
        <v>40581</v>
      </c>
      <c r="D82" s="6" t="n">
        <v>1927</v>
      </c>
      <c r="E82" s="6" t="n">
        <v>2575</v>
      </c>
      <c r="F82" s="6" t="n">
        <v>113</v>
      </c>
      <c r="G82" s="6" t="n">
        <v>22130</v>
      </c>
      <c r="H82" s="6" t="n">
        <v>15876</v>
      </c>
      <c r="I82" s="6" t="n">
        <v>7919</v>
      </c>
      <c r="J82" s="6" t="n">
        <v>191</v>
      </c>
      <c r="K82" s="6" t="n">
        <v>12</v>
      </c>
      <c r="L82" s="6" t="n">
        <v>62985</v>
      </c>
      <c r="M82" s="6" t="n">
        <v>296</v>
      </c>
    </row>
    <row r="83" customFormat="false" ht="15.75" hidden="false" customHeight="false" outlineLevel="0" collapsed="false">
      <c r="A83" s="0" t="s">
        <v>28</v>
      </c>
      <c r="B83" s="1" t="n">
        <v>43943</v>
      </c>
      <c r="C83" s="6" t="n">
        <v>43079</v>
      </c>
      <c r="D83" s="6" t="n">
        <v>2498</v>
      </c>
      <c r="E83" s="6" t="n">
        <v>2741</v>
      </c>
      <c r="F83" s="6" t="n">
        <v>166</v>
      </c>
      <c r="G83" s="6" t="n">
        <v>22991</v>
      </c>
      <c r="H83" s="6" t="n">
        <v>17347</v>
      </c>
      <c r="I83" s="6" t="n">
        <v>8318</v>
      </c>
      <c r="J83" s="6" t="n">
        <v>203</v>
      </c>
      <c r="K83" s="6" t="n">
        <v>13</v>
      </c>
      <c r="L83" s="6" t="n">
        <v>291922</v>
      </c>
      <c r="M83" s="6" t="n">
        <v>1373</v>
      </c>
    </row>
    <row r="84" customFormat="false" ht="15.75" hidden="false" customHeight="false" outlineLevel="0" collapsed="false">
      <c r="A84" s="0" t="s">
        <v>28</v>
      </c>
      <c r="B84" s="1" t="n">
        <v>43944</v>
      </c>
      <c r="C84" s="6" t="n">
        <v>45757</v>
      </c>
      <c r="D84" s="6" t="n">
        <v>2678</v>
      </c>
      <c r="E84" s="6" t="n">
        <v>2906</v>
      </c>
      <c r="F84" s="6" t="n">
        <v>165</v>
      </c>
      <c r="G84" s="6" t="n">
        <v>25318</v>
      </c>
      <c r="H84" s="6" t="n">
        <v>17533</v>
      </c>
      <c r="I84" s="6" t="n">
        <v>8318</v>
      </c>
      <c r="J84" s="6" t="n">
        <v>215</v>
      </c>
      <c r="K84" s="6" t="n">
        <v>14</v>
      </c>
      <c r="L84" s="6" t="n">
        <v>291922</v>
      </c>
      <c r="M84" s="6" t="n">
        <v>1373</v>
      </c>
    </row>
    <row r="85" customFormat="false" ht="15.75" hidden="false" customHeight="false" outlineLevel="0" collapsed="false">
      <c r="A85" s="0" t="s">
        <v>28</v>
      </c>
      <c r="B85" s="1" t="n">
        <v>43945</v>
      </c>
      <c r="C85" s="6" t="n">
        <v>49492</v>
      </c>
      <c r="D85" s="6" t="n">
        <v>3735</v>
      </c>
      <c r="E85" s="6" t="n">
        <v>3313</v>
      </c>
      <c r="F85" s="6" t="n">
        <v>407</v>
      </c>
      <c r="G85" s="6" t="n">
        <v>26573</v>
      </c>
      <c r="H85" s="6" t="n">
        <v>19606</v>
      </c>
      <c r="I85" s="6" t="n">
        <v>8318</v>
      </c>
      <c r="J85" s="6" t="n">
        <v>233</v>
      </c>
      <c r="K85" s="6" t="n">
        <v>16</v>
      </c>
      <c r="L85" s="6" t="n">
        <v>291922</v>
      </c>
      <c r="M85" s="6" t="n">
        <v>1373</v>
      </c>
    </row>
    <row r="86" customFormat="false" ht="15.75" hidden="false" customHeight="false" outlineLevel="0" collapsed="false">
      <c r="A86" s="0" t="s">
        <v>28</v>
      </c>
      <c r="B86" s="1" t="n">
        <v>43946</v>
      </c>
      <c r="C86" s="6" t="n">
        <v>52995</v>
      </c>
      <c r="D86" s="6" t="n">
        <v>3503</v>
      </c>
      <c r="E86" s="6" t="n">
        <v>3670</v>
      </c>
      <c r="F86" s="6" t="n">
        <v>357</v>
      </c>
      <c r="G86" s="6" t="n">
        <v>26573</v>
      </c>
      <c r="H86" s="6" t="n">
        <v>22752</v>
      </c>
      <c r="I86" s="6" t="n">
        <v>8318</v>
      </c>
      <c r="J86" s="6" t="n">
        <v>249</v>
      </c>
      <c r="K86" s="6" t="n">
        <v>17</v>
      </c>
      <c r="L86" s="6" t="n">
        <v>291922</v>
      </c>
      <c r="M86" s="6" t="n">
        <v>1373</v>
      </c>
    </row>
    <row r="87" customFormat="false" ht="15.75" hidden="false" customHeight="false" outlineLevel="0" collapsed="false">
      <c r="A87" s="0" t="s">
        <v>28</v>
      </c>
      <c r="B87" s="1" t="n">
        <v>43947</v>
      </c>
      <c r="C87" s="6" t="n">
        <v>58616</v>
      </c>
      <c r="D87" s="6" t="n">
        <v>5621</v>
      </c>
      <c r="E87" s="6" t="n">
        <v>4016</v>
      </c>
      <c r="F87" s="6" t="n">
        <v>346</v>
      </c>
      <c r="G87" s="6" t="n">
        <v>27655</v>
      </c>
      <c r="H87" s="6" t="n">
        <v>26945</v>
      </c>
      <c r="I87" s="6" t="n">
        <v>8318</v>
      </c>
      <c r="J87" s="6" t="n">
        <v>276</v>
      </c>
      <c r="K87" s="6" t="n">
        <v>19</v>
      </c>
      <c r="L87" s="6" t="n">
        <v>291922</v>
      </c>
      <c r="M87" s="6" t="n">
        <v>1373</v>
      </c>
    </row>
    <row r="88" customFormat="false" ht="15.75" hidden="false" customHeight="false" outlineLevel="0" collapsed="false">
      <c r="A88" s="0" t="s">
        <v>28</v>
      </c>
      <c r="B88" s="1" t="n">
        <v>43948</v>
      </c>
      <c r="C88" s="6" t="n">
        <v>61888</v>
      </c>
      <c r="D88" s="6" t="n">
        <v>3272</v>
      </c>
      <c r="E88" s="6" t="n">
        <v>4205</v>
      </c>
      <c r="F88" s="6" t="n">
        <v>189</v>
      </c>
      <c r="G88" s="6" t="n">
        <v>30152</v>
      </c>
      <c r="H88" s="6" t="n">
        <v>27531</v>
      </c>
      <c r="I88" s="6" t="n">
        <v>8318</v>
      </c>
      <c r="J88" s="6" t="n">
        <v>291</v>
      </c>
      <c r="K88" s="6" t="n">
        <v>20</v>
      </c>
      <c r="L88" s="6" t="n">
        <v>291922</v>
      </c>
      <c r="M88" s="6" t="n">
        <v>1373</v>
      </c>
    </row>
    <row r="89" customFormat="false" ht="15.75" hidden="false" customHeight="false" outlineLevel="0" collapsed="false">
      <c r="A89" s="0" t="s">
        <v>28</v>
      </c>
      <c r="B89" s="1" t="n">
        <v>43949</v>
      </c>
      <c r="C89" s="6" t="n">
        <v>66501</v>
      </c>
      <c r="D89" s="6" t="n">
        <v>4613</v>
      </c>
      <c r="E89" s="6" t="n">
        <v>4543</v>
      </c>
      <c r="F89" s="6" t="n">
        <v>338</v>
      </c>
      <c r="G89" s="6" t="n">
        <v>31142</v>
      </c>
      <c r="H89" s="6" t="n">
        <v>30816</v>
      </c>
      <c r="I89" s="6" t="n">
        <v>8318</v>
      </c>
      <c r="J89" s="6" t="n">
        <v>313</v>
      </c>
      <c r="K89" s="6" t="n">
        <v>21</v>
      </c>
      <c r="L89" s="6" t="n">
        <v>291922</v>
      </c>
      <c r="M89" s="6" t="n">
        <v>1373</v>
      </c>
    </row>
    <row r="90" customFormat="false" ht="15.75" hidden="false" customHeight="false" outlineLevel="0" collapsed="false">
      <c r="A90" s="0" t="s">
        <v>28</v>
      </c>
      <c r="B90" s="1" t="n">
        <v>43950</v>
      </c>
      <c r="C90" s="6" t="n">
        <v>71886</v>
      </c>
      <c r="D90" s="6" t="n">
        <v>5385</v>
      </c>
      <c r="E90" s="6" t="n">
        <v>5017</v>
      </c>
      <c r="F90" s="6" t="n">
        <v>474</v>
      </c>
      <c r="G90" s="6" t="n">
        <v>32544</v>
      </c>
      <c r="H90" s="6" t="n">
        <v>34325</v>
      </c>
      <c r="I90" s="6" t="n">
        <v>8318</v>
      </c>
      <c r="J90" s="6" t="n">
        <v>338</v>
      </c>
      <c r="K90" s="6" t="n">
        <v>24</v>
      </c>
      <c r="L90" s="6" t="n">
        <v>339552</v>
      </c>
      <c r="M90" s="6" t="n">
        <v>1597</v>
      </c>
    </row>
    <row r="91" customFormat="false" ht="15.75" hidden="false" customHeight="false" outlineLevel="0" collapsed="false">
      <c r="A91" s="0" t="s">
        <v>28</v>
      </c>
      <c r="B91" s="1" t="n">
        <v>43951</v>
      </c>
      <c r="C91" s="6" t="n">
        <v>78162</v>
      </c>
      <c r="D91" s="6" t="n">
        <v>6276</v>
      </c>
      <c r="E91" s="6" t="n">
        <v>5466</v>
      </c>
      <c r="F91" s="6" t="n">
        <v>449</v>
      </c>
      <c r="G91" s="6" t="n">
        <v>34132</v>
      </c>
      <c r="H91" s="6" t="n">
        <v>38564</v>
      </c>
      <c r="I91" s="6" t="n">
        <v>8318</v>
      </c>
      <c r="J91" s="6" t="n">
        <v>368</v>
      </c>
      <c r="K91" s="6" t="n">
        <v>26</v>
      </c>
      <c r="L91" s="6" t="n">
        <v>339552</v>
      </c>
      <c r="M91" s="6" t="n">
        <v>1597</v>
      </c>
    </row>
    <row r="92" customFormat="false" ht="15.75" hidden="false" customHeight="false" outlineLevel="0" collapsed="false">
      <c r="A92" s="0" t="s">
        <v>28</v>
      </c>
      <c r="B92" s="1" t="n">
        <v>43952</v>
      </c>
      <c r="C92" s="6" t="n">
        <v>85380</v>
      </c>
      <c r="D92" s="6" t="n">
        <v>7218</v>
      </c>
      <c r="E92" s="6" t="n">
        <v>5901</v>
      </c>
      <c r="F92" s="6" t="n">
        <v>435</v>
      </c>
      <c r="G92" s="6" t="n">
        <v>35935</v>
      </c>
      <c r="H92" s="6" t="n">
        <v>43544</v>
      </c>
      <c r="I92" s="6" t="n">
        <v>8318</v>
      </c>
      <c r="J92" s="6" t="n">
        <v>402</v>
      </c>
      <c r="K92" s="6" t="n">
        <v>28</v>
      </c>
      <c r="L92" s="6" t="n">
        <v>339552</v>
      </c>
      <c r="M92" s="6" t="n">
        <v>1597</v>
      </c>
    </row>
    <row r="93" customFormat="false" ht="15.75" hidden="false" customHeight="false" outlineLevel="0" collapsed="false">
      <c r="A93" s="0" t="s">
        <v>28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28</v>
      </c>
      <c r="B94" s="1" t="n">
        <v>43954</v>
      </c>
      <c r="C94" s="6" t="n">
        <v>96559</v>
      </c>
      <c r="D94" s="6" t="e">
        <f aca="false">C94-C93</f>
        <v>#REF!</v>
      </c>
      <c r="E94" s="6" t="n">
        <v>6750</v>
      </c>
      <c r="F94" s="6" t="e">
        <f aca="false">E94-E93</f>
        <v>#REF!</v>
      </c>
      <c r="G94" s="6" t="n">
        <v>40937</v>
      </c>
      <c r="H94" s="6" t="n">
        <f aca="false">C94-E94-G94</f>
        <v>48872</v>
      </c>
      <c r="I94" s="6" t="n">
        <v>8318</v>
      </c>
      <c r="J94" s="6" t="n">
        <v>454</v>
      </c>
      <c r="K94" s="6" t="n">
        <v>32</v>
      </c>
      <c r="L94" s="6" t="n">
        <v>339552</v>
      </c>
      <c r="M94" s="6" t="n">
        <v>1597</v>
      </c>
    </row>
    <row r="95" customFormat="false" ht="15.75" hidden="false" customHeight="false" outlineLevel="0" collapsed="false">
      <c r="A95" s="0" t="s">
        <v>28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28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28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28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28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28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28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28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28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28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28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28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28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28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28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28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28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28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28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28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28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28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28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28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28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28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28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28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28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28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28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28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28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28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28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28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28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28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28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28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28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28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28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28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28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28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28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28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28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28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28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28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28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28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28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28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28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28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28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28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28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28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28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28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28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28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28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28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28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28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28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28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28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28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28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28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28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28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28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28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28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28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28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28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28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28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28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28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28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28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28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28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28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29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29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29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29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29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29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29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29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29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29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29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29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29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29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29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29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29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29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29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29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29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29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29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29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29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29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29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29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29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29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29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29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29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29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29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29</v>
      </c>
      <c r="B37" s="1" t="n">
        <v>43897</v>
      </c>
      <c r="C37" s="8" t="n">
        <v>13</v>
      </c>
      <c r="D37" s="8" t="n">
        <v>6</v>
      </c>
      <c r="E37" s="8"/>
      <c r="F37" s="8"/>
      <c r="G37" s="8" t="n">
        <v>2</v>
      </c>
      <c r="H37" s="8" t="n">
        <v>11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29</v>
      </c>
      <c r="B38" s="1" t="n">
        <v>43898</v>
      </c>
      <c r="C38" s="6" t="n">
        <v>15</v>
      </c>
      <c r="D38" s="6" t="n">
        <v>2</v>
      </c>
      <c r="E38" s="6"/>
      <c r="F38" s="6"/>
      <c r="G38" s="6" t="n">
        <v>3</v>
      </c>
      <c r="H38" s="6" t="n">
        <v>12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29</v>
      </c>
      <c r="B39" s="1" t="n">
        <v>43899</v>
      </c>
      <c r="C39" s="6" t="n">
        <v>17</v>
      </c>
      <c r="D39" s="6" t="n">
        <v>2</v>
      </c>
      <c r="E39" s="6"/>
      <c r="F39" s="6"/>
      <c r="G39" s="6" t="n">
        <v>3</v>
      </c>
      <c r="H39" s="6" t="n">
        <v>14</v>
      </c>
      <c r="I39" s="6"/>
      <c r="J39" s="6" t="n">
        <v>0.1</v>
      </c>
      <c r="K39" s="6"/>
      <c r="L39" s="6"/>
      <c r="M39" s="6"/>
    </row>
    <row r="40" customFormat="false" ht="15.75" hidden="false" customHeight="false" outlineLevel="0" collapsed="false">
      <c r="A40" s="0" t="s">
        <v>29</v>
      </c>
      <c r="B40" s="1" t="n">
        <v>43900</v>
      </c>
      <c r="C40" s="6" t="n">
        <v>20</v>
      </c>
      <c r="D40" s="6" t="n">
        <v>3</v>
      </c>
      <c r="E40" s="6"/>
      <c r="F40" s="6"/>
      <c r="G40" s="6" t="n">
        <v>3</v>
      </c>
      <c r="H40" s="6" t="n">
        <v>17</v>
      </c>
      <c r="I40" s="6"/>
      <c r="J40" s="6" t="n">
        <v>0.1</v>
      </c>
      <c r="K40" s="6"/>
      <c r="L40" s="6"/>
      <c r="M40" s="6"/>
    </row>
    <row r="41" customFormat="false" ht="15.75" hidden="false" customHeight="false" outlineLevel="0" collapsed="false">
      <c r="A41" s="0" t="s">
        <v>29</v>
      </c>
      <c r="B41" s="1" t="n">
        <v>43901</v>
      </c>
      <c r="C41" s="6" t="n">
        <v>20</v>
      </c>
      <c r="D41" s="6" t="n">
        <v>0</v>
      </c>
      <c r="E41" s="6"/>
      <c r="F41" s="6"/>
      <c r="G41" s="6" t="n">
        <v>3</v>
      </c>
      <c r="H41" s="6" t="n">
        <v>17</v>
      </c>
      <c r="I41" s="6"/>
      <c r="J41" s="6" t="n">
        <v>0.1</v>
      </c>
      <c r="K41" s="6"/>
      <c r="L41" s="6"/>
      <c r="M41" s="6"/>
    </row>
    <row r="42" customFormat="false" ht="15.75" hidden="false" customHeight="false" outlineLevel="0" collapsed="false">
      <c r="A42" s="0" t="s">
        <v>29</v>
      </c>
      <c r="B42" s="1" t="n">
        <v>43902</v>
      </c>
      <c r="C42" s="6" t="n">
        <v>20</v>
      </c>
      <c r="D42" s="6" t="n">
        <v>0</v>
      </c>
      <c r="E42" s="6"/>
      <c r="F42" s="6"/>
      <c r="G42" s="6" t="n">
        <v>3</v>
      </c>
      <c r="H42" s="6" t="n">
        <v>17</v>
      </c>
      <c r="I42" s="6"/>
      <c r="J42" s="6" t="n">
        <v>0.1</v>
      </c>
      <c r="K42" s="6"/>
      <c r="L42" s="6"/>
      <c r="M42" s="6"/>
    </row>
    <row r="43" customFormat="false" ht="15.75" hidden="false" customHeight="false" outlineLevel="0" collapsed="false">
      <c r="A43" s="0" t="s">
        <v>29</v>
      </c>
      <c r="B43" s="1" t="n">
        <v>43903</v>
      </c>
      <c r="C43" s="6" t="n">
        <v>34</v>
      </c>
      <c r="D43" s="6" t="n">
        <v>14</v>
      </c>
      <c r="E43" s="6"/>
      <c r="F43" s="6"/>
      <c r="G43" s="6" t="n">
        <v>3</v>
      </c>
      <c r="H43" s="6" t="n">
        <v>31</v>
      </c>
      <c r="I43" s="6"/>
      <c r="J43" s="6" t="n">
        <v>0.2</v>
      </c>
      <c r="K43" s="6"/>
      <c r="L43" s="6"/>
      <c r="M43" s="6"/>
    </row>
    <row r="44" customFormat="false" ht="15.75" hidden="false" customHeight="false" outlineLevel="0" collapsed="false">
      <c r="A44" s="0" t="s">
        <v>29</v>
      </c>
      <c r="B44" s="1" t="n">
        <v>43904</v>
      </c>
      <c r="C44" s="6" t="n">
        <v>45</v>
      </c>
      <c r="D44" s="6" t="n">
        <v>11</v>
      </c>
      <c r="E44" s="6"/>
      <c r="F44" s="6"/>
      <c r="G44" s="6" t="n">
        <v>8</v>
      </c>
      <c r="H44" s="6" t="n">
        <v>37</v>
      </c>
      <c r="I44" s="6"/>
      <c r="J44" s="6" t="n">
        <v>0.3</v>
      </c>
      <c r="K44" s="6"/>
      <c r="L44" s="6"/>
      <c r="M44" s="6"/>
    </row>
    <row r="45" customFormat="false" ht="15.75" hidden="false" customHeight="false" outlineLevel="0" collapsed="false">
      <c r="A45" s="0" t="s">
        <v>29</v>
      </c>
      <c r="B45" s="1" t="n">
        <v>43905</v>
      </c>
      <c r="C45" s="6" t="n">
        <v>59</v>
      </c>
      <c r="D45" s="6" t="n">
        <v>14</v>
      </c>
      <c r="E45" s="6"/>
      <c r="F45" s="6"/>
      <c r="G45" s="6" t="n">
        <v>8</v>
      </c>
      <c r="H45" s="6" t="n">
        <v>51</v>
      </c>
      <c r="I45" s="6"/>
      <c r="J45" s="6" t="n">
        <v>0.4</v>
      </c>
      <c r="K45" s="6"/>
      <c r="L45" s="6"/>
      <c r="M45" s="6"/>
    </row>
    <row r="46" customFormat="false" ht="15.75" hidden="false" customHeight="false" outlineLevel="0" collapsed="false">
      <c r="A46" s="0" t="s">
        <v>29</v>
      </c>
      <c r="B46" s="1" t="n">
        <v>43906</v>
      </c>
      <c r="C46" s="6" t="n">
        <v>63</v>
      </c>
      <c r="D46" s="6" t="n">
        <v>4</v>
      </c>
      <c r="E46" s="6"/>
      <c r="F46" s="6"/>
      <c r="G46" s="6" t="n">
        <v>8</v>
      </c>
      <c r="H46" s="6" t="n">
        <v>55</v>
      </c>
      <c r="I46" s="6"/>
      <c r="J46" s="6" t="n">
        <v>0.4</v>
      </c>
      <c r="K46" s="6"/>
      <c r="L46" s="6"/>
      <c r="M46" s="6"/>
    </row>
    <row r="47" customFormat="false" ht="15.75" hidden="false" customHeight="false" outlineLevel="0" collapsed="false">
      <c r="A47" s="0" t="s">
        <v>29</v>
      </c>
      <c r="B47" s="1" t="n">
        <v>43907</v>
      </c>
      <c r="C47" s="6" t="n">
        <v>93</v>
      </c>
      <c r="D47" s="6" t="n">
        <v>30</v>
      </c>
      <c r="E47" s="6"/>
      <c r="F47" s="6"/>
      <c r="G47" s="6" t="n">
        <v>8</v>
      </c>
      <c r="H47" s="6" t="n">
        <v>85</v>
      </c>
      <c r="I47" s="6"/>
      <c r="J47" s="6" t="n">
        <v>0.6</v>
      </c>
      <c r="K47" s="6"/>
      <c r="L47" s="6"/>
      <c r="M47" s="6"/>
    </row>
    <row r="48" customFormat="false" ht="15.75" hidden="false" customHeight="false" outlineLevel="0" collapsed="false">
      <c r="A48" s="0" t="s">
        <v>29</v>
      </c>
      <c r="B48" s="1" t="n">
        <v>43908</v>
      </c>
      <c r="C48" s="6" t="n">
        <v>114</v>
      </c>
      <c r="D48" s="6" t="n">
        <v>21</v>
      </c>
      <c r="E48" s="6"/>
      <c r="F48" s="6"/>
      <c r="G48" s="6" t="n">
        <v>8</v>
      </c>
      <c r="H48" s="6" t="n">
        <v>106</v>
      </c>
      <c r="I48" s="6"/>
      <c r="J48" s="6" t="n">
        <v>0.8</v>
      </c>
      <c r="K48" s="6"/>
      <c r="L48" s="6"/>
      <c r="M48" s="6"/>
    </row>
    <row r="49" customFormat="false" ht="15.75" hidden="false" customHeight="false" outlineLevel="0" collapsed="false">
      <c r="A49" s="0" t="s">
        <v>29</v>
      </c>
      <c r="B49" s="1" t="n">
        <v>43909</v>
      </c>
      <c r="C49" s="6" t="n">
        <v>147</v>
      </c>
      <c r="D49" s="6" t="n">
        <v>33</v>
      </c>
      <c r="E49" s="6"/>
      <c r="F49" s="6"/>
      <c r="G49" s="6" t="n">
        <v>8</v>
      </c>
      <c r="H49" s="6" t="n">
        <v>139</v>
      </c>
      <c r="I49" s="6"/>
      <c r="J49" s="6" t="n">
        <v>1</v>
      </c>
      <c r="K49" s="6"/>
      <c r="L49" s="6"/>
      <c r="M49" s="6"/>
    </row>
    <row r="50" customFormat="false" ht="15.75" hidden="false" customHeight="false" outlineLevel="0" collapsed="false">
      <c r="A50" s="0" t="s">
        <v>29</v>
      </c>
      <c r="B50" s="1" t="n">
        <v>43910</v>
      </c>
      <c r="C50" s="6" t="n">
        <v>199</v>
      </c>
      <c r="D50" s="6" t="n">
        <v>52</v>
      </c>
      <c r="E50" s="6" t="n">
        <v>1</v>
      </c>
      <c r="F50" s="6" t="n">
        <v>1</v>
      </c>
      <c r="G50" s="6" t="n">
        <v>8</v>
      </c>
      <c r="H50" s="6" t="n">
        <v>190</v>
      </c>
      <c r="I50" s="6"/>
      <c r="J50" s="6" t="n">
        <v>1</v>
      </c>
      <c r="K50" s="6"/>
      <c r="L50" s="6"/>
      <c r="M50" s="6"/>
    </row>
    <row r="51" customFormat="false" ht="15.75" hidden="false" customHeight="false" outlineLevel="0" collapsed="false">
      <c r="A51" s="0" t="s">
        <v>29</v>
      </c>
      <c r="B51" s="1" t="n">
        <v>43911</v>
      </c>
      <c r="C51" s="6" t="n">
        <v>253</v>
      </c>
      <c r="D51" s="6" t="n">
        <v>54</v>
      </c>
      <c r="E51" s="6" t="n">
        <v>1</v>
      </c>
      <c r="F51" s="6" t="n">
        <v>0</v>
      </c>
      <c r="G51" s="6" t="n">
        <v>12</v>
      </c>
      <c r="H51" s="6" t="n">
        <v>240</v>
      </c>
      <c r="I51" s="6"/>
      <c r="J51" s="6" t="n">
        <v>2</v>
      </c>
      <c r="K51" s="6"/>
      <c r="L51" s="6"/>
      <c r="M51" s="6"/>
    </row>
    <row r="52" customFormat="false" ht="15.75" hidden="false" customHeight="false" outlineLevel="0" collapsed="false">
      <c r="A52" s="0" t="s">
        <v>29</v>
      </c>
      <c r="B52" s="1" t="n">
        <v>43912</v>
      </c>
      <c r="C52" s="6" t="n">
        <v>306</v>
      </c>
      <c r="D52" s="6" t="n">
        <v>53</v>
      </c>
      <c r="E52" s="6" t="n">
        <v>1</v>
      </c>
      <c r="F52" s="6" t="n">
        <v>0</v>
      </c>
      <c r="G52" s="6" t="n">
        <v>16</v>
      </c>
      <c r="H52" s="6" t="n">
        <v>289</v>
      </c>
      <c r="I52" s="6"/>
      <c r="J52" s="6" t="n">
        <v>2</v>
      </c>
      <c r="K52" s="6"/>
      <c r="L52" s="6"/>
      <c r="M52" s="6"/>
    </row>
    <row r="53" customFormat="false" ht="15.75" hidden="false" customHeight="false" outlineLevel="0" collapsed="false">
      <c r="A53" s="0" t="s">
        <v>29</v>
      </c>
      <c r="B53" s="1" t="n">
        <v>43913</v>
      </c>
      <c r="C53" s="6" t="n">
        <v>367</v>
      </c>
      <c r="D53" s="6" t="n">
        <v>61</v>
      </c>
      <c r="E53" s="6" t="n">
        <v>1</v>
      </c>
      <c r="F53" s="6" t="n">
        <v>0</v>
      </c>
      <c r="G53" s="6" t="n">
        <v>16</v>
      </c>
      <c r="H53" s="6" t="n">
        <v>350</v>
      </c>
      <c r="I53" s="6"/>
      <c r="J53" s="6" t="n">
        <v>3</v>
      </c>
      <c r="K53" s="6"/>
      <c r="L53" s="6"/>
      <c r="M53" s="6"/>
    </row>
    <row r="54" customFormat="false" ht="15.75" hidden="false" customHeight="false" outlineLevel="0" collapsed="false">
      <c r="A54" s="0" t="s">
        <v>29</v>
      </c>
      <c r="B54" s="1" t="n">
        <v>43914</v>
      </c>
      <c r="C54" s="6" t="n">
        <v>438</v>
      </c>
      <c r="D54" s="6" t="n">
        <v>71</v>
      </c>
      <c r="E54" s="6" t="n">
        <v>1</v>
      </c>
      <c r="F54" s="6" t="n">
        <v>0</v>
      </c>
      <c r="G54" s="6" t="n">
        <v>17</v>
      </c>
      <c r="H54" s="6" t="n">
        <v>420</v>
      </c>
      <c r="I54" s="6"/>
      <c r="J54" s="6" t="n">
        <v>3</v>
      </c>
      <c r="K54" s="6"/>
      <c r="L54" s="6"/>
      <c r="M54" s="6"/>
    </row>
    <row r="55" customFormat="false" ht="15.75" hidden="false" customHeight="false" outlineLevel="0" collapsed="false">
      <c r="A55" s="0" t="s">
        <v>29</v>
      </c>
      <c r="B55" s="1" t="n">
        <v>43915</v>
      </c>
      <c r="C55" s="7" t="n">
        <v>495</v>
      </c>
      <c r="D55" s="7" t="n">
        <v>57</v>
      </c>
      <c r="E55" s="7" t="n">
        <v>1</v>
      </c>
      <c r="F55" s="7" t="n">
        <v>0</v>
      </c>
      <c r="G55" s="7" t="n">
        <v>22</v>
      </c>
      <c r="H55" s="7" t="n">
        <v>472</v>
      </c>
      <c r="I55" s="7" t="n">
        <v>8</v>
      </c>
      <c r="J55" s="7" t="n">
        <v>3</v>
      </c>
      <c r="K55" s="21" t="n">
        <v>0.01</v>
      </c>
      <c r="L55" s="7"/>
      <c r="M55" s="7"/>
    </row>
    <row r="56" customFormat="false" ht="15.75" hidden="false" customHeight="false" outlineLevel="0" collapsed="false">
      <c r="A56" s="0" t="s">
        <v>29</v>
      </c>
      <c r="B56" s="1" t="n">
        <v>43916</v>
      </c>
      <c r="C56" s="7" t="n">
        <v>658</v>
      </c>
      <c r="D56" s="7" t="n">
        <v>163</v>
      </c>
      <c r="E56" s="7" t="n">
        <v>3</v>
      </c>
      <c r="F56" s="7" t="n">
        <v>2</v>
      </c>
      <c r="G56" s="7" t="n">
        <v>29</v>
      </c>
      <c r="H56" s="7" t="n">
        <v>626</v>
      </c>
      <c r="I56" s="7" t="n">
        <v>8</v>
      </c>
      <c r="J56" s="7" t="n">
        <v>5</v>
      </c>
      <c r="K56" s="21" t="n">
        <v>0.02</v>
      </c>
      <c r="L56" s="7"/>
      <c r="M56" s="7"/>
    </row>
    <row r="57" customFormat="false" ht="15.75" hidden="false" customHeight="false" outlineLevel="0" collapsed="false">
      <c r="A57" s="0" t="s">
        <v>29</v>
      </c>
      <c r="B57" s="1" t="n">
        <v>43917</v>
      </c>
      <c r="C57" s="7" t="n">
        <v>840</v>
      </c>
      <c r="D57" s="7" t="n">
        <v>182</v>
      </c>
      <c r="E57" s="7" t="n">
        <v>3</v>
      </c>
      <c r="F57" s="7" t="n">
        <v>0</v>
      </c>
      <c r="G57" s="7" t="n">
        <v>38</v>
      </c>
      <c r="H57" s="7" t="n">
        <v>799</v>
      </c>
      <c r="I57" s="7" t="n">
        <v>8</v>
      </c>
      <c r="J57" s="7" t="n">
        <v>6</v>
      </c>
      <c r="K57" s="21" t="n">
        <v>0.02</v>
      </c>
      <c r="L57" s="7"/>
      <c r="M57" s="7"/>
    </row>
    <row r="58" customFormat="false" ht="15.75" hidden="false" customHeight="false" outlineLevel="0" collapsed="false">
      <c r="A58" s="0" t="s">
        <v>29</v>
      </c>
      <c r="B58" s="1" t="n">
        <v>43918</v>
      </c>
      <c r="C58" s="7" t="n">
        <v>1036</v>
      </c>
      <c r="D58" s="7" t="n">
        <v>196</v>
      </c>
      <c r="E58" s="7" t="n">
        <v>4</v>
      </c>
      <c r="F58" s="7" t="n">
        <v>1</v>
      </c>
      <c r="G58" s="7" t="n">
        <v>45</v>
      </c>
      <c r="H58" s="7" t="n">
        <v>987</v>
      </c>
      <c r="I58" s="7" t="n">
        <v>8</v>
      </c>
      <c r="J58" s="7" t="n">
        <v>7</v>
      </c>
      <c r="K58" s="21" t="n">
        <v>0.03</v>
      </c>
      <c r="L58" s="7"/>
      <c r="M58" s="7"/>
    </row>
    <row r="59" customFormat="false" ht="15.75" hidden="false" customHeight="false" outlineLevel="0" collapsed="false">
      <c r="A59" s="0" t="s">
        <v>29</v>
      </c>
      <c r="B59" s="1" t="n">
        <v>43919</v>
      </c>
      <c r="C59" s="7" t="n">
        <v>1264</v>
      </c>
      <c r="D59" s="7" t="n">
        <v>228</v>
      </c>
      <c r="E59" s="7" t="n">
        <v>4</v>
      </c>
      <c r="F59" s="7" t="n">
        <v>0</v>
      </c>
      <c r="G59" s="7" t="n">
        <v>49</v>
      </c>
      <c r="H59" s="7" t="n">
        <v>1211</v>
      </c>
      <c r="I59" s="7" t="n">
        <v>8</v>
      </c>
      <c r="J59" s="7" t="n">
        <v>9</v>
      </c>
      <c r="K59" s="21" t="n">
        <v>0.03</v>
      </c>
      <c r="L59" s="7"/>
      <c r="M59" s="7"/>
    </row>
    <row r="60" customFormat="false" ht="15.75" hidden="false" customHeight="false" outlineLevel="0" collapsed="false">
      <c r="A60" s="0" t="s">
        <v>29</v>
      </c>
      <c r="B60" s="1" t="n">
        <v>43920</v>
      </c>
      <c r="C60" s="7" t="n">
        <v>1534</v>
      </c>
      <c r="D60" s="7" t="n">
        <v>270</v>
      </c>
      <c r="E60" s="7" t="n">
        <v>8</v>
      </c>
      <c r="F60" s="7" t="n">
        <v>4</v>
      </c>
      <c r="G60" s="7" t="n">
        <v>64</v>
      </c>
      <c r="H60" s="7" t="n">
        <v>1462</v>
      </c>
      <c r="I60" s="7" t="n">
        <v>8</v>
      </c>
      <c r="J60" s="7" t="n">
        <v>11</v>
      </c>
      <c r="K60" s="21" t="n">
        <v>0.05</v>
      </c>
      <c r="L60" s="7"/>
      <c r="M60" s="7"/>
    </row>
    <row r="61" customFormat="false" ht="15.75" hidden="false" customHeight="false" outlineLevel="0" collapsed="false">
      <c r="A61" s="0" t="s">
        <v>29</v>
      </c>
      <c r="B61" s="1" t="n">
        <v>43921</v>
      </c>
      <c r="C61" s="7" t="n">
        <v>1836</v>
      </c>
      <c r="D61" s="7" t="n">
        <v>302</v>
      </c>
      <c r="E61" s="7" t="n">
        <v>9</v>
      </c>
      <c r="F61" s="7" t="n">
        <v>1</v>
      </c>
      <c r="G61" s="7" t="n">
        <v>66</v>
      </c>
      <c r="H61" s="7" t="n">
        <v>1761</v>
      </c>
      <c r="I61" s="7" t="n">
        <v>8</v>
      </c>
      <c r="J61" s="7" t="n">
        <v>13</v>
      </c>
      <c r="K61" s="21" t="n">
        <v>0.06</v>
      </c>
      <c r="L61" s="7"/>
      <c r="M61" s="7"/>
    </row>
    <row r="62" customFormat="false" ht="15.75" hidden="false" customHeight="false" outlineLevel="0" collapsed="false">
      <c r="A62" s="0" t="s">
        <v>29</v>
      </c>
      <c r="B62" s="1" t="n">
        <v>43922</v>
      </c>
      <c r="C62" s="7" t="n">
        <v>2337</v>
      </c>
      <c r="D62" s="7" t="n">
        <v>501</v>
      </c>
      <c r="E62" s="7" t="n">
        <v>17</v>
      </c>
      <c r="F62" s="7" t="n">
        <v>8</v>
      </c>
      <c r="G62" s="7" t="n">
        <v>121</v>
      </c>
      <c r="H62" s="7" t="n">
        <v>2199</v>
      </c>
      <c r="I62" s="7" t="n">
        <v>8</v>
      </c>
      <c r="J62" s="7" t="n">
        <v>16</v>
      </c>
      <c r="K62" s="22" t="n">
        <v>0.1</v>
      </c>
      <c r="L62" s="7"/>
      <c r="M62" s="7"/>
    </row>
    <row r="63" customFormat="false" ht="15.75" hidden="false" customHeight="false" outlineLevel="0" collapsed="false">
      <c r="A63" s="0" t="s">
        <v>29</v>
      </c>
      <c r="B63" s="1" t="n">
        <v>43923</v>
      </c>
      <c r="C63" s="7" t="n">
        <v>2777</v>
      </c>
      <c r="D63" s="7" t="n">
        <v>440</v>
      </c>
      <c r="E63" s="7" t="n">
        <v>24</v>
      </c>
      <c r="F63" s="7" t="n">
        <v>7</v>
      </c>
      <c r="G63" s="7" t="n">
        <v>190</v>
      </c>
      <c r="H63" s="7" t="n">
        <v>2563</v>
      </c>
      <c r="I63" s="7" t="n">
        <v>8</v>
      </c>
      <c r="J63" s="7" t="n">
        <v>19</v>
      </c>
      <c r="K63" s="22" t="n">
        <v>0.2</v>
      </c>
      <c r="L63" s="7"/>
      <c r="M63" s="7"/>
    </row>
    <row r="64" customFormat="false" ht="15.75" hidden="false" customHeight="false" outlineLevel="0" collapsed="false">
      <c r="A64" s="0" t="s">
        <v>29</v>
      </c>
      <c r="B64" s="1" t="n">
        <v>43924</v>
      </c>
      <c r="C64" s="7" t="n">
        <v>3548</v>
      </c>
      <c r="D64" s="7" t="n">
        <v>771</v>
      </c>
      <c r="E64" s="7" t="n">
        <v>30</v>
      </c>
      <c r="F64" s="7" t="n">
        <v>6</v>
      </c>
      <c r="G64" s="7" t="n">
        <v>235</v>
      </c>
      <c r="H64" s="7" t="n">
        <v>3283</v>
      </c>
      <c r="I64" s="7" t="n">
        <v>8</v>
      </c>
      <c r="J64" s="7" t="n">
        <v>24</v>
      </c>
      <c r="K64" s="22" t="n">
        <v>0.2</v>
      </c>
      <c r="L64" s="7"/>
      <c r="M64" s="7"/>
    </row>
    <row r="65" customFormat="false" ht="15.75" hidden="false" customHeight="false" outlineLevel="0" collapsed="false">
      <c r="A65" s="0" t="s">
        <v>29</v>
      </c>
      <c r="B65" s="1" t="n">
        <v>43925</v>
      </c>
      <c r="C65" s="7" t="n">
        <v>4149</v>
      </c>
      <c r="D65" s="7" t="n">
        <v>601</v>
      </c>
      <c r="E65" s="7" t="n">
        <v>34</v>
      </c>
      <c r="F65" s="7" t="n">
        <v>4</v>
      </c>
      <c r="G65" s="7" t="n">
        <v>281</v>
      </c>
      <c r="H65" s="7" t="n">
        <v>3834</v>
      </c>
      <c r="I65" s="7" t="n">
        <v>8</v>
      </c>
      <c r="J65" s="7" t="n">
        <v>28</v>
      </c>
      <c r="K65" s="22" t="n">
        <v>0.2</v>
      </c>
      <c r="L65" s="7"/>
      <c r="M65" s="7"/>
    </row>
    <row r="66" customFormat="false" ht="15.75" hidden="false" customHeight="false" outlineLevel="0" collapsed="false">
      <c r="A66" s="0" t="s">
        <v>29</v>
      </c>
      <c r="B66" s="1" t="n">
        <v>43926</v>
      </c>
      <c r="C66" s="7" t="n">
        <v>4731</v>
      </c>
      <c r="D66" s="7" t="n">
        <v>582</v>
      </c>
      <c r="E66" s="7" t="n">
        <v>43</v>
      </c>
      <c r="F66" s="7" t="n">
        <v>9</v>
      </c>
      <c r="G66" s="7" t="n">
        <v>333</v>
      </c>
      <c r="H66" s="7" t="n">
        <v>4355</v>
      </c>
      <c r="I66" s="7" t="n">
        <v>8</v>
      </c>
      <c r="J66" s="7" t="n">
        <v>32</v>
      </c>
      <c r="K66" s="22" t="n">
        <v>0.3</v>
      </c>
      <c r="L66" s="7" t="n">
        <v>639000</v>
      </c>
      <c r="M66" s="7" t="n">
        <v>4379</v>
      </c>
    </row>
    <row r="67" customFormat="false" ht="15.75" hidden="false" customHeight="false" outlineLevel="0" collapsed="false">
      <c r="A67" s="0" t="s">
        <v>29</v>
      </c>
      <c r="B67" s="1" t="n">
        <v>43927</v>
      </c>
      <c r="C67" s="7" t="n">
        <v>5389</v>
      </c>
      <c r="D67" s="7" t="n">
        <v>658</v>
      </c>
      <c r="E67" s="7" t="n">
        <v>45</v>
      </c>
      <c r="F67" s="7" t="n">
        <v>2</v>
      </c>
      <c r="G67" s="7" t="n">
        <v>355</v>
      </c>
      <c r="H67" s="7" t="n">
        <v>4989</v>
      </c>
      <c r="I67" s="7" t="n">
        <v>8</v>
      </c>
      <c r="J67" s="7" t="n">
        <v>37</v>
      </c>
      <c r="K67" s="22" t="n">
        <v>0.3</v>
      </c>
      <c r="L67" s="7" t="n">
        <v>697000</v>
      </c>
      <c r="M67" s="7" t="n">
        <v>4776</v>
      </c>
    </row>
    <row r="68" customFormat="false" ht="15.75" hidden="false" customHeight="false" outlineLevel="0" collapsed="false">
      <c r="A68" s="0" t="s">
        <v>29</v>
      </c>
      <c r="B68" s="1" t="n">
        <v>43928</v>
      </c>
      <c r="C68" s="12" t="n">
        <v>6343</v>
      </c>
      <c r="D68" s="12" t="n">
        <v>954</v>
      </c>
      <c r="E68" s="12" t="n">
        <v>47</v>
      </c>
      <c r="F68" s="12" t="n">
        <v>2</v>
      </c>
      <c r="G68" s="12" t="n">
        <v>406</v>
      </c>
      <c r="H68" s="12" t="n">
        <v>5890</v>
      </c>
      <c r="I68" s="12" t="n">
        <v>8</v>
      </c>
      <c r="J68" s="12" t="n">
        <v>43</v>
      </c>
      <c r="K68" s="23" t="n">
        <v>0.3</v>
      </c>
      <c r="L68" s="12" t="n">
        <v>758000</v>
      </c>
      <c r="M68" s="12" t="n">
        <v>5194</v>
      </c>
    </row>
    <row r="69" customFormat="false" ht="15.75" hidden="false" customHeight="false" outlineLevel="0" collapsed="false">
      <c r="A69" s="0" t="s">
        <v>29</v>
      </c>
      <c r="B69" s="1" t="n">
        <v>43929</v>
      </c>
      <c r="C69" s="14" t="n">
        <v>7497</v>
      </c>
      <c r="D69" s="14" t="n">
        <v>1154</v>
      </c>
      <c r="E69" s="14" t="n">
        <v>58</v>
      </c>
      <c r="F69" s="14" t="n">
        <v>11</v>
      </c>
      <c r="G69" s="14" t="n">
        <v>494</v>
      </c>
      <c r="H69" s="14" t="n">
        <v>6945</v>
      </c>
      <c r="I69" s="14" t="n">
        <v>8</v>
      </c>
      <c r="J69" s="14" t="n">
        <v>51</v>
      </c>
      <c r="K69" s="14" t="n">
        <v>0.4</v>
      </c>
      <c r="L69" s="14" t="n">
        <v>795000</v>
      </c>
      <c r="M69" s="14" t="n">
        <v>5448</v>
      </c>
    </row>
    <row r="70" customFormat="false" ht="15.75" hidden="false" customHeight="false" outlineLevel="0" collapsed="false">
      <c r="A70" s="0" t="s">
        <v>29</v>
      </c>
      <c r="B70" s="1" t="n">
        <v>43930</v>
      </c>
      <c r="C70" s="14" t="n">
        <v>8672</v>
      </c>
      <c r="D70" s="14" t="n">
        <v>1175</v>
      </c>
      <c r="E70" s="14" t="n">
        <v>63</v>
      </c>
      <c r="F70" s="14" t="n">
        <v>5</v>
      </c>
      <c r="G70" s="14" t="n">
        <v>580</v>
      </c>
      <c r="H70" s="14" t="n">
        <v>8029</v>
      </c>
      <c r="I70" s="14" t="n">
        <v>8</v>
      </c>
      <c r="J70" s="14" t="n">
        <v>59</v>
      </c>
      <c r="K70" s="14" t="n">
        <v>0.4</v>
      </c>
      <c r="L70" s="14" t="n">
        <v>910221</v>
      </c>
      <c r="M70" s="14" t="n">
        <v>6237</v>
      </c>
    </row>
    <row r="71" customFormat="false" ht="15.75" hidden="false" customHeight="false" outlineLevel="0" collapsed="false">
      <c r="A71" s="0" t="s">
        <v>29</v>
      </c>
      <c r="B71" s="1" t="n">
        <v>43931</v>
      </c>
      <c r="C71" s="14" t="n">
        <v>10131</v>
      </c>
      <c r="D71" s="14" t="n">
        <v>1459</v>
      </c>
      <c r="E71" s="14" t="n">
        <v>76</v>
      </c>
      <c r="F71" s="14" t="n">
        <v>13</v>
      </c>
      <c r="G71" s="14" t="n">
        <v>698</v>
      </c>
      <c r="H71" s="14" t="n">
        <v>9357</v>
      </c>
      <c r="I71" s="14" t="n">
        <v>8</v>
      </c>
      <c r="J71" s="14" t="n">
        <v>69</v>
      </c>
      <c r="K71" s="14" t="n">
        <v>0.5</v>
      </c>
      <c r="L71" s="14" t="n">
        <v>1004719</v>
      </c>
      <c r="M71" s="14" t="n">
        <v>6885</v>
      </c>
    </row>
    <row r="72" customFormat="false" ht="15.75" hidden="false" customHeight="false" outlineLevel="0" collapsed="false">
      <c r="A72" s="0" t="s">
        <v>29</v>
      </c>
      <c r="B72" s="1" t="n">
        <v>43932</v>
      </c>
      <c r="C72" s="14" t="n">
        <v>11917</v>
      </c>
      <c r="D72" s="14" t="n">
        <v>1786</v>
      </c>
      <c r="E72" s="14" t="n">
        <v>94</v>
      </c>
      <c r="F72" s="14" t="n">
        <v>18</v>
      </c>
      <c r="G72" s="14" t="n">
        <v>795</v>
      </c>
      <c r="H72" s="14" t="n">
        <v>11028</v>
      </c>
      <c r="I72" s="14" t="n">
        <v>8</v>
      </c>
      <c r="J72" s="14" t="n">
        <v>82</v>
      </c>
      <c r="K72" s="14" t="n">
        <v>0.6</v>
      </c>
      <c r="L72" s="14" t="n">
        <v>1090000</v>
      </c>
      <c r="M72" s="14" t="n">
        <v>7469</v>
      </c>
    </row>
    <row r="73" customFormat="false" ht="15.75" hidden="false" customHeight="false" outlineLevel="0" collapsed="false">
      <c r="A73" s="0" t="s">
        <v>29</v>
      </c>
      <c r="B73" s="1" t="n">
        <v>43933</v>
      </c>
      <c r="C73" s="14" t="n">
        <v>13584</v>
      </c>
      <c r="D73" s="14" t="n">
        <v>1667</v>
      </c>
      <c r="E73" s="14" t="n">
        <v>106</v>
      </c>
      <c r="F73" s="14" t="n">
        <v>12</v>
      </c>
      <c r="G73" s="14" t="n">
        <v>1045</v>
      </c>
      <c r="H73" s="14" t="n">
        <v>12433</v>
      </c>
      <c r="I73" s="14" t="n">
        <v>8</v>
      </c>
      <c r="J73" s="14" t="n">
        <v>93</v>
      </c>
      <c r="K73" s="14" t="n">
        <v>0.7</v>
      </c>
      <c r="L73" s="14" t="n">
        <v>1184442</v>
      </c>
      <c r="M73" s="14" t="n">
        <v>8116</v>
      </c>
    </row>
    <row r="74" customFormat="false" ht="15.75" hidden="false" customHeight="false" outlineLevel="0" collapsed="false">
      <c r="A74" s="0" t="s">
        <v>29</v>
      </c>
      <c r="B74" s="1" t="n">
        <v>43934</v>
      </c>
      <c r="C74" s="14" t="n">
        <v>15770</v>
      </c>
      <c r="D74" s="14" t="n">
        <v>2186</v>
      </c>
      <c r="E74" s="14" t="n">
        <v>130</v>
      </c>
      <c r="F74" s="14" t="n">
        <v>24</v>
      </c>
      <c r="G74" s="14" t="n">
        <v>1291</v>
      </c>
      <c r="H74" s="14" t="n">
        <v>14349</v>
      </c>
      <c r="I74" s="14" t="n">
        <v>8</v>
      </c>
      <c r="J74" s="14" t="n">
        <v>108</v>
      </c>
      <c r="K74" s="14" t="n">
        <v>0.9</v>
      </c>
      <c r="L74" s="14" t="n">
        <v>1200000</v>
      </c>
      <c r="M74" s="14" t="n">
        <v>8223</v>
      </c>
    </row>
    <row r="75" customFormat="false" ht="15.75" hidden="false" customHeight="false" outlineLevel="0" collapsed="false">
      <c r="A75" s="0" t="s">
        <v>29</v>
      </c>
      <c r="B75" s="1" t="n">
        <v>43935</v>
      </c>
      <c r="C75" s="14" t="n">
        <v>18328</v>
      </c>
      <c r="D75" s="14" t="n">
        <v>2558</v>
      </c>
      <c r="E75" s="14" t="n">
        <v>148</v>
      </c>
      <c r="F75" s="14" t="n">
        <v>18</v>
      </c>
      <c r="G75" s="14" t="n">
        <v>1470</v>
      </c>
      <c r="H75" s="14" t="n">
        <v>16710</v>
      </c>
      <c r="I75" s="14" t="n">
        <v>8</v>
      </c>
      <c r="J75" s="14" t="n">
        <v>126</v>
      </c>
      <c r="K75" s="14" t="n">
        <v>1</v>
      </c>
      <c r="L75" s="14" t="n">
        <v>1300000</v>
      </c>
      <c r="M75" s="14" t="n">
        <v>8908</v>
      </c>
    </row>
    <row r="76" customFormat="false" ht="15.75" hidden="false" customHeight="false" outlineLevel="0" collapsed="false">
      <c r="A76" s="0" t="s">
        <v>29</v>
      </c>
      <c r="B76" s="1" t="n">
        <v>43936</v>
      </c>
      <c r="C76" s="14" t="n">
        <v>21102</v>
      </c>
      <c r="D76" s="14" t="n">
        <v>2774</v>
      </c>
      <c r="E76" s="14" t="n">
        <v>170</v>
      </c>
      <c r="F76" s="14" t="n">
        <v>22</v>
      </c>
      <c r="G76" s="14" t="n">
        <v>1694</v>
      </c>
      <c r="H76" s="14" t="n">
        <v>19238</v>
      </c>
      <c r="I76" s="14" t="n">
        <v>8</v>
      </c>
      <c r="J76" s="14" t="n">
        <v>145</v>
      </c>
      <c r="K76" s="14" t="n">
        <v>1</v>
      </c>
      <c r="L76" s="14" t="n">
        <v>1400000</v>
      </c>
      <c r="M76" s="14" t="n">
        <v>9593</v>
      </c>
    </row>
    <row r="77" customFormat="false" ht="15.75" hidden="false" customHeight="false" outlineLevel="0" collapsed="false">
      <c r="A77" s="0" t="s">
        <v>29</v>
      </c>
      <c r="B77" s="1" t="n">
        <v>43937</v>
      </c>
      <c r="C77" s="14" t="n">
        <v>24490</v>
      </c>
      <c r="D77" s="14" t="n">
        <v>3388</v>
      </c>
      <c r="E77" s="14" t="n">
        <v>198</v>
      </c>
      <c r="F77" s="14" t="n">
        <v>28</v>
      </c>
      <c r="G77" s="14" t="n">
        <v>1986</v>
      </c>
      <c r="H77" s="14" t="n">
        <v>22306</v>
      </c>
      <c r="I77" s="14" t="n">
        <v>8</v>
      </c>
      <c r="J77" s="14" t="n">
        <v>168</v>
      </c>
      <c r="K77" s="14" t="n">
        <v>1</v>
      </c>
      <c r="L77" s="14" t="n">
        <v>1517992</v>
      </c>
      <c r="M77" s="14" t="n">
        <v>10402</v>
      </c>
    </row>
    <row r="78" customFormat="false" ht="15.75" hidden="false" customHeight="false" outlineLevel="0" collapsed="false">
      <c r="A78" s="0" t="s">
        <v>29</v>
      </c>
      <c r="B78" s="1" t="n">
        <v>43938</v>
      </c>
      <c r="C78" s="14" t="n">
        <v>27938</v>
      </c>
      <c r="D78" s="14" t="n">
        <v>3448</v>
      </c>
      <c r="E78" s="14" t="n">
        <v>232</v>
      </c>
      <c r="F78" s="14" t="n">
        <v>34</v>
      </c>
      <c r="G78" s="14" t="n">
        <v>2304</v>
      </c>
      <c r="H78" s="14" t="n">
        <v>25402</v>
      </c>
      <c r="I78" s="14" t="n">
        <v>8</v>
      </c>
      <c r="J78" s="14" t="n">
        <v>191</v>
      </c>
      <c r="K78" s="14" t="n">
        <v>2</v>
      </c>
      <c r="L78" s="14" t="n">
        <v>1613413</v>
      </c>
      <c r="M78" s="14" t="n">
        <v>11056</v>
      </c>
    </row>
    <row r="79" customFormat="false" ht="15.75" hidden="false" customHeight="false" outlineLevel="0" collapsed="false">
      <c r="A79" s="0" t="s">
        <v>29</v>
      </c>
      <c r="B79" s="1" t="n">
        <v>43939</v>
      </c>
      <c r="C79" s="14" t="n">
        <v>32008</v>
      </c>
      <c r="D79" s="14" t="n">
        <v>4070</v>
      </c>
      <c r="E79" s="14" t="n">
        <v>273</v>
      </c>
      <c r="F79" s="14" t="n">
        <v>41</v>
      </c>
      <c r="G79" s="14" t="n">
        <v>2590</v>
      </c>
      <c r="H79" s="14" t="n">
        <v>29145</v>
      </c>
      <c r="I79" s="14" t="n">
        <v>8</v>
      </c>
      <c r="J79" s="14" t="n">
        <v>219</v>
      </c>
      <c r="K79" s="14" t="n">
        <v>2</v>
      </c>
      <c r="L79" s="14" t="n">
        <v>1718019</v>
      </c>
      <c r="M79" s="14" t="n">
        <v>11773</v>
      </c>
    </row>
    <row r="80" customFormat="false" ht="15.75" hidden="false" customHeight="false" outlineLevel="0" collapsed="false">
      <c r="A80" s="0" t="s">
        <v>29</v>
      </c>
      <c r="B80" s="1" t="n">
        <v>43940</v>
      </c>
      <c r="C80" s="14" t="n">
        <v>36793</v>
      </c>
      <c r="D80" s="14" t="n">
        <v>4785</v>
      </c>
      <c r="E80" s="14" t="n">
        <v>313</v>
      </c>
      <c r="F80" s="14" t="n">
        <v>40</v>
      </c>
      <c r="G80" s="14" t="n">
        <v>3057</v>
      </c>
      <c r="H80" s="14" t="n">
        <v>33423</v>
      </c>
      <c r="I80" s="14" t="n">
        <v>8</v>
      </c>
      <c r="J80" s="14" t="n">
        <v>252</v>
      </c>
      <c r="K80" s="14" t="n">
        <v>2</v>
      </c>
      <c r="L80" s="14" t="n">
        <v>1831892</v>
      </c>
      <c r="M80" s="14" t="n">
        <v>12553</v>
      </c>
    </row>
    <row r="81" customFormat="false" ht="15.75" hidden="false" customHeight="false" outlineLevel="0" collapsed="false">
      <c r="A81" s="0" t="s">
        <v>29</v>
      </c>
      <c r="B81" s="1" t="n">
        <v>43941</v>
      </c>
      <c r="C81" s="14" t="n">
        <v>42853</v>
      </c>
      <c r="D81" s="14" t="n">
        <v>6060</v>
      </c>
      <c r="E81" s="14" t="n">
        <v>361</v>
      </c>
      <c r="F81" s="14" t="n">
        <v>48</v>
      </c>
      <c r="G81" s="14" t="n">
        <v>3291</v>
      </c>
      <c r="H81" s="14" t="n">
        <v>39201</v>
      </c>
      <c r="I81" s="14" t="n">
        <v>8</v>
      </c>
      <c r="J81" s="14" t="n">
        <v>294</v>
      </c>
      <c r="K81" s="14" t="n">
        <v>2</v>
      </c>
      <c r="L81" s="14" t="n">
        <v>1940000</v>
      </c>
      <c r="M81" s="14" t="n">
        <v>13294</v>
      </c>
    </row>
    <row r="82" customFormat="false" ht="15.75" hidden="false" customHeight="false" outlineLevel="0" collapsed="false">
      <c r="A82" s="0" t="s">
        <v>29</v>
      </c>
      <c r="B82" s="1" t="n">
        <v>43942</v>
      </c>
      <c r="C82" s="6" t="n">
        <v>47121</v>
      </c>
      <c r="D82" s="6" t="n">
        <v>4268</v>
      </c>
      <c r="E82" s="6" t="n">
        <v>405</v>
      </c>
      <c r="F82" s="6" t="n">
        <v>44</v>
      </c>
      <c r="G82" s="6" t="n">
        <v>3446</v>
      </c>
      <c r="H82" s="6" t="n">
        <v>43270</v>
      </c>
      <c r="I82" s="6" t="n">
        <v>700</v>
      </c>
      <c r="J82" s="6" t="n">
        <v>323</v>
      </c>
      <c r="K82" s="6" t="n">
        <v>3</v>
      </c>
      <c r="L82" s="6" t="n">
        <v>2053319</v>
      </c>
      <c r="M82" s="6" t="n">
        <v>14070</v>
      </c>
    </row>
    <row r="83" customFormat="false" ht="15.75" hidden="false" customHeight="false" outlineLevel="0" collapsed="false">
      <c r="A83" s="0" t="s">
        <v>29</v>
      </c>
      <c r="B83" s="1" t="n">
        <v>43943</v>
      </c>
      <c r="C83" s="6" t="n">
        <v>52763</v>
      </c>
      <c r="D83" s="6" t="n">
        <v>5642</v>
      </c>
      <c r="E83" s="6" t="n">
        <v>456</v>
      </c>
      <c r="F83" s="6" t="n">
        <v>51</v>
      </c>
      <c r="G83" s="6" t="n">
        <v>3873</v>
      </c>
      <c r="H83" s="6" t="n">
        <v>48434</v>
      </c>
      <c r="I83" s="6" t="n">
        <v>700</v>
      </c>
      <c r="J83" s="6" t="n">
        <v>362</v>
      </c>
      <c r="K83" s="6" t="n">
        <v>3</v>
      </c>
      <c r="L83" s="6" t="n">
        <v>2142604</v>
      </c>
      <c r="M83" s="6" t="n">
        <v>14682</v>
      </c>
    </row>
    <row r="84" customFormat="false" ht="15.75" hidden="false" customHeight="false" outlineLevel="0" collapsed="false">
      <c r="A84" s="0" t="s">
        <v>29</v>
      </c>
      <c r="B84" s="1" t="n">
        <v>43944</v>
      </c>
      <c r="C84" s="6" t="n">
        <v>57999</v>
      </c>
      <c r="D84" s="6" t="n">
        <v>5236</v>
      </c>
      <c r="E84" s="6" t="n">
        <v>513</v>
      </c>
      <c r="F84" s="6" t="n">
        <v>57</v>
      </c>
      <c r="G84" s="6" t="n">
        <v>4420</v>
      </c>
      <c r="H84" s="6" t="n">
        <v>53066</v>
      </c>
      <c r="I84" s="6" t="n">
        <v>700</v>
      </c>
      <c r="J84" s="6" t="n">
        <v>397</v>
      </c>
      <c r="K84" s="6" t="n">
        <v>4</v>
      </c>
      <c r="L84" s="6" t="n">
        <v>2250000</v>
      </c>
      <c r="M84" s="6" t="n">
        <v>15418</v>
      </c>
    </row>
    <row r="85" customFormat="false" ht="15.75" hidden="false" customHeight="false" outlineLevel="0" collapsed="false">
      <c r="A85" s="0" t="s">
        <v>29</v>
      </c>
      <c r="B85" s="1" t="n">
        <v>43945</v>
      </c>
      <c r="C85" s="6" t="n">
        <v>62773</v>
      </c>
      <c r="D85" s="6" t="n">
        <v>4774</v>
      </c>
      <c r="E85" s="6" t="n">
        <v>555</v>
      </c>
      <c r="F85" s="6" t="n">
        <v>42</v>
      </c>
      <c r="G85" s="6" t="n">
        <v>4891</v>
      </c>
      <c r="H85" s="6" t="n">
        <v>57327</v>
      </c>
      <c r="I85" s="6" t="n">
        <v>2300</v>
      </c>
      <c r="J85" s="6" t="n">
        <v>430</v>
      </c>
      <c r="K85" s="6" t="n">
        <v>4</v>
      </c>
      <c r="L85" s="6" t="n">
        <v>2401616</v>
      </c>
      <c r="M85" s="6" t="n">
        <v>16457</v>
      </c>
    </row>
    <row r="86" customFormat="false" ht="15.75" hidden="false" customHeight="false" outlineLevel="0" collapsed="false">
      <c r="A86" s="0" t="s">
        <v>29</v>
      </c>
      <c r="B86" s="1" t="n">
        <v>43946</v>
      </c>
      <c r="C86" s="6" t="n">
        <v>68622</v>
      </c>
      <c r="D86" s="6" t="n">
        <v>5849</v>
      </c>
      <c r="E86" s="6" t="n">
        <v>615</v>
      </c>
      <c r="F86" s="6" t="n">
        <v>60</v>
      </c>
      <c r="G86" s="6" t="n">
        <v>5568</v>
      </c>
      <c r="H86" s="6" t="n">
        <v>62439</v>
      </c>
      <c r="I86" s="6" t="n">
        <v>2300</v>
      </c>
      <c r="J86" s="6" t="n">
        <v>470</v>
      </c>
      <c r="K86" s="6" t="n">
        <v>4</v>
      </c>
      <c r="L86" s="6" t="n">
        <v>2550000</v>
      </c>
      <c r="M86" s="6" t="n">
        <v>17474</v>
      </c>
    </row>
    <row r="87" customFormat="false" ht="15.75" hidden="false" customHeight="false" outlineLevel="0" collapsed="false">
      <c r="A87" s="0" t="s">
        <v>29</v>
      </c>
      <c r="B87" s="1" t="n">
        <v>43947</v>
      </c>
      <c r="C87" s="6" t="n">
        <v>74588</v>
      </c>
      <c r="D87" s="6" t="n">
        <v>5966</v>
      </c>
      <c r="E87" s="6" t="n">
        <v>681</v>
      </c>
      <c r="F87" s="6" t="n">
        <v>66</v>
      </c>
      <c r="G87" s="6" t="n">
        <v>6250</v>
      </c>
      <c r="H87" s="6" t="n">
        <v>67657</v>
      </c>
      <c r="I87" s="6" t="n">
        <v>2300</v>
      </c>
      <c r="J87" s="6" t="n">
        <v>511</v>
      </c>
      <c r="K87" s="6" t="n">
        <v>5</v>
      </c>
      <c r="L87" s="6" t="n">
        <v>2721500</v>
      </c>
      <c r="M87" s="6" t="n">
        <v>18649</v>
      </c>
    </row>
    <row r="88" customFormat="false" ht="15.75" hidden="false" customHeight="false" outlineLevel="0" collapsed="false">
      <c r="A88" s="0" t="s">
        <v>29</v>
      </c>
      <c r="B88" s="1" t="n">
        <v>43948</v>
      </c>
      <c r="C88" s="6" t="n">
        <v>80949</v>
      </c>
      <c r="D88" s="6" t="n">
        <v>6361</v>
      </c>
      <c r="E88" s="6" t="n">
        <v>747</v>
      </c>
      <c r="F88" s="6" t="n">
        <v>66</v>
      </c>
      <c r="G88" s="6" t="n">
        <v>6767</v>
      </c>
      <c r="H88" s="6" t="n">
        <v>73435</v>
      </c>
      <c r="I88" s="6" t="n">
        <v>2300</v>
      </c>
      <c r="J88" s="6" t="n">
        <v>555</v>
      </c>
      <c r="K88" s="6" t="n">
        <v>5</v>
      </c>
      <c r="L88" s="6" t="n">
        <v>2877699</v>
      </c>
      <c r="M88" s="6" t="n">
        <v>19719</v>
      </c>
    </row>
    <row r="89" customFormat="false" ht="13.5" hidden="false" customHeight="false" outlineLevel="0" collapsed="false">
      <c r="A89" s="0" t="s">
        <v>29</v>
      </c>
      <c r="B89" s="1" t="n">
        <v>43949</v>
      </c>
      <c r="C89" s="2" t="n">
        <v>87147</v>
      </c>
      <c r="D89" s="2" t="n">
        <v>6198</v>
      </c>
      <c r="E89" s="2" t="n">
        <v>794</v>
      </c>
      <c r="F89" s="2" t="n">
        <v>47</v>
      </c>
      <c r="G89" s="2" t="n">
        <v>7346</v>
      </c>
      <c r="H89" s="2" t="n">
        <v>79007</v>
      </c>
      <c r="I89" s="2" t="n">
        <v>2300</v>
      </c>
      <c r="J89" s="2" t="n">
        <v>597</v>
      </c>
      <c r="K89" s="2" t="n">
        <v>5</v>
      </c>
      <c r="L89" s="2" t="n">
        <v>3019434</v>
      </c>
      <c r="M89" s="2" t="n">
        <v>20690</v>
      </c>
    </row>
    <row r="90" customFormat="false" ht="13.5" hidden="false" customHeight="false" outlineLevel="0" collapsed="false">
      <c r="A90" s="0" t="s">
        <v>29</v>
      </c>
      <c r="B90" s="1" t="n">
        <v>43950</v>
      </c>
      <c r="C90" s="2" t="n">
        <v>93558</v>
      </c>
      <c r="D90" s="2" t="n">
        <v>6411</v>
      </c>
      <c r="E90" s="2" t="n">
        <v>867</v>
      </c>
      <c r="F90" s="2" t="n">
        <v>73</v>
      </c>
      <c r="G90" s="2" t="n">
        <v>8456</v>
      </c>
      <c r="H90" s="2" t="n">
        <v>84235</v>
      </c>
      <c r="I90" s="2" t="n">
        <v>2300</v>
      </c>
      <c r="J90" s="2" t="n">
        <v>641</v>
      </c>
      <c r="K90" s="2" t="n">
        <v>6</v>
      </c>
      <c r="L90" s="2" t="n">
        <v>3139258</v>
      </c>
      <c r="M90" s="2" t="n">
        <v>21511</v>
      </c>
    </row>
    <row r="91" customFormat="false" ht="13.5" hidden="false" customHeight="false" outlineLevel="0" collapsed="false">
      <c r="A91" s="0" t="s">
        <v>29</v>
      </c>
      <c r="B91" s="1" t="n">
        <v>43951</v>
      </c>
      <c r="C91" s="2" t="n">
        <v>99399</v>
      </c>
      <c r="D91" s="2" t="n">
        <v>5841</v>
      </c>
      <c r="E91" s="2" t="n">
        <v>972</v>
      </c>
      <c r="F91" s="2" t="n">
        <v>105</v>
      </c>
      <c r="G91" s="2" t="n">
        <v>10286</v>
      </c>
      <c r="H91" s="2" t="n">
        <v>88141</v>
      </c>
      <c r="I91" s="2" t="n">
        <v>2300</v>
      </c>
      <c r="J91" s="2" t="n">
        <v>681</v>
      </c>
      <c r="K91" s="2" t="n">
        <v>7</v>
      </c>
      <c r="L91" s="2" t="n">
        <v>3303717</v>
      </c>
      <c r="M91" s="2" t="n">
        <v>22638</v>
      </c>
    </row>
    <row r="92" customFormat="false" ht="14.25" hidden="false" customHeight="false" outlineLevel="0" collapsed="false">
      <c r="A92" s="0" t="s">
        <v>29</v>
      </c>
      <c r="B92" s="1" t="n">
        <v>43952</v>
      </c>
      <c r="C92" s="2" t="n">
        <v>106498</v>
      </c>
      <c r="D92" s="2" t="n">
        <v>7099</v>
      </c>
      <c r="E92" s="2" t="n">
        <v>1073</v>
      </c>
      <c r="F92" s="2" t="n">
        <v>101</v>
      </c>
      <c r="G92" s="2" t="n">
        <v>11619</v>
      </c>
      <c r="H92" s="2" t="n">
        <v>93806</v>
      </c>
      <c r="I92" s="2" t="n">
        <v>2300</v>
      </c>
      <c r="J92" s="2" t="n">
        <v>730</v>
      </c>
      <c r="K92" s="2" t="n">
        <v>7</v>
      </c>
      <c r="L92" s="2" t="n">
        <v>3490000</v>
      </c>
      <c r="M92" s="2" t="n">
        <v>23915</v>
      </c>
    </row>
    <row r="93" customFormat="false" ht="15.75" hidden="false" customHeight="false" outlineLevel="0" collapsed="false">
      <c r="A93" s="0" t="s">
        <v>29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29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29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29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29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29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29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29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29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29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29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29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29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29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29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29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29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29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29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29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29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29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29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29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29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29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29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29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29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29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29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29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29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29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29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29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29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29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29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29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29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29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29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29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29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29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29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29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29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29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29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29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29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29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29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29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29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29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29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29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29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29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29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29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29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29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29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29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29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29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29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29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29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29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29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29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29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29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29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29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29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29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29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29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29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29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29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29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29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29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29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29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29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29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29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30</v>
      </c>
      <c r="B37" s="1" t="n">
        <v>43897</v>
      </c>
      <c r="C37" s="8" t="n">
        <v>13</v>
      </c>
      <c r="D37" s="8" t="n">
        <v>4</v>
      </c>
      <c r="E37" s="8"/>
      <c r="F37" s="8"/>
      <c r="G37" s="8"/>
      <c r="H37" s="8" t="n">
        <v>13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30</v>
      </c>
      <c r="B38" s="1" t="n">
        <v>43898</v>
      </c>
      <c r="C38" s="6" t="n">
        <v>21</v>
      </c>
      <c r="D38" s="6" t="n">
        <v>8</v>
      </c>
      <c r="E38" s="6"/>
      <c r="F38" s="6"/>
      <c r="G38" s="6"/>
      <c r="H38" s="6" t="n">
        <v>21</v>
      </c>
      <c r="I38" s="6"/>
      <c r="J38" s="6" t="n">
        <v>2.1</v>
      </c>
      <c r="K38" s="6"/>
      <c r="L38" s="6"/>
      <c r="M38" s="6"/>
    </row>
    <row r="39" customFormat="false" ht="15.75" hidden="false" customHeight="false" outlineLevel="0" collapsed="false">
      <c r="A39" s="0" t="s">
        <v>30</v>
      </c>
      <c r="B39" s="1" t="n">
        <v>43899</v>
      </c>
      <c r="C39" s="6" t="n">
        <v>30</v>
      </c>
      <c r="D39" s="6" t="n">
        <v>9</v>
      </c>
      <c r="E39" s="6"/>
      <c r="F39" s="6"/>
      <c r="G39" s="6"/>
      <c r="H39" s="6" t="n">
        <v>30</v>
      </c>
      <c r="I39" s="6"/>
      <c r="J39" s="6" t="n">
        <v>2.9</v>
      </c>
      <c r="K39" s="6"/>
      <c r="L39" s="6"/>
      <c r="M39" s="6"/>
    </row>
    <row r="40" customFormat="false" ht="15.75" hidden="false" customHeight="false" outlineLevel="0" collapsed="false">
      <c r="A40" s="0" t="s">
        <v>30</v>
      </c>
      <c r="B40" s="1" t="n">
        <v>43900</v>
      </c>
      <c r="C40" s="6" t="n">
        <v>39</v>
      </c>
      <c r="D40" s="6" t="n">
        <v>9</v>
      </c>
      <c r="E40" s="6"/>
      <c r="F40" s="6"/>
      <c r="G40" s="6"/>
      <c r="H40" s="6" t="n">
        <v>39</v>
      </c>
      <c r="I40" s="6"/>
      <c r="J40" s="6" t="n">
        <v>3.8</v>
      </c>
      <c r="K40" s="6"/>
      <c r="L40" s="6"/>
      <c r="M40" s="6"/>
    </row>
    <row r="41" customFormat="false" ht="15.75" hidden="false" customHeight="false" outlineLevel="0" collapsed="false">
      <c r="A41" s="0" t="s">
        <v>30</v>
      </c>
      <c r="B41" s="1" t="n">
        <v>43901</v>
      </c>
      <c r="C41" s="6" t="n">
        <v>41</v>
      </c>
      <c r="D41" s="6" t="n">
        <v>2</v>
      </c>
      <c r="E41" s="6"/>
      <c r="F41" s="6"/>
      <c r="G41" s="6"/>
      <c r="H41" s="6" t="n">
        <v>41</v>
      </c>
      <c r="I41" s="6" t="n">
        <v>1</v>
      </c>
      <c r="J41" s="6" t="n">
        <v>4</v>
      </c>
      <c r="K41" s="6"/>
      <c r="L41" s="6"/>
      <c r="M41" s="6"/>
    </row>
    <row r="42" customFormat="false" ht="15.75" hidden="false" customHeight="false" outlineLevel="0" collapsed="false">
      <c r="A42" s="0" t="s">
        <v>30</v>
      </c>
      <c r="B42" s="1" t="n">
        <v>43902</v>
      </c>
      <c r="C42" s="6" t="n">
        <v>59</v>
      </c>
      <c r="D42" s="6" t="n">
        <v>18</v>
      </c>
      <c r="E42" s="6"/>
      <c r="F42" s="6"/>
      <c r="G42" s="6"/>
      <c r="H42" s="6" t="n">
        <v>59</v>
      </c>
      <c r="I42" s="6" t="n">
        <v>1</v>
      </c>
      <c r="J42" s="6" t="n">
        <v>5.8</v>
      </c>
      <c r="K42" s="6"/>
      <c r="L42" s="6"/>
      <c r="M42" s="6"/>
    </row>
    <row r="43" customFormat="false" ht="15.75" hidden="false" customHeight="false" outlineLevel="0" collapsed="false">
      <c r="A43" s="0" t="s">
        <v>30</v>
      </c>
      <c r="B43" s="1" t="n">
        <v>43903</v>
      </c>
      <c r="C43" s="6" t="n">
        <v>78</v>
      </c>
      <c r="D43" s="6" t="n">
        <v>19</v>
      </c>
      <c r="E43" s="6"/>
      <c r="F43" s="6"/>
      <c r="G43" s="6" t="n">
        <v>1</v>
      </c>
      <c r="H43" s="6" t="n">
        <v>77</v>
      </c>
      <c r="I43" s="6" t="n">
        <v>1</v>
      </c>
      <c r="J43" s="6" t="n">
        <v>7.6</v>
      </c>
      <c r="K43" s="6"/>
      <c r="L43" s="6"/>
      <c r="M43" s="6"/>
    </row>
    <row r="44" customFormat="false" ht="15.75" hidden="false" customHeight="false" outlineLevel="0" collapsed="false">
      <c r="A44" s="0" t="s">
        <v>30</v>
      </c>
      <c r="B44" s="1" t="n">
        <v>43904</v>
      </c>
      <c r="C44" s="6" t="n">
        <v>112</v>
      </c>
      <c r="D44" s="6" t="n">
        <v>34</v>
      </c>
      <c r="E44" s="6"/>
      <c r="F44" s="6"/>
      <c r="G44" s="6" t="n">
        <v>1</v>
      </c>
      <c r="H44" s="6" t="n">
        <v>111</v>
      </c>
      <c r="I44" s="6" t="n">
        <v>1</v>
      </c>
      <c r="J44" s="6" t="n">
        <v>11</v>
      </c>
      <c r="K44" s="6"/>
      <c r="L44" s="6"/>
      <c r="M44" s="6"/>
    </row>
    <row r="45" customFormat="false" ht="15.75" hidden="false" customHeight="false" outlineLevel="0" collapsed="false">
      <c r="A45" s="0" t="s">
        <v>30</v>
      </c>
      <c r="B45" s="1" t="n">
        <v>43905</v>
      </c>
      <c r="C45" s="6" t="n">
        <v>169</v>
      </c>
      <c r="D45" s="6" t="n">
        <v>57</v>
      </c>
      <c r="E45" s="6"/>
      <c r="F45" s="6"/>
      <c r="G45" s="6" t="n">
        <v>2</v>
      </c>
      <c r="H45" s="6" t="n">
        <v>167</v>
      </c>
      <c r="I45" s="6" t="n">
        <v>10</v>
      </c>
      <c r="J45" s="6" t="n">
        <v>16.6</v>
      </c>
      <c r="K45" s="6"/>
      <c r="L45" s="6"/>
      <c r="M45" s="6"/>
    </row>
    <row r="46" customFormat="false" ht="15.75" hidden="false" customHeight="false" outlineLevel="0" collapsed="false">
      <c r="A46" s="0" t="s">
        <v>30</v>
      </c>
      <c r="B46" s="1" t="n">
        <v>43906</v>
      </c>
      <c r="C46" s="6" t="n">
        <v>245</v>
      </c>
      <c r="D46" s="6" t="n">
        <v>76</v>
      </c>
      <c r="E46" s="6"/>
      <c r="F46" s="6"/>
      <c r="G46" s="6" t="n">
        <v>2</v>
      </c>
      <c r="H46" s="6" t="n">
        <v>243</v>
      </c>
      <c r="I46" s="6" t="n">
        <v>9</v>
      </c>
      <c r="J46" s="6" t="n">
        <v>24</v>
      </c>
      <c r="K46" s="6"/>
      <c r="L46" s="6"/>
      <c r="M46" s="6"/>
    </row>
    <row r="47" customFormat="false" ht="15.75" hidden="false" customHeight="false" outlineLevel="0" collapsed="false">
      <c r="A47" s="0" t="s">
        <v>30</v>
      </c>
      <c r="B47" s="1" t="n">
        <v>43907</v>
      </c>
      <c r="C47" s="6" t="n">
        <v>331</v>
      </c>
      <c r="D47" s="6" t="n">
        <v>86</v>
      </c>
      <c r="E47" s="6" t="n">
        <v>1</v>
      </c>
      <c r="F47" s="6" t="n">
        <v>1</v>
      </c>
      <c r="G47" s="6" t="n">
        <v>3</v>
      </c>
      <c r="H47" s="6" t="n">
        <v>327</v>
      </c>
      <c r="I47" s="6" t="n">
        <v>18</v>
      </c>
      <c r="J47" s="6" t="n">
        <v>32.5</v>
      </c>
      <c r="K47" s="6"/>
      <c r="L47" s="6"/>
      <c r="M47" s="6"/>
    </row>
    <row r="48" customFormat="false" ht="15.75" hidden="false" customHeight="false" outlineLevel="0" collapsed="false">
      <c r="A48" s="0" t="s">
        <v>30</v>
      </c>
      <c r="B48" s="1" t="n">
        <v>43908</v>
      </c>
      <c r="C48" s="6" t="n">
        <v>448</v>
      </c>
      <c r="D48" s="6" t="n">
        <v>117</v>
      </c>
      <c r="E48" s="6" t="n">
        <v>1</v>
      </c>
      <c r="F48" s="6" t="n">
        <v>0</v>
      </c>
      <c r="G48" s="6" t="n">
        <v>3</v>
      </c>
      <c r="H48" s="6" t="n">
        <v>444</v>
      </c>
      <c r="I48" s="6" t="n">
        <v>18</v>
      </c>
      <c r="J48" s="6" t="n">
        <v>43.9</v>
      </c>
      <c r="K48" s="6"/>
      <c r="L48" s="6"/>
      <c r="M48" s="6"/>
    </row>
    <row r="49" customFormat="false" ht="15.75" hidden="false" customHeight="false" outlineLevel="0" collapsed="false">
      <c r="A49" s="0" t="s">
        <v>30</v>
      </c>
      <c r="B49" s="1" t="n">
        <v>43909</v>
      </c>
      <c r="C49" s="6" t="n">
        <v>642</v>
      </c>
      <c r="D49" s="6" t="n">
        <v>194</v>
      </c>
      <c r="E49" s="6" t="n">
        <v>2</v>
      </c>
      <c r="F49" s="6" t="n">
        <v>1</v>
      </c>
      <c r="G49" s="6" t="n">
        <v>4</v>
      </c>
      <c r="H49" s="6" t="n">
        <v>636</v>
      </c>
      <c r="I49" s="6" t="n">
        <v>18</v>
      </c>
      <c r="J49" s="6" t="n">
        <v>63</v>
      </c>
      <c r="K49" s="6"/>
      <c r="L49" s="6"/>
      <c r="M49" s="6"/>
    </row>
    <row r="50" customFormat="false" ht="15.75" hidden="false" customHeight="false" outlineLevel="0" collapsed="false">
      <c r="A50" s="0" t="s">
        <v>30</v>
      </c>
      <c r="B50" s="1" t="n">
        <v>43910</v>
      </c>
      <c r="C50" s="6" t="n">
        <v>786</v>
      </c>
      <c r="D50" s="6" t="n">
        <v>144</v>
      </c>
      <c r="E50" s="6" t="n">
        <v>4</v>
      </c>
      <c r="F50" s="6" t="n">
        <v>2</v>
      </c>
      <c r="G50" s="6" t="n">
        <v>4</v>
      </c>
      <c r="H50" s="6" t="n">
        <v>778</v>
      </c>
      <c r="I50" s="6" t="n">
        <v>20</v>
      </c>
      <c r="J50" s="6" t="n">
        <v>77</v>
      </c>
      <c r="K50" s="6"/>
      <c r="L50" s="6"/>
      <c r="M50" s="6"/>
    </row>
    <row r="51" customFormat="false" ht="15.75" hidden="false" customHeight="false" outlineLevel="0" collapsed="false">
      <c r="A51" s="0" t="s">
        <v>30</v>
      </c>
      <c r="B51" s="1" t="n">
        <v>43911</v>
      </c>
      <c r="C51" s="6" t="n">
        <v>1020</v>
      </c>
      <c r="D51" s="6" t="n">
        <v>234</v>
      </c>
      <c r="E51" s="6" t="n">
        <v>7</v>
      </c>
      <c r="F51" s="6" t="n">
        <v>3</v>
      </c>
      <c r="G51" s="6" t="n">
        <v>5</v>
      </c>
      <c r="H51" s="6" t="n">
        <v>1008</v>
      </c>
      <c r="I51" s="6" t="n">
        <v>26</v>
      </c>
      <c r="J51" s="6" t="n">
        <v>100</v>
      </c>
      <c r="K51" s="6"/>
      <c r="L51" s="6"/>
      <c r="M51" s="6"/>
    </row>
    <row r="52" customFormat="false" ht="15.75" hidden="false" customHeight="false" outlineLevel="0" collapsed="false">
      <c r="A52" s="0" t="s">
        <v>30</v>
      </c>
      <c r="B52" s="1" t="n">
        <v>43912</v>
      </c>
      <c r="C52" s="6" t="n">
        <v>1280</v>
      </c>
      <c r="D52" s="6" t="n">
        <v>260</v>
      </c>
      <c r="E52" s="6" t="n">
        <v>12</v>
      </c>
      <c r="F52" s="6" t="n">
        <v>5</v>
      </c>
      <c r="G52" s="6" t="n">
        <v>5</v>
      </c>
      <c r="H52" s="6" t="n">
        <v>1263</v>
      </c>
      <c r="I52" s="6" t="n">
        <v>26</v>
      </c>
      <c r="J52" s="6" t="n">
        <v>126</v>
      </c>
      <c r="K52" s="6"/>
      <c r="L52" s="6"/>
      <c r="M52" s="6"/>
    </row>
    <row r="53" customFormat="false" ht="15.75" hidden="false" customHeight="false" outlineLevel="0" collapsed="false">
      <c r="A53" s="0" t="s">
        <v>30</v>
      </c>
      <c r="B53" s="1" t="n">
        <v>43913</v>
      </c>
      <c r="C53" s="6" t="n">
        <v>1600</v>
      </c>
      <c r="D53" s="6" t="n">
        <v>320</v>
      </c>
      <c r="E53" s="6" t="n">
        <v>14</v>
      </c>
      <c r="F53" s="6" t="n">
        <v>2</v>
      </c>
      <c r="G53" s="6" t="n">
        <v>5</v>
      </c>
      <c r="H53" s="6" t="n">
        <v>1581</v>
      </c>
      <c r="I53" s="6" t="n">
        <v>26</v>
      </c>
      <c r="J53" s="6" t="n">
        <v>157</v>
      </c>
      <c r="K53" s="6"/>
      <c r="L53" s="6"/>
      <c r="M53" s="6"/>
    </row>
    <row r="54" customFormat="false" ht="15.75" hidden="false" customHeight="false" outlineLevel="0" collapsed="false">
      <c r="A54" s="0" t="s">
        <v>30</v>
      </c>
      <c r="B54" s="1" t="n">
        <v>43914</v>
      </c>
      <c r="C54" s="6" t="n">
        <v>2060</v>
      </c>
      <c r="D54" s="6" t="n">
        <v>460</v>
      </c>
      <c r="E54" s="6" t="n">
        <v>23</v>
      </c>
      <c r="F54" s="6" t="n">
        <v>9</v>
      </c>
      <c r="G54" s="6" t="n">
        <v>14</v>
      </c>
      <c r="H54" s="6" t="n">
        <v>2023</v>
      </c>
      <c r="I54" s="6" t="n">
        <v>47</v>
      </c>
      <c r="J54" s="6" t="n">
        <v>202</v>
      </c>
      <c r="K54" s="6"/>
      <c r="L54" s="6"/>
      <c r="M54" s="6"/>
    </row>
    <row r="55" customFormat="false" ht="15.75" hidden="false" customHeight="false" outlineLevel="0" collapsed="false">
      <c r="A55" s="0" t="s">
        <v>30</v>
      </c>
      <c r="B55" s="1" t="n">
        <v>43915</v>
      </c>
      <c r="C55" s="7" t="n">
        <v>2362</v>
      </c>
      <c r="D55" s="7" t="n">
        <v>302</v>
      </c>
      <c r="E55" s="7" t="n">
        <v>33</v>
      </c>
      <c r="F55" s="7" t="n">
        <v>10</v>
      </c>
      <c r="G55" s="7" t="n">
        <v>22</v>
      </c>
      <c r="H55" s="7" t="n">
        <v>2307</v>
      </c>
      <c r="I55" s="7" t="n">
        <v>48</v>
      </c>
      <c r="J55" s="7" t="n">
        <v>232</v>
      </c>
      <c r="K55" s="7" t="n">
        <v>3</v>
      </c>
      <c r="L55" s="7"/>
      <c r="M55" s="7"/>
    </row>
    <row r="56" customFormat="false" ht="15.75" hidden="false" customHeight="false" outlineLevel="0" collapsed="false">
      <c r="A56" s="0" t="s">
        <v>30</v>
      </c>
      <c r="B56" s="1" t="n">
        <v>43916</v>
      </c>
      <c r="C56" s="7" t="n">
        <v>2995</v>
      </c>
      <c r="D56" s="7" t="n">
        <v>633</v>
      </c>
      <c r="E56" s="7" t="n">
        <v>43</v>
      </c>
      <c r="F56" s="7" t="n">
        <v>10</v>
      </c>
      <c r="G56" s="7" t="n">
        <v>22</v>
      </c>
      <c r="H56" s="7" t="n">
        <v>2930</v>
      </c>
      <c r="I56" s="7" t="n">
        <v>61</v>
      </c>
      <c r="J56" s="7" t="n">
        <v>294</v>
      </c>
      <c r="K56" s="7" t="n">
        <v>4</v>
      </c>
      <c r="L56" s="7"/>
      <c r="M56" s="7"/>
    </row>
    <row r="57" customFormat="false" ht="15.75" hidden="false" customHeight="false" outlineLevel="0" collapsed="false">
      <c r="A57" s="0" t="s">
        <v>30</v>
      </c>
      <c r="B57" s="1" t="n">
        <v>43917</v>
      </c>
      <c r="C57" s="7" t="n">
        <v>3544</v>
      </c>
      <c r="D57" s="7" t="n">
        <v>549</v>
      </c>
      <c r="E57" s="7" t="n">
        <v>60</v>
      </c>
      <c r="F57" s="7" t="n">
        <v>17</v>
      </c>
      <c r="G57" s="7" t="n">
        <v>43</v>
      </c>
      <c r="H57" s="7" t="n">
        <v>3441</v>
      </c>
      <c r="I57" s="7" t="n">
        <v>61</v>
      </c>
      <c r="J57" s="7" t="n">
        <v>348</v>
      </c>
      <c r="K57" s="7" t="n">
        <v>6</v>
      </c>
      <c r="L57" s="7"/>
      <c r="M57" s="7"/>
    </row>
    <row r="58" customFormat="false" ht="15.75" hidden="false" customHeight="false" outlineLevel="0" collapsed="false">
      <c r="A58" s="0" t="s">
        <v>30</v>
      </c>
      <c r="B58" s="1" t="n">
        <v>43918</v>
      </c>
      <c r="C58" s="7" t="n">
        <v>4268</v>
      </c>
      <c r="D58" s="7" t="n">
        <v>724</v>
      </c>
      <c r="E58" s="7" t="n">
        <v>76</v>
      </c>
      <c r="F58" s="7" t="n">
        <v>16</v>
      </c>
      <c r="G58" s="7" t="n">
        <v>43</v>
      </c>
      <c r="H58" s="7" t="n">
        <v>4149</v>
      </c>
      <c r="I58" s="7" t="n">
        <v>71</v>
      </c>
      <c r="J58" s="7" t="n">
        <v>419</v>
      </c>
      <c r="K58" s="7" t="n">
        <v>7</v>
      </c>
      <c r="L58" s="7"/>
      <c r="M58" s="7"/>
    </row>
    <row r="59" customFormat="false" ht="15.75" hidden="false" customHeight="false" outlineLevel="0" collapsed="false">
      <c r="A59" s="0" t="s">
        <v>30</v>
      </c>
      <c r="B59" s="1" t="n">
        <v>43919</v>
      </c>
      <c r="C59" s="7" t="n">
        <v>5170</v>
      </c>
      <c r="D59" s="7" t="n">
        <v>902</v>
      </c>
      <c r="E59" s="7" t="n">
        <v>100</v>
      </c>
      <c r="F59" s="7" t="n">
        <v>24</v>
      </c>
      <c r="G59" s="7" t="n">
        <v>43</v>
      </c>
      <c r="H59" s="7" t="n">
        <v>5027</v>
      </c>
      <c r="I59" s="7" t="n">
        <v>89</v>
      </c>
      <c r="J59" s="7" t="n">
        <v>507</v>
      </c>
      <c r="K59" s="7" t="n">
        <v>10</v>
      </c>
      <c r="L59" s="7"/>
      <c r="M59" s="7"/>
    </row>
    <row r="60" customFormat="false" ht="15.75" hidden="false" customHeight="false" outlineLevel="0" collapsed="false">
      <c r="A60" s="0" t="s">
        <v>30</v>
      </c>
      <c r="B60" s="1" t="n">
        <v>43920</v>
      </c>
      <c r="C60" s="7" t="n">
        <v>5962</v>
      </c>
      <c r="D60" s="7" t="n">
        <v>792</v>
      </c>
      <c r="E60" s="7" t="n">
        <v>119</v>
      </c>
      <c r="F60" s="7" t="n">
        <v>19</v>
      </c>
      <c r="G60" s="7" t="n">
        <v>43</v>
      </c>
      <c r="H60" s="7" t="n">
        <v>5800</v>
      </c>
      <c r="I60" s="7" t="n">
        <v>89</v>
      </c>
      <c r="J60" s="7" t="n">
        <v>585</v>
      </c>
      <c r="K60" s="7" t="n">
        <v>12</v>
      </c>
      <c r="L60" s="7"/>
      <c r="M60" s="7"/>
    </row>
    <row r="61" customFormat="false" ht="15.75" hidden="false" customHeight="false" outlineLevel="0" collapsed="false">
      <c r="A61" s="0" t="s">
        <v>30</v>
      </c>
      <c r="B61" s="1" t="n">
        <v>43921</v>
      </c>
      <c r="C61" s="7" t="n">
        <v>6408</v>
      </c>
      <c r="D61" s="7" t="n">
        <v>446</v>
      </c>
      <c r="E61" s="7" t="n">
        <v>140</v>
      </c>
      <c r="F61" s="7" t="n">
        <v>21</v>
      </c>
      <c r="G61" s="7" t="n">
        <v>43</v>
      </c>
      <c r="H61" s="7" t="n">
        <v>6225</v>
      </c>
      <c r="I61" s="7" t="n">
        <v>164</v>
      </c>
      <c r="J61" s="7" t="n">
        <v>628</v>
      </c>
      <c r="K61" s="7" t="n">
        <v>14</v>
      </c>
      <c r="L61" s="7"/>
      <c r="M61" s="7"/>
    </row>
    <row r="62" customFormat="false" ht="15.75" hidden="false" customHeight="false" outlineLevel="0" collapsed="false">
      <c r="A62" s="0" t="s">
        <v>30</v>
      </c>
      <c r="B62" s="1" t="n">
        <v>43922</v>
      </c>
      <c r="C62" s="7" t="n">
        <v>7443</v>
      </c>
      <c r="D62" s="7" t="n">
        <v>1035</v>
      </c>
      <c r="E62" s="7" t="n">
        <v>160</v>
      </c>
      <c r="F62" s="7" t="n">
        <v>20</v>
      </c>
      <c r="G62" s="7" t="n">
        <v>43</v>
      </c>
      <c r="H62" s="7" t="n">
        <v>7240</v>
      </c>
      <c r="I62" s="7" t="n">
        <v>188</v>
      </c>
      <c r="J62" s="7" t="n">
        <v>730</v>
      </c>
      <c r="K62" s="7" t="n">
        <v>16</v>
      </c>
      <c r="L62" s="7"/>
      <c r="M62" s="7"/>
    </row>
    <row r="63" customFormat="false" ht="15.75" hidden="false" customHeight="false" outlineLevel="0" collapsed="false">
      <c r="A63" s="0" t="s">
        <v>30</v>
      </c>
      <c r="B63" s="1" t="n">
        <v>43923</v>
      </c>
      <c r="C63" s="7" t="n">
        <v>8251</v>
      </c>
      <c r="D63" s="7" t="n">
        <v>808</v>
      </c>
      <c r="E63" s="7" t="n">
        <v>187</v>
      </c>
      <c r="F63" s="7" t="n">
        <v>27</v>
      </c>
      <c r="G63" s="7" t="n">
        <v>43</v>
      </c>
      <c r="H63" s="7" t="n">
        <v>8021</v>
      </c>
      <c r="I63" s="7" t="n">
        <v>230</v>
      </c>
      <c r="J63" s="7" t="n">
        <v>809</v>
      </c>
      <c r="K63" s="7" t="n">
        <v>18</v>
      </c>
      <c r="L63" s="7"/>
      <c r="M63" s="7"/>
    </row>
    <row r="64" customFormat="false" ht="15.75" hidden="false" customHeight="false" outlineLevel="0" collapsed="false">
      <c r="A64" s="0" t="s">
        <v>30</v>
      </c>
      <c r="B64" s="1" t="n">
        <v>43924</v>
      </c>
      <c r="C64" s="7" t="n">
        <v>9034</v>
      </c>
      <c r="D64" s="7" t="n">
        <v>783</v>
      </c>
      <c r="E64" s="7" t="n">
        <v>209</v>
      </c>
      <c r="F64" s="7" t="n">
        <v>22</v>
      </c>
      <c r="G64" s="7" t="n">
        <v>68</v>
      </c>
      <c r="H64" s="7" t="n">
        <v>8757</v>
      </c>
      <c r="I64" s="7" t="n">
        <v>230</v>
      </c>
      <c r="J64" s="7" t="n">
        <v>886</v>
      </c>
      <c r="K64" s="7" t="n">
        <v>20</v>
      </c>
      <c r="L64" s="7"/>
      <c r="M64" s="7"/>
    </row>
    <row r="65" customFormat="false" ht="15.75" hidden="false" customHeight="false" outlineLevel="0" collapsed="false">
      <c r="A65" s="0" t="s">
        <v>30</v>
      </c>
      <c r="B65" s="1" t="n">
        <v>43925</v>
      </c>
      <c r="C65" s="7" t="n">
        <v>9886</v>
      </c>
      <c r="D65" s="7" t="n">
        <v>852</v>
      </c>
      <c r="E65" s="7" t="n">
        <v>246</v>
      </c>
      <c r="F65" s="7" t="n">
        <v>37</v>
      </c>
      <c r="G65" s="7" t="n">
        <v>68</v>
      </c>
      <c r="H65" s="7" t="n">
        <v>9572</v>
      </c>
      <c r="I65" s="7" t="n">
        <v>245</v>
      </c>
      <c r="J65" s="7" t="n">
        <v>970</v>
      </c>
      <c r="K65" s="7" t="n">
        <v>24</v>
      </c>
      <c r="L65" s="7"/>
      <c r="M65" s="7"/>
    </row>
    <row r="66" customFormat="false" ht="15.75" hidden="false" customHeight="false" outlineLevel="0" collapsed="false">
      <c r="A66" s="0" t="s">
        <v>30</v>
      </c>
      <c r="B66" s="1" t="n">
        <v>43926</v>
      </c>
      <c r="C66" s="7" t="n">
        <v>10524</v>
      </c>
      <c r="D66" s="7" t="n">
        <v>638</v>
      </c>
      <c r="E66" s="7" t="n">
        <v>266</v>
      </c>
      <c r="F66" s="7" t="n">
        <v>20</v>
      </c>
      <c r="G66" s="7" t="n">
        <v>75</v>
      </c>
      <c r="H66" s="7" t="n">
        <v>10183</v>
      </c>
      <c r="I66" s="7" t="n">
        <v>251</v>
      </c>
      <c r="J66" s="7" t="n">
        <v>1032</v>
      </c>
      <c r="K66" s="7" t="n">
        <v>26</v>
      </c>
      <c r="L66" s="7" t="n">
        <v>81087</v>
      </c>
      <c r="M66" s="7" t="n">
        <v>7952</v>
      </c>
    </row>
    <row r="67" customFormat="false" ht="15.75" hidden="false" customHeight="false" outlineLevel="0" collapsed="false">
      <c r="A67" s="0" t="s">
        <v>30</v>
      </c>
      <c r="B67" s="1" t="n">
        <v>43927</v>
      </c>
      <c r="C67" s="7" t="n">
        <v>11278</v>
      </c>
      <c r="D67" s="7" t="n">
        <v>754</v>
      </c>
      <c r="E67" s="7" t="n">
        <v>295</v>
      </c>
      <c r="F67" s="7" t="n">
        <v>29</v>
      </c>
      <c r="G67" s="7" t="n">
        <v>75</v>
      </c>
      <c r="H67" s="7" t="n">
        <v>10908</v>
      </c>
      <c r="I67" s="7" t="n">
        <v>267</v>
      </c>
      <c r="J67" s="7" t="n">
        <v>1106</v>
      </c>
      <c r="K67" s="7" t="n">
        <v>29</v>
      </c>
      <c r="L67" s="7" t="n">
        <v>86370</v>
      </c>
      <c r="M67" s="7" t="n">
        <v>8470</v>
      </c>
    </row>
    <row r="68" customFormat="false" ht="15.75" hidden="false" customHeight="false" outlineLevel="0" collapsed="false">
      <c r="A68" s="0" t="s">
        <v>30</v>
      </c>
      <c r="B68" s="1" t="n">
        <v>43928</v>
      </c>
      <c r="C68" s="12" t="n">
        <v>11730</v>
      </c>
      <c r="D68" s="12" t="n">
        <v>452</v>
      </c>
      <c r="E68" s="12" t="n">
        <v>311</v>
      </c>
      <c r="F68" s="12" t="n">
        <v>16</v>
      </c>
      <c r="G68" s="12" t="n">
        <v>140</v>
      </c>
      <c r="H68" s="12" t="n">
        <v>11279</v>
      </c>
      <c r="I68" s="12" t="n">
        <v>270</v>
      </c>
      <c r="J68" s="12" t="n">
        <v>1150</v>
      </c>
      <c r="K68" s="12" t="n">
        <v>31</v>
      </c>
      <c r="L68" s="12" t="n">
        <v>110000</v>
      </c>
      <c r="M68" s="12" t="n">
        <v>10788</v>
      </c>
    </row>
    <row r="69" customFormat="false" ht="15.75" hidden="false" customHeight="false" outlineLevel="0" collapsed="false">
      <c r="A69" s="0" t="s">
        <v>30</v>
      </c>
      <c r="B69" s="1" t="n">
        <v>43929</v>
      </c>
      <c r="C69" s="14" t="n">
        <v>12442</v>
      </c>
      <c r="D69" s="14" t="n">
        <v>712</v>
      </c>
      <c r="E69" s="14" t="n">
        <v>345</v>
      </c>
      <c r="F69" s="14" t="n">
        <v>34</v>
      </c>
      <c r="G69" s="14" t="n">
        <v>184</v>
      </c>
      <c r="H69" s="14" t="n">
        <v>11913</v>
      </c>
      <c r="I69" s="14" t="n">
        <v>271</v>
      </c>
      <c r="J69" s="14" t="n">
        <v>1220</v>
      </c>
      <c r="K69" s="14" t="n">
        <v>34</v>
      </c>
      <c r="L69" s="14" t="n">
        <v>121256</v>
      </c>
      <c r="M69" s="14" t="n">
        <v>11892</v>
      </c>
    </row>
    <row r="70" customFormat="false" ht="15.75" hidden="false" customHeight="false" outlineLevel="0" collapsed="false">
      <c r="A70" s="0" t="s">
        <v>30</v>
      </c>
      <c r="B70" s="1" t="n">
        <v>43930</v>
      </c>
      <c r="C70" s="14" t="n">
        <v>13141</v>
      </c>
      <c r="D70" s="14" t="n">
        <v>699</v>
      </c>
      <c r="E70" s="14" t="n">
        <v>380</v>
      </c>
      <c r="F70" s="14" t="n">
        <v>35</v>
      </c>
      <c r="G70" s="14" t="n">
        <v>196</v>
      </c>
      <c r="H70" s="14" t="n">
        <v>12565</v>
      </c>
      <c r="I70" s="14" t="n">
        <v>245</v>
      </c>
      <c r="J70" s="14" t="n">
        <v>1289</v>
      </c>
      <c r="K70" s="14" t="n">
        <v>37</v>
      </c>
      <c r="L70" s="14" t="n">
        <v>128784</v>
      </c>
      <c r="M70" s="14" t="n">
        <v>12630</v>
      </c>
    </row>
    <row r="71" customFormat="false" ht="15.75" hidden="false" customHeight="false" outlineLevel="0" collapsed="false">
      <c r="A71" s="0" t="s">
        <v>30</v>
      </c>
      <c r="B71" s="1" t="n">
        <v>43931</v>
      </c>
      <c r="C71" s="14" t="n">
        <v>13956</v>
      </c>
      <c r="D71" s="14" t="n">
        <v>815</v>
      </c>
      <c r="E71" s="14" t="n">
        <v>409</v>
      </c>
      <c r="F71" s="14" t="n">
        <v>29</v>
      </c>
      <c r="G71" s="14" t="n">
        <v>205</v>
      </c>
      <c r="H71" s="14" t="n">
        <v>13342</v>
      </c>
      <c r="I71" s="14" t="n">
        <v>241</v>
      </c>
      <c r="J71" s="14" t="n">
        <v>1369</v>
      </c>
      <c r="K71" s="14" t="n">
        <v>40</v>
      </c>
      <c r="L71" s="14" t="n">
        <v>140368</v>
      </c>
      <c r="M71" s="14" t="n">
        <v>13766</v>
      </c>
    </row>
    <row r="72" customFormat="false" ht="15.75" hidden="false" customHeight="false" outlineLevel="0" collapsed="false">
      <c r="A72" s="0" t="s">
        <v>30</v>
      </c>
      <c r="B72" s="1" t="n">
        <v>43932</v>
      </c>
      <c r="C72" s="14" t="n">
        <v>15472</v>
      </c>
      <c r="D72" s="14" t="n">
        <v>1516</v>
      </c>
      <c r="E72" s="14" t="n">
        <v>435</v>
      </c>
      <c r="F72" s="14" t="n">
        <v>26</v>
      </c>
      <c r="G72" s="14" t="n">
        <v>233</v>
      </c>
      <c r="H72" s="14" t="n">
        <v>14804</v>
      </c>
      <c r="I72" s="14" t="n">
        <v>226</v>
      </c>
      <c r="J72" s="14" t="n">
        <v>1517</v>
      </c>
      <c r="K72" s="14" t="n">
        <v>43</v>
      </c>
      <c r="L72" s="14" t="n">
        <v>123564</v>
      </c>
      <c r="M72" s="14" t="n">
        <v>12118</v>
      </c>
    </row>
    <row r="73" customFormat="false" ht="15.75" hidden="false" customHeight="false" outlineLevel="0" collapsed="false">
      <c r="A73" s="0" t="s">
        <v>30</v>
      </c>
      <c r="B73" s="1" t="n">
        <v>43933</v>
      </c>
      <c r="C73" s="14" t="n">
        <v>15987</v>
      </c>
      <c r="D73" s="14" t="n">
        <v>515</v>
      </c>
      <c r="E73" s="14" t="n">
        <v>470</v>
      </c>
      <c r="F73" s="14" t="n">
        <v>35</v>
      </c>
      <c r="G73" s="14" t="n">
        <v>266</v>
      </c>
      <c r="H73" s="14" t="n">
        <v>15251</v>
      </c>
      <c r="I73" s="14" t="n">
        <v>233</v>
      </c>
      <c r="J73" s="14" t="n">
        <v>1568</v>
      </c>
      <c r="K73" s="14" t="n">
        <v>46</v>
      </c>
      <c r="L73" s="14" t="n">
        <v>162798</v>
      </c>
      <c r="M73" s="14" t="n">
        <v>15966</v>
      </c>
    </row>
    <row r="74" customFormat="false" ht="15.75" hidden="false" customHeight="false" outlineLevel="0" collapsed="false">
      <c r="A74" s="0" t="s">
        <v>30</v>
      </c>
      <c r="B74" s="1" t="n">
        <v>43934</v>
      </c>
      <c r="C74" s="14" t="n">
        <v>16585</v>
      </c>
      <c r="D74" s="14" t="n">
        <v>598</v>
      </c>
      <c r="E74" s="14" t="n">
        <v>504</v>
      </c>
      <c r="F74" s="14" t="n">
        <v>34</v>
      </c>
      <c r="G74" s="14" t="n">
        <v>277</v>
      </c>
      <c r="H74" s="14" t="n">
        <v>15804</v>
      </c>
      <c r="I74" s="14" t="n">
        <v>228</v>
      </c>
      <c r="J74" s="14" t="n">
        <v>1627</v>
      </c>
      <c r="K74" s="14" t="n">
        <v>49</v>
      </c>
      <c r="L74" s="14" t="n">
        <v>163616</v>
      </c>
      <c r="M74" s="14" t="n">
        <v>16046</v>
      </c>
    </row>
    <row r="75" customFormat="false" ht="15.75" hidden="false" customHeight="false" outlineLevel="0" collapsed="false">
      <c r="A75" s="0" t="s">
        <v>30</v>
      </c>
      <c r="B75" s="1" t="n">
        <v>43935</v>
      </c>
      <c r="C75" s="14" t="n">
        <v>16934</v>
      </c>
      <c r="D75" s="14" t="n">
        <v>349</v>
      </c>
      <c r="E75" s="14" t="n">
        <v>535</v>
      </c>
      <c r="F75" s="14" t="n">
        <v>31</v>
      </c>
      <c r="G75" s="14" t="n">
        <v>277</v>
      </c>
      <c r="H75" s="14" t="n">
        <v>16122</v>
      </c>
      <c r="I75" s="14" t="n">
        <v>188</v>
      </c>
      <c r="J75" s="14" t="n">
        <v>1661</v>
      </c>
      <c r="K75" s="14" t="n">
        <v>52</v>
      </c>
      <c r="L75" s="14" t="n">
        <v>182707</v>
      </c>
      <c r="M75" s="14" t="n">
        <v>17918</v>
      </c>
    </row>
    <row r="76" customFormat="false" ht="15.75" hidden="false" customHeight="false" outlineLevel="0" collapsed="false">
      <c r="A76" s="0" t="s">
        <v>30</v>
      </c>
      <c r="B76" s="1" t="n">
        <v>43936</v>
      </c>
      <c r="C76" s="14" t="n">
        <v>17448</v>
      </c>
      <c r="D76" s="14" t="n">
        <v>514</v>
      </c>
      <c r="E76" s="14" t="n">
        <v>567</v>
      </c>
      <c r="F76" s="14" t="n">
        <v>32</v>
      </c>
      <c r="G76" s="14" t="n">
        <v>347</v>
      </c>
      <c r="H76" s="14" t="n">
        <v>16534</v>
      </c>
      <c r="I76" s="14" t="n">
        <v>218</v>
      </c>
      <c r="J76" s="14" t="n">
        <v>1711</v>
      </c>
      <c r="K76" s="14" t="n">
        <v>56</v>
      </c>
      <c r="L76" s="14" t="n">
        <v>182707</v>
      </c>
      <c r="M76" s="14" t="n">
        <v>17918</v>
      </c>
    </row>
    <row r="77" customFormat="false" ht="15.75" hidden="false" customHeight="false" outlineLevel="0" collapsed="false">
      <c r="A77" s="0" t="s">
        <v>30</v>
      </c>
      <c r="B77" s="1" t="n">
        <v>43937</v>
      </c>
      <c r="C77" s="14" t="n">
        <v>18091</v>
      </c>
      <c r="D77" s="14" t="n">
        <v>643</v>
      </c>
      <c r="E77" s="14" t="n">
        <v>599</v>
      </c>
      <c r="F77" s="14" t="n">
        <v>32</v>
      </c>
      <c r="G77" s="14" t="n">
        <v>383</v>
      </c>
      <c r="H77" s="14" t="n">
        <v>17109</v>
      </c>
      <c r="I77" s="14" t="n">
        <v>208</v>
      </c>
      <c r="J77" s="14" t="n">
        <v>1774</v>
      </c>
      <c r="K77" s="14" t="n">
        <v>59</v>
      </c>
      <c r="L77" s="14" t="n">
        <v>191680</v>
      </c>
      <c r="M77" s="14" t="n">
        <v>18798</v>
      </c>
    </row>
    <row r="78" customFormat="false" ht="15.75" hidden="false" customHeight="false" outlineLevel="0" collapsed="false">
      <c r="A78" s="0" t="s">
        <v>30</v>
      </c>
      <c r="B78" s="1" t="n">
        <v>43938</v>
      </c>
      <c r="C78" s="14" t="n">
        <v>18841</v>
      </c>
      <c r="D78" s="14" t="n">
        <v>750</v>
      </c>
      <c r="E78" s="14" t="n">
        <v>629</v>
      </c>
      <c r="F78" s="14" t="n">
        <v>30</v>
      </c>
      <c r="G78" s="14" t="n">
        <v>493</v>
      </c>
      <c r="H78" s="14" t="n">
        <v>17719</v>
      </c>
      <c r="I78" s="14" t="n">
        <v>229</v>
      </c>
      <c r="J78" s="14" t="n">
        <v>1848</v>
      </c>
      <c r="K78" s="14" t="n">
        <v>62</v>
      </c>
      <c r="L78" s="14" t="n">
        <v>208314</v>
      </c>
      <c r="M78" s="14" t="n">
        <v>20430</v>
      </c>
    </row>
    <row r="79" customFormat="false" ht="15.75" hidden="false" customHeight="false" outlineLevel="0" collapsed="false">
      <c r="A79" s="0" t="s">
        <v>30</v>
      </c>
      <c r="B79" s="1" t="n">
        <v>43939</v>
      </c>
      <c r="C79" s="14" t="n">
        <v>19022</v>
      </c>
      <c r="D79" s="14" t="n">
        <v>181</v>
      </c>
      <c r="E79" s="14" t="n">
        <v>657</v>
      </c>
      <c r="F79" s="14" t="n">
        <v>28</v>
      </c>
      <c r="G79" s="14" t="n">
        <v>519</v>
      </c>
      <c r="H79" s="14" t="n">
        <v>17846</v>
      </c>
      <c r="I79" s="14" t="n">
        <v>222</v>
      </c>
      <c r="J79" s="14" t="n">
        <v>1866</v>
      </c>
      <c r="K79" s="14" t="n">
        <v>64</v>
      </c>
      <c r="L79" s="14" t="n">
        <v>221049</v>
      </c>
      <c r="M79" s="14" t="n">
        <v>21678</v>
      </c>
    </row>
    <row r="80" customFormat="false" ht="15.75" hidden="false" customHeight="false" outlineLevel="0" collapsed="false">
      <c r="A80" s="0" t="s">
        <v>30</v>
      </c>
      <c r="B80" s="1" t="n">
        <v>43940</v>
      </c>
      <c r="C80" s="14" t="n">
        <v>19685</v>
      </c>
      <c r="D80" s="14" t="n">
        <v>663</v>
      </c>
      <c r="E80" s="14" t="n">
        <v>687</v>
      </c>
      <c r="F80" s="14" t="n">
        <v>30</v>
      </c>
      <c r="G80" s="14" t="n">
        <v>610</v>
      </c>
      <c r="H80" s="14" t="n">
        <v>18388</v>
      </c>
      <c r="I80" s="14" t="n">
        <v>228</v>
      </c>
      <c r="J80" s="14" t="n">
        <v>1931</v>
      </c>
      <c r="K80" s="14" t="n">
        <v>67</v>
      </c>
      <c r="L80" s="14" t="n">
        <v>235878</v>
      </c>
      <c r="M80" s="14" t="n">
        <v>23133</v>
      </c>
    </row>
    <row r="81" customFormat="false" ht="15.75" hidden="false" customHeight="false" outlineLevel="0" collapsed="false">
      <c r="A81" s="0" t="s">
        <v>30</v>
      </c>
      <c r="B81" s="1" t="n">
        <v>43941</v>
      </c>
      <c r="C81" s="14" t="n">
        <v>20206</v>
      </c>
      <c r="D81" s="14" t="n">
        <v>521</v>
      </c>
      <c r="E81" s="14" t="n">
        <v>714</v>
      </c>
      <c r="F81" s="14" t="n">
        <v>27</v>
      </c>
      <c r="G81" s="14" t="n">
        <v>610</v>
      </c>
      <c r="H81" s="14" t="n">
        <v>18882</v>
      </c>
      <c r="I81" s="14" t="n">
        <v>224</v>
      </c>
      <c r="J81" s="14" t="n">
        <v>1982</v>
      </c>
      <c r="K81" s="14" t="n">
        <v>70</v>
      </c>
      <c r="L81" s="14" t="n">
        <v>235878</v>
      </c>
      <c r="M81" s="14" t="n">
        <v>23133</v>
      </c>
    </row>
    <row r="82" customFormat="false" ht="15.75" hidden="false" customHeight="false" outlineLevel="0" collapsed="false">
      <c r="A82" s="0" t="s">
        <v>30</v>
      </c>
      <c r="B82" s="1" t="n">
        <v>43942</v>
      </c>
      <c r="C82" s="6" t="n">
        <v>20863</v>
      </c>
      <c r="D82" s="6" t="n">
        <v>657</v>
      </c>
      <c r="E82" s="6" t="n">
        <v>735</v>
      </c>
      <c r="F82" s="6" t="n">
        <v>21</v>
      </c>
      <c r="G82" s="6" t="n">
        <v>610</v>
      </c>
      <c r="H82" s="6" t="n">
        <v>19518</v>
      </c>
      <c r="I82" s="6" t="n">
        <v>215</v>
      </c>
      <c r="J82" s="6" t="n">
        <v>2046</v>
      </c>
      <c r="K82" s="6" t="n">
        <v>72</v>
      </c>
      <c r="L82" s="6" t="n">
        <v>235878</v>
      </c>
      <c r="M82" s="6" t="n">
        <v>23133</v>
      </c>
    </row>
    <row r="83" customFormat="false" ht="15.75" hidden="false" customHeight="false" outlineLevel="0" collapsed="false">
      <c r="A83" s="0" t="s">
        <v>30</v>
      </c>
      <c r="B83" s="1" t="n">
        <v>43943</v>
      </c>
      <c r="C83" s="6" t="n">
        <v>21379</v>
      </c>
      <c r="D83" s="6" t="n">
        <f aca="false">C83-C82</f>
        <v>516</v>
      </c>
      <c r="E83" s="6" t="n">
        <v>762</v>
      </c>
      <c r="F83" s="6" t="n">
        <v>27</v>
      </c>
      <c r="G83" s="6" t="n">
        <v>917</v>
      </c>
      <c r="H83" s="6" t="n">
        <v>19700</v>
      </c>
      <c r="I83" s="6" t="n">
        <v>213</v>
      </c>
      <c r="J83" s="6" t="n">
        <v>2097</v>
      </c>
      <c r="K83" s="6" t="n">
        <v>75</v>
      </c>
      <c r="L83" s="6" t="n">
        <v>271962</v>
      </c>
      <c r="M83" s="6" t="n">
        <v>26672</v>
      </c>
    </row>
    <row r="84" customFormat="false" ht="15.75" hidden="false" customHeight="false" outlineLevel="0" collapsed="false">
      <c r="A84" s="0" t="s">
        <v>30</v>
      </c>
      <c r="B84" s="1" t="n">
        <v>43944</v>
      </c>
      <c r="C84" s="6" t="n">
        <v>21982</v>
      </c>
      <c r="D84" s="6" t="n">
        <f aca="false">C84-C83</f>
        <v>603</v>
      </c>
      <c r="E84" s="6" t="n">
        <v>785</v>
      </c>
      <c r="F84" s="6" t="n">
        <v>23</v>
      </c>
      <c r="G84" s="6" t="n">
        <v>1143</v>
      </c>
      <c r="H84" s="6" t="n">
        <f aca="false">C84-E84-G84</f>
        <v>20054</v>
      </c>
      <c r="I84" s="6" t="n">
        <v>207</v>
      </c>
      <c r="J84" s="6" t="n">
        <v>2156</v>
      </c>
      <c r="K84" s="6" t="n">
        <v>77</v>
      </c>
      <c r="L84" s="6" t="n">
        <v>284741</v>
      </c>
      <c r="M84" s="6" t="n">
        <v>27925</v>
      </c>
    </row>
    <row r="85" customFormat="false" ht="15.75" hidden="false" customHeight="false" outlineLevel="0" collapsed="false">
      <c r="A85" s="0" t="s">
        <v>30</v>
      </c>
      <c r="B85" s="1" t="n">
        <v>43945</v>
      </c>
      <c r="C85" s="6" t="n">
        <v>22353</v>
      </c>
      <c r="D85" s="6" t="n">
        <f aca="false">C85-C84</f>
        <v>371</v>
      </c>
      <c r="E85" s="6" t="n">
        <v>820</v>
      </c>
      <c r="F85" s="6" t="n">
        <v>35</v>
      </c>
      <c r="G85" s="6" t="n">
        <v>1201</v>
      </c>
      <c r="H85" s="6" t="n">
        <f aca="false">C85-E85-G85</f>
        <v>20332</v>
      </c>
      <c r="I85" s="6" t="n">
        <v>204</v>
      </c>
      <c r="J85" s="6" t="n">
        <v>2192</v>
      </c>
      <c r="K85" s="6" t="n">
        <v>80</v>
      </c>
      <c r="L85" s="6" t="n">
        <v>300525</v>
      </c>
      <c r="M85" s="6" t="n">
        <v>29473</v>
      </c>
    </row>
    <row r="86" customFormat="false" ht="15.75" hidden="false" customHeight="false" outlineLevel="0" collapsed="false">
      <c r="A86" s="0" t="s">
        <v>30</v>
      </c>
      <c r="B86" s="1" t="n">
        <v>43946</v>
      </c>
      <c r="C86" s="6" t="n">
        <v>22797</v>
      </c>
      <c r="D86" s="6" t="n">
        <f aca="false">C86-C85</f>
        <v>444</v>
      </c>
      <c r="E86" s="6" t="n">
        <v>854</v>
      </c>
      <c r="F86" s="6" t="n">
        <v>34</v>
      </c>
      <c r="G86" s="6" t="n">
        <v>1228</v>
      </c>
      <c r="H86" s="6" t="n">
        <f aca="false">C86-E86-G86</f>
        <v>20715</v>
      </c>
      <c r="I86" s="6" t="n">
        <v>188</v>
      </c>
      <c r="J86" s="6" t="n">
        <v>2236</v>
      </c>
      <c r="K86" s="6" t="n">
        <v>84</v>
      </c>
      <c r="L86" s="6" t="n">
        <v>315758</v>
      </c>
      <c r="M86" s="6" t="n">
        <v>30967</v>
      </c>
    </row>
    <row r="87" customFormat="false" ht="15.75" hidden="false" customHeight="false" outlineLevel="0" collapsed="false">
      <c r="A87" s="0" t="s">
        <v>30</v>
      </c>
      <c r="B87" s="1" t="n">
        <v>43947</v>
      </c>
      <c r="C87" s="6" t="n">
        <v>23294</v>
      </c>
      <c r="D87" s="6" t="n">
        <f aca="false">C87-C86</f>
        <v>497</v>
      </c>
      <c r="E87" s="6" t="n">
        <v>880</v>
      </c>
      <c r="F87" s="6" t="n">
        <v>26</v>
      </c>
      <c r="G87" s="6" t="n">
        <v>1277</v>
      </c>
      <c r="H87" s="6" t="n">
        <f aca="false">C87-E87-G87</f>
        <v>21137</v>
      </c>
      <c r="I87" s="6" t="n">
        <v>186</v>
      </c>
      <c r="J87" s="6" t="n">
        <v>2294</v>
      </c>
      <c r="K87" s="6" t="n">
        <v>86</v>
      </c>
      <c r="L87" s="6" t="n">
        <v>330512</v>
      </c>
      <c r="M87" s="6" t="n">
        <v>32414</v>
      </c>
    </row>
    <row r="88" customFormat="false" ht="15.75" hidden="false" customHeight="false" outlineLevel="0" collapsed="false">
      <c r="A88" s="0" t="s">
        <v>30</v>
      </c>
      <c r="B88" s="1" t="n">
        <v>43948</v>
      </c>
      <c r="C88" s="6" t="n">
        <v>23688</v>
      </c>
      <c r="D88" s="6" t="n">
        <f aca="false">C88-C87</f>
        <v>394</v>
      </c>
      <c r="E88" s="6" t="n">
        <v>903</v>
      </c>
      <c r="F88" s="6" t="n">
        <v>23</v>
      </c>
      <c r="G88" s="6" t="n">
        <v>1329</v>
      </c>
      <c r="H88" s="6" t="n">
        <f aca="false">C88-E88-G88</f>
        <v>21456</v>
      </c>
      <c r="I88" s="6" t="n">
        <v>182</v>
      </c>
      <c r="J88" s="6" t="n">
        <v>2340</v>
      </c>
      <c r="K88" s="6" t="n">
        <v>89</v>
      </c>
      <c r="L88" s="6" t="n">
        <v>330512</v>
      </c>
      <c r="M88" s="6" t="n">
        <v>32414</v>
      </c>
    </row>
    <row r="89" customFormat="false" ht="15.75" hidden="false" customHeight="false" outlineLevel="0" collapsed="false">
      <c r="A89" s="0" t="s">
        <v>30</v>
      </c>
      <c r="B89" s="1" t="n">
        <v>43949</v>
      </c>
      <c r="C89" s="2" t="n">
        <v>23824</v>
      </c>
      <c r="D89" s="6" t="n">
        <f aca="false">C89-C88</f>
        <v>136</v>
      </c>
      <c r="E89" s="2" t="n">
        <v>928</v>
      </c>
      <c r="F89" s="2" t="n">
        <v>25</v>
      </c>
      <c r="G89" s="2" t="n">
        <v>1357</v>
      </c>
      <c r="H89" s="6" t="n">
        <f aca="false">C89-E89-G89</f>
        <v>21539</v>
      </c>
      <c r="I89" s="2" t="n">
        <v>176</v>
      </c>
      <c r="J89" s="2" t="n">
        <v>2356</v>
      </c>
      <c r="K89" s="2" t="n">
        <v>91</v>
      </c>
      <c r="L89" s="2" t="n">
        <v>360155</v>
      </c>
      <c r="M89" s="2" t="n">
        <v>35321</v>
      </c>
    </row>
    <row r="90" customFormat="false" ht="15.75" hidden="false" customHeight="false" outlineLevel="0" collapsed="false">
      <c r="A90" s="0" t="s">
        <v>30</v>
      </c>
      <c r="B90" s="1" t="n">
        <v>43950</v>
      </c>
      <c r="C90" s="2" t="n">
        <v>24070</v>
      </c>
      <c r="D90" s="6" t="n">
        <f aca="false">C90-C89</f>
        <v>246</v>
      </c>
      <c r="E90" s="2" t="n">
        <v>948</v>
      </c>
      <c r="F90" s="2" t="n">
        <v>20</v>
      </c>
      <c r="G90" s="2" t="n">
        <v>1389</v>
      </c>
      <c r="H90" s="6" t="n">
        <f aca="false">C90-E90-G90</f>
        <v>21733</v>
      </c>
      <c r="I90" s="2" t="n">
        <v>172</v>
      </c>
      <c r="J90" s="2" t="n">
        <v>2385</v>
      </c>
      <c r="K90" s="2" t="n">
        <v>93</v>
      </c>
      <c r="L90" s="2" t="n">
        <v>360155</v>
      </c>
      <c r="M90" s="2" t="n">
        <v>35321</v>
      </c>
    </row>
    <row r="91" customFormat="false" ht="15.75" hidden="false" customHeight="false" outlineLevel="0" collapsed="false">
      <c r="A91" s="0" t="s">
        <v>30</v>
      </c>
      <c r="B91" s="1" t="n">
        <v>43951</v>
      </c>
      <c r="C91" s="2" t="n">
        <v>24223</v>
      </c>
      <c r="D91" s="6" t="n">
        <f aca="false">C91-C90</f>
        <v>153</v>
      </c>
      <c r="E91" s="2" t="n">
        <v>973</v>
      </c>
      <c r="F91" s="2" t="n">
        <v>25</v>
      </c>
      <c r="G91" s="2" t="n">
        <v>1470</v>
      </c>
      <c r="H91" s="6" t="n">
        <f aca="false">C91-E91-G91</f>
        <v>21780</v>
      </c>
      <c r="I91" s="2" t="n">
        <v>169</v>
      </c>
      <c r="J91" s="2" t="n">
        <v>2403</v>
      </c>
      <c r="K91" s="2" t="n">
        <v>95</v>
      </c>
      <c r="L91" s="2" t="n">
        <v>379551</v>
      </c>
      <c r="M91" s="2" t="n">
        <v>37223</v>
      </c>
    </row>
    <row r="92" customFormat="false" ht="15.75" hidden="false" customHeight="false" outlineLevel="0" collapsed="false">
      <c r="A92" s="0" t="s">
        <v>30</v>
      </c>
      <c r="B92" s="1" t="n">
        <v>43952</v>
      </c>
      <c r="C92" s="2" t="n">
        <v>24674</v>
      </c>
      <c r="D92" s="6" t="n">
        <f aca="false">C92-C91</f>
        <v>451</v>
      </c>
      <c r="E92" s="2" t="n">
        <v>989</v>
      </c>
      <c r="F92" s="2" t="n">
        <v>16</v>
      </c>
      <c r="G92" s="2" t="n">
        <v>1519</v>
      </c>
      <c r="H92" s="6" t="n">
        <f aca="false">C92-E92-G92</f>
        <v>22166</v>
      </c>
      <c r="I92" s="2" t="n">
        <v>172</v>
      </c>
      <c r="J92" s="2" t="n">
        <v>2456</v>
      </c>
      <c r="K92" s="2" t="n">
        <v>97</v>
      </c>
      <c r="L92" s="2" t="n">
        <v>395771</v>
      </c>
      <c r="M92" s="2" t="n">
        <v>38814</v>
      </c>
    </row>
    <row r="93" customFormat="false" ht="15.75" hidden="false" customHeight="false" outlineLevel="0" collapsed="false">
      <c r="A93" s="0" t="s">
        <v>30</v>
      </c>
      <c r="B93" s="1" t="n">
        <v>43953</v>
      </c>
      <c r="C93" s="6" t="n">
        <v>24987</v>
      </c>
      <c r="D93" s="6" t="n">
        <f aca="false">C93-C92</f>
        <v>313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C93-E93-G93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30</v>
      </c>
      <c r="B94" s="1" t="n">
        <v>43954</v>
      </c>
      <c r="C94" s="6" t="n">
        <v>25190</v>
      </c>
      <c r="D94" s="6" t="n">
        <f aca="false">C94-C93</f>
        <v>203</v>
      </c>
      <c r="E94" s="6" t="n">
        <v>1023</v>
      </c>
      <c r="F94" s="6" t="n">
        <v>16</v>
      </c>
      <c r="G94" s="6" t="n">
        <v>1671</v>
      </c>
      <c r="H94" s="6" t="n">
        <f aca="false">C94-E94-G94</f>
        <v>22496</v>
      </c>
      <c r="I94" s="6" t="n">
        <v>150</v>
      </c>
      <c r="J94" s="6" t="n">
        <v>2470</v>
      </c>
      <c r="K94" s="6" t="n">
        <v>100</v>
      </c>
      <c r="L94" s="6" t="n">
        <v>426836</v>
      </c>
      <c r="M94" s="6" t="n">
        <v>41860</v>
      </c>
    </row>
    <row r="95" customFormat="false" ht="15.75" hidden="false" customHeight="false" outlineLevel="0" collapsed="false">
      <c r="A95" s="0" t="s">
        <v>30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30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30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30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30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30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30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30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30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30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30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30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30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30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30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30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30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30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30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30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30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30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30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30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30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30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30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30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30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30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30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30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30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30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30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30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30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30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30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30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30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30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30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30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30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30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30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30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30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30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30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30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30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30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30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30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30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30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30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30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30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30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30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30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30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30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30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30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30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30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30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30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30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30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30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30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30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30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30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30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30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30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30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30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30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30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30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30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30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30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30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30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30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P163" activeCellId="0" sqref="P163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31</v>
      </c>
      <c r="B37" s="1" t="n">
        <v>43897</v>
      </c>
      <c r="C37" s="8" t="n">
        <v>66</v>
      </c>
      <c r="D37" s="8" t="n">
        <v>23</v>
      </c>
      <c r="E37" s="8" t="n">
        <v>0</v>
      </c>
      <c r="F37" s="8" t="n">
        <v>0</v>
      </c>
      <c r="G37" s="8" t="n">
        <v>2</v>
      </c>
      <c r="H37" s="8" t="n">
        <v>64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31</v>
      </c>
      <c r="B38" s="1" t="n">
        <v>43898</v>
      </c>
      <c r="C38" s="6" t="n">
        <v>81</v>
      </c>
      <c r="D38" s="6" t="n">
        <v>15</v>
      </c>
      <c r="E38" s="6" t="n">
        <v>0</v>
      </c>
      <c r="F38" s="6" t="n">
        <v>0</v>
      </c>
      <c r="G38" s="6" t="n">
        <v>2</v>
      </c>
      <c r="H38" s="6" t="n">
        <v>79</v>
      </c>
      <c r="I38" s="6" t="n">
        <v>1</v>
      </c>
      <c r="J38" s="6" t="n">
        <v>9</v>
      </c>
      <c r="K38" s="6"/>
      <c r="L38" s="6"/>
      <c r="M38" s="6"/>
    </row>
    <row r="39" customFormat="false" ht="15.75" hidden="false" customHeight="false" outlineLevel="0" collapsed="false">
      <c r="A39" s="0" t="s">
        <v>31</v>
      </c>
      <c r="B39" s="1" t="n">
        <v>43899</v>
      </c>
      <c r="C39" s="6" t="n">
        <v>104</v>
      </c>
      <c r="D39" s="6" t="n">
        <v>23</v>
      </c>
      <c r="E39" s="6" t="n">
        <v>0</v>
      </c>
      <c r="F39" s="6" t="n">
        <v>0</v>
      </c>
      <c r="G39" s="6" t="n">
        <v>2</v>
      </c>
      <c r="H39" s="6" t="n">
        <v>102</v>
      </c>
      <c r="I39" s="6" t="n">
        <v>1</v>
      </c>
      <c r="J39" s="6" t="n">
        <v>11.5</v>
      </c>
      <c r="K39" s="6"/>
      <c r="L39" s="6"/>
      <c r="M39" s="6"/>
    </row>
    <row r="40" customFormat="false" ht="15.75" hidden="false" customHeight="false" outlineLevel="0" collapsed="false">
      <c r="A40" s="0" t="s">
        <v>31</v>
      </c>
      <c r="B40" s="1" t="n">
        <v>43900</v>
      </c>
      <c r="C40" s="6" t="n">
        <v>131</v>
      </c>
      <c r="D40" s="6" t="n">
        <v>27</v>
      </c>
      <c r="E40" s="6" t="n">
        <v>0</v>
      </c>
      <c r="F40" s="6" t="n">
        <v>0</v>
      </c>
      <c r="G40" s="6" t="n">
        <v>2</v>
      </c>
      <c r="H40" s="6" t="n">
        <v>129</v>
      </c>
      <c r="I40" s="6" t="n">
        <v>1</v>
      </c>
      <c r="J40" s="6" t="n">
        <v>14.5</v>
      </c>
      <c r="K40" s="6"/>
      <c r="L40" s="6"/>
      <c r="M40" s="6"/>
    </row>
    <row r="41" customFormat="false" ht="15.75" hidden="false" customHeight="false" outlineLevel="0" collapsed="false">
      <c r="A41" s="0" t="s">
        <v>31</v>
      </c>
      <c r="B41" s="1" t="n">
        <v>43901</v>
      </c>
      <c r="C41" s="6" t="n">
        <v>182</v>
      </c>
      <c r="D41" s="6" t="n">
        <v>51</v>
      </c>
      <c r="E41" s="6" t="n">
        <v>0</v>
      </c>
      <c r="F41" s="6" t="n">
        <v>0</v>
      </c>
      <c r="G41" s="6" t="n">
        <v>4</v>
      </c>
      <c r="H41" s="6" t="n">
        <v>178</v>
      </c>
      <c r="I41" s="6" t="n">
        <v>1</v>
      </c>
      <c r="J41" s="6" t="n">
        <v>20.2</v>
      </c>
      <c r="K41" s="6"/>
      <c r="L41" s="6"/>
      <c r="M41" s="6"/>
    </row>
    <row r="42" customFormat="false" ht="15.75" hidden="false" customHeight="false" outlineLevel="0" collapsed="false">
      <c r="A42" s="0" t="s">
        <v>31</v>
      </c>
      <c r="B42" s="1" t="n">
        <v>43902</v>
      </c>
      <c r="C42" s="6" t="n">
        <v>246</v>
      </c>
      <c r="D42" s="6" t="n">
        <v>64</v>
      </c>
      <c r="E42" s="6" t="n">
        <v>0</v>
      </c>
      <c r="F42" s="6" t="n">
        <v>0</v>
      </c>
      <c r="G42" s="6" t="n">
        <v>4</v>
      </c>
      <c r="H42" s="6" t="n">
        <v>242</v>
      </c>
      <c r="I42" s="6" t="n">
        <v>1</v>
      </c>
      <c r="J42" s="6" t="n">
        <v>27.3</v>
      </c>
      <c r="K42" s="6"/>
      <c r="L42" s="6"/>
      <c r="M42" s="6"/>
    </row>
    <row r="43" customFormat="false" ht="15.75" hidden="false" customHeight="false" outlineLevel="0" collapsed="false">
      <c r="A43" s="0" t="s">
        <v>31</v>
      </c>
      <c r="B43" s="1" t="n">
        <v>43903</v>
      </c>
      <c r="C43" s="6" t="n">
        <v>361</v>
      </c>
      <c r="D43" s="6" t="n">
        <v>115</v>
      </c>
      <c r="E43" s="6" t="n">
        <v>1</v>
      </c>
      <c r="F43" s="6" t="n">
        <v>1</v>
      </c>
      <c r="G43" s="6" t="n">
        <v>4</v>
      </c>
      <c r="H43" s="6" t="n">
        <v>356</v>
      </c>
      <c r="I43" s="6" t="n">
        <v>1</v>
      </c>
      <c r="J43" s="6" t="n">
        <v>40.1</v>
      </c>
      <c r="K43" s="6"/>
      <c r="L43" s="6"/>
      <c r="M43" s="6"/>
    </row>
    <row r="44" customFormat="false" ht="15.75" hidden="false" customHeight="false" outlineLevel="0" collapsed="false">
      <c r="A44" s="0" t="s">
        <v>31</v>
      </c>
      <c r="B44" s="1" t="n">
        <v>43904</v>
      </c>
      <c r="C44" s="6" t="n">
        <v>504</v>
      </c>
      <c r="D44" s="6" t="n">
        <v>143</v>
      </c>
      <c r="E44" s="6" t="n">
        <v>1</v>
      </c>
      <c r="F44" s="6" t="n">
        <v>0</v>
      </c>
      <c r="G44" s="6" t="n">
        <v>6</v>
      </c>
      <c r="H44" s="6" t="n">
        <v>497</v>
      </c>
      <c r="I44" s="6" t="n">
        <v>1</v>
      </c>
      <c r="J44" s="6" t="n">
        <v>56</v>
      </c>
      <c r="K44" s="6"/>
      <c r="L44" s="6"/>
      <c r="M44" s="6"/>
    </row>
    <row r="45" customFormat="false" ht="15.75" hidden="false" customHeight="false" outlineLevel="0" collapsed="false">
      <c r="A45" s="0" t="s">
        <v>31</v>
      </c>
      <c r="B45" s="1" t="n">
        <v>43905</v>
      </c>
      <c r="C45" s="6" t="n">
        <v>655</v>
      </c>
      <c r="D45" s="6" t="n">
        <v>151</v>
      </c>
      <c r="E45" s="6" t="n">
        <v>1</v>
      </c>
      <c r="F45" s="6" t="n">
        <v>0</v>
      </c>
      <c r="G45" s="6" t="n">
        <v>6</v>
      </c>
      <c r="H45" s="6" t="n">
        <v>648</v>
      </c>
      <c r="I45" s="6" t="n">
        <v>1</v>
      </c>
      <c r="J45" s="6" t="n">
        <v>72.7</v>
      </c>
      <c r="K45" s="6"/>
      <c r="L45" s="6"/>
      <c r="M45" s="6"/>
    </row>
    <row r="46" customFormat="false" ht="15.75" hidden="false" customHeight="false" outlineLevel="0" collapsed="false">
      <c r="A46" s="0" t="s">
        <v>31</v>
      </c>
      <c r="B46" s="1" t="n">
        <v>43906</v>
      </c>
      <c r="C46" s="6" t="n">
        <v>860</v>
      </c>
      <c r="D46" s="6" t="n">
        <v>205</v>
      </c>
      <c r="E46" s="6" t="n">
        <v>1</v>
      </c>
      <c r="F46" s="6" t="n">
        <v>0</v>
      </c>
      <c r="G46" s="6" t="n">
        <v>6</v>
      </c>
      <c r="H46" s="6" t="n">
        <v>853</v>
      </c>
      <c r="I46" s="6" t="n">
        <v>1</v>
      </c>
      <c r="J46" s="6" t="n">
        <v>95.5</v>
      </c>
      <c r="K46" s="6"/>
      <c r="L46" s="6"/>
      <c r="M46" s="6"/>
    </row>
    <row r="47" customFormat="false" ht="15.75" hidden="false" customHeight="false" outlineLevel="0" collapsed="false">
      <c r="A47" s="0" t="s">
        <v>31</v>
      </c>
      <c r="B47" s="1" t="n">
        <v>43907</v>
      </c>
      <c r="C47" s="6" t="n">
        <v>1018</v>
      </c>
      <c r="D47" s="6" t="n">
        <v>158</v>
      </c>
      <c r="E47" s="6" t="n">
        <v>3</v>
      </c>
      <c r="F47" s="6" t="n">
        <v>2</v>
      </c>
      <c r="G47" s="6" t="n">
        <v>8</v>
      </c>
      <c r="H47" s="6" t="n">
        <v>1007</v>
      </c>
      <c r="I47" s="6" t="n">
        <v>12</v>
      </c>
      <c r="J47" s="6" t="n">
        <v>113</v>
      </c>
      <c r="K47" s="6"/>
      <c r="L47" s="6"/>
      <c r="M47" s="6"/>
    </row>
    <row r="48" customFormat="false" ht="15.75" hidden="false" customHeight="false" outlineLevel="0" collapsed="false">
      <c r="A48" s="0" t="s">
        <v>31</v>
      </c>
      <c r="B48" s="1" t="n">
        <v>43908</v>
      </c>
      <c r="C48" s="6" t="n">
        <v>1332</v>
      </c>
      <c r="D48" s="6" t="n">
        <v>314</v>
      </c>
      <c r="E48" s="6" t="n">
        <v>4</v>
      </c>
      <c r="F48" s="6" t="n">
        <v>1</v>
      </c>
      <c r="G48" s="6" t="n">
        <v>8</v>
      </c>
      <c r="H48" s="6" t="n">
        <v>1320</v>
      </c>
      <c r="I48" s="6" t="n">
        <v>12</v>
      </c>
      <c r="J48" s="6" t="n">
        <v>147.9</v>
      </c>
      <c r="K48" s="6"/>
      <c r="L48" s="6"/>
      <c r="M48" s="6"/>
    </row>
    <row r="49" customFormat="false" ht="15.75" hidden="false" customHeight="false" outlineLevel="0" collapsed="false">
      <c r="A49" s="0" t="s">
        <v>31</v>
      </c>
      <c r="B49" s="1" t="n">
        <v>43909</v>
      </c>
      <c r="C49" s="6" t="n">
        <v>1646</v>
      </c>
      <c r="D49" s="6" t="n">
        <v>314</v>
      </c>
      <c r="E49" s="6" t="n">
        <v>4</v>
      </c>
      <c r="F49" s="6" t="n">
        <v>0</v>
      </c>
      <c r="G49" s="6" t="n">
        <v>9</v>
      </c>
      <c r="H49" s="6" t="n">
        <v>1633</v>
      </c>
      <c r="I49" s="6" t="n">
        <v>12</v>
      </c>
      <c r="J49" s="6" t="n">
        <v>183</v>
      </c>
      <c r="K49" s="6"/>
      <c r="L49" s="6"/>
      <c r="M49" s="6"/>
    </row>
    <row r="50" customFormat="false" ht="15.75" hidden="false" customHeight="false" outlineLevel="0" collapsed="false">
      <c r="A50" s="0" t="s">
        <v>31</v>
      </c>
      <c r="B50" s="1" t="n">
        <v>43910</v>
      </c>
      <c r="C50" s="6" t="n">
        <v>2179</v>
      </c>
      <c r="D50" s="6" t="n">
        <v>533</v>
      </c>
      <c r="E50" s="6" t="n">
        <v>6</v>
      </c>
      <c r="F50" s="6" t="n">
        <v>2</v>
      </c>
      <c r="G50" s="6" t="n">
        <v>9</v>
      </c>
      <c r="H50" s="6" t="n">
        <v>2164</v>
      </c>
      <c r="I50" s="6" t="n">
        <v>13</v>
      </c>
      <c r="J50" s="6" t="n">
        <v>242</v>
      </c>
      <c r="K50" s="6"/>
      <c r="L50" s="6"/>
      <c r="M50" s="6"/>
    </row>
    <row r="51" customFormat="false" ht="15.75" hidden="false" customHeight="false" outlineLevel="0" collapsed="false">
      <c r="A51" s="0" t="s">
        <v>31</v>
      </c>
      <c r="B51" s="1" t="n">
        <v>43911</v>
      </c>
      <c r="C51" s="6" t="n">
        <v>2695</v>
      </c>
      <c r="D51" s="6" t="n">
        <v>516</v>
      </c>
      <c r="E51" s="6" t="n">
        <v>7</v>
      </c>
      <c r="F51" s="6" t="n">
        <v>1</v>
      </c>
      <c r="G51" s="6" t="n">
        <v>9</v>
      </c>
      <c r="H51" s="6" t="n">
        <v>2679</v>
      </c>
      <c r="I51" s="6" t="n">
        <v>14</v>
      </c>
      <c r="J51" s="6" t="n">
        <v>299</v>
      </c>
      <c r="K51" s="6"/>
      <c r="L51" s="6"/>
      <c r="M51" s="6"/>
    </row>
    <row r="52" customFormat="false" ht="15.75" hidden="false" customHeight="false" outlineLevel="0" collapsed="false">
      <c r="A52" s="0" t="s">
        <v>31</v>
      </c>
      <c r="B52" s="1" t="n">
        <v>43912</v>
      </c>
      <c r="C52" s="6" t="n">
        <v>2992</v>
      </c>
      <c r="D52" s="6" t="n">
        <v>297</v>
      </c>
      <c r="E52" s="6" t="n">
        <v>8</v>
      </c>
      <c r="F52" s="6" t="n">
        <v>1</v>
      </c>
      <c r="G52" s="6" t="n">
        <v>9</v>
      </c>
      <c r="H52" s="6" t="n">
        <v>2975</v>
      </c>
      <c r="I52" s="6" t="n">
        <v>15</v>
      </c>
      <c r="J52" s="6" t="n">
        <v>332</v>
      </c>
      <c r="K52" s="6"/>
      <c r="L52" s="6"/>
      <c r="M52" s="6"/>
    </row>
    <row r="53" customFormat="false" ht="15.75" hidden="false" customHeight="false" outlineLevel="0" collapsed="false">
      <c r="A53" s="0" t="s">
        <v>31</v>
      </c>
      <c r="B53" s="1" t="n">
        <v>43913</v>
      </c>
      <c r="C53" s="6" t="n">
        <v>3580</v>
      </c>
      <c r="D53" s="6" t="n">
        <v>588</v>
      </c>
      <c r="E53" s="6" t="n">
        <v>16</v>
      </c>
      <c r="F53" s="6" t="n">
        <v>8</v>
      </c>
      <c r="G53" s="6" t="n">
        <v>9</v>
      </c>
      <c r="H53" s="6" t="n">
        <v>3555</v>
      </c>
      <c r="I53" s="6" t="n">
        <v>15</v>
      </c>
      <c r="J53" s="6" t="n">
        <v>397</v>
      </c>
      <c r="K53" s="6"/>
      <c r="L53" s="6"/>
      <c r="M53" s="6"/>
    </row>
    <row r="54" customFormat="false" ht="15.75" hidden="false" customHeight="false" outlineLevel="0" collapsed="false">
      <c r="A54" s="0" t="s">
        <v>31</v>
      </c>
      <c r="B54" s="1" t="n">
        <v>43914</v>
      </c>
      <c r="C54" s="6" t="n">
        <v>4474</v>
      </c>
      <c r="D54" s="6" t="n">
        <v>894</v>
      </c>
      <c r="E54" s="6" t="n">
        <v>21</v>
      </c>
      <c r="F54" s="6" t="n">
        <v>5</v>
      </c>
      <c r="G54" s="6" t="n">
        <v>9</v>
      </c>
      <c r="H54" s="6" t="n">
        <v>4444</v>
      </c>
      <c r="I54" s="6" t="n">
        <v>14</v>
      </c>
      <c r="J54" s="6" t="n">
        <v>497</v>
      </c>
      <c r="K54" s="6"/>
      <c r="L54" s="6"/>
      <c r="M54" s="6"/>
    </row>
    <row r="55" customFormat="false" ht="15.75" hidden="false" customHeight="false" outlineLevel="0" collapsed="false">
      <c r="A55" s="0" t="s">
        <v>31</v>
      </c>
      <c r="B55" s="1" t="n">
        <v>43915</v>
      </c>
      <c r="C55" s="7" t="n">
        <v>5283</v>
      </c>
      <c r="D55" s="7" t="n">
        <v>809</v>
      </c>
      <c r="E55" s="7" t="n">
        <v>28</v>
      </c>
      <c r="F55" s="7" t="n">
        <v>7</v>
      </c>
      <c r="G55" s="7" t="n">
        <v>9</v>
      </c>
      <c r="H55" s="7" t="n">
        <v>5246</v>
      </c>
      <c r="I55" s="7" t="n">
        <v>22</v>
      </c>
      <c r="J55" s="7" t="n">
        <v>587</v>
      </c>
      <c r="K55" s="7" t="n">
        <v>3</v>
      </c>
      <c r="L55" s="7"/>
      <c r="M55" s="7"/>
    </row>
    <row r="56" customFormat="false" ht="15.75" hidden="false" customHeight="false" outlineLevel="0" collapsed="false">
      <c r="A56" s="0" t="s">
        <v>31</v>
      </c>
      <c r="B56" s="1" t="n">
        <v>43916</v>
      </c>
      <c r="C56" s="7" t="n">
        <v>5588</v>
      </c>
      <c r="D56" s="7" t="n">
        <v>305</v>
      </c>
      <c r="E56" s="7" t="n">
        <v>30</v>
      </c>
      <c r="F56" s="7" t="n">
        <v>2</v>
      </c>
      <c r="G56" s="7" t="n">
        <v>9</v>
      </c>
      <c r="H56" s="7" t="n">
        <v>5549</v>
      </c>
      <c r="I56" s="7" t="n">
        <v>28</v>
      </c>
      <c r="J56" s="7" t="n">
        <v>620</v>
      </c>
      <c r="K56" s="7" t="n">
        <v>3</v>
      </c>
      <c r="L56" s="7"/>
      <c r="M56" s="7"/>
    </row>
    <row r="57" customFormat="false" ht="15.75" hidden="false" customHeight="false" outlineLevel="0" collapsed="false">
      <c r="A57" s="0" t="s">
        <v>31</v>
      </c>
      <c r="B57" s="1" t="n">
        <v>43917</v>
      </c>
      <c r="C57" s="7" t="n">
        <v>6847</v>
      </c>
      <c r="D57" s="7" t="n">
        <v>1259</v>
      </c>
      <c r="E57" s="7" t="n">
        <v>49</v>
      </c>
      <c r="F57" s="7" t="n">
        <v>19</v>
      </c>
      <c r="G57" s="7" t="n">
        <v>112</v>
      </c>
      <c r="H57" s="7" t="n">
        <v>6686</v>
      </c>
      <c r="I57" s="7" t="n">
        <v>28</v>
      </c>
      <c r="J57" s="7" t="n">
        <v>760</v>
      </c>
      <c r="K57" s="7" t="n">
        <v>5</v>
      </c>
      <c r="L57" s="7"/>
      <c r="M57" s="7"/>
    </row>
    <row r="58" customFormat="false" ht="15.75" hidden="false" customHeight="false" outlineLevel="0" collapsed="false">
      <c r="A58" s="0" t="s">
        <v>31</v>
      </c>
      <c r="B58" s="1" t="n">
        <v>43918</v>
      </c>
      <c r="C58" s="7" t="n">
        <v>7657</v>
      </c>
      <c r="D58" s="7" t="n">
        <v>810</v>
      </c>
      <c r="E58" s="7" t="n">
        <v>58</v>
      </c>
      <c r="F58" s="7" t="n">
        <v>9</v>
      </c>
      <c r="G58" s="7" t="n">
        <v>225</v>
      </c>
      <c r="H58" s="7" t="n">
        <v>7374</v>
      </c>
      <c r="I58" s="7" t="n">
        <v>128</v>
      </c>
      <c r="J58" s="7" t="n">
        <v>850</v>
      </c>
      <c r="K58" s="7" t="n">
        <v>6</v>
      </c>
      <c r="L58" s="7"/>
      <c r="M58" s="7"/>
    </row>
    <row r="59" customFormat="false" ht="15.75" hidden="false" customHeight="false" outlineLevel="0" collapsed="false">
      <c r="A59" s="0" t="s">
        <v>31</v>
      </c>
      <c r="B59" s="1" t="n">
        <v>43919</v>
      </c>
      <c r="C59" s="7" t="n">
        <v>8188</v>
      </c>
      <c r="D59" s="7" t="n">
        <v>531</v>
      </c>
      <c r="E59" s="7" t="n">
        <v>68</v>
      </c>
      <c r="F59" s="7" t="n">
        <v>10</v>
      </c>
      <c r="G59" s="7" t="n">
        <v>225</v>
      </c>
      <c r="H59" s="7" t="n">
        <v>7895</v>
      </c>
      <c r="I59" s="7" t="n">
        <v>128</v>
      </c>
      <c r="J59" s="7" t="n">
        <v>909</v>
      </c>
      <c r="K59" s="7" t="n">
        <v>8</v>
      </c>
      <c r="L59" s="7"/>
      <c r="M59" s="7"/>
    </row>
    <row r="60" customFormat="false" ht="15.75" hidden="false" customHeight="false" outlineLevel="0" collapsed="false">
      <c r="A60" s="0" t="s">
        <v>31</v>
      </c>
      <c r="B60" s="1" t="n">
        <v>43920</v>
      </c>
      <c r="C60" s="7" t="n">
        <v>8774</v>
      </c>
      <c r="D60" s="7" t="n">
        <v>586</v>
      </c>
      <c r="E60" s="7" t="n">
        <v>86</v>
      </c>
      <c r="F60" s="7" t="n">
        <v>18</v>
      </c>
      <c r="G60" s="7" t="n">
        <v>479</v>
      </c>
      <c r="H60" s="7" t="n">
        <v>8209</v>
      </c>
      <c r="I60" s="7" t="n">
        <v>187</v>
      </c>
      <c r="J60" s="7" t="n">
        <v>974</v>
      </c>
      <c r="K60" s="7" t="n">
        <v>10</v>
      </c>
      <c r="L60" s="7"/>
      <c r="M60" s="7"/>
    </row>
    <row r="61" customFormat="false" ht="15.75" hidden="false" customHeight="false" outlineLevel="0" collapsed="false">
      <c r="A61" s="0" t="s">
        <v>31</v>
      </c>
      <c r="B61" s="1" t="n">
        <v>43921</v>
      </c>
      <c r="C61" s="7" t="n">
        <v>9597</v>
      </c>
      <c r="D61" s="7" t="n">
        <v>823</v>
      </c>
      <c r="E61" s="7" t="n">
        <v>108</v>
      </c>
      <c r="F61" s="7" t="n">
        <v>22</v>
      </c>
      <c r="G61" s="7" t="n">
        <v>636</v>
      </c>
      <c r="H61" s="7" t="n">
        <v>8853</v>
      </c>
      <c r="I61" s="7" t="n">
        <v>193</v>
      </c>
      <c r="J61" s="7" t="n">
        <v>1066</v>
      </c>
      <c r="K61" s="7" t="n">
        <v>12</v>
      </c>
      <c r="L61" s="7"/>
      <c r="M61" s="7"/>
    </row>
    <row r="62" customFormat="false" ht="15.75" hidden="false" customHeight="false" outlineLevel="0" collapsed="false">
      <c r="A62" s="0" t="s">
        <v>31</v>
      </c>
      <c r="B62" s="1" t="n">
        <v>43922</v>
      </c>
      <c r="C62" s="7" t="n">
        <v>10180</v>
      </c>
      <c r="D62" s="7" t="n">
        <v>583</v>
      </c>
      <c r="E62" s="7" t="n">
        <v>128</v>
      </c>
      <c r="F62" s="7" t="n">
        <v>20</v>
      </c>
      <c r="G62" s="7" t="n">
        <v>1095</v>
      </c>
      <c r="H62" s="7" t="n">
        <v>8957</v>
      </c>
      <c r="I62" s="7" t="n">
        <v>198</v>
      </c>
      <c r="J62" s="7" t="n">
        <v>1130</v>
      </c>
      <c r="K62" s="7" t="n">
        <v>14</v>
      </c>
      <c r="L62" s="7"/>
      <c r="M62" s="7"/>
    </row>
    <row r="63" customFormat="false" ht="15.75" hidden="false" customHeight="false" outlineLevel="0" collapsed="false">
      <c r="A63" s="0" t="s">
        <v>31</v>
      </c>
      <c r="B63" s="1" t="n">
        <v>43923</v>
      </c>
      <c r="C63" s="7" t="n">
        <v>10711</v>
      </c>
      <c r="D63" s="7" t="n">
        <v>531</v>
      </c>
      <c r="E63" s="7" t="n">
        <v>146</v>
      </c>
      <c r="F63" s="7" t="n">
        <v>18</v>
      </c>
      <c r="G63" s="7" t="n">
        <v>1436</v>
      </c>
      <c r="H63" s="7" t="n">
        <v>9129</v>
      </c>
      <c r="I63" s="7" t="n">
        <v>215</v>
      </c>
      <c r="J63" s="7" t="n">
        <v>1189</v>
      </c>
      <c r="K63" s="7" t="n">
        <v>16</v>
      </c>
      <c r="L63" s="7"/>
      <c r="M63" s="7"/>
    </row>
    <row r="64" customFormat="false" ht="15.75" hidden="false" customHeight="false" outlineLevel="0" collapsed="false">
      <c r="A64" s="0" t="s">
        <v>31</v>
      </c>
      <c r="B64" s="1" t="n">
        <v>43924</v>
      </c>
      <c r="C64" s="7" t="n">
        <v>11123</v>
      </c>
      <c r="D64" s="7" t="n">
        <v>412</v>
      </c>
      <c r="E64" s="7" t="n">
        <v>158</v>
      </c>
      <c r="F64" s="7" t="n">
        <v>12</v>
      </c>
      <c r="G64" s="7" t="n">
        <v>1749</v>
      </c>
      <c r="H64" s="7" t="n">
        <v>9216</v>
      </c>
      <c r="I64" s="7" t="n">
        <v>227</v>
      </c>
      <c r="J64" s="7" t="n">
        <v>1235</v>
      </c>
      <c r="K64" s="7" t="n">
        <v>18</v>
      </c>
      <c r="L64" s="7"/>
      <c r="M64" s="7"/>
    </row>
    <row r="65" customFormat="false" ht="15.75" hidden="false" customHeight="false" outlineLevel="0" collapsed="false">
      <c r="A65" s="0" t="s">
        <v>31</v>
      </c>
      <c r="B65" s="1" t="n">
        <v>43925</v>
      </c>
      <c r="C65" s="7" t="n">
        <v>11524</v>
      </c>
      <c r="D65" s="7" t="n">
        <v>401</v>
      </c>
      <c r="E65" s="7" t="n">
        <v>168</v>
      </c>
      <c r="F65" s="7" t="n">
        <v>10</v>
      </c>
      <c r="G65" s="7" t="n">
        <v>2022</v>
      </c>
      <c r="H65" s="7" t="n">
        <v>9334</v>
      </c>
      <c r="I65" s="7" t="n">
        <v>245</v>
      </c>
      <c r="J65" s="7" t="n">
        <v>1280</v>
      </c>
      <c r="K65" s="7" t="n">
        <v>19</v>
      </c>
      <c r="L65" s="7"/>
      <c r="M65" s="7"/>
    </row>
    <row r="66" customFormat="false" ht="15.75" hidden="false" customHeight="false" outlineLevel="0" collapsed="false">
      <c r="A66" s="0" t="s">
        <v>31</v>
      </c>
      <c r="B66" s="1" t="n">
        <v>43926</v>
      </c>
      <c r="C66" s="7" t="n">
        <v>11781</v>
      </c>
      <c r="D66" s="7" t="n">
        <v>257</v>
      </c>
      <c r="E66" s="7" t="n">
        <v>186</v>
      </c>
      <c r="F66" s="7" t="n">
        <v>18</v>
      </c>
      <c r="G66" s="7" t="n">
        <v>2507</v>
      </c>
      <c r="H66" s="7" t="n">
        <v>9088</v>
      </c>
      <c r="I66" s="7" t="n">
        <v>245</v>
      </c>
      <c r="J66" s="7" t="n">
        <v>1308</v>
      </c>
      <c r="K66" s="7" t="n">
        <v>21</v>
      </c>
      <c r="L66" s="7" t="n">
        <v>104134</v>
      </c>
      <c r="M66" s="7" t="n">
        <v>11562</v>
      </c>
    </row>
    <row r="67" customFormat="false" ht="15.75" hidden="false" customHeight="false" outlineLevel="0" collapsed="false">
      <c r="A67" s="0" t="s">
        <v>31</v>
      </c>
      <c r="B67" s="1" t="n">
        <v>43927</v>
      </c>
      <c r="C67" s="7" t="n">
        <v>12051</v>
      </c>
      <c r="D67" s="7" t="n">
        <v>270</v>
      </c>
      <c r="E67" s="7" t="n">
        <v>204</v>
      </c>
      <c r="F67" s="7" t="n">
        <v>18</v>
      </c>
      <c r="G67" s="7" t="n">
        <v>2998</v>
      </c>
      <c r="H67" s="7" t="n">
        <v>8849</v>
      </c>
      <c r="I67" s="7" t="n">
        <v>244</v>
      </c>
      <c r="J67" s="7" t="n">
        <v>1338</v>
      </c>
      <c r="K67" s="7" t="n">
        <v>23</v>
      </c>
      <c r="L67" s="7" t="n">
        <v>108416</v>
      </c>
      <c r="M67" s="7" t="n">
        <v>12038</v>
      </c>
    </row>
    <row r="68" customFormat="false" ht="15.75" hidden="false" customHeight="false" outlineLevel="0" collapsed="false">
      <c r="A68" s="0" t="s">
        <v>31</v>
      </c>
      <c r="B68" s="1" t="n">
        <v>43928</v>
      </c>
      <c r="C68" s="12" t="n">
        <v>12297</v>
      </c>
      <c r="D68" s="12" t="n">
        <v>246</v>
      </c>
      <c r="E68" s="12" t="n">
        <v>220</v>
      </c>
      <c r="F68" s="12" t="n">
        <v>16</v>
      </c>
      <c r="G68" s="12" t="n">
        <v>3463</v>
      </c>
      <c r="H68" s="12" t="n">
        <v>8614</v>
      </c>
      <c r="I68" s="12" t="n">
        <v>250</v>
      </c>
      <c r="J68" s="12" t="n">
        <v>1365</v>
      </c>
      <c r="K68" s="12" t="n">
        <v>24</v>
      </c>
      <c r="L68" s="12" t="n">
        <v>111296</v>
      </c>
      <c r="M68" s="12" t="n">
        <v>12357</v>
      </c>
    </row>
    <row r="69" customFormat="false" ht="15.75" hidden="false" customHeight="false" outlineLevel="0" collapsed="false">
      <c r="A69" s="0" t="s">
        <v>31</v>
      </c>
      <c r="B69" s="1" t="n">
        <v>43929</v>
      </c>
      <c r="C69" s="14" t="n">
        <v>12639</v>
      </c>
      <c r="D69" s="14" t="n">
        <v>342</v>
      </c>
      <c r="E69" s="14" t="n">
        <v>243</v>
      </c>
      <c r="F69" s="14" t="n">
        <v>23</v>
      </c>
      <c r="G69" s="14" t="n">
        <v>4046</v>
      </c>
      <c r="H69" s="14" t="n">
        <v>8350</v>
      </c>
      <c r="I69" s="14" t="n">
        <v>243</v>
      </c>
      <c r="J69" s="14" t="n">
        <v>1403</v>
      </c>
      <c r="K69" s="14" t="n">
        <v>27</v>
      </c>
      <c r="L69" s="14" t="n">
        <v>115235</v>
      </c>
      <c r="M69" s="14" t="n">
        <v>12795</v>
      </c>
    </row>
    <row r="70" customFormat="false" ht="15.75" hidden="false" customHeight="false" outlineLevel="0" collapsed="false">
      <c r="A70" s="0" t="s">
        <v>31</v>
      </c>
      <c r="B70" s="1" t="n">
        <v>43930</v>
      </c>
      <c r="C70" s="14" t="n">
        <v>12942</v>
      </c>
      <c r="D70" s="14" t="n">
        <v>303</v>
      </c>
      <c r="E70" s="14" t="n">
        <v>273</v>
      </c>
      <c r="F70" s="14" t="n">
        <v>30</v>
      </c>
      <c r="G70" s="14" t="n">
        <v>4512</v>
      </c>
      <c r="H70" s="14" t="n">
        <v>8157</v>
      </c>
      <c r="I70" s="14" t="n">
        <v>267</v>
      </c>
      <c r="J70" s="14" t="n">
        <v>1437</v>
      </c>
      <c r="K70" s="14" t="n">
        <v>30</v>
      </c>
      <c r="L70" s="14" t="n">
        <v>120755</v>
      </c>
      <c r="M70" s="14" t="n">
        <v>13408</v>
      </c>
    </row>
    <row r="71" customFormat="false" ht="15.75" hidden="false" customHeight="false" outlineLevel="0" collapsed="false">
      <c r="A71" s="0" t="s">
        <v>31</v>
      </c>
      <c r="B71" s="1" t="n">
        <v>43931</v>
      </c>
      <c r="C71" s="14" t="n">
        <v>13244</v>
      </c>
      <c r="D71" s="14" t="n">
        <v>302</v>
      </c>
      <c r="E71" s="14" t="n">
        <v>295</v>
      </c>
      <c r="F71" s="14" t="n">
        <v>22</v>
      </c>
      <c r="G71" s="14" t="n">
        <v>5240</v>
      </c>
      <c r="H71" s="14" t="n">
        <v>7709</v>
      </c>
      <c r="I71" s="14" t="n">
        <v>266</v>
      </c>
      <c r="J71" s="14" t="n">
        <v>1471</v>
      </c>
      <c r="K71" s="14" t="n">
        <v>33</v>
      </c>
      <c r="L71" s="14" t="n">
        <v>126287</v>
      </c>
      <c r="M71" s="14" t="n">
        <v>14022</v>
      </c>
    </row>
    <row r="72" customFormat="false" ht="15.75" hidden="false" customHeight="false" outlineLevel="0" collapsed="false">
      <c r="A72" s="0" t="s">
        <v>31</v>
      </c>
      <c r="B72" s="1" t="n">
        <v>43932</v>
      </c>
      <c r="C72" s="14" t="n">
        <v>13555</v>
      </c>
      <c r="D72" s="14" t="n">
        <v>311</v>
      </c>
      <c r="E72" s="14" t="n">
        <v>319</v>
      </c>
      <c r="F72" s="14" t="n">
        <v>24</v>
      </c>
      <c r="G72" s="14" t="n">
        <v>6064</v>
      </c>
      <c r="H72" s="14" t="n">
        <v>7172</v>
      </c>
      <c r="I72" s="14" t="n">
        <v>261</v>
      </c>
      <c r="J72" s="14" t="n">
        <v>1505</v>
      </c>
      <c r="K72" s="14" t="n">
        <v>35</v>
      </c>
      <c r="L72" s="14" t="n">
        <v>134743</v>
      </c>
      <c r="M72" s="14" t="n">
        <v>14961</v>
      </c>
    </row>
    <row r="73" customFormat="false" ht="15.75" hidden="false" customHeight="false" outlineLevel="0" collapsed="false">
      <c r="A73" s="0" t="s">
        <v>31</v>
      </c>
      <c r="B73" s="1" t="n">
        <v>43933</v>
      </c>
      <c r="C73" s="14" t="n">
        <v>13806</v>
      </c>
      <c r="D73" s="14" t="n">
        <v>251</v>
      </c>
      <c r="E73" s="14" t="n">
        <v>337</v>
      </c>
      <c r="F73" s="14" t="n">
        <v>18</v>
      </c>
      <c r="G73" s="14" t="n">
        <v>6604</v>
      </c>
      <c r="H73" s="14" t="n">
        <v>6865</v>
      </c>
      <c r="I73" s="14" t="n">
        <v>246</v>
      </c>
      <c r="J73" s="14" t="n">
        <v>1533</v>
      </c>
      <c r="K73" s="14" t="n">
        <v>37</v>
      </c>
      <c r="L73" s="14" t="n">
        <v>140975</v>
      </c>
      <c r="M73" s="14" t="n">
        <v>15653</v>
      </c>
    </row>
    <row r="74" customFormat="false" ht="15.75" hidden="false" customHeight="false" outlineLevel="0" collapsed="false">
      <c r="A74" s="0" t="s">
        <v>31</v>
      </c>
      <c r="B74" s="1" t="n">
        <v>43934</v>
      </c>
      <c r="C74" s="14" t="n">
        <v>13945</v>
      </c>
      <c r="D74" s="14" t="n">
        <v>139</v>
      </c>
      <c r="E74" s="14" t="n">
        <v>350</v>
      </c>
      <c r="F74" s="14" t="n">
        <v>13</v>
      </c>
      <c r="G74" s="14" t="n">
        <v>6987</v>
      </c>
      <c r="H74" s="14" t="n">
        <v>6608</v>
      </c>
      <c r="I74" s="14" t="n">
        <v>243</v>
      </c>
      <c r="J74" s="14" t="n">
        <v>1548</v>
      </c>
      <c r="K74" s="14" t="n">
        <v>39</v>
      </c>
      <c r="L74" s="14" t="n">
        <v>144877</v>
      </c>
      <c r="M74" s="14" t="n">
        <v>16086</v>
      </c>
    </row>
    <row r="75" customFormat="false" ht="15.75" hidden="false" customHeight="false" outlineLevel="0" collapsed="false">
      <c r="A75" s="0" t="s">
        <v>31</v>
      </c>
      <c r="B75" s="1" t="n">
        <v>43935</v>
      </c>
      <c r="C75" s="14" t="n">
        <v>14041</v>
      </c>
      <c r="D75" s="14" t="n">
        <v>96</v>
      </c>
      <c r="E75" s="14" t="n">
        <v>368</v>
      </c>
      <c r="F75" s="14" t="n">
        <v>18</v>
      </c>
      <c r="G75" s="14" t="n">
        <v>7343</v>
      </c>
      <c r="H75" s="14" t="n">
        <v>6330</v>
      </c>
      <c r="I75" s="14" t="n">
        <v>239</v>
      </c>
      <c r="J75" s="14" t="n">
        <v>1559</v>
      </c>
      <c r="K75" s="14" t="n">
        <v>41</v>
      </c>
      <c r="L75" s="14" t="n">
        <v>148412</v>
      </c>
      <c r="M75" s="14" t="n">
        <v>16479</v>
      </c>
    </row>
    <row r="76" customFormat="false" ht="15.75" hidden="false" customHeight="false" outlineLevel="0" collapsed="false">
      <c r="A76" s="0" t="s">
        <v>31</v>
      </c>
      <c r="B76" s="1" t="n">
        <v>43936</v>
      </c>
      <c r="C76" s="14" t="n">
        <v>14226</v>
      </c>
      <c r="D76" s="14" t="n">
        <v>185</v>
      </c>
      <c r="E76" s="14" t="n">
        <v>384</v>
      </c>
      <c r="F76" s="14" t="n">
        <v>16</v>
      </c>
      <c r="G76" s="14" t="n">
        <v>7633</v>
      </c>
      <c r="H76" s="14" t="n">
        <v>6209</v>
      </c>
      <c r="I76" s="14" t="n">
        <v>243</v>
      </c>
      <c r="J76" s="14" t="n">
        <v>1580</v>
      </c>
      <c r="K76" s="14" t="n">
        <v>43</v>
      </c>
      <c r="L76" s="14" t="n">
        <v>151796</v>
      </c>
      <c r="M76" s="14" t="n">
        <v>16854</v>
      </c>
    </row>
    <row r="77" customFormat="false" ht="15.75" hidden="false" customHeight="false" outlineLevel="0" collapsed="false">
      <c r="A77" s="0" t="s">
        <v>31</v>
      </c>
      <c r="B77" s="1" t="n">
        <v>43937</v>
      </c>
      <c r="C77" s="14" t="n">
        <v>14336</v>
      </c>
      <c r="D77" s="14" t="n">
        <v>110</v>
      </c>
      <c r="E77" s="14" t="n">
        <v>393</v>
      </c>
      <c r="F77" s="14" t="n">
        <v>9</v>
      </c>
      <c r="G77" s="14" t="n">
        <v>8098</v>
      </c>
      <c r="H77" s="14" t="n">
        <v>5845</v>
      </c>
      <c r="I77" s="14" t="n">
        <v>232</v>
      </c>
      <c r="J77" s="14" t="n">
        <v>1592</v>
      </c>
      <c r="K77" s="14" t="n">
        <v>44</v>
      </c>
      <c r="L77" s="14" t="n">
        <v>156801</v>
      </c>
      <c r="M77" s="14" t="n">
        <v>17410</v>
      </c>
    </row>
    <row r="78" customFormat="false" ht="15.75" hidden="false" customHeight="false" outlineLevel="0" collapsed="false">
      <c r="A78" s="0" t="s">
        <v>31</v>
      </c>
      <c r="B78" s="1" t="n">
        <v>43938</v>
      </c>
      <c r="C78" s="14" t="n">
        <v>14476</v>
      </c>
      <c r="D78" s="14" t="n">
        <v>140</v>
      </c>
      <c r="E78" s="14" t="n">
        <v>410</v>
      </c>
      <c r="F78" s="14" t="n">
        <v>17</v>
      </c>
      <c r="G78" s="14" t="n">
        <v>8986</v>
      </c>
      <c r="H78" s="14" t="n">
        <v>5080</v>
      </c>
      <c r="I78" s="14" t="n">
        <v>238</v>
      </c>
      <c r="J78" s="14" t="n">
        <v>1607</v>
      </c>
      <c r="K78" s="14" t="n">
        <v>46</v>
      </c>
      <c r="L78" s="14" t="n">
        <v>162816</v>
      </c>
      <c r="M78" s="14" t="n">
        <v>18078</v>
      </c>
    </row>
    <row r="79" customFormat="false" ht="15.75" hidden="false" customHeight="false" outlineLevel="0" collapsed="false">
      <c r="A79" s="0" t="s">
        <v>31</v>
      </c>
      <c r="B79" s="1" t="n">
        <v>43939</v>
      </c>
      <c r="C79" s="14" t="n">
        <v>14586</v>
      </c>
      <c r="D79" s="14" t="n">
        <v>110</v>
      </c>
      <c r="E79" s="14" t="n">
        <v>431</v>
      </c>
      <c r="F79" s="14" t="n">
        <v>21</v>
      </c>
      <c r="G79" s="14" t="n">
        <v>9704</v>
      </c>
      <c r="H79" s="14" t="n">
        <v>4451</v>
      </c>
      <c r="I79" s="14" t="n">
        <v>227</v>
      </c>
      <c r="J79" s="14" t="n">
        <v>1620</v>
      </c>
      <c r="K79" s="14" t="n">
        <v>48</v>
      </c>
      <c r="L79" s="14" t="n">
        <v>169272</v>
      </c>
      <c r="M79" s="14" t="n">
        <v>18795</v>
      </c>
    </row>
    <row r="80" customFormat="false" ht="15.75" hidden="false" customHeight="false" outlineLevel="0" collapsed="false">
      <c r="A80" s="0" t="s">
        <v>31</v>
      </c>
      <c r="B80" s="1" t="n">
        <v>43940</v>
      </c>
      <c r="C80" s="14" t="n">
        <v>14671</v>
      </c>
      <c r="D80" s="14" t="n">
        <v>85</v>
      </c>
      <c r="E80" s="14" t="n">
        <v>443</v>
      </c>
      <c r="F80" s="14" t="n">
        <v>12</v>
      </c>
      <c r="G80" s="14" t="n">
        <v>10214</v>
      </c>
      <c r="H80" s="14" t="n">
        <v>4014</v>
      </c>
      <c r="I80" s="14" t="n">
        <v>208</v>
      </c>
      <c r="J80" s="14" t="n">
        <v>1629</v>
      </c>
      <c r="K80" s="14" t="n">
        <v>49</v>
      </c>
      <c r="L80" s="14" t="n">
        <v>175932</v>
      </c>
      <c r="M80" s="14" t="n">
        <v>19534</v>
      </c>
    </row>
    <row r="81" customFormat="false" ht="15.75" hidden="false" customHeight="false" outlineLevel="0" collapsed="false">
      <c r="A81" s="0" t="s">
        <v>31</v>
      </c>
      <c r="B81" s="1" t="n">
        <v>43941</v>
      </c>
      <c r="C81" s="14" t="n">
        <v>14749</v>
      </c>
      <c r="D81" s="14" t="n">
        <v>78</v>
      </c>
      <c r="E81" s="14" t="n">
        <v>452</v>
      </c>
      <c r="F81" s="14" t="n">
        <v>9</v>
      </c>
      <c r="G81" s="14" t="n">
        <v>10501</v>
      </c>
      <c r="H81" s="14" t="n">
        <v>3796</v>
      </c>
      <c r="I81" s="14" t="n">
        <v>204</v>
      </c>
      <c r="J81" s="14" t="n">
        <v>1638</v>
      </c>
      <c r="K81" s="14" t="n">
        <v>50</v>
      </c>
      <c r="L81" s="14" t="n">
        <v>179243</v>
      </c>
      <c r="M81" s="14" t="n">
        <v>19902</v>
      </c>
    </row>
    <row r="82" customFormat="false" ht="15.75" hidden="false" customHeight="false" outlineLevel="0" collapsed="false">
      <c r="A82" s="0" t="s">
        <v>31</v>
      </c>
      <c r="B82" s="1" t="n">
        <v>43942</v>
      </c>
      <c r="C82" s="6" t="n">
        <v>14795</v>
      </c>
      <c r="D82" s="6" t="n">
        <v>46</v>
      </c>
      <c r="E82" s="6" t="n">
        <v>470</v>
      </c>
      <c r="F82" s="6" t="n">
        <v>18</v>
      </c>
      <c r="G82" s="6" t="n">
        <v>10631</v>
      </c>
      <c r="H82" s="6" t="n">
        <v>3694</v>
      </c>
      <c r="I82" s="6" t="n">
        <v>194</v>
      </c>
      <c r="J82" s="6" t="n">
        <v>1643</v>
      </c>
      <c r="K82" s="6" t="n">
        <v>52</v>
      </c>
      <c r="L82" s="6" t="n">
        <v>182949</v>
      </c>
      <c r="M82" s="6" t="n">
        <v>20313</v>
      </c>
    </row>
    <row r="83" customFormat="false" ht="15.75" hidden="false" customHeight="false" outlineLevel="0" collapsed="false">
      <c r="A83" s="0" t="s">
        <v>31</v>
      </c>
      <c r="B83" s="1" t="n">
        <v>43943</v>
      </c>
      <c r="C83" s="6" t="n">
        <v>14873</v>
      </c>
      <c r="D83" s="6" t="n">
        <v>78</v>
      </c>
      <c r="E83" s="6" t="n">
        <v>491</v>
      </c>
      <c r="F83" s="6" t="n">
        <v>21</v>
      </c>
      <c r="G83" s="6" t="n">
        <v>10971</v>
      </c>
      <c r="H83" s="6" t="n">
        <v>3411</v>
      </c>
      <c r="I83" s="6" t="n">
        <v>196</v>
      </c>
      <c r="J83" s="6" t="n">
        <v>1651</v>
      </c>
      <c r="K83" s="6" t="n">
        <v>55</v>
      </c>
      <c r="L83" s="6" t="n">
        <v>189018</v>
      </c>
      <c r="M83" s="6" t="n">
        <v>20987</v>
      </c>
    </row>
    <row r="84" customFormat="false" ht="15.75" hidden="false" customHeight="false" outlineLevel="0" collapsed="false">
      <c r="A84" s="0" t="s">
        <v>31</v>
      </c>
      <c r="B84" s="1" t="n">
        <v>43944</v>
      </c>
      <c r="C84" s="6" t="n">
        <v>14925</v>
      </c>
      <c r="D84" s="6" t="n">
        <v>52</v>
      </c>
      <c r="E84" s="6" t="n">
        <v>510</v>
      </c>
      <c r="F84" s="6" t="n">
        <v>19</v>
      </c>
      <c r="G84" s="6" t="n">
        <v>11328</v>
      </c>
      <c r="H84" s="6" t="n">
        <v>3087</v>
      </c>
      <c r="I84" s="6" t="n">
        <v>176</v>
      </c>
      <c r="J84" s="6" t="n">
        <v>1657</v>
      </c>
      <c r="K84" s="6" t="n">
        <v>57</v>
      </c>
      <c r="L84" s="6" t="n">
        <v>201794</v>
      </c>
      <c r="M84" s="6" t="n">
        <v>22406</v>
      </c>
    </row>
    <row r="85" customFormat="false" ht="15.75" hidden="false" customHeight="false" outlineLevel="0" collapsed="false">
      <c r="A85" s="0" t="s">
        <v>31</v>
      </c>
      <c r="B85" s="1" t="n">
        <v>43945</v>
      </c>
      <c r="C85" s="6" t="n">
        <v>15002</v>
      </c>
      <c r="D85" s="6" t="n">
        <v>77</v>
      </c>
      <c r="E85" s="6" t="n">
        <v>522</v>
      </c>
      <c r="F85" s="6" t="n">
        <v>12</v>
      </c>
      <c r="G85" s="6" t="n">
        <v>11694</v>
      </c>
      <c r="H85" s="6" t="n">
        <v>2786</v>
      </c>
      <c r="I85" s="6" t="n">
        <v>169</v>
      </c>
      <c r="J85" s="6" t="n">
        <v>1666</v>
      </c>
      <c r="K85" s="6" t="n">
        <v>58</v>
      </c>
      <c r="L85" s="6" t="n">
        <v>205835</v>
      </c>
      <c r="M85" s="6" t="n">
        <v>22854</v>
      </c>
    </row>
    <row r="86" customFormat="false" ht="15.75" hidden="false" customHeight="false" outlineLevel="0" collapsed="false">
      <c r="A86" s="0" t="s">
        <v>31</v>
      </c>
      <c r="B86" s="1" t="n">
        <v>43946</v>
      </c>
      <c r="C86" s="6" t="n">
        <v>15071</v>
      </c>
      <c r="D86" s="6" t="n">
        <v>69</v>
      </c>
      <c r="E86" s="6" t="n">
        <v>530</v>
      </c>
      <c r="F86" s="6" t="n">
        <v>8</v>
      </c>
      <c r="G86" s="6" t="n">
        <v>11872</v>
      </c>
      <c r="H86" s="6" t="n">
        <v>2669</v>
      </c>
      <c r="I86" s="6" t="n">
        <v>156</v>
      </c>
      <c r="J86" s="6" t="n">
        <v>1673</v>
      </c>
      <c r="K86" s="6" t="n">
        <v>59</v>
      </c>
      <c r="L86" s="6" t="n">
        <v>212686</v>
      </c>
      <c r="M86" s="6" t="n">
        <v>23615</v>
      </c>
    </row>
    <row r="87" customFormat="false" ht="15.75" hidden="false" customHeight="false" outlineLevel="0" collapsed="false">
      <c r="A87" s="0" t="s">
        <v>31</v>
      </c>
      <c r="B87" s="1" t="n">
        <v>43947</v>
      </c>
      <c r="C87" s="6" t="n">
        <v>15148</v>
      </c>
      <c r="D87" s="6" t="n">
        <v>77</v>
      </c>
      <c r="E87" s="6" t="n">
        <v>536</v>
      </c>
      <c r="F87" s="6" t="n">
        <v>6</v>
      </c>
      <c r="G87" s="6" t="n">
        <v>12103</v>
      </c>
      <c r="H87" s="6" t="n">
        <v>2509</v>
      </c>
      <c r="I87" s="6" t="n">
        <v>148</v>
      </c>
      <c r="J87" s="6" t="n">
        <v>1682</v>
      </c>
      <c r="K87" s="6" t="n">
        <v>60</v>
      </c>
      <c r="L87" s="6" t="n">
        <v>221098</v>
      </c>
      <c r="M87" s="6" t="n">
        <v>24549</v>
      </c>
    </row>
    <row r="88" customFormat="false" ht="15.75" hidden="false" customHeight="false" outlineLevel="0" collapsed="false">
      <c r="A88" s="0" t="s">
        <v>31</v>
      </c>
      <c r="B88" s="1" t="n">
        <v>43948</v>
      </c>
      <c r="C88" s="6" t="n">
        <v>15225</v>
      </c>
      <c r="D88" s="6" t="n">
        <v>77</v>
      </c>
      <c r="E88" s="6" t="n">
        <v>542</v>
      </c>
      <c r="F88" s="6" t="n">
        <v>6</v>
      </c>
      <c r="G88" s="6" t="n">
        <v>12282</v>
      </c>
      <c r="H88" s="6" t="n">
        <v>2401</v>
      </c>
      <c r="I88" s="6" t="n">
        <v>145</v>
      </c>
      <c r="J88" s="6" t="n">
        <v>1690</v>
      </c>
      <c r="K88" s="6" t="n">
        <v>60</v>
      </c>
      <c r="L88" s="6" t="n">
        <v>227631</v>
      </c>
      <c r="M88" s="6" t="n">
        <v>25274</v>
      </c>
    </row>
    <row r="89" customFormat="false" ht="13.5" hidden="false" customHeight="false" outlineLevel="0" collapsed="false">
      <c r="A89" s="0" t="s">
        <v>31</v>
      </c>
      <c r="B89" s="1" t="n">
        <v>43949</v>
      </c>
      <c r="C89" s="2" t="n">
        <v>15274</v>
      </c>
      <c r="D89" s="2" t="n">
        <v>49</v>
      </c>
      <c r="E89" s="2" t="n">
        <v>549</v>
      </c>
      <c r="F89" s="2" t="n">
        <v>7</v>
      </c>
      <c r="G89" s="2" t="n">
        <v>12362</v>
      </c>
      <c r="H89" s="2" t="n">
        <v>2363</v>
      </c>
      <c r="I89" s="2" t="n">
        <v>140</v>
      </c>
      <c r="J89" s="2" t="n">
        <v>1696</v>
      </c>
      <c r="K89" s="2" t="n">
        <v>61</v>
      </c>
      <c r="L89" s="2" t="n">
        <v>232537</v>
      </c>
      <c r="M89" s="2" t="n">
        <v>25819</v>
      </c>
    </row>
    <row r="90" customFormat="false" ht="13.5" hidden="false" customHeight="false" outlineLevel="0" collapsed="false">
      <c r="A90" s="0" t="s">
        <v>31</v>
      </c>
      <c r="B90" s="1" t="n">
        <v>43950</v>
      </c>
      <c r="C90" s="2" t="n">
        <v>15357</v>
      </c>
      <c r="D90" s="2" t="n">
        <v>83</v>
      </c>
      <c r="E90" s="2" t="n">
        <v>569</v>
      </c>
      <c r="F90" s="2" t="n">
        <v>20</v>
      </c>
      <c r="G90" s="2" t="n">
        <v>12580</v>
      </c>
      <c r="H90" s="2" t="n">
        <v>2208</v>
      </c>
      <c r="I90" s="2" t="n">
        <v>136</v>
      </c>
      <c r="J90" s="2" t="n">
        <v>1705</v>
      </c>
      <c r="K90" s="2" t="n">
        <v>63</v>
      </c>
      <c r="L90" s="2" t="n">
        <v>239578</v>
      </c>
      <c r="M90" s="2" t="n">
        <v>26601</v>
      </c>
    </row>
    <row r="91" customFormat="false" ht="13.5" hidden="false" customHeight="false" outlineLevel="0" collapsed="false">
      <c r="A91" s="0" t="s">
        <v>31</v>
      </c>
      <c r="B91" s="1" t="n">
        <v>43951</v>
      </c>
      <c r="C91" s="2" t="n">
        <v>15402</v>
      </c>
      <c r="D91" s="2" t="n">
        <v>45</v>
      </c>
      <c r="E91" s="2" t="n">
        <v>580</v>
      </c>
      <c r="F91" s="2" t="n">
        <v>11</v>
      </c>
      <c r="G91" s="2" t="n">
        <v>12779</v>
      </c>
      <c r="H91" s="2" t="n">
        <v>2043</v>
      </c>
      <c r="I91" s="2" t="n">
        <v>131</v>
      </c>
      <c r="J91" s="2" t="n">
        <v>1710</v>
      </c>
      <c r="K91" s="2" t="n">
        <v>64</v>
      </c>
      <c r="L91" s="2" t="n">
        <v>247754</v>
      </c>
      <c r="M91" s="2" t="n">
        <v>27509</v>
      </c>
    </row>
    <row r="92" customFormat="false" ht="14.25" hidden="false" customHeight="false" outlineLevel="0" collapsed="false">
      <c r="A92" s="0" t="s">
        <v>31</v>
      </c>
      <c r="B92" s="1" t="n">
        <v>43952</v>
      </c>
      <c r="C92" s="2" t="n">
        <v>15452</v>
      </c>
      <c r="D92" s="2" t="n">
        <v>50</v>
      </c>
      <c r="E92" s="2" t="n">
        <v>584</v>
      </c>
      <c r="F92" s="2" t="n">
        <v>4</v>
      </c>
      <c r="G92" s="2" t="n">
        <v>12907</v>
      </c>
      <c r="H92" s="2" t="n">
        <v>1961</v>
      </c>
      <c r="I92" s="2" t="n">
        <v>128</v>
      </c>
      <c r="J92" s="2" t="n">
        <v>1716</v>
      </c>
      <c r="K92" s="2" t="n">
        <v>65</v>
      </c>
      <c r="L92" s="2" t="n">
        <v>256399</v>
      </c>
      <c r="M92" s="2" t="n">
        <v>28469</v>
      </c>
    </row>
    <row r="93" customFormat="false" ht="15.75" hidden="false" customHeight="false" outlineLevel="0" collapsed="false">
      <c r="A93" s="0" t="s">
        <v>31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31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31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31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31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31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31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31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31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31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31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31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31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31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31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31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31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31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31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31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31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31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31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31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31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31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31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31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31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31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31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31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31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31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31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31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31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31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31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31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31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31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31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31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31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31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31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31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31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31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31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31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31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31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31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31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31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31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31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31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31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31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31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31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31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31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31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31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31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31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31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31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31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31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31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31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31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31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31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31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31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31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31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31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31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31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31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31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31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31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31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31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31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31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31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32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32</v>
      </c>
      <c r="B37" s="1" t="n">
        <v>43897</v>
      </c>
      <c r="C37" s="8" t="n">
        <v>21</v>
      </c>
      <c r="D37" s="8" t="n">
        <v>4</v>
      </c>
      <c r="E37" s="8"/>
      <c r="F37" s="8"/>
      <c r="G37" s="8" t="n">
        <v>2</v>
      </c>
      <c r="H37" s="8" t="n">
        <v>19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32</v>
      </c>
      <c r="B38" s="1" t="n">
        <v>43898</v>
      </c>
      <c r="C38" s="6" t="n">
        <v>25</v>
      </c>
      <c r="D38" s="6" t="n">
        <v>4</v>
      </c>
      <c r="E38" s="6"/>
      <c r="F38" s="6"/>
      <c r="G38" s="6" t="n">
        <v>3</v>
      </c>
      <c r="H38" s="6" t="n">
        <v>22</v>
      </c>
      <c r="I38" s="6" t="n">
        <v>1</v>
      </c>
      <c r="J38" s="6" t="n">
        <v>2.9</v>
      </c>
      <c r="K38" s="6"/>
      <c r="L38" s="6"/>
      <c r="M38" s="6"/>
    </row>
    <row r="39" customFormat="false" ht="15.75" hidden="false" customHeight="false" outlineLevel="0" collapsed="false">
      <c r="A39" s="0" t="s">
        <v>32</v>
      </c>
      <c r="B39" s="1" t="n">
        <v>43899</v>
      </c>
      <c r="C39" s="6" t="n">
        <v>39</v>
      </c>
      <c r="D39" s="6" t="n">
        <v>14</v>
      </c>
      <c r="E39" s="6"/>
      <c r="F39" s="6"/>
      <c r="G39" s="6" t="n">
        <v>3</v>
      </c>
      <c r="H39" s="6" t="n">
        <v>36</v>
      </c>
      <c r="I39" s="6" t="n">
        <v>1</v>
      </c>
      <c r="J39" s="6" t="n">
        <v>4.5</v>
      </c>
      <c r="K39" s="6"/>
      <c r="L39" s="6"/>
      <c r="M39" s="6"/>
    </row>
    <row r="40" customFormat="false" ht="15.75" hidden="false" customHeight="false" outlineLevel="0" collapsed="false">
      <c r="A40" s="0" t="s">
        <v>32</v>
      </c>
      <c r="B40" s="1" t="n">
        <v>43900</v>
      </c>
      <c r="C40" s="6" t="n">
        <v>50</v>
      </c>
      <c r="D40" s="6" t="n">
        <v>11</v>
      </c>
      <c r="E40" s="6"/>
      <c r="F40" s="6"/>
      <c r="G40" s="6" t="n">
        <v>4</v>
      </c>
      <c r="H40" s="6" t="n">
        <v>46</v>
      </c>
      <c r="I40" s="6" t="n">
        <v>1</v>
      </c>
      <c r="J40" s="6" t="n">
        <v>5.8</v>
      </c>
      <c r="K40" s="6"/>
      <c r="L40" s="6"/>
      <c r="M40" s="6"/>
    </row>
    <row r="41" customFormat="false" ht="15.75" hidden="false" customHeight="false" outlineLevel="0" collapsed="false">
      <c r="A41" s="0" t="s">
        <v>32</v>
      </c>
      <c r="B41" s="1" t="n">
        <v>43901</v>
      </c>
      <c r="C41" s="6" t="n">
        <v>75</v>
      </c>
      <c r="D41" s="6" t="n">
        <v>25</v>
      </c>
      <c r="E41" s="6"/>
      <c r="F41" s="6"/>
      <c r="G41" s="6" t="n">
        <v>4</v>
      </c>
      <c r="H41" s="6" t="n">
        <v>71</v>
      </c>
      <c r="I41" s="6" t="n">
        <v>1</v>
      </c>
      <c r="J41" s="6" t="n">
        <v>8.7</v>
      </c>
      <c r="K41" s="6"/>
      <c r="L41" s="6"/>
      <c r="M41" s="6"/>
    </row>
    <row r="42" customFormat="false" ht="15.75" hidden="false" customHeight="false" outlineLevel="0" collapsed="false">
      <c r="A42" s="0" t="s">
        <v>32</v>
      </c>
      <c r="B42" s="1" t="n">
        <v>43902</v>
      </c>
      <c r="C42" s="6" t="n">
        <v>97</v>
      </c>
      <c r="D42" s="6" t="n">
        <v>22</v>
      </c>
      <c r="E42" s="6"/>
      <c r="F42" s="6"/>
      <c r="G42" s="6" t="n">
        <v>4</v>
      </c>
      <c r="H42" s="6" t="n">
        <v>93</v>
      </c>
      <c r="I42" s="6" t="n">
        <v>2</v>
      </c>
      <c r="J42" s="6" t="n">
        <v>11.2</v>
      </c>
      <c r="K42" s="6"/>
      <c r="L42" s="6"/>
      <c r="M42" s="6"/>
    </row>
    <row r="43" customFormat="false" ht="15.75" hidden="false" customHeight="false" outlineLevel="0" collapsed="false">
      <c r="A43" s="0" t="s">
        <v>32</v>
      </c>
      <c r="B43" s="1" t="n">
        <v>43903</v>
      </c>
      <c r="C43" s="6" t="n">
        <v>109</v>
      </c>
      <c r="D43" s="6" t="n">
        <v>12</v>
      </c>
      <c r="E43" s="6"/>
      <c r="F43" s="6"/>
      <c r="G43" s="6" t="n">
        <v>4</v>
      </c>
      <c r="H43" s="6" t="n">
        <v>105</v>
      </c>
      <c r="I43" s="6" t="n">
        <v>2</v>
      </c>
      <c r="J43" s="6" t="n">
        <v>12.6</v>
      </c>
      <c r="K43" s="6"/>
      <c r="L43" s="6"/>
      <c r="M43" s="6"/>
    </row>
    <row r="44" customFormat="false" ht="15.75" hidden="false" customHeight="false" outlineLevel="0" collapsed="false">
      <c r="A44" s="0" t="s">
        <v>32</v>
      </c>
      <c r="B44" s="1" t="n">
        <v>43904</v>
      </c>
      <c r="C44" s="6" t="n">
        <v>126</v>
      </c>
      <c r="D44" s="6" t="n">
        <v>17</v>
      </c>
      <c r="E44" s="6"/>
      <c r="F44" s="6"/>
      <c r="G44" s="6" t="n">
        <v>4</v>
      </c>
      <c r="H44" s="6" t="n">
        <v>122</v>
      </c>
      <c r="I44" s="6" t="n">
        <v>2</v>
      </c>
      <c r="J44" s="6" t="n">
        <v>14.6</v>
      </c>
      <c r="K44" s="6"/>
      <c r="L44" s="6"/>
      <c r="M44" s="6"/>
    </row>
    <row r="45" customFormat="false" ht="15.75" hidden="false" customHeight="false" outlineLevel="0" collapsed="false">
      <c r="A45" s="0" t="s">
        <v>32</v>
      </c>
      <c r="B45" s="1" t="n">
        <v>43905</v>
      </c>
      <c r="C45" s="6" t="n">
        <v>193</v>
      </c>
      <c r="D45" s="6" t="n">
        <v>67</v>
      </c>
      <c r="E45" s="6"/>
      <c r="F45" s="6"/>
      <c r="G45" s="6" t="n">
        <v>4</v>
      </c>
      <c r="H45" s="6" t="n">
        <v>189</v>
      </c>
      <c r="I45" s="6" t="n">
        <v>3</v>
      </c>
      <c r="J45" s="6" t="n">
        <v>22.3</v>
      </c>
      <c r="K45" s="6"/>
      <c r="L45" s="6"/>
      <c r="M45" s="6"/>
    </row>
    <row r="46" customFormat="false" ht="15.75" hidden="false" customHeight="false" outlineLevel="0" collapsed="false">
      <c r="A46" s="0" t="s">
        <v>32</v>
      </c>
      <c r="B46" s="1" t="n">
        <v>43906</v>
      </c>
      <c r="C46" s="6" t="n">
        <v>213</v>
      </c>
      <c r="D46" s="6" t="n">
        <v>20</v>
      </c>
      <c r="E46" s="6"/>
      <c r="F46" s="6"/>
      <c r="G46" s="6" t="n">
        <v>4</v>
      </c>
      <c r="H46" s="6" t="n">
        <v>209</v>
      </c>
      <c r="I46" s="6" t="n">
        <v>2</v>
      </c>
      <c r="J46" s="6" t="n">
        <v>24.6</v>
      </c>
      <c r="K46" s="6"/>
      <c r="L46" s="6"/>
      <c r="M46" s="6"/>
    </row>
    <row r="47" customFormat="false" ht="15.75" hidden="false" customHeight="false" outlineLevel="0" collapsed="false">
      <c r="A47" s="0" t="s">
        <v>32</v>
      </c>
      <c r="B47" s="1" t="n">
        <v>43907</v>
      </c>
      <c r="C47" s="6" t="n">
        <v>298</v>
      </c>
      <c r="D47" s="6" t="n">
        <v>85</v>
      </c>
      <c r="E47" s="6"/>
      <c r="F47" s="6"/>
      <c r="G47" s="6" t="n">
        <v>4</v>
      </c>
      <c r="H47" s="6" t="n">
        <v>294</v>
      </c>
      <c r="I47" s="6" t="n">
        <v>4</v>
      </c>
      <c r="J47" s="6" t="n">
        <v>34.4</v>
      </c>
      <c r="K47" s="6"/>
      <c r="L47" s="6"/>
      <c r="M47" s="6"/>
    </row>
    <row r="48" customFormat="false" ht="15.75" hidden="false" customHeight="false" outlineLevel="0" collapsed="false">
      <c r="A48" s="0" t="s">
        <v>32</v>
      </c>
      <c r="B48" s="1" t="n">
        <v>43908</v>
      </c>
      <c r="C48" s="6" t="n">
        <v>337</v>
      </c>
      <c r="D48" s="6" t="n">
        <v>39</v>
      </c>
      <c r="E48" s="6"/>
      <c r="F48" s="6"/>
      <c r="G48" s="6" t="n">
        <v>11</v>
      </c>
      <c r="H48" s="6" t="n">
        <v>326</v>
      </c>
      <c r="I48" s="6" t="n">
        <v>5</v>
      </c>
      <c r="J48" s="6" t="n">
        <v>38.9</v>
      </c>
      <c r="K48" s="6"/>
      <c r="L48" s="6"/>
      <c r="M48" s="6"/>
    </row>
    <row r="49" customFormat="false" ht="15.75" hidden="false" customHeight="false" outlineLevel="0" collapsed="false">
      <c r="A49" s="0" t="s">
        <v>32</v>
      </c>
      <c r="B49" s="1" t="n">
        <v>43909</v>
      </c>
      <c r="C49" s="6" t="n">
        <v>433</v>
      </c>
      <c r="D49" s="6" t="n">
        <v>96</v>
      </c>
      <c r="E49" s="6"/>
      <c r="F49" s="6"/>
      <c r="G49" s="6" t="n">
        <v>11</v>
      </c>
      <c r="H49" s="6" t="n">
        <v>422</v>
      </c>
      <c r="I49" s="6" t="n">
        <v>6</v>
      </c>
      <c r="J49" s="6" t="n">
        <v>50</v>
      </c>
      <c r="K49" s="6"/>
      <c r="L49" s="6"/>
      <c r="M49" s="6"/>
    </row>
    <row r="50" customFormat="false" ht="15.75" hidden="false" customHeight="false" outlineLevel="0" collapsed="false">
      <c r="A50" s="0" t="s">
        <v>32</v>
      </c>
      <c r="B50" s="1" t="n">
        <v>43910</v>
      </c>
      <c r="C50" s="6" t="n">
        <v>677</v>
      </c>
      <c r="D50" s="6" t="n">
        <v>244</v>
      </c>
      <c r="E50" s="6"/>
      <c r="F50" s="6"/>
      <c r="G50" s="6" t="n">
        <v>14</v>
      </c>
      <c r="H50" s="6" t="n">
        <v>663</v>
      </c>
      <c r="I50" s="6" t="n">
        <v>6</v>
      </c>
      <c r="J50" s="6" t="n">
        <v>78</v>
      </c>
      <c r="K50" s="6"/>
      <c r="L50" s="6"/>
      <c r="M50" s="6"/>
    </row>
    <row r="51" customFormat="false" ht="15.75" hidden="false" customHeight="false" outlineLevel="0" collapsed="false">
      <c r="A51" s="0" t="s">
        <v>32</v>
      </c>
      <c r="B51" s="1" t="n">
        <v>43911</v>
      </c>
      <c r="C51" s="6" t="n">
        <v>883</v>
      </c>
      <c r="D51" s="6" t="n">
        <v>206</v>
      </c>
      <c r="E51" s="6" t="n">
        <v>1</v>
      </c>
      <c r="F51" s="6"/>
      <c r="G51" s="6" t="n">
        <v>36</v>
      </c>
      <c r="H51" s="6" t="n">
        <v>846</v>
      </c>
      <c r="I51" s="6" t="n">
        <v>15</v>
      </c>
      <c r="J51" s="6" t="n">
        <v>102</v>
      </c>
      <c r="K51" s="6"/>
      <c r="L51" s="6"/>
      <c r="M51" s="6"/>
    </row>
    <row r="52" customFormat="false" ht="15.75" hidden="false" customHeight="false" outlineLevel="0" collapsed="false">
      <c r="A52" s="0" t="s">
        <v>32</v>
      </c>
      <c r="B52" s="1" t="n">
        <v>43912</v>
      </c>
      <c r="C52" s="6" t="n">
        <v>883</v>
      </c>
      <c r="D52" s="6" t="n">
        <v>0</v>
      </c>
      <c r="E52" s="6" t="n">
        <v>1</v>
      </c>
      <c r="F52" s="6"/>
      <c r="G52" s="6" t="n">
        <v>36</v>
      </c>
      <c r="H52" s="6" t="n">
        <v>846</v>
      </c>
      <c r="I52" s="6" t="n">
        <v>15</v>
      </c>
      <c r="J52" s="6" t="n">
        <v>102</v>
      </c>
      <c r="K52" s="6"/>
      <c r="L52" s="6"/>
      <c r="M52" s="6"/>
    </row>
    <row r="53" customFormat="false" ht="15.75" hidden="false" customHeight="false" outlineLevel="0" collapsed="false">
      <c r="A53" s="0" t="s">
        <v>32</v>
      </c>
      <c r="B53" s="1" t="n">
        <v>43913</v>
      </c>
      <c r="C53" s="6" t="n">
        <v>1071</v>
      </c>
      <c r="D53" s="6" t="n">
        <v>188</v>
      </c>
      <c r="E53" s="6" t="n">
        <v>1</v>
      </c>
      <c r="F53" s="6"/>
      <c r="G53" s="6" t="n">
        <v>37</v>
      </c>
      <c r="H53" s="6" t="n">
        <v>1033</v>
      </c>
      <c r="I53" s="6" t="n">
        <v>18</v>
      </c>
      <c r="J53" s="6" t="n">
        <v>124</v>
      </c>
      <c r="K53" s="6"/>
      <c r="L53" s="6"/>
      <c r="M53" s="6"/>
    </row>
    <row r="54" customFormat="false" ht="15.75" hidden="false" customHeight="false" outlineLevel="0" collapsed="false">
      <c r="A54" s="0" t="s">
        <v>32</v>
      </c>
      <c r="B54" s="1" t="n">
        <v>43914</v>
      </c>
      <c r="C54" s="6" t="n">
        <v>1442</v>
      </c>
      <c r="D54" s="6" t="n">
        <v>371</v>
      </c>
      <c r="E54" s="6" t="n">
        <v>1</v>
      </c>
      <c r="F54" s="6"/>
      <c r="G54" s="6" t="n">
        <v>41</v>
      </c>
      <c r="H54" s="6" t="n">
        <v>1400</v>
      </c>
      <c r="I54" s="6" t="n">
        <v>29</v>
      </c>
      <c r="J54" s="6" t="n">
        <v>167</v>
      </c>
      <c r="K54" s="6"/>
      <c r="L54" s="6"/>
      <c r="M54" s="6"/>
    </row>
    <row r="55" customFormat="false" ht="15.75" hidden="false" customHeight="false" outlineLevel="0" collapsed="false">
      <c r="A55" s="0" t="s">
        <v>32</v>
      </c>
      <c r="B55" s="1" t="n">
        <v>43915</v>
      </c>
      <c r="C55" s="7" t="n">
        <v>1930</v>
      </c>
      <c r="D55" s="7" t="n">
        <v>488</v>
      </c>
      <c r="E55" s="7" t="n">
        <v>3</v>
      </c>
      <c r="F55" s="7" t="n">
        <v>2</v>
      </c>
      <c r="G55" s="7" t="n">
        <v>53</v>
      </c>
      <c r="H55" s="7" t="n">
        <v>1874</v>
      </c>
      <c r="I55" s="7" t="n">
        <v>34</v>
      </c>
      <c r="J55" s="7" t="n">
        <v>223</v>
      </c>
      <c r="K55" s="10" t="n">
        <v>0.3</v>
      </c>
      <c r="L55" s="7"/>
      <c r="M55" s="7"/>
    </row>
    <row r="56" customFormat="false" ht="15.75" hidden="false" customHeight="false" outlineLevel="0" collapsed="false">
      <c r="A56" s="0" t="s">
        <v>32</v>
      </c>
      <c r="B56" s="1" t="n">
        <v>43916</v>
      </c>
      <c r="C56" s="7" t="n">
        <v>2369</v>
      </c>
      <c r="D56" s="7" t="n">
        <v>439</v>
      </c>
      <c r="E56" s="7" t="n">
        <v>5</v>
      </c>
      <c r="F56" s="7" t="n">
        <v>2</v>
      </c>
      <c r="G56" s="7" t="n">
        <v>58</v>
      </c>
      <c r="H56" s="7" t="n">
        <v>2306</v>
      </c>
      <c r="I56" s="7" t="n">
        <v>37</v>
      </c>
      <c r="J56" s="7" t="n">
        <v>274</v>
      </c>
      <c r="K56" s="10" t="n">
        <v>0.6</v>
      </c>
      <c r="L56" s="7"/>
      <c r="M56" s="7"/>
    </row>
    <row r="57" customFormat="false" ht="15.75" hidden="false" customHeight="false" outlineLevel="0" collapsed="false">
      <c r="A57" s="0" t="s">
        <v>32</v>
      </c>
      <c r="B57" s="1" t="n">
        <v>43917</v>
      </c>
      <c r="C57" s="7" t="n">
        <v>2693</v>
      </c>
      <c r="D57" s="7" t="n">
        <v>324</v>
      </c>
      <c r="E57" s="7" t="n">
        <v>8</v>
      </c>
      <c r="F57" s="7" t="n">
        <v>3</v>
      </c>
      <c r="G57" s="7" t="n">
        <v>68</v>
      </c>
      <c r="H57" s="7" t="n">
        <v>2617</v>
      </c>
      <c r="I57" s="7" t="n">
        <v>46</v>
      </c>
      <c r="J57" s="7" t="n">
        <v>311</v>
      </c>
      <c r="K57" s="10" t="n">
        <v>0.9</v>
      </c>
      <c r="L57" s="7"/>
      <c r="M57" s="7"/>
    </row>
    <row r="58" customFormat="false" ht="15.75" hidden="false" customHeight="false" outlineLevel="0" collapsed="false">
      <c r="A58" s="0" t="s">
        <v>32</v>
      </c>
      <c r="B58" s="1" t="n">
        <v>43918</v>
      </c>
      <c r="C58" s="7" t="n">
        <v>3035</v>
      </c>
      <c r="D58" s="7" t="n">
        <v>342</v>
      </c>
      <c r="E58" s="7" t="n">
        <v>12</v>
      </c>
      <c r="F58" s="7" t="n">
        <v>4</v>
      </c>
      <c r="G58" s="7" t="n">
        <v>79</v>
      </c>
      <c r="H58" s="7" t="n">
        <v>2944</v>
      </c>
      <c r="I58" s="7" t="n">
        <v>49</v>
      </c>
      <c r="J58" s="7" t="n">
        <v>351</v>
      </c>
      <c r="K58" s="7" t="n">
        <v>1</v>
      </c>
      <c r="M58" s="7"/>
    </row>
    <row r="59" customFormat="false" ht="15.75" hidden="false" customHeight="false" outlineLevel="0" collapsed="false">
      <c r="A59" s="0" t="s">
        <v>32</v>
      </c>
      <c r="B59" s="1" t="n">
        <v>43919</v>
      </c>
      <c r="C59" s="7" t="n">
        <v>3619</v>
      </c>
      <c r="D59" s="7" t="n">
        <v>584</v>
      </c>
      <c r="E59" s="7" t="n">
        <v>12</v>
      </c>
      <c r="F59" s="7" t="n">
        <v>0</v>
      </c>
      <c r="G59" s="7" t="n">
        <v>89</v>
      </c>
      <c r="H59" s="7" t="n">
        <v>3518</v>
      </c>
      <c r="I59" s="7" t="n">
        <v>50</v>
      </c>
      <c r="J59" s="7" t="n">
        <v>418</v>
      </c>
      <c r="K59" s="7" t="n">
        <v>1</v>
      </c>
      <c r="M59" s="7"/>
    </row>
    <row r="60" customFormat="false" ht="15.75" hidden="false" customHeight="false" outlineLevel="0" collapsed="false">
      <c r="A60" s="0" t="s">
        <v>32</v>
      </c>
      <c r="B60" s="1" t="n">
        <v>43920</v>
      </c>
      <c r="C60" s="7" t="n">
        <v>4247</v>
      </c>
      <c r="D60" s="7" t="n">
        <v>628</v>
      </c>
      <c r="E60" s="7" t="n">
        <v>15</v>
      </c>
      <c r="F60" s="7" t="n">
        <v>3</v>
      </c>
      <c r="G60" s="7" t="n">
        <v>132</v>
      </c>
      <c r="H60" s="7" t="n">
        <v>4100</v>
      </c>
      <c r="I60" s="7" t="n">
        <v>74</v>
      </c>
      <c r="J60" s="7" t="n">
        <v>491</v>
      </c>
      <c r="K60" s="7" t="n">
        <v>2</v>
      </c>
      <c r="M60" s="7"/>
    </row>
    <row r="61" customFormat="false" ht="15.75" hidden="false" customHeight="false" outlineLevel="0" collapsed="false">
      <c r="A61" s="0" t="s">
        <v>32</v>
      </c>
      <c r="B61" s="1" t="n">
        <v>43921</v>
      </c>
      <c r="C61" s="7" t="n">
        <v>4695</v>
      </c>
      <c r="D61" s="7" t="n">
        <v>448</v>
      </c>
      <c r="E61" s="7" t="n">
        <v>16</v>
      </c>
      <c r="F61" s="7" t="n">
        <v>1</v>
      </c>
      <c r="G61" s="7" t="n">
        <v>134</v>
      </c>
      <c r="H61" s="7" t="n">
        <v>4545</v>
      </c>
      <c r="I61" s="7" t="n">
        <v>66</v>
      </c>
      <c r="J61" s="7" t="n">
        <v>542</v>
      </c>
      <c r="K61" s="7" t="n">
        <v>2</v>
      </c>
      <c r="M61" s="7"/>
    </row>
    <row r="62" customFormat="false" ht="15.75" hidden="false" customHeight="false" outlineLevel="0" collapsed="false">
      <c r="A62" s="0" t="s">
        <v>32</v>
      </c>
      <c r="B62" s="1" t="n">
        <v>43922</v>
      </c>
      <c r="C62" s="7" t="n">
        <v>5358</v>
      </c>
      <c r="D62" s="7" t="n">
        <v>663</v>
      </c>
      <c r="E62" s="7" t="n">
        <v>20</v>
      </c>
      <c r="F62" s="7" t="n">
        <v>4</v>
      </c>
      <c r="G62" s="7" t="n">
        <v>224</v>
      </c>
      <c r="H62" s="7" t="n">
        <v>5114</v>
      </c>
      <c r="I62" s="7" t="n">
        <v>94</v>
      </c>
      <c r="J62" s="7" t="n">
        <v>619</v>
      </c>
      <c r="K62" s="7" t="n">
        <v>2</v>
      </c>
      <c r="M62" s="7"/>
    </row>
    <row r="63" customFormat="false" ht="15.75" hidden="false" customHeight="false" outlineLevel="0" collapsed="false">
      <c r="A63" s="0" t="s">
        <v>32</v>
      </c>
      <c r="B63" s="1" t="n">
        <v>43923</v>
      </c>
      <c r="C63" s="7" t="n">
        <v>6092</v>
      </c>
      <c r="D63" s="7" t="n">
        <v>734</v>
      </c>
      <c r="E63" s="7" t="n">
        <v>26</v>
      </c>
      <c r="F63" s="7" t="n">
        <v>6</v>
      </c>
      <c r="G63" s="7" t="n">
        <v>241</v>
      </c>
      <c r="H63" s="7" t="n">
        <v>5825</v>
      </c>
      <c r="I63" s="7" t="n">
        <v>95</v>
      </c>
      <c r="J63" s="7" t="n">
        <v>704</v>
      </c>
      <c r="K63" s="7" t="n">
        <v>3</v>
      </c>
      <c r="M63" s="7"/>
    </row>
    <row r="64" customFormat="false" ht="15.75" hidden="false" customHeight="false" outlineLevel="0" collapsed="false">
      <c r="A64" s="0" t="s">
        <v>32</v>
      </c>
      <c r="B64" s="1" t="n">
        <v>43924</v>
      </c>
      <c r="C64" s="7" t="n">
        <v>6857</v>
      </c>
      <c r="D64" s="7" t="n">
        <v>765</v>
      </c>
      <c r="E64" s="7" t="n">
        <v>36</v>
      </c>
      <c r="F64" s="7" t="n">
        <v>10</v>
      </c>
      <c r="G64" s="7" t="n">
        <v>338</v>
      </c>
      <c r="H64" s="7" t="n">
        <v>6483</v>
      </c>
      <c r="I64" s="7" t="n">
        <v>107</v>
      </c>
      <c r="J64" s="7" t="n">
        <v>792</v>
      </c>
      <c r="K64" s="7" t="n">
        <v>4</v>
      </c>
      <c r="M64" s="7"/>
    </row>
    <row r="65" customFormat="false" ht="15.75" hidden="false" customHeight="false" outlineLevel="0" collapsed="false">
      <c r="A65" s="0" t="s">
        <v>32</v>
      </c>
      <c r="B65" s="1" t="n">
        <v>43925</v>
      </c>
      <c r="C65" s="7" t="n">
        <v>7428</v>
      </c>
      <c r="D65" s="7" t="n">
        <v>571</v>
      </c>
      <c r="E65" s="7" t="n">
        <v>40</v>
      </c>
      <c r="F65" s="7" t="n">
        <v>4</v>
      </c>
      <c r="G65" s="7" t="n">
        <v>403</v>
      </c>
      <c r="H65" s="7" t="n">
        <v>6985</v>
      </c>
      <c r="I65" s="7" t="n">
        <v>113</v>
      </c>
      <c r="J65" s="7" t="n">
        <v>858</v>
      </c>
      <c r="K65" s="7" t="n">
        <v>5</v>
      </c>
      <c r="M65" s="7"/>
    </row>
    <row r="66" customFormat="false" ht="15.75" hidden="false" customHeight="false" outlineLevel="0" collapsed="false">
      <c r="A66" s="0" t="s">
        <v>32</v>
      </c>
      <c r="B66" s="1" t="n">
        <v>43926</v>
      </c>
      <c r="C66" s="7" t="n">
        <v>7851</v>
      </c>
      <c r="D66" s="7" t="n">
        <v>423</v>
      </c>
      <c r="E66" s="7" t="n">
        <v>44</v>
      </c>
      <c r="F66" s="7" t="n">
        <v>4</v>
      </c>
      <c r="G66" s="7" t="n">
        <v>427</v>
      </c>
      <c r="H66" s="7" t="n">
        <v>7380</v>
      </c>
      <c r="I66" s="7" t="n">
        <v>115</v>
      </c>
      <c r="J66" s="7" t="n">
        <v>907</v>
      </c>
      <c r="K66" s="7" t="n">
        <v>5</v>
      </c>
      <c r="L66" s="7" t="n">
        <v>90394</v>
      </c>
      <c r="M66" s="7" t="n">
        <v>10443</v>
      </c>
    </row>
    <row r="67" customFormat="false" ht="15.75" hidden="false" customHeight="false" outlineLevel="0" collapsed="false">
      <c r="A67" s="0" t="s">
        <v>32</v>
      </c>
      <c r="B67" s="1" t="n">
        <v>43927</v>
      </c>
      <c r="C67" s="7" t="n">
        <v>8430</v>
      </c>
      <c r="D67" s="7" t="n">
        <v>579</v>
      </c>
      <c r="E67" s="7" t="n">
        <v>49</v>
      </c>
      <c r="F67" s="7" t="n">
        <v>5</v>
      </c>
      <c r="G67" s="7" t="n">
        <v>477</v>
      </c>
      <c r="H67" s="7" t="n">
        <v>7904</v>
      </c>
      <c r="I67" s="7" t="n">
        <v>139</v>
      </c>
      <c r="J67" s="7" t="n">
        <v>974</v>
      </c>
      <c r="K67" s="7" t="n">
        <v>6</v>
      </c>
      <c r="L67" s="7" t="n">
        <v>90394</v>
      </c>
      <c r="M67" s="7" t="n">
        <v>10443</v>
      </c>
    </row>
    <row r="68" customFormat="false" ht="15.75" hidden="false" customHeight="false" outlineLevel="0" collapsed="false">
      <c r="A68" s="0" t="s">
        <v>32</v>
      </c>
      <c r="B68" s="1" t="n">
        <v>43928</v>
      </c>
      <c r="C68" s="12" t="n">
        <v>8904</v>
      </c>
      <c r="D68" s="12" t="n">
        <v>474</v>
      </c>
      <c r="E68" s="12" t="n">
        <v>57</v>
      </c>
      <c r="F68" s="12" t="n">
        <v>8</v>
      </c>
      <c r="G68" s="12" t="n">
        <v>585</v>
      </c>
      <c r="H68" s="12" t="n">
        <v>8262</v>
      </c>
      <c r="I68" s="12" t="n">
        <v>140</v>
      </c>
      <c r="J68" s="12" t="n">
        <v>1029</v>
      </c>
      <c r="K68" s="12" t="n">
        <v>7</v>
      </c>
      <c r="L68" s="12" t="n">
        <v>109724</v>
      </c>
      <c r="M68" s="12" t="n">
        <v>12677</v>
      </c>
    </row>
    <row r="69" customFormat="false" ht="15.75" hidden="false" customHeight="false" outlineLevel="0" collapsed="false">
      <c r="A69" s="0" t="s">
        <v>32</v>
      </c>
      <c r="B69" s="1" t="n">
        <v>43929</v>
      </c>
      <c r="C69" s="14" t="n">
        <v>9248</v>
      </c>
      <c r="D69" s="14" t="n">
        <v>344</v>
      </c>
      <c r="E69" s="14" t="n">
        <v>65</v>
      </c>
      <c r="F69" s="14" t="n">
        <v>8</v>
      </c>
      <c r="G69" s="14" t="n">
        <v>770</v>
      </c>
      <c r="H69" s="14" t="n">
        <v>8413</v>
      </c>
      <c r="I69" s="14" t="n">
        <v>149</v>
      </c>
      <c r="J69" s="14" t="n">
        <v>1068</v>
      </c>
      <c r="K69" s="14" t="n">
        <v>8</v>
      </c>
      <c r="L69" s="14" t="n">
        <v>117339</v>
      </c>
      <c r="M69" s="14" t="n">
        <v>13557</v>
      </c>
    </row>
    <row r="70" customFormat="false" ht="15.75" hidden="false" customHeight="false" outlineLevel="0" collapsed="false">
      <c r="A70" s="0" t="s">
        <v>32</v>
      </c>
      <c r="B70" s="1" t="n">
        <v>43930</v>
      </c>
      <c r="C70" s="14" t="n">
        <v>9404</v>
      </c>
      <c r="D70" s="14" t="n">
        <v>156</v>
      </c>
      <c r="E70" s="14" t="n">
        <v>73</v>
      </c>
      <c r="F70" s="14" t="n">
        <v>8</v>
      </c>
      <c r="G70" s="14" t="n">
        <v>801</v>
      </c>
      <c r="H70" s="14" t="n">
        <v>8530</v>
      </c>
      <c r="I70" s="14" t="n">
        <v>147</v>
      </c>
      <c r="J70" s="14" t="n">
        <v>1086</v>
      </c>
      <c r="K70" s="14" t="n">
        <v>8</v>
      </c>
      <c r="L70" s="14" t="n">
        <v>117339</v>
      </c>
      <c r="M70" s="14" t="n">
        <v>13557</v>
      </c>
    </row>
    <row r="71" customFormat="false" ht="15.75" hidden="false" customHeight="false" outlineLevel="0" collapsed="false">
      <c r="A71" s="0" t="s">
        <v>32</v>
      </c>
      <c r="B71" s="1" t="n">
        <v>43931</v>
      </c>
      <c r="C71" s="14" t="n">
        <v>9968</v>
      </c>
      <c r="D71" s="14" t="n">
        <v>564</v>
      </c>
      <c r="E71" s="14" t="n">
        <v>86</v>
      </c>
      <c r="F71" s="14" t="n">
        <v>13</v>
      </c>
      <c r="G71" s="14" t="n">
        <v>1011</v>
      </c>
      <c r="H71" s="14" t="n">
        <v>8871</v>
      </c>
      <c r="I71" s="14" t="n">
        <v>166</v>
      </c>
      <c r="J71" s="14" t="n">
        <v>1152</v>
      </c>
      <c r="K71" s="14" t="n">
        <v>10</v>
      </c>
      <c r="L71" s="14" t="n">
        <v>117339</v>
      </c>
      <c r="M71" s="14" t="n">
        <v>13557</v>
      </c>
    </row>
    <row r="72" customFormat="false" ht="15.75" hidden="false" customHeight="false" outlineLevel="0" collapsed="false">
      <c r="A72" s="0" t="s">
        <v>32</v>
      </c>
      <c r="B72" s="1" t="n">
        <v>43932</v>
      </c>
      <c r="C72" s="14" t="n">
        <v>10408</v>
      </c>
      <c r="D72" s="14" t="n">
        <v>440</v>
      </c>
      <c r="E72" s="14" t="n">
        <v>95</v>
      </c>
      <c r="F72" s="14" t="n">
        <v>9</v>
      </c>
      <c r="G72" s="14" t="n">
        <v>1183</v>
      </c>
      <c r="H72" s="14" t="n">
        <v>9130</v>
      </c>
      <c r="I72" s="14" t="n">
        <v>124</v>
      </c>
      <c r="J72" s="14" t="n">
        <v>1202</v>
      </c>
      <c r="K72" s="14" t="n">
        <v>11</v>
      </c>
      <c r="L72" s="14" t="n">
        <v>117339</v>
      </c>
      <c r="M72" s="14" t="n">
        <v>13557</v>
      </c>
    </row>
    <row r="73" customFormat="false" ht="15.75" hidden="false" customHeight="false" outlineLevel="0" collapsed="false">
      <c r="A73" s="0" t="s">
        <v>32</v>
      </c>
      <c r="B73" s="1" t="n">
        <v>43933</v>
      </c>
      <c r="C73" s="14" t="n">
        <v>10743</v>
      </c>
      <c r="D73" s="14" t="n">
        <v>335</v>
      </c>
      <c r="E73" s="14" t="n">
        <v>101</v>
      </c>
      <c r="F73" s="14" t="n">
        <v>6</v>
      </c>
      <c r="G73" s="14" t="n">
        <v>1341</v>
      </c>
      <c r="H73" s="14" t="n">
        <v>9301</v>
      </c>
      <c r="I73" s="14" t="n">
        <v>175</v>
      </c>
      <c r="J73" s="14" t="n">
        <v>1241</v>
      </c>
      <c r="K73" s="14" t="n">
        <v>12</v>
      </c>
      <c r="L73" s="14" t="n">
        <v>117339</v>
      </c>
      <c r="M73" s="14" t="n">
        <v>13557</v>
      </c>
    </row>
    <row r="74" customFormat="false" ht="15.75" hidden="false" customHeight="false" outlineLevel="0" collapsed="false">
      <c r="A74" s="0" t="s">
        <v>32</v>
      </c>
      <c r="B74" s="1" t="n">
        <v>43934</v>
      </c>
      <c r="C74" s="14" t="n">
        <v>11145</v>
      </c>
      <c r="D74" s="14" t="n">
        <v>402</v>
      </c>
      <c r="E74" s="14" t="n">
        <v>103</v>
      </c>
      <c r="F74" s="14" t="n">
        <v>2</v>
      </c>
      <c r="G74" s="14" t="n">
        <v>1627</v>
      </c>
      <c r="H74" s="14" t="n">
        <v>9415</v>
      </c>
      <c r="I74" s="14" t="n">
        <v>183</v>
      </c>
      <c r="J74" s="14" t="n">
        <v>1288</v>
      </c>
      <c r="K74" s="14" t="n">
        <v>12</v>
      </c>
      <c r="L74" s="14" t="n">
        <v>117339</v>
      </c>
      <c r="M74" s="14" t="n">
        <v>13557</v>
      </c>
    </row>
    <row r="75" customFormat="false" ht="15.75" hidden="false" customHeight="false" outlineLevel="0" collapsed="false">
      <c r="A75" s="0" t="s">
        <v>32</v>
      </c>
      <c r="B75" s="1" t="n">
        <v>43935</v>
      </c>
      <c r="C75" s="14" t="n">
        <v>11586</v>
      </c>
      <c r="D75" s="14" t="n">
        <v>441</v>
      </c>
      <c r="E75" s="14" t="n">
        <v>116</v>
      </c>
      <c r="F75" s="14" t="n">
        <v>13</v>
      </c>
      <c r="G75" s="14" t="n">
        <v>1855</v>
      </c>
      <c r="H75" s="14" t="n">
        <v>9615</v>
      </c>
      <c r="I75" s="14" t="n">
        <v>181</v>
      </c>
      <c r="J75" s="14" t="n">
        <v>1339</v>
      </c>
      <c r="K75" s="14" t="n">
        <v>13</v>
      </c>
      <c r="L75" s="14" t="n">
        <v>117339</v>
      </c>
      <c r="M75" s="14" t="n">
        <v>13557</v>
      </c>
    </row>
    <row r="76" customFormat="false" ht="15.75" hidden="false" customHeight="false" outlineLevel="0" collapsed="false">
      <c r="A76" s="0" t="s">
        <v>32</v>
      </c>
      <c r="B76" s="1" t="n">
        <v>43936</v>
      </c>
      <c r="C76" s="14" t="n">
        <v>12046</v>
      </c>
      <c r="D76" s="14" t="n">
        <v>460</v>
      </c>
      <c r="E76" s="14" t="n">
        <v>123</v>
      </c>
      <c r="F76" s="14" t="n">
        <v>7</v>
      </c>
      <c r="G76" s="14" t="n">
        <v>2195</v>
      </c>
      <c r="H76" s="14" t="n">
        <v>9728</v>
      </c>
      <c r="I76" s="14" t="n">
        <v>175</v>
      </c>
      <c r="J76" s="14" t="n">
        <v>1392</v>
      </c>
      <c r="K76" s="14" t="n">
        <v>14</v>
      </c>
      <c r="L76" s="14" t="n">
        <v>117339</v>
      </c>
      <c r="M76" s="14" t="n">
        <v>13557</v>
      </c>
    </row>
    <row r="77" customFormat="false" ht="15.75" hidden="false" customHeight="false" outlineLevel="0" collapsed="false">
      <c r="A77" s="0" t="s">
        <v>32</v>
      </c>
      <c r="B77" s="1" t="n">
        <v>43937</v>
      </c>
      <c r="C77" s="14" t="n">
        <v>12501</v>
      </c>
      <c r="D77" s="14" t="n">
        <v>455</v>
      </c>
      <c r="E77" s="14" t="n">
        <v>130</v>
      </c>
      <c r="F77" s="14" t="n">
        <v>7</v>
      </c>
      <c r="G77" s="14" t="n">
        <v>2563</v>
      </c>
      <c r="H77" s="14" t="n">
        <v>9808</v>
      </c>
      <c r="I77" s="14" t="n">
        <v>180</v>
      </c>
      <c r="J77" s="14" t="n">
        <v>1444</v>
      </c>
      <c r="K77" s="14" t="n">
        <v>15</v>
      </c>
      <c r="L77" s="14" t="n">
        <v>117339</v>
      </c>
      <c r="M77" s="14" t="n">
        <v>13557</v>
      </c>
    </row>
    <row r="78" customFormat="false" ht="15.75" hidden="false" customHeight="false" outlineLevel="0" collapsed="false">
      <c r="A78" s="0" t="s">
        <v>32</v>
      </c>
      <c r="B78" s="1" t="n">
        <v>43938</v>
      </c>
      <c r="C78" s="14" t="n">
        <v>12758</v>
      </c>
      <c r="D78" s="14" t="n">
        <v>257</v>
      </c>
      <c r="E78" s="14" t="n">
        <v>142</v>
      </c>
      <c r="F78" s="14" t="n">
        <v>12</v>
      </c>
      <c r="G78" s="14" t="n">
        <v>2818</v>
      </c>
      <c r="H78" s="14" t="n">
        <v>9798</v>
      </c>
      <c r="I78" s="14" t="n">
        <v>181</v>
      </c>
      <c r="J78" s="14" t="n">
        <v>1474</v>
      </c>
      <c r="K78" s="14" t="n">
        <v>16</v>
      </c>
      <c r="L78" s="14" t="n">
        <v>187250</v>
      </c>
      <c r="M78" s="14" t="n">
        <v>21634</v>
      </c>
    </row>
    <row r="79" customFormat="false" ht="15.75" hidden="false" customHeight="false" outlineLevel="0" collapsed="false">
      <c r="A79" s="0" t="s">
        <v>32</v>
      </c>
      <c r="B79" s="1" t="n">
        <v>43939</v>
      </c>
      <c r="C79" s="14" t="n">
        <v>12982</v>
      </c>
      <c r="D79" s="14" t="n">
        <v>224</v>
      </c>
      <c r="E79" s="14" t="n">
        <v>151</v>
      </c>
      <c r="F79" s="14" t="n">
        <v>9</v>
      </c>
      <c r="G79" s="14" t="n">
        <v>3126</v>
      </c>
      <c r="H79" s="14" t="n">
        <v>9705</v>
      </c>
      <c r="I79" s="14" t="n">
        <v>168</v>
      </c>
      <c r="J79" s="14" t="n">
        <v>1500</v>
      </c>
      <c r="K79" s="14" t="n">
        <v>17</v>
      </c>
      <c r="L79" s="14" t="n">
        <v>187250</v>
      </c>
      <c r="M79" s="14" t="n">
        <v>21634</v>
      </c>
    </row>
    <row r="80" customFormat="false" ht="15.75" hidden="false" customHeight="false" outlineLevel="0" collapsed="false">
      <c r="A80" s="0" t="s">
        <v>32</v>
      </c>
      <c r="B80" s="1" t="n">
        <v>43940</v>
      </c>
      <c r="C80" s="14" t="n">
        <v>13265</v>
      </c>
      <c r="D80" s="14" t="n">
        <v>283</v>
      </c>
      <c r="E80" s="14" t="n">
        <v>164</v>
      </c>
      <c r="F80" s="14" t="n">
        <v>13</v>
      </c>
      <c r="G80" s="14" t="n">
        <v>3456</v>
      </c>
      <c r="H80" s="14" t="n">
        <v>9645</v>
      </c>
      <c r="I80" s="14" t="n">
        <v>164</v>
      </c>
      <c r="J80" s="14" t="n">
        <v>1533</v>
      </c>
      <c r="K80" s="14" t="n">
        <v>19</v>
      </c>
      <c r="L80" s="14" t="n">
        <v>187250</v>
      </c>
      <c r="M80" s="14" t="n">
        <v>21634</v>
      </c>
    </row>
    <row r="81" customFormat="false" ht="15.75" hidden="false" customHeight="false" outlineLevel="0" collapsed="false">
      <c r="A81" s="0" t="s">
        <v>32</v>
      </c>
      <c r="B81" s="1" t="n">
        <v>43941</v>
      </c>
      <c r="C81" s="14" t="n">
        <v>13491</v>
      </c>
      <c r="D81" s="14" t="n">
        <v>226</v>
      </c>
      <c r="E81" s="14" t="n">
        <v>172</v>
      </c>
      <c r="F81" s="14" t="n">
        <v>8</v>
      </c>
      <c r="G81" s="14" t="n">
        <v>3754</v>
      </c>
      <c r="H81" s="14" t="n">
        <v>9565</v>
      </c>
      <c r="I81" s="14" t="n">
        <v>146</v>
      </c>
      <c r="J81" s="14" t="n">
        <v>1559</v>
      </c>
      <c r="K81" s="14" t="n">
        <v>20</v>
      </c>
      <c r="L81" s="14" t="n">
        <v>187250</v>
      </c>
      <c r="M81" s="14" t="n">
        <v>21634</v>
      </c>
    </row>
    <row r="82" customFormat="false" ht="15.75" hidden="false" customHeight="false" outlineLevel="0" collapsed="false">
      <c r="A82" s="0" t="s">
        <v>32</v>
      </c>
      <c r="B82" s="1" t="n">
        <v>43942</v>
      </c>
      <c r="C82" s="6" t="n">
        <v>13713</v>
      </c>
      <c r="D82" s="6" t="n">
        <v>222</v>
      </c>
      <c r="E82" s="6" t="n">
        <v>177</v>
      </c>
      <c r="F82" s="6" t="n">
        <v>5</v>
      </c>
      <c r="G82" s="6" t="n">
        <v>4049</v>
      </c>
      <c r="H82" s="6" t="n">
        <v>9487</v>
      </c>
      <c r="I82" s="6" t="n">
        <v>149</v>
      </c>
      <c r="J82" s="6" t="n">
        <v>1584</v>
      </c>
      <c r="K82" s="6" t="n">
        <v>20</v>
      </c>
      <c r="L82" s="6" t="n">
        <v>240303</v>
      </c>
      <c r="M82" s="6" t="n">
        <v>27763</v>
      </c>
    </row>
    <row r="83" customFormat="false" ht="15.75" hidden="false" customHeight="false" outlineLevel="0" collapsed="false">
      <c r="A83" s="0" t="s">
        <v>32</v>
      </c>
      <c r="B83" s="1" t="n">
        <v>43943</v>
      </c>
      <c r="C83" s="6" t="n">
        <v>13942</v>
      </c>
      <c r="D83" s="6" t="n">
        <v>229</v>
      </c>
      <c r="E83" s="6" t="n">
        <v>184</v>
      </c>
      <c r="F83" s="6" t="n">
        <v>7</v>
      </c>
      <c r="G83" s="6" t="n">
        <v>4507</v>
      </c>
      <c r="H83" s="6" t="n">
        <v>9251</v>
      </c>
      <c r="I83" s="6" t="n">
        <v>139</v>
      </c>
      <c r="J83" s="6" t="n">
        <v>1611</v>
      </c>
      <c r="K83" s="6" t="n">
        <v>21</v>
      </c>
      <c r="L83" s="6" t="n">
        <v>240303</v>
      </c>
      <c r="M83" s="6" t="n">
        <v>27763</v>
      </c>
    </row>
    <row r="84" customFormat="false" ht="15.75" hidden="false" customHeight="false" outlineLevel="0" collapsed="false">
      <c r="A84" s="0" t="s">
        <v>32</v>
      </c>
      <c r="B84" s="1" t="n">
        <v>43944</v>
      </c>
      <c r="C84" s="6" t="n">
        <v>14498</v>
      </c>
      <c r="D84" s="6" t="n">
        <v>556</v>
      </c>
      <c r="E84" s="6" t="n">
        <v>189</v>
      </c>
      <c r="F84" s="6" t="n">
        <v>5</v>
      </c>
      <c r="G84" s="6" t="n">
        <v>5215</v>
      </c>
      <c r="H84" s="6" t="n">
        <v>9094</v>
      </c>
      <c r="I84" s="6" t="n">
        <v>141</v>
      </c>
      <c r="J84" s="6" t="n">
        <v>1675</v>
      </c>
      <c r="K84" s="6" t="n">
        <v>22</v>
      </c>
      <c r="L84" s="6" t="n">
        <v>240303</v>
      </c>
      <c r="M84" s="6" t="n">
        <v>27763</v>
      </c>
    </row>
    <row r="85" customFormat="false" ht="15.75" hidden="false" customHeight="false" outlineLevel="0" collapsed="false">
      <c r="A85" s="0" t="s">
        <v>32</v>
      </c>
      <c r="B85" s="1" t="n">
        <v>43945</v>
      </c>
      <c r="C85" s="6" t="n">
        <v>14803</v>
      </c>
      <c r="D85" s="6" t="n">
        <v>305</v>
      </c>
      <c r="E85" s="6" t="n">
        <v>192</v>
      </c>
      <c r="F85" s="6" t="n">
        <v>3</v>
      </c>
      <c r="G85" s="6" t="n">
        <v>5611</v>
      </c>
      <c r="H85" s="6" t="n">
        <v>9000</v>
      </c>
      <c r="I85" s="6" t="n">
        <v>139</v>
      </c>
      <c r="J85" s="6" t="n">
        <v>1710</v>
      </c>
      <c r="K85" s="6" t="n">
        <v>22</v>
      </c>
      <c r="L85" s="6" t="n">
        <v>240303</v>
      </c>
      <c r="M85" s="6" t="n">
        <v>27763</v>
      </c>
    </row>
    <row r="86" customFormat="false" ht="15.75" hidden="false" customHeight="false" outlineLevel="0" collapsed="false">
      <c r="A86" s="0" t="s">
        <v>32</v>
      </c>
      <c r="B86" s="1" t="n">
        <v>43946</v>
      </c>
      <c r="C86" s="6" t="n">
        <v>15058</v>
      </c>
      <c r="D86" s="6" t="n">
        <v>255</v>
      </c>
      <c r="E86" s="6" t="n">
        <v>194</v>
      </c>
      <c r="F86" s="6" t="n">
        <v>2</v>
      </c>
      <c r="G86" s="6" t="n">
        <v>6003</v>
      </c>
      <c r="H86" s="6" t="n">
        <v>8861</v>
      </c>
      <c r="I86" s="6" t="n">
        <v>137</v>
      </c>
      <c r="J86" s="6" t="n">
        <v>1740</v>
      </c>
      <c r="K86" s="6" t="n">
        <v>22</v>
      </c>
      <c r="L86" s="6" t="n">
        <v>287034</v>
      </c>
      <c r="M86" s="6" t="n">
        <v>33162</v>
      </c>
    </row>
    <row r="87" customFormat="false" ht="15.75" hidden="false" customHeight="false" outlineLevel="0" collapsed="false">
      <c r="A87" s="0" t="s">
        <v>32</v>
      </c>
      <c r="B87" s="1" t="n">
        <v>43947</v>
      </c>
      <c r="C87" s="6" t="n">
        <v>15298</v>
      </c>
      <c r="D87" s="6" t="n">
        <v>240</v>
      </c>
      <c r="E87" s="6" t="n">
        <v>199</v>
      </c>
      <c r="F87" s="6" t="n">
        <v>5</v>
      </c>
      <c r="G87" s="6" t="n">
        <v>6435</v>
      </c>
      <c r="H87" s="6" t="n">
        <v>8664</v>
      </c>
      <c r="I87" s="6" t="n">
        <v>127</v>
      </c>
      <c r="J87" s="6" t="n">
        <v>1767</v>
      </c>
      <c r="K87" s="6" t="n">
        <v>23</v>
      </c>
      <c r="L87" s="6" t="n">
        <v>302691</v>
      </c>
      <c r="M87" s="6" t="n">
        <v>34971</v>
      </c>
    </row>
    <row r="88" customFormat="false" ht="15.75" hidden="false" customHeight="false" outlineLevel="0" collapsed="false">
      <c r="A88" s="0" t="s">
        <v>32</v>
      </c>
      <c r="B88" s="1" t="n">
        <v>43948</v>
      </c>
      <c r="C88" s="6" t="n">
        <v>15443</v>
      </c>
      <c r="D88" s="6" t="n">
        <v>145</v>
      </c>
      <c r="E88" s="6" t="n">
        <v>201</v>
      </c>
      <c r="F88" s="6" t="n">
        <v>2</v>
      </c>
      <c r="G88" s="6" t="n">
        <v>6731</v>
      </c>
      <c r="H88" s="6" t="n">
        <v>8511</v>
      </c>
      <c r="I88" s="6" t="n">
        <v>133</v>
      </c>
      <c r="J88" s="6" t="n">
        <v>1784</v>
      </c>
      <c r="K88" s="6" t="n">
        <v>23</v>
      </c>
      <c r="L88" s="6" t="n">
        <v>302691</v>
      </c>
      <c r="M88" s="6" t="n">
        <v>34971</v>
      </c>
    </row>
    <row r="89" customFormat="false" ht="13.5" hidden="false" customHeight="false" outlineLevel="0" collapsed="false">
      <c r="A89" s="0" t="s">
        <v>32</v>
      </c>
      <c r="B89" s="1" t="n">
        <v>43949</v>
      </c>
      <c r="C89" s="2" t="n">
        <v>15555</v>
      </c>
      <c r="D89" s="2" t="n">
        <v>112</v>
      </c>
      <c r="E89" s="2" t="n">
        <v>204</v>
      </c>
      <c r="F89" s="2" t="n">
        <v>3</v>
      </c>
      <c r="G89" s="2" t="n">
        <v>7200</v>
      </c>
      <c r="H89" s="2" t="n">
        <v>8151</v>
      </c>
      <c r="I89" s="2" t="n">
        <v>129</v>
      </c>
      <c r="J89" s="2" t="n">
        <v>1797</v>
      </c>
      <c r="K89" s="2" t="n">
        <v>24</v>
      </c>
      <c r="L89" s="2" t="n">
        <v>302691</v>
      </c>
      <c r="M89" s="2" t="n">
        <v>34971</v>
      </c>
    </row>
    <row r="90" customFormat="false" ht="13.5" hidden="false" customHeight="false" outlineLevel="0" collapsed="false">
      <c r="A90" s="0" t="s">
        <v>32</v>
      </c>
      <c r="B90" s="1" t="n">
        <v>43950</v>
      </c>
      <c r="C90" s="2" t="n">
        <v>15728</v>
      </c>
      <c r="D90" s="2" t="n">
        <v>173</v>
      </c>
      <c r="E90" s="2" t="n">
        <v>210</v>
      </c>
      <c r="F90" s="2" t="n">
        <v>6</v>
      </c>
      <c r="G90" s="2" t="n">
        <v>7746</v>
      </c>
      <c r="H90" s="2" t="n">
        <v>7772</v>
      </c>
      <c r="I90" s="2" t="n">
        <v>116</v>
      </c>
      <c r="J90" s="2" t="n">
        <v>1817</v>
      </c>
      <c r="K90" s="2" t="n">
        <v>24</v>
      </c>
      <c r="L90" s="2" t="n">
        <v>313135</v>
      </c>
      <c r="M90" s="2" t="n">
        <v>36177</v>
      </c>
    </row>
    <row r="91" customFormat="false" ht="13.5" hidden="false" customHeight="false" outlineLevel="0" collapsed="false">
      <c r="A91" s="0" t="s">
        <v>32</v>
      </c>
      <c r="B91" s="1" t="n">
        <v>43951</v>
      </c>
      <c r="C91" s="2" t="n">
        <v>15834</v>
      </c>
      <c r="D91" s="2" t="n">
        <v>106</v>
      </c>
      <c r="E91" s="2" t="n">
        <v>215</v>
      </c>
      <c r="F91" s="2" t="n">
        <v>5</v>
      </c>
      <c r="G91" s="2" t="n">
        <v>8233</v>
      </c>
      <c r="H91" s="2" t="n">
        <v>7386</v>
      </c>
      <c r="I91" s="2" t="n">
        <v>115</v>
      </c>
      <c r="J91" s="2" t="n">
        <v>1829</v>
      </c>
      <c r="K91" s="2" t="n">
        <v>25</v>
      </c>
      <c r="L91" s="2" t="n">
        <v>364467</v>
      </c>
      <c r="M91" s="2" t="n">
        <v>42108</v>
      </c>
    </row>
    <row r="92" customFormat="false" ht="14.25" hidden="false" customHeight="false" outlineLevel="0" collapsed="false">
      <c r="A92" s="0" t="s">
        <v>32</v>
      </c>
      <c r="B92" s="1" t="n">
        <v>43952</v>
      </c>
      <c r="C92" s="2" t="n">
        <v>15946</v>
      </c>
      <c r="D92" s="2" t="n">
        <v>112</v>
      </c>
      <c r="E92" s="2" t="n">
        <v>222</v>
      </c>
      <c r="F92" s="2" t="n">
        <v>7</v>
      </c>
      <c r="G92" s="2" t="n">
        <v>8561</v>
      </c>
      <c r="H92" s="2" t="n">
        <v>7163</v>
      </c>
      <c r="I92" s="2" t="n">
        <v>105</v>
      </c>
      <c r="J92" s="2" t="n">
        <v>1842</v>
      </c>
      <c r="K92" s="2" t="n">
        <v>26</v>
      </c>
      <c r="L92" s="2" t="n">
        <v>364467</v>
      </c>
      <c r="M92" s="2" t="n">
        <v>42108</v>
      </c>
    </row>
    <row r="93" customFormat="false" ht="15.75" hidden="false" customHeight="false" outlineLevel="0" collapsed="false">
      <c r="A93" s="0" t="s">
        <v>32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32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32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32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32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32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32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32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32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32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32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32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32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32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32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32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32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32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32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32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32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32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32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32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32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32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32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32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32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32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32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32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32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32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32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32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32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32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32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32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32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32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32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32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32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32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32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32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32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32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32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32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32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32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32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32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32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32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32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32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32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32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32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32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32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32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32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32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32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32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32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32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32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32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32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32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32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32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32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32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32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32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32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32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32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32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32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32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32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32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32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32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32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32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32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60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33</v>
      </c>
      <c r="B37" s="1" t="n">
        <v>43897</v>
      </c>
      <c r="C37" s="8" t="n">
        <v>31</v>
      </c>
      <c r="D37" s="8" t="n">
        <v>1</v>
      </c>
      <c r="E37" s="8"/>
      <c r="F37" s="8"/>
      <c r="G37" s="8" t="n">
        <v>3</v>
      </c>
      <c r="H37" s="8" t="n">
        <v>28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33</v>
      </c>
      <c r="B38" s="1" t="n">
        <v>43898</v>
      </c>
      <c r="C38" s="6" t="n">
        <v>34</v>
      </c>
      <c r="D38" s="6" t="n">
        <v>3</v>
      </c>
      <c r="E38" s="6"/>
      <c r="F38" s="6"/>
      <c r="G38" s="6" t="n">
        <v>3</v>
      </c>
      <c r="H38" s="6" t="n">
        <v>31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33</v>
      </c>
      <c r="B39" s="1" t="n">
        <v>43899</v>
      </c>
      <c r="C39" s="6" t="n">
        <v>43</v>
      </c>
      <c r="D39" s="6" t="n">
        <v>9</v>
      </c>
      <c r="E39" s="6"/>
      <c r="F39" s="6"/>
      <c r="G39" s="6" t="n">
        <v>3</v>
      </c>
      <c r="H39" s="6" t="n">
        <v>40</v>
      </c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33</v>
      </c>
      <c r="B40" s="1" t="n">
        <v>43900</v>
      </c>
      <c r="C40" s="6" t="n">
        <v>47</v>
      </c>
      <c r="D40" s="6" t="n">
        <v>4</v>
      </c>
      <c r="E40" s="6"/>
      <c r="F40" s="6"/>
      <c r="G40" s="6" t="n">
        <v>4</v>
      </c>
      <c r="H40" s="6" t="n">
        <v>43</v>
      </c>
      <c r="I40" s="6"/>
      <c r="J40" s="6"/>
      <c r="K40" s="6"/>
      <c r="L40" s="6"/>
      <c r="M40" s="6"/>
    </row>
    <row r="41" customFormat="false" ht="15.75" hidden="false" customHeight="false" outlineLevel="0" collapsed="false">
      <c r="A41" s="0" t="s">
        <v>33</v>
      </c>
      <c r="B41" s="1" t="n">
        <v>43901</v>
      </c>
      <c r="C41" s="6" t="n">
        <v>62</v>
      </c>
      <c r="D41" s="6" t="n">
        <v>15</v>
      </c>
      <c r="E41" s="6"/>
      <c r="F41" s="6"/>
      <c r="G41" s="6" t="n">
        <v>4</v>
      </c>
      <c r="H41" s="6" t="n">
        <v>58</v>
      </c>
      <c r="I41" s="6"/>
      <c r="J41" s="6"/>
      <c r="K41" s="6"/>
      <c r="L41" s="6"/>
      <c r="M41" s="6"/>
    </row>
    <row r="42" customFormat="false" ht="15.75" hidden="false" customHeight="false" outlineLevel="0" collapsed="false">
      <c r="A42" s="0" t="s">
        <v>33</v>
      </c>
      <c r="B42" s="1" t="n">
        <v>43902</v>
      </c>
      <c r="C42" s="6" t="n">
        <v>62</v>
      </c>
      <c r="D42" s="6" t="n">
        <v>0</v>
      </c>
      <c r="E42" s="6"/>
      <c r="F42" s="6"/>
      <c r="G42" s="6" t="n">
        <v>4</v>
      </c>
      <c r="H42" s="6" t="n">
        <v>58</v>
      </c>
      <c r="I42" s="6"/>
      <c r="J42" s="6"/>
      <c r="K42" s="6"/>
      <c r="L42" s="6"/>
      <c r="M42" s="6"/>
    </row>
    <row r="43" customFormat="false" ht="15.75" hidden="false" customHeight="false" outlineLevel="0" collapsed="false">
      <c r="A43" s="0" t="s">
        <v>33</v>
      </c>
      <c r="B43" s="1" t="n">
        <v>43903</v>
      </c>
      <c r="C43" s="6" t="n">
        <v>74</v>
      </c>
      <c r="D43" s="6" t="n">
        <v>12</v>
      </c>
      <c r="E43" s="6" t="n">
        <v>1</v>
      </c>
      <c r="F43" s="6" t="n">
        <v>1</v>
      </c>
      <c r="G43" s="6" t="n">
        <v>4</v>
      </c>
      <c r="H43" s="6" t="n">
        <v>69</v>
      </c>
      <c r="I43" s="6"/>
      <c r="J43" s="6" t="n">
        <v>0.1</v>
      </c>
      <c r="K43" s="6"/>
      <c r="L43" s="6"/>
      <c r="M43" s="6"/>
    </row>
    <row r="44" customFormat="false" ht="15.75" hidden="false" customHeight="false" outlineLevel="0" collapsed="false">
      <c r="A44" s="0" t="s">
        <v>33</v>
      </c>
      <c r="B44" s="1" t="n">
        <v>43904</v>
      </c>
      <c r="C44" s="6" t="n">
        <v>82</v>
      </c>
      <c r="D44" s="6" t="n">
        <v>8</v>
      </c>
      <c r="E44" s="6" t="n">
        <v>2</v>
      </c>
      <c r="F44" s="6" t="n">
        <v>1</v>
      </c>
      <c r="G44" s="6" t="n">
        <v>10</v>
      </c>
      <c r="H44" s="6" t="n">
        <v>70</v>
      </c>
      <c r="I44" s="6"/>
      <c r="J44" s="6" t="n">
        <v>0.1</v>
      </c>
      <c r="K44" s="6"/>
      <c r="L44" s="6"/>
      <c r="M44" s="6"/>
    </row>
    <row r="45" customFormat="false" ht="15.75" hidden="false" customHeight="false" outlineLevel="0" collapsed="false">
      <c r="A45" s="0" t="s">
        <v>33</v>
      </c>
      <c r="B45" s="1" t="n">
        <v>43905</v>
      </c>
      <c r="C45" s="6" t="n">
        <v>97</v>
      </c>
      <c r="D45" s="6" t="n">
        <v>15</v>
      </c>
      <c r="E45" s="6" t="n">
        <v>2</v>
      </c>
      <c r="F45" s="6" t="n">
        <v>0</v>
      </c>
      <c r="G45" s="6" t="n">
        <v>10</v>
      </c>
      <c r="H45" s="6" t="n">
        <v>85</v>
      </c>
      <c r="I45" s="6"/>
      <c r="J45" s="6" t="n">
        <v>0.1</v>
      </c>
      <c r="K45" s="6"/>
      <c r="L45" s="6"/>
      <c r="M45" s="6"/>
    </row>
    <row r="46" customFormat="false" ht="15.75" hidden="false" customHeight="false" outlineLevel="0" collapsed="false">
      <c r="A46" s="0" t="s">
        <v>33</v>
      </c>
      <c r="B46" s="1" t="n">
        <v>43906</v>
      </c>
      <c r="C46" s="6" t="n">
        <v>112</v>
      </c>
      <c r="D46" s="6" t="n">
        <v>15</v>
      </c>
      <c r="E46" s="6" t="n">
        <v>2</v>
      </c>
      <c r="F46" s="6" t="n">
        <v>0</v>
      </c>
      <c r="G46" s="6" t="n">
        <v>13</v>
      </c>
      <c r="H46" s="6" t="n">
        <v>97</v>
      </c>
      <c r="I46" s="6"/>
      <c r="J46" s="6" t="n">
        <v>0.1</v>
      </c>
      <c r="K46" s="6"/>
      <c r="L46" s="6"/>
      <c r="M46" s="6"/>
    </row>
    <row r="47" customFormat="false" ht="15.75" hidden="false" customHeight="false" outlineLevel="0" collapsed="false">
      <c r="A47" s="0" t="s">
        <v>33</v>
      </c>
      <c r="B47" s="1" t="n">
        <v>43907</v>
      </c>
      <c r="C47" s="6" t="n">
        <v>129</v>
      </c>
      <c r="D47" s="6" t="n">
        <v>17</v>
      </c>
      <c r="E47" s="6" t="n">
        <v>2</v>
      </c>
      <c r="F47" s="6" t="n">
        <v>0</v>
      </c>
      <c r="G47" s="6" t="n">
        <v>13</v>
      </c>
      <c r="H47" s="6" t="n">
        <v>114</v>
      </c>
      <c r="I47" s="6"/>
      <c r="J47" s="6" t="n">
        <v>0.1</v>
      </c>
      <c r="K47" s="6"/>
      <c r="L47" s="6"/>
      <c r="M47" s="6"/>
    </row>
    <row r="48" customFormat="false" ht="15.75" hidden="false" customHeight="false" outlineLevel="0" collapsed="false">
      <c r="A48" s="0" t="s">
        <v>33</v>
      </c>
      <c r="B48" s="1" t="n">
        <v>43908</v>
      </c>
      <c r="C48" s="6" t="n">
        <v>143</v>
      </c>
      <c r="D48" s="6" t="n">
        <v>14</v>
      </c>
      <c r="E48" s="6" t="n">
        <v>3</v>
      </c>
      <c r="F48" s="6" t="n">
        <v>1</v>
      </c>
      <c r="G48" s="6" t="n">
        <v>14</v>
      </c>
      <c r="H48" s="6" t="n">
        <v>126</v>
      </c>
      <c r="I48" s="6"/>
      <c r="J48" s="6" t="n">
        <v>0.1</v>
      </c>
      <c r="K48" s="6"/>
      <c r="L48" s="6"/>
      <c r="M48" s="6"/>
    </row>
    <row r="49" customFormat="false" ht="15.75" hidden="false" customHeight="false" outlineLevel="0" collapsed="false">
      <c r="A49" s="0" t="s">
        <v>33</v>
      </c>
      <c r="B49" s="1" t="n">
        <v>43909</v>
      </c>
      <c r="C49" s="6" t="n">
        <v>169</v>
      </c>
      <c r="D49" s="6" t="n">
        <v>26</v>
      </c>
      <c r="E49" s="6" t="n">
        <v>3</v>
      </c>
      <c r="F49" s="6" t="n">
        <v>0</v>
      </c>
      <c r="G49" s="6" t="n">
        <v>14</v>
      </c>
      <c r="H49" s="6" t="n">
        <v>152</v>
      </c>
      <c r="I49" s="6"/>
      <c r="J49" s="6" t="n">
        <v>0.1</v>
      </c>
      <c r="K49" s="6"/>
      <c r="L49" s="6"/>
      <c r="M49" s="6"/>
    </row>
    <row r="50" customFormat="false" ht="15.75" hidden="false" customHeight="false" outlineLevel="0" collapsed="false">
      <c r="A50" s="0" t="s">
        <v>33</v>
      </c>
      <c r="B50" s="1" t="n">
        <v>43910</v>
      </c>
      <c r="C50" s="6" t="n">
        <v>194</v>
      </c>
      <c r="D50" s="6" t="n">
        <v>25</v>
      </c>
      <c r="E50" s="6" t="n">
        <v>4</v>
      </c>
      <c r="F50" s="6" t="n">
        <v>1</v>
      </c>
      <c r="G50" s="6" t="n">
        <v>20</v>
      </c>
      <c r="H50" s="6" t="n">
        <v>170</v>
      </c>
      <c r="I50" s="6"/>
      <c r="J50" s="6" t="n">
        <v>0.1</v>
      </c>
      <c r="K50" s="6"/>
      <c r="L50" s="6"/>
      <c r="M50" s="6"/>
    </row>
    <row r="51" customFormat="false" ht="15.75" hidden="false" customHeight="false" outlineLevel="0" collapsed="false">
      <c r="A51" s="0" t="s">
        <v>33</v>
      </c>
      <c r="B51" s="1" t="n">
        <v>43911</v>
      </c>
      <c r="C51" s="6" t="n">
        <v>275</v>
      </c>
      <c r="D51" s="6" t="n">
        <v>81</v>
      </c>
      <c r="E51" s="6" t="n">
        <v>5</v>
      </c>
      <c r="F51" s="6" t="n">
        <v>1</v>
      </c>
      <c r="G51" s="6" t="n">
        <v>23</v>
      </c>
      <c r="H51" s="6" t="n">
        <v>247</v>
      </c>
      <c r="I51" s="6"/>
      <c r="J51" s="6" t="n">
        <v>0.2</v>
      </c>
      <c r="K51" s="6"/>
      <c r="L51" s="6"/>
      <c r="M51" s="6"/>
    </row>
    <row r="52" customFormat="false" ht="15.75" hidden="false" customHeight="false" outlineLevel="0" collapsed="false">
      <c r="A52" s="0" t="s">
        <v>33</v>
      </c>
      <c r="B52" s="1" t="n">
        <v>43912</v>
      </c>
      <c r="C52" s="6" t="n">
        <v>332</v>
      </c>
      <c r="D52" s="6" t="n">
        <v>57</v>
      </c>
      <c r="E52" s="6" t="n">
        <v>5</v>
      </c>
      <c r="F52" s="6" t="n">
        <v>0</v>
      </c>
      <c r="G52" s="6" t="n">
        <v>23</v>
      </c>
      <c r="H52" s="6" t="n">
        <v>304</v>
      </c>
      <c r="I52" s="6"/>
      <c r="J52" s="6" t="n">
        <v>0.2</v>
      </c>
      <c r="K52" s="6"/>
      <c r="L52" s="6"/>
      <c r="M52" s="6"/>
    </row>
    <row r="53" customFormat="false" ht="15.75" hidden="false" customHeight="false" outlineLevel="0" collapsed="false">
      <c r="A53" s="0" t="s">
        <v>33</v>
      </c>
      <c r="B53" s="1" t="n">
        <v>43913</v>
      </c>
      <c r="C53" s="6" t="n">
        <v>396</v>
      </c>
      <c r="D53" s="6" t="n">
        <v>64</v>
      </c>
      <c r="E53" s="6" t="n">
        <v>7</v>
      </c>
      <c r="F53" s="6" t="n">
        <v>2</v>
      </c>
      <c r="G53" s="6" t="n">
        <v>24</v>
      </c>
      <c r="H53" s="6" t="n">
        <v>365</v>
      </c>
      <c r="I53" s="6"/>
      <c r="J53" s="6" t="n">
        <v>0.3</v>
      </c>
      <c r="K53" s="6"/>
      <c r="L53" s="6"/>
      <c r="M53" s="6"/>
    </row>
    <row r="54" customFormat="false" ht="15.75" hidden="false" customHeight="false" outlineLevel="0" collapsed="false">
      <c r="A54" s="0" t="s">
        <v>33</v>
      </c>
      <c r="B54" s="1" t="n">
        <v>43914</v>
      </c>
      <c r="C54" s="6" t="n">
        <v>499</v>
      </c>
      <c r="D54" s="6" t="n">
        <v>103</v>
      </c>
      <c r="E54" s="6" t="n">
        <v>10</v>
      </c>
      <c r="F54" s="6" t="n">
        <v>3</v>
      </c>
      <c r="G54" s="6" t="n">
        <v>34</v>
      </c>
      <c r="H54" s="6" t="n">
        <v>455</v>
      </c>
      <c r="I54" s="6"/>
      <c r="J54" s="6" t="n">
        <v>0.4</v>
      </c>
      <c r="K54" s="6"/>
      <c r="L54" s="6"/>
      <c r="M54" s="6"/>
    </row>
    <row r="55" customFormat="false" ht="15.75" hidden="false" customHeight="false" outlineLevel="0" collapsed="false">
      <c r="A55" s="0" t="s">
        <v>33</v>
      </c>
      <c r="B55" s="1" t="n">
        <v>43915</v>
      </c>
      <c r="C55" s="7" t="n">
        <v>536</v>
      </c>
      <c r="D55" s="7" t="n">
        <v>37</v>
      </c>
      <c r="E55" s="7" t="n">
        <v>10</v>
      </c>
      <c r="F55" s="7" t="n">
        <v>0</v>
      </c>
      <c r="G55" s="7" t="n">
        <v>40</v>
      </c>
      <c r="H55" s="7" t="n">
        <v>486</v>
      </c>
      <c r="I55" s="7"/>
      <c r="J55" s="10" t="n">
        <v>0.4</v>
      </c>
      <c r="K55" s="21" t="n">
        <v>0.01</v>
      </c>
      <c r="L55" s="7"/>
      <c r="M55" s="7"/>
    </row>
    <row r="56" customFormat="false" ht="15.75" hidden="false" customHeight="false" outlineLevel="0" collapsed="false">
      <c r="A56" s="0" t="s">
        <v>33</v>
      </c>
      <c r="B56" s="1" t="n">
        <v>43916</v>
      </c>
      <c r="C56" s="7" t="n">
        <v>657</v>
      </c>
      <c r="D56" s="7" t="n">
        <v>121</v>
      </c>
      <c r="E56" s="7" t="n">
        <v>12</v>
      </c>
      <c r="F56" s="7" t="n">
        <v>2</v>
      </c>
      <c r="G56" s="7" t="n">
        <v>43</v>
      </c>
      <c r="H56" s="7" t="n">
        <v>602</v>
      </c>
      <c r="I56" s="7"/>
      <c r="J56" s="10" t="n">
        <v>0.5</v>
      </c>
      <c r="K56" s="21" t="n">
        <v>0.01</v>
      </c>
      <c r="L56" s="7"/>
      <c r="M56" s="7"/>
    </row>
    <row r="57" customFormat="false" ht="15.75" hidden="false" customHeight="false" outlineLevel="0" collapsed="false">
      <c r="A57" s="0" t="s">
        <v>33</v>
      </c>
      <c r="B57" s="1" t="n">
        <v>43917</v>
      </c>
      <c r="C57" s="7" t="n">
        <v>722</v>
      </c>
      <c r="D57" s="7" t="n">
        <v>65</v>
      </c>
      <c r="E57" s="7" t="n">
        <v>16</v>
      </c>
      <c r="F57" s="7" t="n">
        <v>4</v>
      </c>
      <c r="G57" s="7" t="n">
        <v>45</v>
      </c>
      <c r="H57" s="7" t="n">
        <v>661</v>
      </c>
      <c r="I57" s="7"/>
      <c r="J57" s="10" t="n">
        <v>0.5</v>
      </c>
      <c r="K57" s="21" t="n">
        <v>0.01</v>
      </c>
      <c r="L57" s="7"/>
      <c r="M57" s="7"/>
    </row>
    <row r="58" customFormat="false" ht="15.75" hidden="false" customHeight="false" outlineLevel="0" collapsed="false">
      <c r="A58" s="0" t="s">
        <v>33</v>
      </c>
      <c r="B58" s="1" t="n">
        <v>43918</v>
      </c>
      <c r="C58" s="7" t="n">
        <v>887</v>
      </c>
      <c r="D58" s="7" t="n">
        <v>165</v>
      </c>
      <c r="E58" s="7" t="n">
        <v>20</v>
      </c>
      <c r="F58" s="7" t="n">
        <v>4</v>
      </c>
      <c r="G58" s="7" t="n">
        <v>73</v>
      </c>
      <c r="H58" s="7" t="n">
        <v>794</v>
      </c>
      <c r="I58" s="7"/>
      <c r="J58" s="10" t="n">
        <v>0.6</v>
      </c>
      <c r="K58" s="21" t="n">
        <v>0.01</v>
      </c>
      <c r="L58" s="7"/>
      <c r="M58" s="7"/>
    </row>
    <row r="59" customFormat="false" ht="15.75" hidden="false" customHeight="false" outlineLevel="0" collapsed="false">
      <c r="A59" s="0" t="s">
        <v>33</v>
      </c>
      <c r="B59" s="1" t="n">
        <v>43919</v>
      </c>
      <c r="C59" s="7" t="n">
        <v>987</v>
      </c>
      <c r="D59" s="7" t="n">
        <v>100</v>
      </c>
      <c r="E59" s="7" t="n">
        <v>24</v>
      </c>
      <c r="F59" s="7" t="n">
        <v>4</v>
      </c>
      <c r="G59" s="7" t="n">
        <v>84</v>
      </c>
      <c r="H59" s="7" t="n">
        <v>879</v>
      </c>
      <c r="I59" s="7"/>
      <c r="J59" s="10" t="n">
        <v>0.7</v>
      </c>
      <c r="K59" s="21" t="n">
        <v>0.02</v>
      </c>
      <c r="L59" s="7"/>
      <c r="M59" s="7"/>
    </row>
    <row r="60" customFormat="false" ht="15.75" hidden="false" customHeight="false" outlineLevel="0" collapsed="false">
      <c r="A60" s="0" t="s">
        <v>33</v>
      </c>
      <c r="B60" s="1" t="n">
        <v>43920</v>
      </c>
      <c r="C60" s="7" t="n">
        <v>1024</v>
      </c>
      <c r="D60" s="7" t="n">
        <v>37</v>
      </c>
      <c r="E60" s="7" t="n">
        <v>27</v>
      </c>
      <c r="F60" s="7" t="n">
        <v>3</v>
      </c>
      <c r="G60" s="7" t="n">
        <v>95</v>
      </c>
      <c r="H60" s="7" t="n">
        <v>902</v>
      </c>
      <c r="I60" s="7"/>
      <c r="J60" s="10" t="n">
        <v>0.7</v>
      </c>
      <c r="K60" s="21" t="n">
        <v>0.02</v>
      </c>
      <c r="L60" s="7"/>
      <c r="M60" s="7"/>
    </row>
    <row r="61" customFormat="false" ht="15.75" hidden="false" customHeight="false" outlineLevel="0" collapsed="false">
      <c r="A61" s="0" t="s">
        <v>33</v>
      </c>
      <c r="B61" s="1" t="n">
        <v>43921</v>
      </c>
      <c r="C61" s="7" t="n">
        <v>1251</v>
      </c>
      <c r="D61" s="7" t="n">
        <v>227</v>
      </c>
      <c r="E61" s="7" t="n">
        <v>32</v>
      </c>
      <c r="F61" s="7" t="n">
        <v>5</v>
      </c>
      <c r="G61" s="7" t="n">
        <v>102</v>
      </c>
      <c r="H61" s="7" t="n">
        <v>1117</v>
      </c>
      <c r="I61" s="7"/>
      <c r="J61" s="10" t="n">
        <v>0.9</v>
      </c>
      <c r="K61" s="21" t="n">
        <v>0.02</v>
      </c>
      <c r="L61" s="7"/>
      <c r="M61" s="7"/>
    </row>
    <row r="62" customFormat="false" ht="15.75" hidden="false" customHeight="false" outlineLevel="0" collapsed="false">
      <c r="A62" s="0" t="s">
        <v>33</v>
      </c>
      <c r="B62" s="1" t="n">
        <v>43922</v>
      </c>
      <c r="C62" s="7" t="n">
        <v>1397</v>
      </c>
      <c r="D62" s="7" t="n">
        <v>146</v>
      </c>
      <c r="E62" s="7" t="n">
        <v>35</v>
      </c>
      <c r="F62" s="7" t="n">
        <v>3</v>
      </c>
      <c r="G62" s="7" t="n">
        <v>123</v>
      </c>
      <c r="H62" s="7" t="n">
        <v>1239</v>
      </c>
      <c r="I62" s="7"/>
      <c r="J62" s="7" t="n">
        <v>1</v>
      </c>
      <c r="K62" s="21" t="n">
        <v>0.03</v>
      </c>
      <c r="L62" s="7"/>
      <c r="M62" s="7"/>
    </row>
    <row r="63" customFormat="false" ht="15.75" hidden="false" customHeight="false" outlineLevel="0" collapsed="false">
      <c r="A63" s="0" t="s">
        <v>33</v>
      </c>
      <c r="B63" s="1" t="n">
        <v>43923</v>
      </c>
      <c r="C63" s="7" t="n">
        <v>1998</v>
      </c>
      <c r="D63" s="7" t="n">
        <v>601</v>
      </c>
      <c r="E63" s="7" t="n">
        <v>58</v>
      </c>
      <c r="F63" s="7" t="n">
        <v>23</v>
      </c>
      <c r="G63" s="7" t="n">
        <v>148</v>
      </c>
      <c r="H63" s="7" t="n">
        <v>1792</v>
      </c>
      <c r="J63" s="7" t="n">
        <v>1</v>
      </c>
      <c r="K63" s="21" t="n">
        <v>0.04</v>
      </c>
      <c r="L63" s="7"/>
      <c r="M63" s="7"/>
    </row>
    <row r="64" customFormat="false" ht="15.75" hidden="false" customHeight="false" outlineLevel="0" collapsed="false">
      <c r="A64" s="0" t="s">
        <v>33</v>
      </c>
      <c r="B64" s="1" t="n">
        <v>43924</v>
      </c>
      <c r="C64" s="7" t="n">
        <v>2543</v>
      </c>
      <c r="D64" s="7" t="n">
        <v>545</v>
      </c>
      <c r="E64" s="7" t="n">
        <v>72</v>
      </c>
      <c r="F64" s="7" t="n">
        <v>14</v>
      </c>
      <c r="G64" s="7" t="n">
        <v>191</v>
      </c>
      <c r="H64" s="7" t="n">
        <v>2280</v>
      </c>
      <c r="J64" s="7" t="n">
        <v>2</v>
      </c>
      <c r="K64" s="21" t="n">
        <v>0.05</v>
      </c>
      <c r="L64" s="7"/>
      <c r="M64" s="7"/>
    </row>
    <row r="65" customFormat="false" ht="15.75" hidden="false" customHeight="false" outlineLevel="0" collapsed="false">
      <c r="A65" s="0" t="s">
        <v>33</v>
      </c>
      <c r="B65" s="1" t="n">
        <v>43925</v>
      </c>
      <c r="C65" s="7" t="n">
        <v>2567</v>
      </c>
      <c r="D65" s="7" t="n">
        <v>24</v>
      </c>
      <c r="E65" s="7" t="n">
        <v>72</v>
      </c>
      <c r="F65" s="7" t="n">
        <v>0</v>
      </c>
      <c r="G65" s="7" t="n">
        <v>192</v>
      </c>
      <c r="H65" s="7" t="n">
        <v>2303</v>
      </c>
      <c r="J65" s="7" t="n">
        <v>2</v>
      </c>
      <c r="K65" s="21" t="n">
        <v>0.05</v>
      </c>
      <c r="L65" s="7"/>
      <c r="M65" s="7"/>
    </row>
    <row r="66" customFormat="false" ht="15.75" hidden="false" customHeight="false" outlineLevel="0" collapsed="false">
      <c r="A66" s="0" t="s">
        <v>33</v>
      </c>
      <c r="B66" s="1" t="n">
        <v>43926</v>
      </c>
      <c r="C66" s="7" t="n">
        <v>3082</v>
      </c>
      <c r="D66" s="7" t="n">
        <v>515</v>
      </c>
      <c r="E66" s="7" t="n">
        <v>86</v>
      </c>
      <c r="F66" s="7" t="n">
        <v>14</v>
      </c>
      <c r="G66" s="7" t="n">
        <v>229</v>
      </c>
      <c r="H66" s="7" t="n">
        <v>2767</v>
      </c>
      <c r="J66" s="7" t="n">
        <v>2</v>
      </c>
      <c r="K66" s="21" t="n">
        <v>0.06</v>
      </c>
      <c r="L66" s="7" t="n">
        <v>116608</v>
      </c>
      <c r="M66" s="7" t="n">
        <v>84</v>
      </c>
    </row>
    <row r="67" customFormat="false" ht="15.75" hidden="false" customHeight="false" outlineLevel="0" collapsed="false">
      <c r="A67" s="0" t="s">
        <v>33</v>
      </c>
      <c r="B67" s="1" t="n">
        <v>43927</v>
      </c>
      <c r="C67" s="7" t="n">
        <v>3588</v>
      </c>
      <c r="D67" s="7" t="n">
        <v>506</v>
      </c>
      <c r="E67" s="7" t="n">
        <v>99</v>
      </c>
      <c r="F67" s="7" t="n">
        <v>13</v>
      </c>
      <c r="G67" s="7" t="n">
        <v>229</v>
      </c>
      <c r="H67" s="7" t="n">
        <v>3260</v>
      </c>
      <c r="J67" s="7" t="n">
        <v>3</v>
      </c>
      <c r="K67" s="21" t="n">
        <v>0.07</v>
      </c>
      <c r="L67" s="7" t="n">
        <v>128320</v>
      </c>
      <c r="M67" s="7" t="n">
        <v>93</v>
      </c>
    </row>
    <row r="68" customFormat="false" ht="15.75" hidden="false" customHeight="false" outlineLevel="0" collapsed="false">
      <c r="A68" s="0" t="s">
        <v>33</v>
      </c>
      <c r="B68" s="1" t="n">
        <v>43928</v>
      </c>
      <c r="C68" s="12" t="n">
        <v>4778</v>
      </c>
      <c r="D68" s="12" t="n">
        <v>1190</v>
      </c>
      <c r="E68" s="12" t="n">
        <v>136</v>
      </c>
      <c r="F68" s="12" t="n">
        <v>37</v>
      </c>
      <c r="G68" s="12" t="n">
        <v>375</v>
      </c>
      <c r="H68" s="12" t="n">
        <v>4267</v>
      </c>
      <c r="J68" s="12" t="n">
        <v>3</v>
      </c>
      <c r="K68" s="24" t="n">
        <v>0.1</v>
      </c>
      <c r="L68" s="12" t="n">
        <v>140293</v>
      </c>
      <c r="M68" s="12" t="n">
        <v>102</v>
      </c>
    </row>
    <row r="69" customFormat="false" ht="15.75" hidden="false" customHeight="false" outlineLevel="0" collapsed="false">
      <c r="A69" s="0" t="s">
        <v>33</v>
      </c>
      <c r="B69" s="1" t="n">
        <v>43929</v>
      </c>
      <c r="C69" s="14" t="n">
        <v>5311</v>
      </c>
      <c r="D69" s="14" t="n">
        <v>533</v>
      </c>
      <c r="E69" s="14" t="n">
        <v>150</v>
      </c>
      <c r="F69" s="14" t="n">
        <v>14</v>
      </c>
      <c r="G69" s="14" t="n">
        <v>421</v>
      </c>
      <c r="H69" s="14" t="n">
        <v>4740</v>
      </c>
      <c r="J69" s="14" t="n">
        <v>4</v>
      </c>
      <c r="K69" s="14" t="n">
        <v>0.1</v>
      </c>
      <c r="L69" s="14" t="n">
        <v>140293</v>
      </c>
      <c r="M69" s="14" t="n">
        <v>102</v>
      </c>
    </row>
    <row r="70" customFormat="false" ht="15.75" hidden="false" customHeight="false" outlineLevel="0" collapsed="false">
      <c r="A70" s="0" t="s">
        <v>33</v>
      </c>
      <c r="B70" s="1" t="n">
        <v>43930</v>
      </c>
      <c r="C70" s="14" t="n">
        <v>5916</v>
      </c>
      <c r="D70" s="14" t="n">
        <v>605</v>
      </c>
      <c r="E70" s="14" t="n">
        <v>178</v>
      </c>
      <c r="F70" s="14" t="n">
        <v>28</v>
      </c>
      <c r="G70" s="14" t="n">
        <v>506</v>
      </c>
      <c r="H70" s="14" t="n">
        <v>5232</v>
      </c>
      <c r="J70" s="14" t="n">
        <v>4</v>
      </c>
      <c r="K70" s="14" t="n">
        <v>0.1</v>
      </c>
      <c r="L70" s="14" t="n">
        <v>167235</v>
      </c>
      <c r="M70" s="14" t="n">
        <v>121</v>
      </c>
    </row>
    <row r="71" customFormat="false" ht="15.75" hidden="false" customHeight="false" outlineLevel="0" collapsed="false">
      <c r="A71" s="0" t="s">
        <v>33</v>
      </c>
      <c r="B71" s="1" t="n">
        <v>43931</v>
      </c>
      <c r="C71" s="14" t="n">
        <v>6725</v>
      </c>
      <c r="D71" s="14" t="n">
        <v>809</v>
      </c>
      <c r="E71" s="14" t="n">
        <v>226</v>
      </c>
      <c r="F71" s="14" t="n">
        <v>48</v>
      </c>
      <c r="G71" s="14" t="n">
        <v>620</v>
      </c>
      <c r="H71" s="14" t="n">
        <v>5879</v>
      </c>
      <c r="J71" s="14" t="n">
        <v>5</v>
      </c>
      <c r="K71" s="14" t="n">
        <v>0.2</v>
      </c>
      <c r="L71" s="14" t="n">
        <v>177584</v>
      </c>
      <c r="M71" s="14" t="n">
        <v>129</v>
      </c>
    </row>
    <row r="72" customFormat="false" ht="15.75" hidden="false" customHeight="false" outlineLevel="0" collapsed="false">
      <c r="A72" s="0" t="s">
        <v>33</v>
      </c>
      <c r="B72" s="1" t="n">
        <v>43932</v>
      </c>
      <c r="C72" s="14" t="n">
        <v>7598</v>
      </c>
      <c r="D72" s="14" t="n">
        <v>873</v>
      </c>
      <c r="E72" s="14" t="n">
        <v>246</v>
      </c>
      <c r="F72" s="14" t="n">
        <v>20</v>
      </c>
      <c r="G72" s="14" t="n">
        <v>774</v>
      </c>
      <c r="H72" s="14" t="n">
        <v>6578</v>
      </c>
      <c r="J72" s="14" t="n">
        <v>6</v>
      </c>
      <c r="K72" s="14" t="n">
        <v>0.2</v>
      </c>
      <c r="L72" s="14" t="n">
        <v>189111</v>
      </c>
      <c r="M72" s="14" t="n">
        <v>137</v>
      </c>
    </row>
    <row r="73" customFormat="false" ht="15.75" hidden="false" customHeight="false" outlineLevel="0" collapsed="false">
      <c r="A73" s="0" t="s">
        <v>33</v>
      </c>
      <c r="B73" s="1" t="n">
        <v>43933</v>
      </c>
      <c r="C73" s="14" t="n">
        <v>8446</v>
      </c>
      <c r="D73" s="14" t="n">
        <v>848</v>
      </c>
      <c r="E73" s="14" t="n">
        <v>288</v>
      </c>
      <c r="F73" s="14" t="n">
        <v>42</v>
      </c>
      <c r="G73" s="14" t="n">
        <v>969</v>
      </c>
      <c r="H73" s="14" t="n">
        <v>7189</v>
      </c>
      <c r="J73" s="14" t="n">
        <v>6</v>
      </c>
      <c r="K73" s="14" t="n">
        <v>0.2</v>
      </c>
      <c r="L73" s="14" t="n">
        <v>189111</v>
      </c>
      <c r="M73" s="14" t="n">
        <v>137</v>
      </c>
    </row>
    <row r="74" customFormat="false" ht="15.75" hidden="false" customHeight="false" outlineLevel="0" collapsed="false">
      <c r="A74" s="0" t="s">
        <v>33</v>
      </c>
      <c r="B74" s="1" t="n">
        <v>43934</v>
      </c>
      <c r="C74" s="14" t="n">
        <v>9205</v>
      </c>
      <c r="D74" s="14" t="n">
        <v>759</v>
      </c>
      <c r="E74" s="14" t="n">
        <v>331</v>
      </c>
      <c r="F74" s="14" t="n">
        <v>43</v>
      </c>
      <c r="G74" s="14" t="n">
        <v>1080</v>
      </c>
      <c r="H74" s="14" t="n">
        <v>7794</v>
      </c>
      <c r="J74" s="14" t="n">
        <v>7</v>
      </c>
      <c r="K74" s="14" t="n">
        <v>0.2</v>
      </c>
      <c r="L74" s="14" t="n">
        <v>189111</v>
      </c>
      <c r="M74" s="14" t="n">
        <v>137</v>
      </c>
    </row>
    <row r="75" customFormat="false" ht="15.75" hidden="false" customHeight="false" outlineLevel="0" collapsed="false">
      <c r="A75" s="0" t="s">
        <v>33</v>
      </c>
      <c r="B75" s="1" t="n">
        <v>43935</v>
      </c>
      <c r="C75" s="14" t="n">
        <v>10453</v>
      </c>
      <c r="D75" s="14" t="n">
        <v>1248</v>
      </c>
      <c r="E75" s="14" t="n">
        <v>358</v>
      </c>
      <c r="F75" s="14" t="n">
        <v>27</v>
      </c>
      <c r="G75" s="14" t="n">
        <v>1181</v>
      </c>
      <c r="H75" s="14" t="n">
        <v>8914</v>
      </c>
      <c r="J75" s="14" t="n">
        <v>8</v>
      </c>
      <c r="K75" s="14" t="n">
        <v>0.3</v>
      </c>
      <c r="L75" s="14" t="n">
        <v>189111</v>
      </c>
      <c r="M75" s="14" t="n">
        <v>137</v>
      </c>
    </row>
    <row r="76" customFormat="false" ht="15.75" hidden="false" customHeight="false" outlineLevel="0" collapsed="false">
      <c r="A76" s="0" t="s">
        <v>33</v>
      </c>
      <c r="B76" s="1" t="n">
        <v>43936</v>
      </c>
      <c r="C76" s="14" t="n">
        <v>11487</v>
      </c>
      <c r="D76" s="14" t="n">
        <v>1034</v>
      </c>
      <c r="E76" s="14" t="n">
        <v>393</v>
      </c>
      <c r="F76" s="14" t="n">
        <v>35</v>
      </c>
      <c r="G76" s="14" t="n">
        <v>1359</v>
      </c>
      <c r="H76" s="14" t="n">
        <v>9735</v>
      </c>
      <c r="J76" s="14" t="n">
        <v>8</v>
      </c>
      <c r="K76" s="14" t="n">
        <v>0.3</v>
      </c>
      <c r="L76" s="14" t="n">
        <v>244893</v>
      </c>
      <c r="M76" s="14" t="n">
        <v>177</v>
      </c>
    </row>
    <row r="77" customFormat="false" ht="15.75" hidden="false" customHeight="false" outlineLevel="0" collapsed="false">
      <c r="A77" s="0" t="s">
        <v>33</v>
      </c>
      <c r="B77" s="1" t="n">
        <v>43937</v>
      </c>
      <c r="C77" s="14" t="n">
        <v>12322</v>
      </c>
      <c r="D77" s="14" t="n">
        <v>835</v>
      </c>
      <c r="E77" s="14" t="n">
        <v>405</v>
      </c>
      <c r="F77" s="14" t="n">
        <v>12</v>
      </c>
      <c r="G77" s="14" t="n">
        <v>1432</v>
      </c>
      <c r="H77" s="14" t="n">
        <v>10485</v>
      </c>
      <c r="J77" s="14" t="n">
        <v>9</v>
      </c>
      <c r="K77" s="14" t="n">
        <v>0.3</v>
      </c>
      <c r="L77" s="14" t="n">
        <v>244893</v>
      </c>
      <c r="M77" s="14" t="n">
        <v>177</v>
      </c>
    </row>
    <row r="78" customFormat="false" ht="15.75" hidden="false" customHeight="false" outlineLevel="0" collapsed="false">
      <c r="A78" s="0" t="s">
        <v>33</v>
      </c>
      <c r="B78" s="1" t="n">
        <v>43938</v>
      </c>
      <c r="C78" s="14" t="n">
        <v>13430</v>
      </c>
      <c r="D78" s="14" t="n">
        <v>1108</v>
      </c>
      <c r="E78" s="14" t="n">
        <v>448</v>
      </c>
      <c r="F78" s="14" t="n">
        <v>43</v>
      </c>
      <c r="G78" s="14" t="n">
        <v>1768</v>
      </c>
      <c r="H78" s="14" t="n">
        <v>11214</v>
      </c>
      <c r="J78" s="14" t="n">
        <v>10</v>
      </c>
      <c r="K78" s="14" t="n">
        <v>0.3</v>
      </c>
      <c r="L78" s="14" t="n">
        <v>302956</v>
      </c>
      <c r="M78" s="14" t="n">
        <v>220</v>
      </c>
    </row>
    <row r="79" customFormat="false" ht="15.75" hidden="false" customHeight="false" outlineLevel="0" collapsed="false">
      <c r="A79" s="0" t="s">
        <v>33</v>
      </c>
      <c r="B79" s="1" t="n">
        <v>43939</v>
      </c>
      <c r="C79" s="14" t="n">
        <v>14352</v>
      </c>
      <c r="D79" s="14" t="n">
        <v>922</v>
      </c>
      <c r="E79" s="14" t="n">
        <v>486</v>
      </c>
      <c r="F79" s="14" t="n">
        <v>38</v>
      </c>
      <c r="G79" s="14" t="n">
        <v>2041</v>
      </c>
      <c r="H79" s="14" t="n">
        <v>11825</v>
      </c>
      <c r="J79" s="14" t="n">
        <v>10</v>
      </c>
      <c r="K79" s="14" t="n">
        <v>0.4</v>
      </c>
      <c r="L79" s="14" t="n">
        <v>335123</v>
      </c>
      <c r="M79" s="14" t="n">
        <v>243</v>
      </c>
    </row>
    <row r="80" customFormat="false" ht="15.75" hidden="false" customHeight="false" outlineLevel="0" collapsed="false">
      <c r="A80" s="0" t="s">
        <v>33</v>
      </c>
      <c r="B80" s="1" t="n">
        <v>43940</v>
      </c>
      <c r="C80" s="14" t="n">
        <v>15722</v>
      </c>
      <c r="D80" s="14" t="n">
        <v>1370</v>
      </c>
      <c r="E80" s="14" t="n">
        <v>521</v>
      </c>
      <c r="F80" s="14" t="n">
        <v>35</v>
      </c>
      <c r="G80" s="14" t="n">
        <v>2463</v>
      </c>
      <c r="H80" s="14" t="n">
        <v>12738</v>
      </c>
      <c r="J80" s="14" t="n">
        <v>11</v>
      </c>
      <c r="K80" s="14" t="n">
        <v>0.4</v>
      </c>
      <c r="L80" s="14" t="n">
        <v>335123</v>
      </c>
      <c r="M80" s="14" t="n">
        <v>243</v>
      </c>
    </row>
    <row r="81" customFormat="false" ht="15.75" hidden="false" customHeight="false" outlineLevel="0" collapsed="false">
      <c r="A81" s="0" t="s">
        <v>33</v>
      </c>
      <c r="B81" s="1" t="n">
        <v>43941</v>
      </c>
      <c r="C81" s="14" t="n">
        <v>17615</v>
      </c>
      <c r="D81" s="14" t="n">
        <v>1893</v>
      </c>
      <c r="E81" s="14" t="n">
        <v>559</v>
      </c>
      <c r="F81" s="14" t="n">
        <v>38</v>
      </c>
      <c r="G81" s="14" t="n">
        <v>2854</v>
      </c>
      <c r="H81" s="14" t="n">
        <v>14202</v>
      </c>
      <c r="J81" s="14" t="n">
        <v>13</v>
      </c>
      <c r="K81" s="14" t="n">
        <v>0.4</v>
      </c>
      <c r="L81" s="14" t="n">
        <v>401586</v>
      </c>
      <c r="M81" s="14" t="n">
        <v>291</v>
      </c>
    </row>
    <row r="82" customFormat="false" ht="15.75" hidden="false" customHeight="false" outlineLevel="0" collapsed="false">
      <c r="A82" s="0" t="s">
        <v>33</v>
      </c>
      <c r="B82" s="1" t="n">
        <v>43942</v>
      </c>
      <c r="C82" s="6" t="n">
        <v>18539</v>
      </c>
      <c r="D82" s="6" t="n">
        <v>924</v>
      </c>
      <c r="E82" s="6" t="n">
        <v>592</v>
      </c>
      <c r="F82" s="6" t="n">
        <v>33</v>
      </c>
      <c r="G82" s="6" t="n">
        <v>3273</v>
      </c>
      <c r="H82" s="6" t="n">
        <v>14674</v>
      </c>
      <c r="J82" s="6" t="n">
        <v>13</v>
      </c>
      <c r="K82" s="6" t="n">
        <v>0.4</v>
      </c>
      <c r="L82" s="6" t="n">
        <v>401586</v>
      </c>
      <c r="M82" s="6" t="n">
        <v>291</v>
      </c>
    </row>
    <row r="83" customFormat="false" ht="15.75" hidden="false" customHeight="false" outlineLevel="0" collapsed="false">
      <c r="A83" s="0" t="s">
        <v>33</v>
      </c>
      <c r="B83" s="1" t="n">
        <v>43943</v>
      </c>
      <c r="C83" s="6" t="n">
        <v>20080</v>
      </c>
      <c r="D83" s="6" t="n">
        <v>1541</v>
      </c>
      <c r="E83" s="6" t="n">
        <v>645</v>
      </c>
      <c r="F83" s="6" t="n">
        <v>53</v>
      </c>
      <c r="G83" s="6" t="n">
        <v>3975</v>
      </c>
      <c r="H83" s="6" t="n">
        <v>15460</v>
      </c>
      <c r="J83" s="6" t="n">
        <v>15</v>
      </c>
      <c r="K83" s="6" t="n">
        <v>0.5</v>
      </c>
      <c r="L83" s="6" t="n">
        <v>447812</v>
      </c>
      <c r="M83" s="6" t="n">
        <v>325</v>
      </c>
    </row>
    <row r="84" customFormat="false" ht="15.75" hidden="false" customHeight="false" outlineLevel="0" collapsed="false">
      <c r="A84" s="0" t="s">
        <v>33</v>
      </c>
      <c r="B84" s="1" t="n">
        <v>43944</v>
      </c>
      <c r="C84" s="6" t="n">
        <v>21370</v>
      </c>
      <c r="D84" s="6" t="n">
        <v>1290</v>
      </c>
      <c r="E84" s="6" t="n">
        <v>681</v>
      </c>
      <c r="F84" s="6" t="n">
        <v>36</v>
      </c>
      <c r="G84" s="6" t="n">
        <v>4370</v>
      </c>
      <c r="H84" s="6" t="n">
        <v>16319</v>
      </c>
      <c r="J84" s="6" t="n">
        <v>15</v>
      </c>
      <c r="K84" s="6" t="n">
        <v>0.5</v>
      </c>
      <c r="L84" s="6" t="n">
        <v>462621</v>
      </c>
      <c r="M84" s="6" t="n">
        <v>335</v>
      </c>
    </row>
    <row r="85" customFormat="false" ht="15.75" hidden="false" customHeight="false" outlineLevel="0" collapsed="false">
      <c r="A85" s="0" t="s">
        <v>33</v>
      </c>
      <c r="B85" s="1" t="n">
        <v>43945</v>
      </c>
      <c r="C85" s="6" t="n">
        <v>23039</v>
      </c>
      <c r="D85" s="6" t="n">
        <v>1669</v>
      </c>
      <c r="E85" s="6" t="n">
        <v>721</v>
      </c>
      <c r="F85" s="6" t="n">
        <v>40</v>
      </c>
      <c r="G85" s="6" t="n">
        <v>5012</v>
      </c>
      <c r="H85" s="6" t="n">
        <v>17306</v>
      </c>
      <c r="J85" s="6" t="n">
        <v>17</v>
      </c>
      <c r="K85" s="6" t="n">
        <v>0.5</v>
      </c>
      <c r="L85" s="6" t="n">
        <v>500542</v>
      </c>
      <c r="M85" s="6" t="n">
        <v>363</v>
      </c>
    </row>
    <row r="86" customFormat="false" ht="15.75" hidden="false" customHeight="false" outlineLevel="0" collapsed="false">
      <c r="A86" s="0" t="s">
        <v>33</v>
      </c>
      <c r="B86" s="1" t="n">
        <v>43946</v>
      </c>
      <c r="C86" s="6" t="n">
        <v>24447</v>
      </c>
      <c r="D86" s="6" t="n">
        <v>1408</v>
      </c>
      <c r="E86" s="6" t="n">
        <v>780</v>
      </c>
      <c r="F86" s="6" t="n">
        <v>59</v>
      </c>
      <c r="G86" s="6" t="n">
        <v>5496</v>
      </c>
      <c r="H86" s="6" t="n">
        <v>18171</v>
      </c>
      <c r="J86" s="6" t="n">
        <v>18</v>
      </c>
      <c r="K86" s="6" t="n">
        <v>0.6</v>
      </c>
      <c r="L86" s="6" t="n">
        <v>541789</v>
      </c>
      <c r="M86" s="6" t="n">
        <v>393</v>
      </c>
    </row>
    <row r="87" customFormat="false" ht="15.75" hidden="false" customHeight="false" outlineLevel="0" collapsed="false">
      <c r="A87" s="0" t="s">
        <v>33</v>
      </c>
      <c r="B87" s="1" t="n">
        <v>43947</v>
      </c>
      <c r="C87" s="6" t="n">
        <v>26283</v>
      </c>
      <c r="D87" s="6" t="n">
        <v>1836</v>
      </c>
      <c r="E87" s="6" t="n">
        <v>825</v>
      </c>
      <c r="F87" s="6" t="n">
        <v>45</v>
      </c>
      <c r="G87" s="6" t="n">
        <v>5939</v>
      </c>
      <c r="H87" s="6" t="n">
        <v>19519</v>
      </c>
      <c r="J87" s="6" t="n">
        <v>19</v>
      </c>
      <c r="K87" s="6" t="n">
        <v>0.6</v>
      </c>
      <c r="L87" s="6" t="n">
        <v>579957</v>
      </c>
      <c r="M87" s="6" t="n">
        <v>420</v>
      </c>
    </row>
    <row r="88" customFormat="false" ht="15.75" hidden="false" customHeight="false" outlineLevel="0" collapsed="false">
      <c r="A88" s="0" t="s">
        <v>33</v>
      </c>
      <c r="B88" s="1" t="n">
        <v>43948</v>
      </c>
      <c r="C88" s="6" t="n">
        <v>27890</v>
      </c>
      <c r="D88" s="6" t="n">
        <v>1607</v>
      </c>
      <c r="E88" s="6" t="n">
        <v>882</v>
      </c>
      <c r="F88" s="6" t="n">
        <v>57</v>
      </c>
      <c r="G88" s="6" t="n">
        <v>6523</v>
      </c>
      <c r="H88" s="6" t="n">
        <v>20485</v>
      </c>
      <c r="J88" s="6" t="n">
        <v>20</v>
      </c>
      <c r="K88" s="6" t="n">
        <v>0.6</v>
      </c>
      <c r="L88" s="6" t="n">
        <v>625309</v>
      </c>
      <c r="M88" s="6" t="n">
        <v>453</v>
      </c>
    </row>
    <row r="89" customFormat="false" ht="13.5" hidden="false" customHeight="false" outlineLevel="0" collapsed="false">
      <c r="A89" s="0" t="s">
        <v>33</v>
      </c>
      <c r="B89" s="1" t="n">
        <v>43949</v>
      </c>
      <c r="C89" s="2" t="n">
        <v>29451</v>
      </c>
      <c r="D89" s="2" t="n">
        <v>1561</v>
      </c>
      <c r="E89" s="2" t="n">
        <v>939</v>
      </c>
      <c r="F89" s="2" t="n">
        <v>57</v>
      </c>
      <c r="G89" s="2" t="n">
        <v>7137</v>
      </c>
      <c r="H89" s="2" t="n">
        <v>21375</v>
      </c>
      <c r="J89" s="2" t="n">
        <v>21</v>
      </c>
      <c r="K89" s="2" t="n">
        <v>0.7</v>
      </c>
      <c r="L89" s="2" t="n">
        <v>665819</v>
      </c>
      <c r="M89" s="2" t="n">
        <v>482</v>
      </c>
    </row>
    <row r="90" customFormat="false" ht="13.5" hidden="false" customHeight="false" outlineLevel="0" collapsed="false">
      <c r="A90" s="0" t="s">
        <v>33</v>
      </c>
      <c r="B90" s="1" t="n">
        <v>43950</v>
      </c>
      <c r="C90" s="2" t="n">
        <v>31360</v>
      </c>
      <c r="D90" s="2" t="n">
        <v>1909</v>
      </c>
      <c r="E90" s="2" t="n">
        <v>1008</v>
      </c>
      <c r="F90" s="2" t="n">
        <v>69</v>
      </c>
      <c r="G90" s="2" t="n">
        <v>7747</v>
      </c>
      <c r="H90" s="2" t="n">
        <v>22605</v>
      </c>
      <c r="J90" s="2" t="n">
        <v>23</v>
      </c>
      <c r="K90" s="2" t="n">
        <v>0.7</v>
      </c>
      <c r="L90" s="2" t="n">
        <v>716733</v>
      </c>
      <c r="M90" s="2" t="n">
        <v>519</v>
      </c>
    </row>
    <row r="91" customFormat="false" ht="13.5" hidden="false" customHeight="false" outlineLevel="0" collapsed="false">
      <c r="A91" s="0" t="s">
        <v>33</v>
      </c>
      <c r="B91" s="1" t="n">
        <v>43951</v>
      </c>
      <c r="C91" s="2" t="n">
        <v>33062</v>
      </c>
      <c r="D91" s="2" t="n">
        <v>1702</v>
      </c>
      <c r="E91" s="2" t="n">
        <v>1079</v>
      </c>
      <c r="F91" s="2" t="n">
        <v>71</v>
      </c>
      <c r="G91" s="2" t="n">
        <v>8437</v>
      </c>
      <c r="H91" s="2" t="n">
        <v>23546</v>
      </c>
      <c r="I91" s="2" t="n">
        <v>0</v>
      </c>
      <c r="J91" s="2" t="n">
        <v>24</v>
      </c>
      <c r="K91" s="2" t="n">
        <v>0.8</v>
      </c>
      <c r="L91" s="2" t="n">
        <v>770764</v>
      </c>
      <c r="M91" s="2" t="n">
        <v>559</v>
      </c>
    </row>
    <row r="92" customFormat="false" ht="14.25" hidden="false" customHeight="false" outlineLevel="0" collapsed="false">
      <c r="A92" s="0" t="s">
        <v>33</v>
      </c>
      <c r="B92" s="1" t="n">
        <v>43952</v>
      </c>
      <c r="C92" s="2" t="n">
        <v>34862</v>
      </c>
      <c r="D92" s="2" t="n">
        <v>1800</v>
      </c>
      <c r="E92" s="2" t="n">
        <v>1154</v>
      </c>
      <c r="F92" s="2" t="n">
        <v>75</v>
      </c>
      <c r="G92" s="2" t="n">
        <v>9068</v>
      </c>
      <c r="H92" s="2" t="n">
        <v>24640</v>
      </c>
      <c r="I92" s="2" t="n">
        <v>0</v>
      </c>
      <c r="J92" s="2" t="n">
        <v>25</v>
      </c>
      <c r="K92" s="2" t="n">
        <v>0.8</v>
      </c>
      <c r="L92" s="2" t="n">
        <v>830201</v>
      </c>
      <c r="M92" s="2" t="n">
        <v>602</v>
      </c>
    </row>
    <row r="93" customFormat="false" ht="15.75" hidden="false" customHeight="false" outlineLevel="0" collapsed="false">
      <c r="A93" s="0" t="s">
        <v>33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33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33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33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33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33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33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33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33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33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33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33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33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33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33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33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33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33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33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33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33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33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33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33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33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33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33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33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33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33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33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33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33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33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33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33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33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33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33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33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33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33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33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33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33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33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33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33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33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33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33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33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33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33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33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33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33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33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33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33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33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33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33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33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33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33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33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33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33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33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33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33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33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33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33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33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33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33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33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33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33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33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33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33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33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33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33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33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33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33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33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33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33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33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33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9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34</v>
      </c>
      <c r="B37" s="1" t="n">
        <v>43897</v>
      </c>
      <c r="C37" s="8" t="n">
        <v>18</v>
      </c>
      <c r="D37" s="8" t="n">
        <v>5</v>
      </c>
      <c r="E37" s="8"/>
      <c r="F37" s="8"/>
      <c r="G37" s="8"/>
      <c r="H37" s="8" t="n">
        <v>18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34</v>
      </c>
      <c r="B38" s="1" t="n">
        <v>43898</v>
      </c>
      <c r="C38" s="6" t="n">
        <v>19</v>
      </c>
      <c r="D38" s="6" t="n">
        <v>1</v>
      </c>
      <c r="E38" s="6"/>
      <c r="F38" s="6"/>
      <c r="G38" s="6"/>
      <c r="H38" s="6" t="n">
        <v>19</v>
      </c>
      <c r="I38" s="6"/>
      <c r="J38" s="6" t="n">
        <v>3.8</v>
      </c>
      <c r="K38" s="6"/>
      <c r="L38" s="6"/>
      <c r="M38" s="6"/>
    </row>
    <row r="39" customFormat="false" ht="15.75" hidden="false" customHeight="false" outlineLevel="0" collapsed="false">
      <c r="A39" s="0" t="s">
        <v>34</v>
      </c>
      <c r="B39" s="1" t="n">
        <v>43899</v>
      </c>
      <c r="C39" s="6" t="n">
        <v>21</v>
      </c>
      <c r="D39" s="6" t="n">
        <v>2</v>
      </c>
      <c r="E39" s="6"/>
      <c r="F39" s="6"/>
      <c r="G39" s="6"/>
      <c r="H39" s="6" t="n">
        <v>21</v>
      </c>
      <c r="I39" s="6"/>
      <c r="J39" s="6" t="n">
        <v>4.3</v>
      </c>
      <c r="K39" s="6"/>
      <c r="L39" s="6"/>
      <c r="M39" s="6"/>
    </row>
    <row r="40" customFormat="false" ht="15.75" hidden="false" customHeight="false" outlineLevel="0" collapsed="false">
      <c r="A40" s="0" t="s">
        <v>34</v>
      </c>
      <c r="B40" s="1" t="n">
        <v>43900</v>
      </c>
      <c r="C40" s="6" t="n">
        <v>24</v>
      </c>
      <c r="D40" s="6" t="n">
        <v>3</v>
      </c>
      <c r="E40" s="6"/>
      <c r="F40" s="6"/>
      <c r="G40" s="6"/>
      <c r="H40" s="6" t="n">
        <v>24</v>
      </c>
      <c r="I40" s="6"/>
      <c r="J40" s="6" t="n">
        <v>4.9</v>
      </c>
      <c r="K40" s="6"/>
      <c r="L40" s="6"/>
      <c r="M40" s="6"/>
    </row>
    <row r="41" customFormat="false" ht="15.75" hidden="false" customHeight="false" outlineLevel="0" collapsed="false">
      <c r="A41" s="0" t="s">
        <v>34</v>
      </c>
      <c r="B41" s="1" t="n">
        <v>43901</v>
      </c>
      <c r="C41" s="6" t="n">
        <v>34</v>
      </c>
      <c r="D41" s="6" t="n">
        <v>10</v>
      </c>
      <c r="E41" s="6"/>
      <c r="F41" s="6"/>
      <c r="G41" s="6"/>
      <c r="H41" s="6" t="n">
        <v>34</v>
      </c>
      <c r="I41" s="6"/>
      <c r="J41" s="6" t="n">
        <v>6.9</v>
      </c>
      <c r="K41" s="6"/>
      <c r="L41" s="6"/>
      <c r="M41" s="6"/>
    </row>
    <row r="42" customFormat="false" ht="15.75" hidden="false" customHeight="false" outlineLevel="0" collapsed="false">
      <c r="A42" s="0" t="s">
        <v>34</v>
      </c>
      <c r="B42" s="1" t="n">
        <v>43902</v>
      </c>
      <c r="C42" s="6" t="n">
        <v>43</v>
      </c>
      <c r="D42" s="6" t="n">
        <v>9</v>
      </c>
      <c r="E42" s="6" t="n">
        <v>1</v>
      </c>
      <c r="F42" s="6" t="n">
        <v>1</v>
      </c>
      <c r="G42" s="6"/>
      <c r="H42" s="6" t="n">
        <v>42</v>
      </c>
      <c r="I42" s="6"/>
      <c r="J42" s="6" t="n">
        <v>8.7</v>
      </c>
      <c r="K42" s="6"/>
      <c r="L42" s="6"/>
      <c r="M42" s="6"/>
    </row>
    <row r="43" customFormat="false" ht="15.75" hidden="false" customHeight="false" outlineLevel="0" collapsed="false">
      <c r="A43" s="0" t="s">
        <v>34</v>
      </c>
      <c r="B43" s="1" t="n">
        <v>43903</v>
      </c>
      <c r="C43" s="6" t="n">
        <v>70</v>
      </c>
      <c r="D43" s="6" t="n">
        <v>27</v>
      </c>
      <c r="E43" s="6" t="n">
        <v>1</v>
      </c>
      <c r="F43" s="6"/>
      <c r="G43" s="6"/>
      <c r="H43" s="6" t="n">
        <v>69</v>
      </c>
      <c r="I43" s="6" t="n">
        <v>6</v>
      </c>
      <c r="J43" s="6" t="n">
        <v>14.2</v>
      </c>
      <c r="K43" s="6"/>
      <c r="L43" s="6"/>
      <c r="M43" s="6"/>
    </row>
    <row r="44" customFormat="false" ht="15.75" hidden="false" customHeight="false" outlineLevel="0" collapsed="false">
      <c r="A44" s="0" t="s">
        <v>34</v>
      </c>
      <c r="B44" s="1" t="n">
        <v>43904</v>
      </c>
      <c r="C44" s="6" t="n">
        <v>90</v>
      </c>
      <c r="D44" s="6" t="n">
        <v>20</v>
      </c>
      <c r="E44" s="6" t="n">
        <v>1</v>
      </c>
      <c r="F44" s="6" t="n">
        <v>0</v>
      </c>
      <c r="G44" s="6"/>
      <c r="H44" s="6" t="n">
        <v>89</v>
      </c>
      <c r="I44" s="6" t="n">
        <v>6</v>
      </c>
      <c r="J44" s="6" t="n">
        <v>18.2</v>
      </c>
      <c r="K44" s="6"/>
      <c r="L44" s="6"/>
      <c r="M44" s="6"/>
    </row>
    <row r="45" customFormat="false" ht="15.75" hidden="false" customHeight="false" outlineLevel="0" collapsed="false">
      <c r="A45" s="0" t="s">
        <v>34</v>
      </c>
      <c r="B45" s="1" t="n">
        <v>43905</v>
      </c>
      <c r="C45" s="6" t="n">
        <v>129</v>
      </c>
      <c r="D45" s="6" t="n">
        <v>39</v>
      </c>
      <c r="E45" s="6" t="n">
        <v>2</v>
      </c>
      <c r="F45" s="6" t="n">
        <v>1</v>
      </c>
      <c r="G45" s="6"/>
      <c r="H45" s="6" t="n">
        <v>127</v>
      </c>
      <c r="I45" s="6" t="n">
        <v>6</v>
      </c>
      <c r="J45" s="6" t="n">
        <v>26.1</v>
      </c>
      <c r="K45" s="6"/>
      <c r="L45" s="6"/>
      <c r="M45" s="6"/>
    </row>
    <row r="46" customFormat="false" ht="15.75" hidden="false" customHeight="false" outlineLevel="0" collapsed="false">
      <c r="A46" s="0" t="s">
        <v>34</v>
      </c>
      <c r="B46" s="1" t="n">
        <v>43906</v>
      </c>
      <c r="C46" s="6" t="n">
        <v>170</v>
      </c>
      <c r="D46" s="6" t="n">
        <v>41</v>
      </c>
      <c r="E46" s="6" t="n">
        <v>2</v>
      </c>
      <c r="F46" s="6" t="n">
        <v>0</v>
      </c>
      <c r="G46" s="6" t="n">
        <v>1</v>
      </c>
      <c r="H46" s="6" t="n">
        <v>167</v>
      </c>
      <c r="I46" s="6" t="n">
        <v>6</v>
      </c>
      <c r="J46" s="6" t="n">
        <v>34.4</v>
      </c>
      <c r="K46" s="6"/>
      <c r="L46" s="6"/>
      <c r="M46" s="6"/>
    </row>
    <row r="47" customFormat="false" ht="15.75" hidden="false" customHeight="false" outlineLevel="0" collapsed="false">
      <c r="A47" s="0" t="s">
        <v>34</v>
      </c>
      <c r="B47" s="1" t="n">
        <v>43907</v>
      </c>
      <c r="C47" s="6" t="n">
        <v>170</v>
      </c>
      <c r="D47" s="6" t="n">
        <v>0</v>
      </c>
      <c r="E47" s="6" t="n">
        <v>2</v>
      </c>
      <c r="F47" s="6" t="n">
        <v>0</v>
      </c>
      <c r="G47" s="6" t="n">
        <v>5</v>
      </c>
      <c r="H47" s="6" t="n">
        <v>163</v>
      </c>
      <c r="I47" s="6" t="n">
        <v>6</v>
      </c>
      <c r="J47" s="6" t="n">
        <v>34.4</v>
      </c>
      <c r="K47" s="6"/>
      <c r="L47" s="6"/>
      <c r="M47" s="6"/>
    </row>
    <row r="48" customFormat="false" ht="15.75" hidden="false" customHeight="false" outlineLevel="0" collapsed="false">
      <c r="A48" s="0" t="s">
        <v>34</v>
      </c>
      <c r="B48" s="1" t="n">
        <v>43908</v>
      </c>
      <c r="C48" s="6" t="n">
        <v>292</v>
      </c>
      <c r="D48" s="6" t="n">
        <v>122</v>
      </c>
      <c r="E48" s="6" t="n">
        <v>2</v>
      </c>
      <c r="F48" s="6" t="n">
        <v>0</v>
      </c>
      <c r="G48" s="6" t="n">
        <v>5</v>
      </c>
      <c r="H48" s="6" t="n">
        <v>285</v>
      </c>
      <c r="I48" s="6" t="n">
        <v>6</v>
      </c>
      <c r="J48" s="6" t="n">
        <v>59.1</v>
      </c>
      <c r="K48" s="6"/>
      <c r="L48" s="6"/>
      <c r="M48" s="6"/>
    </row>
    <row r="49" customFormat="false" ht="15.75" hidden="false" customHeight="false" outlineLevel="0" collapsed="false">
      <c r="A49" s="0" t="s">
        <v>34</v>
      </c>
      <c r="B49" s="1" t="n">
        <v>43909</v>
      </c>
      <c r="C49" s="6" t="n">
        <v>366</v>
      </c>
      <c r="D49" s="6" t="n">
        <v>74</v>
      </c>
      <c r="E49" s="6" t="n">
        <v>2</v>
      </c>
      <c r="F49" s="6" t="n">
        <v>0</v>
      </c>
      <c r="G49" s="6" t="n">
        <v>5</v>
      </c>
      <c r="H49" s="6" t="n">
        <v>359</v>
      </c>
      <c r="I49" s="6" t="n">
        <v>6</v>
      </c>
      <c r="J49" s="6" t="n">
        <v>74</v>
      </c>
      <c r="K49" s="6"/>
      <c r="L49" s="6"/>
      <c r="M49" s="6"/>
    </row>
    <row r="50" customFormat="false" ht="15.75" hidden="false" customHeight="false" outlineLevel="0" collapsed="false">
      <c r="A50" s="0" t="s">
        <v>34</v>
      </c>
      <c r="B50" s="1" t="n">
        <v>43910</v>
      </c>
      <c r="C50" s="6" t="n">
        <v>557</v>
      </c>
      <c r="D50" s="6" t="n">
        <v>191</v>
      </c>
      <c r="E50" s="6" t="n">
        <v>3</v>
      </c>
      <c r="F50" s="6" t="n">
        <v>1</v>
      </c>
      <c r="G50" s="6" t="n">
        <v>5</v>
      </c>
      <c r="H50" s="6" t="n">
        <v>549</v>
      </c>
      <c r="I50" s="6" t="n">
        <v>6</v>
      </c>
      <c r="J50" s="6" t="n">
        <v>113</v>
      </c>
      <c r="K50" s="6"/>
      <c r="L50" s="6"/>
      <c r="M50" s="6"/>
    </row>
    <row r="51" customFormat="false" ht="15.75" hidden="false" customHeight="false" outlineLevel="0" collapsed="false">
      <c r="A51" s="0" t="s">
        <v>34</v>
      </c>
      <c r="B51" s="1" t="n">
        <v>43911</v>
      </c>
      <c r="C51" s="6" t="n">
        <v>683</v>
      </c>
      <c r="D51" s="6" t="n">
        <v>126</v>
      </c>
      <c r="E51" s="6" t="n">
        <v>3</v>
      </c>
      <c r="F51" s="6" t="n">
        <v>0</v>
      </c>
      <c r="G51" s="6" t="n">
        <v>5</v>
      </c>
      <c r="H51" s="6" t="n">
        <v>675</v>
      </c>
      <c r="I51" s="6" t="n">
        <v>6</v>
      </c>
      <c r="J51" s="6" t="n">
        <v>138</v>
      </c>
      <c r="K51" s="6"/>
      <c r="L51" s="6"/>
      <c r="M51" s="6"/>
    </row>
    <row r="52" customFormat="false" ht="15.75" hidden="false" customHeight="false" outlineLevel="0" collapsed="false">
      <c r="A52" s="0" t="s">
        <v>34</v>
      </c>
      <c r="B52" s="1" t="n">
        <v>43912</v>
      </c>
      <c r="C52" s="6" t="n">
        <v>785</v>
      </c>
      <c r="D52" s="6" t="n">
        <v>102</v>
      </c>
      <c r="E52" s="6" t="n">
        <v>3</v>
      </c>
      <c r="F52" s="6" t="n">
        <v>0</v>
      </c>
      <c r="G52" s="6" t="n">
        <v>5</v>
      </c>
      <c r="H52" s="6" t="n">
        <v>777</v>
      </c>
      <c r="I52" s="6" t="n">
        <v>13</v>
      </c>
      <c r="J52" s="6" t="n">
        <v>159</v>
      </c>
      <c r="K52" s="6"/>
      <c r="L52" s="6"/>
      <c r="M52" s="6"/>
    </row>
    <row r="53" customFormat="false" ht="15.75" hidden="false" customHeight="false" outlineLevel="0" collapsed="false">
      <c r="A53" s="0" t="s">
        <v>34</v>
      </c>
      <c r="B53" s="1" t="n">
        <v>43913</v>
      </c>
      <c r="C53" s="6" t="n">
        <v>906</v>
      </c>
      <c r="D53" s="6" t="n">
        <v>121</v>
      </c>
      <c r="E53" s="6" t="n">
        <v>4</v>
      </c>
      <c r="F53" s="6" t="n">
        <v>1</v>
      </c>
      <c r="G53" s="6" t="n">
        <v>5</v>
      </c>
      <c r="H53" s="6" t="n">
        <v>897</v>
      </c>
      <c r="I53" s="6" t="n">
        <v>29</v>
      </c>
      <c r="J53" s="6" t="n">
        <v>183</v>
      </c>
      <c r="K53" s="6"/>
      <c r="L53" s="6"/>
      <c r="M53" s="6"/>
    </row>
    <row r="54" customFormat="false" ht="15.75" hidden="false" customHeight="false" outlineLevel="0" collapsed="false">
      <c r="A54" s="0" t="s">
        <v>34</v>
      </c>
      <c r="B54" s="1" t="n">
        <v>43914</v>
      </c>
      <c r="C54" s="6" t="n">
        <v>1125</v>
      </c>
      <c r="D54" s="6" t="n">
        <v>219</v>
      </c>
      <c r="E54" s="6" t="n">
        <v>6</v>
      </c>
      <c r="F54" s="6" t="n">
        <v>2</v>
      </c>
      <c r="G54" s="6" t="n">
        <v>5</v>
      </c>
      <c r="H54" s="6" t="n">
        <v>1114</v>
      </c>
      <c r="I54" s="6" t="n">
        <v>29</v>
      </c>
      <c r="J54" s="6" t="n">
        <v>228</v>
      </c>
      <c r="K54" s="6"/>
      <c r="L54" s="6"/>
      <c r="M54" s="6"/>
    </row>
    <row r="55" customFormat="false" ht="15.75" hidden="false" customHeight="false" outlineLevel="0" collapsed="false">
      <c r="A55" s="0" t="s">
        <v>34</v>
      </c>
      <c r="B55" s="1" t="n">
        <v>43915</v>
      </c>
      <c r="C55" s="7" t="n">
        <v>1329</v>
      </c>
      <c r="D55" s="7" t="n">
        <v>204</v>
      </c>
      <c r="E55" s="7" t="n">
        <v>7</v>
      </c>
      <c r="F55" s="7" t="n">
        <v>1</v>
      </c>
      <c r="G55" s="7" t="n">
        <v>5</v>
      </c>
      <c r="H55" s="7" t="n">
        <v>1317</v>
      </c>
      <c r="I55" s="7" t="n">
        <v>29</v>
      </c>
      <c r="J55" s="7" t="n">
        <v>269</v>
      </c>
      <c r="K55" s="7" t="n">
        <v>1</v>
      </c>
      <c r="L55" s="7"/>
      <c r="M55" s="7"/>
    </row>
    <row r="56" customFormat="false" ht="15.75" hidden="false" customHeight="false" outlineLevel="0" collapsed="false">
      <c r="A56" s="0" t="s">
        <v>34</v>
      </c>
      <c r="B56" s="1" t="n">
        <v>43916</v>
      </c>
      <c r="C56" s="7" t="n">
        <v>1564</v>
      </c>
      <c r="D56" s="7" t="n">
        <v>235</v>
      </c>
      <c r="E56" s="7" t="n">
        <v>9</v>
      </c>
      <c r="F56" s="7" t="n">
        <v>2</v>
      </c>
      <c r="G56" s="7" t="n">
        <v>5</v>
      </c>
      <c r="H56" s="7" t="n">
        <v>1550</v>
      </c>
      <c r="I56" s="7" t="n">
        <v>39</v>
      </c>
      <c r="J56" s="7" t="n">
        <v>317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34</v>
      </c>
      <c r="B57" s="1" t="n">
        <v>43917</v>
      </c>
      <c r="C57" s="7" t="n">
        <v>1819</v>
      </c>
      <c r="D57" s="7" t="n">
        <v>255</v>
      </c>
      <c r="E57" s="7" t="n">
        <v>19</v>
      </c>
      <c r="F57" s="7" t="n">
        <v>10</v>
      </c>
      <c r="G57" s="7" t="n">
        <v>5</v>
      </c>
      <c r="H57" s="7" t="n">
        <v>1795</v>
      </c>
      <c r="I57" s="7" t="n">
        <v>39</v>
      </c>
      <c r="J57" s="7" t="n">
        <v>368</v>
      </c>
      <c r="K57" s="7" t="n">
        <v>4</v>
      </c>
      <c r="L57" s="7"/>
      <c r="M57" s="7"/>
    </row>
    <row r="58" customFormat="false" ht="15.75" hidden="false" customHeight="false" outlineLevel="0" collapsed="false">
      <c r="A58" s="0" t="s">
        <v>34</v>
      </c>
      <c r="B58" s="1" t="n">
        <v>43918</v>
      </c>
      <c r="C58" s="7" t="n">
        <v>2121</v>
      </c>
      <c r="D58" s="7" t="n">
        <v>302</v>
      </c>
      <c r="E58" s="7" t="n">
        <v>22</v>
      </c>
      <c r="F58" s="7" t="n">
        <v>3</v>
      </c>
      <c r="G58" s="7" t="n">
        <v>5</v>
      </c>
      <c r="H58" s="7" t="n">
        <v>2094</v>
      </c>
      <c r="I58" s="7" t="n">
        <v>47</v>
      </c>
      <c r="J58" s="7" t="n">
        <v>430</v>
      </c>
      <c r="K58" s="7" t="n">
        <v>4</v>
      </c>
      <c r="L58" s="7"/>
      <c r="M58" s="7"/>
    </row>
    <row r="59" customFormat="false" ht="15.75" hidden="false" customHeight="false" outlineLevel="0" collapsed="false">
      <c r="A59" s="0" t="s">
        <v>34</v>
      </c>
      <c r="B59" s="1" t="n">
        <v>43919</v>
      </c>
      <c r="C59" s="7" t="n">
        <v>2415</v>
      </c>
      <c r="D59" s="7" t="n">
        <v>294</v>
      </c>
      <c r="E59" s="7" t="n">
        <v>36</v>
      </c>
      <c r="F59" s="7" t="n">
        <v>14</v>
      </c>
      <c r="G59" s="7" t="n">
        <v>5</v>
      </c>
      <c r="H59" s="7" t="n">
        <v>2374</v>
      </c>
      <c r="I59" s="7" t="n">
        <v>59</v>
      </c>
      <c r="J59" s="7" t="n">
        <v>489</v>
      </c>
      <c r="K59" s="7" t="n">
        <v>7</v>
      </c>
      <c r="L59" s="7"/>
      <c r="M59" s="7"/>
    </row>
    <row r="60" customFormat="false" ht="15.75" hidden="false" customHeight="false" outlineLevel="0" collapsed="false">
      <c r="A60" s="0" t="s">
        <v>34</v>
      </c>
      <c r="B60" s="1" t="n">
        <v>43920</v>
      </c>
      <c r="C60" s="7" t="n">
        <v>2615</v>
      </c>
      <c r="D60" s="7" t="n">
        <v>200</v>
      </c>
      <c r="E60" s="7" t="n">
        <v>46</v>
      </c>
      <c r="F60" s="7" t="n">
        <v>10</v>
      </c>
      <c r="G60" s="7" t="n">
        <v>5</v>
      </c>
      <c r="H60" s="7" t="n">
        <v>2564</v>
      </c>
      <c r="I60" s="7" t="n">
        <v>59</v>
      </c>
      <c r="J60" s="7" t="n">
        <v>530</v>
      </c>
      <c r="K60" s="7" t="n">
        <v>9</v>
      </c>
      <c r="L60" s="7"/>
      <c r="M60" s="7"/>
    </row>
    <row r="61" customFormat="false" ht="15.75" hidden="false" customHeight="false" outlineLevel="0" collapsed="false">
      <c r="A61" s="0" t="s">
        <v>34</v>
      </c>
      <c r="B61" s="1" t="n">
        <v>43921</v>
      </c>
      <c r="C61" s="7" t="n">
        <v>2910</v>
      </c>
      <c r="D61" s="7" t="n">
        <v>295</v>
      </c>
      <c r="E61" s="7" t="n">
        <v>54</v>
      </c>
      <c r="F61" s="7" t="n">
        <v>8</v>
      </c>
      <c r="G61" s="7" t="n">
        <v>5</v>
      </c>
      <c r="H61" s="7" t="n">
        <v>2851</v>
      </c>
      <c r="I61" s="7" t="n">
        <v>84</v>
      </c>
      <c r="J61" s="7" t="n">
        <v>589</v>
      </c>
      <c r="K61" s="7" t="n">
        <v>11</v>
      </c>
      <c r="L61" s="7"/>
      <c r="M61" s="7"/>
    </row>
    <row r="62" customFormat="false" ht="15.75" hidden="false" customHeight="false" outlineLevel="0" collapsed="false">
      <c r="A62" s="0" t="s">
        <v>34</v>
      </c>
      <c r="B62" s="1" t="n">
        <v>43922</v>
      </c>
      <c r="C62" s="7" t="n">
        <v>3235</v>
      </c>
      <c r="D62" s="7" t="n">
        <v>325</v>
      </c>
      <c r="E62" s="7" t="n">
        <v>71</v>
      </c>
      <c r="F62" s="7" t="n">
        <v>17</v>
      </c>
      <c r="G62" s="7" t="n">
        <v>5</v>
      </c>
      <c r="H62" s="7" t="n">
        <v>3159</v>
      </c>
      <c r="I62" s="7" t="n">
        <v>103</v>
      </c>
      <c r="J62" s="7" t="n">
        <v>655</v>
      </c>
      <c r="K62" s="7" t="n">
        <v>14</v>
      </c>
      <c r="L62" s="7"/>
      <c r="M62" s="7"/>
    </row>
    <row r="63" customFormat="false" ht="15.75" hidden="false" customHeight="false" outlineLevel="0" collapsed="false">
      <c r="A63" s="0" t="s">
        <v>34</v>
      </c>
      <c r="B63" s="1" t="n">
        <v>43923</v>
      </c>
      <c r="C63" s="7" t="n">
        <v>3447</v>
      </c>
      <c r="D63" s="7" t="n">
        <v>212</v>
      </c>
      <c r="E63" s="7" t="n">
        <v>85</v>
      </c>
      <c r="F63" s="7" t="n">
        <v>14</v>
      </c>
      <c r="G63" s="7" t="n">
        <v>5</v>
      </c>
      <c r="H63" s="7" t="n">
        <v>3357</v>
      </c>
      <c r="I63" s="7" t="n">
        <v>103</v>
      </c>
      <c r="J63" s="7" t="n">
        <v>698</v>
      </c>
      <c r="K63" s="7" t="n">
        <v>17</v>
      </c>
      <c r="L63" s="7"/>
      <c r="M63" s="7"/>
    </row>
    <row r="64" customFormat="false" ht="15.75" hidden="false" customHeight="false" outlineLevel="0" collapsed="false">
      <c r="A64" s="0" t="s">
        <v>34</v>
      </c>
      <c r="B64" s="1" t="n">
        <v>43924</v>
      </c>
      <c r="C64" s="7" t="n">
        <v>3849</v>
      </c>
      <c r="D64" s="7" t="n">
        <v>402</v>
      </c>
      <c r="E64" s="7" t="n">
        <v>98</v>
      </c>
      <c r="F64" s="7" t="n">
        <v>13</v>
      </c>
      <c r="G64" s="7" t="n">
        <v>5</v>
      </c>
      <c r="H64" s="7" t="n">
        <v>3746</v>
      </c>
      <c r="I64" s="7" t="n">
        <v>109</v>
      </c>
      <c r="J64" s="7" t="n">
        <v>779</v>
      </c>
      <c r="K64" s="7" t="n">
        <v>20</v>
      </c>
      <c r="L64" s="7"/>
      <c r="M64" s="7"/>
    </row>
    <row r="65" customFormat="false" ht="15.75" hidden="false" customHeight="false" outlineLevel="0" collapsed="false">
      <c r="A65" s="0" t="s">
        <v>34</v>
      </c>
      <c r="B65" s="1" t="n">
        <v>43925</v>
      </c>
      <c r="C65" s="7" t="n">
        <v>4273</v>
      </c>
      <c r="D65" s="7" t="n">
        <v>424</v>
      </c>
      <c r="E65" s="7" t="n">
        <v>120</v>
      </c>
      <c r="F65" s="7" t="n">
        <v>22</v>
      </c>
      <c r="G65" s="7" t="n">
        <v>5</v>
      </c>
      <c r="H65" s="7" t="n">
        <v>4148</v>
      </c>
      <c r="I65" s="7" t="n">
        <v>109</v>
      </c>
      <c r="J65" s="7" t="n">
        <v>865</v>
      </c>
      <c r="K65" s="7" t="n">
        <v>24</v>
      </c>
      <c r="L65" s="7"/>
      <c r="M65" s="7"/>
    </row>
    <row r="66" customFormat="false" ht="15.75" hidden="false" customHeight="false" outlineLevel="0" collapsed="false">
      <c r="A66" s="0" t="s">
        <v>34</v>
      </c>
      <c r="B66" s="1" t="n">
        <v>43926</v>
      </c>
      <c r="C66" s="7" t="n">
        <v>4604</v>
      </c>
      <c r="D66" s="7" t="n">
        <v>331</v>
      </c>
      <c r="E66" s="7" t="n">
        <v>137</v>
      </c>
      <c r="F66" s="7" t="n">
        <v>17</v>
      </c>
      <c r="G66" s="7" t="n">
        <v>25</v>
      </c>
      <c r="H66" s="7" t="n">
        <v>4442</v>
      </c>
      <c r="I66" s="7" t="n">
        <v>148</v>
      </c>
      <c r="J66" s="7" t="n">
        <v>932</v>
      </c>
      <c r="K66" s="7" t="n">
        <v>28</v>
      </c>
      <c r="L66" s="7" t="n">
        <v>30213</v>
      </c>
      <c r="M66" s="7" t="n">
        <v>6119</v>
      </c>
    </row>
    <row r="67" customFormat="false" ht="15.75" hidden="false" customHeight="false" outlineLevel="0" collapsed="false">
      <c r="A67" s="0" t="s">
        <v>34</v>
      </c>
      <c r="B67" s="1" t="n">
        <v>43927</v>
      </c>
      <c r="C67" s="7" t="n">
        <v>4994</v>
      </c>
      <c r="D67" s="7" t="n">
        <v>390</v>
      </c>
      <c r="E67" s="7" t="n">
        <v>158</v>
      </c>
      <c r="F67" s="7" t="n">
        <v>21</v>
      </c>
      <c r="G67" s="7" t="n">
        <v>25</v>
      </c>
      <c r="H67" s="7" t="n">
        <v>4811</v>
      </c>
      <c r="I67" s="7" t="n">
        <v>165</v>
      </c>
      <c r="J67" s="7" t="n">
        <v>1011</v>
      </c>
      <c r="K67" s="7" t="n">
        <v>32</v>
      </c>
      <c r="L67" s="7" t="n">
        <v>30213</v>
      </c>
      <c r="M67" s="7" t="n">
        <v>6119</v>
      </c>
    </row>
    <row r="68" customFormat="false" ht="15.75" hidden="false" customHeight="false" outlineLevel="0" collapsed="false">
      <c r="A68" s="0" t="s">
        <v>34</v>
      </c>
      <c r="B68" s="1" t="n">
        <v>43928</v>
      </c>
      <c r="C68" s="12" t="n">
        <v>5364</v>
      </c>
      <c r="D68" s="12" t="n">
        <v>370</v>
      </c>
      <c r="E68" s="12" t="n">
        <v>174</v>
      </c>
      <c r="F68" s="12" t="n">
        <v>16</v>
      </c>
      <c r="G68" s="12" t="n">
        <v>25</v>
      </c>
      <c r="H68" s="12" t="n">
        <v>5165</v>
      </c>
      <c r="I68" s="12" t="n">
        <v>165</v>
      </c>
      <c r="J68" s="12" t="n">
        <v>1086</v>
      </c>
      <c r="K68" s="12" t="n">
        <v>35</v>
      </c>
      <c r="L68" s="12" t="n">
        <v>30213</v>
      </c>
      <c r="M68" s="12" t="n">
        <v>6119</v>
      </c>
    </row>
    <row r="69" customFormat="false" ht="15.75" hidden="false" customHeight="false" outlineLevel="0" collapsed="false">
      <c r="A69" s="0" t="s">
        <v>34</v>
      </c>
      <c r="B69" s="1" t="n">
        <v>43929</v>
      </c>
      <c r="C69" s="14" t="n">
        <v>5709</v>
      </c>
      <c r="D69" s="14" t="n">
        <v>345</v>
      </c>
      <c r="E69" s="14" t="n">
        <v>210</v>
      </c>
      <c r="F69" s="14" t="n">
        <v>36</v>
      </c>
      <c r="G69" s="14" t="n">
        <v>25</v>
      </c>
      <c r="H69" s="14" t="n">
        <v>5474</v>
      </c>
      <c r="I69" s="14" t="n">
        <v>165</v>
      </c>
      <c r="J69" s="14" t="n">
        <v>1156</v>
      </c>
      <c r="K69" s="14" t="n">
        <v>43</v>
      </c>
      <c r="L69" s="14" t="n">
        <v>42484</v>
      </c>
      <c r="M69" s="14" t="n">
        <v>8604</v>
      </c>
    </row>
    <row r="70" customFormat="false" ht="15.75" hidden="false" customHeight="false" outlineLevel="0" collapsed="false">
      <c r="A70" s="0" t="s">
        <v>34</v>
      </c>
      <c r="B70" s="1" t="n">
        <v>43930</v>
      </c>
      <c r="C70" s="14" t="n">
        <v>6074</v>
      </c>
      <c r="D70" s="14" t="n">
        <v>365</v>
      </c>
      <c r="E70" s="14" t="n">
        <v>235</v>
      </c>
      <c r="F70" s="14" t="n">
        <v>25</v>
      </c>
      <c r="G70" s="14" t="n">
        <v>25</v>
      </c>
      <c r="H70" s="14" t="n">
        <v>5814</v>
      </c>
      <c r="I70" s="14" t="n">
        <v>165</v>
      </c>
      <c r="J70" s="14" t="n">
        <v>1230</v>
      </c>
      <c r="K70" s="14" t="n">
        <v>48</v>
      </c>
      <c r="L70" s="14" t="n">
        <v>42484</v>
      </c>
      <c r="M70" s="14" t="n">
        <v>8604</v>
      </c>
    </row>
    <row r="71" customFormat="false" ht="15.75" hidden="false" customHeight="false" outlineLevel="0" collapsed="false">
      <c r="A71" s="0" t="s">
        <v>34</v>
      </c>
      <c r="B71" s="1" t="n">
        <v>43931</v>
      </c>
      <c r="C71" s="14" t="n">
        <v>6574</v>
      </c>
      <c r="D71" s="14" t="n">
        <v>500</v>
      </c>
      <c r="E71" s="14" t="n">
        <v>263</v>
      </c>
      <c r="F71" s="14" t="n">
        <v>28</v>
      </c>
      <c r="G71" s="14" t="n">
        <v>25</v>
      </c>
      <c r="H71" s="14" t="n">
        <v>6286</v>
      </c>
      <c r="I71" s="14" t="n">
        <v>165</v>
      </c>
      <c r="J71" s="14" t="n">
        <v>1331</v>
      </c>
      <c r="K71" s="14" t="n">
        <v>53</v>
      </c>
      <c r="L71" s="14" t="n">
        <v>53000</v>
      </c>
      <c r="M71" s="14" t="n">
        <v>10734</v>
      </c>
    </row>
    <row r="72" customFormat="false" ht="15.75" hidden="false" customHeight="false" outlineLevel="0" collapsed="false">
      <c r="A72" s="0" t="s">
        <v>34</v>
      </c>
      <c r="B72" s="1" t="n">
        <v>43932</v>
      </c>
      <c r="C72" s="14" t="n">
        <v>8089</v>
      </c>
      <c r="D72" s="14" t="n">
        <v>1515</v>
      </c>
      <c r="E72" s="14" t="n">
        <v>287</v>
      </c>
      <c r="F72" s="14" t="n">
        <v>24</v>
      </c>
      <c r="G72" s="14" t="n">
        <v>25</v>
      </c>
      <c r="H72" s="14" t="n">
        <v>7777</v>
      </c>
      <c r="I72" s="14" t="n">
        <v>194</v>
      </c>
      <c r="J72" s="14" t="n">
        <v>1638</v>
      </c>
      <c r="K72" s="14" t="n">
        <v>58</v>
      </c>
      <c r="L72" s="14" t="n">
        <v>53000</v>
      </c>
      <c r="M72" s="14" t="n">
        <v>10734</v>
      </c>
    </row>
    <row r="73" customFormat="false" ht="15.75" hidden="false" customHeight="false" outlineLevel="0" collapsed="false">
      <c r="A73" s="0" t="s">
        <v>34</v>
      </c>
      <c r="B73" s="1" t="n">
        <v>43933</v>
      </c>
      <c r="C73" s="14" t="n">
        <v>8928</v>
      </c>
      <c r="D73" s="14" t="n">
        <v>839</v>
      </c>
      <c r="E73" s="14" t="n">
        <v>320</v>
      </c>
      <c r="F73" s="14" t="n">
        <v>33</v>
      </c>
      <c r="G73" s="14" t="n">
        <v>25</v>
      </c>
      <c r="H73" s="14" t="n">
        <v>8583</v>
      </c>
      <c r="I73" s="14" t="n">
        <v>194</v>
      </c>
      <c r="J73" s="14" t="n">
        <v>1808</v>
      </c>
      <c r="K73" s="14" t="n">
        <v>65</v>
      </c>
      <c r="L73" s="14" t="n">
        <v>53000</v>
      </c>
      <c r="M73" s="14" t="n">
        <v>10734</v>
      </c>
    </row>
    <row r="74" customFormat="false" ht="15.75" hidden="false" customHeight="false" outlineLevel="0" collapsed="false">
      <c r="A74" s="0" t="s">
        <v>34</v>
      </c>
      <c r="B74" s="1" t="n">
        <v>43934</v>
      </c>
      <c r="C74" s="14" t="n">
        <v>9655</v>
      </c>
      <c r="D74" s="14" t="n">
        <v>727</v>
      </c>
      <c r="E74" s="14" t="n">
        <v>334</v>
      </c>
      <c r="F74" s="14" t="n">
        <v>14</v>
      </c>
      <c r="G74" s="14" t="n">
        <v>25</v>
      </c>
      <c r="H74" s="14" t="n">
        <v>9296</v>
      </c>
      <c r="I74" s="14" t="n">
        <v>194</v>
      </c>
      <c r="J74" s="14" t="n">
        <v>1955</v>
      </c>
      <c r="K74" s="14" t="n">
        <v>68</v>
      </c>
      <c r="L74" s="14" t="n">
        <v>53000</v>
      </c>
      <c r="M74" s="14" t="n">
        <v>10734</v>
      </c>
    </row>
    <row r="75" customFormat="false" ht="15.75" hidden="false" customHeight="false" outlineLevel="0" collapsed="false">
      <c r="A75" s="0" t="s">
        <v>34</v>
      </c>
      <c r="B75" s="1" t="n">
        <v>43935</v>
      </c>
      <c r="C75" s="14" t="n">
        <v>10647</v>
      </c>
      <c r="D75" s="14" t="n">
        <v>992</v>
      </c>
      <c r="E75" s="14" t="n">
        <v>365</v>
      </c>
      <c r="F75" s="14" t="n">
        <v>31</v>
      </c>
      <c r="G75" s="14" t="n">
        <v>25</v>
      </c>
      <c r="H75" s="14" t="n">
        <v>10257</v>
      </c>
      <c r="I75" s="14" t="n">
        <v>194</v>
      </c>
      <c r="J75" s="14" t="n">
        <v>2156</v>
      </c>
      <c r="K75" s="14" t="n">
        <v>74</v>
      </c>
      <c r="L75" s="14" t="n">
        <v>72000</v>
      </c>
      <c r="M75" s="14" t="n">
        <v>14581</v>
      </c>
    </row>
    <row r="76" customFormat="false" ht="15.75" hidden="false" customHeight="false" outlineLevel="0" collapsed="false">
      <c r="A76" s="0" t="s">
        <v>34</v>
      </c>
      <c r="B76" s="1" t="n">
        <v>43936</v>
      </c>
      <c r="C76" s="14" t="n">
        <v>11479</v>
      </c>
      <c r="D76" s="14" t="n">
        <v>832</v>
      </c>
      <c r="E76" s="14" t="n">
        <v>406</v>
      </c>
      <c r="F76" s="14" t="n">
        <v>41</v>
      </c>
      <c r="G76" s="14" t="n">
        <v>25</v>
      </c>
      <c r="H76" s="14" t="n">
        <v>11048</v>
      </c>
      <c r="I76" s="14" t="n">
        <v>194</v>
      </c>
      <c r="J76" s="14" t="n">
        <v>2325</v>
      </c>
      <c r="K76" s="14" t="n">
        <v>82</v>
      </c>
      <c r="L76" s="14" t="n">
        <v>90646</v>
      </c>
      <c r="M76" s="14" t="n">
        <v>18358</v>
      </c>
    </row>
    <row r="77" customFormat="false" ht="15.75" hidden="false" customHeight="false" outlineLevel="0" collapsed="false">
      <c r="A77" s="0" t="s">
        <v>34</v>
      </c>
      <c r="B77" s="1" t="n">
        <v>43937</v>
      </c>
      <c r="C77" s="14" t="n">
        <v>12547</v>
      </c>
      <c r="D77" s="14" t="n">
        <v>1068</v>
      </c>
      <c r="E77" s="14" t="n">
        <v>444</v>
      </c>
      <c r="F77" s="14" t="n">
        <v>38</v>
      </c>
      <c r="G77" s="14" t="n">
        <v>77</v>
      </c>
      <c r="H77" s="14" t="n">
        <v>12026</v>
      </c>
      <c r="I77" s="14" t="n">
        <v>158</v>
      </c>
      <c r="J77" s="14" t="n">
        <v>2541</v>
      </c>
      <c r="K77" s="14" t="n">
        <v>90</v>
      </c>
      <c r="L77" s="14" t="n">
        <v>90646</v>
      </c>
      <c r="M77" s="14" t="n">
        <v>18358</v>
      </c>
    </row>
    <row r="78" customFormat="false" ht="15.75" hidden="false" customHeight="false" outlineLevel="0" collapsed="false">
      <c r="A78" s="0" t="s">
        <v>34</v>
      </c>
      <c r="B78" s="1" t="n">
        <v>43938</v>
      </c>
      <c r="C78" s="14" t="n">
        <v>13271</v>
      </c>
      <c r="D78" s="14" t="n">
        <v>724</v>
      </c>
      <c r="E78" s="14" t="n">
        <v>486</v>
      </c>
      <c r="F78" s="14" t="n">
        <v>42</v>
      </c>
      <c r="G78" s="14" t="n">
        <v>77</v>
      </c>
      <c r="H78" s="14" t="n">
        <v>12708</v>
      </c>
      <c r="I78" s="14" t="n">
        <v>156</v>
      </c>
      <c r="J78" s="14" t="n">
        <v>2688</v>
      </c>
      <c r="K78" s="14" t="n">
        <v>98</v>
      </c>
      <c r="L78" s="14" t="n">
        <v>90646</v>
      </c>
      <c r="M78" s="14" t="n">
        <v>18358</v>
      </c>
    </row>
    <row r="79" customFormat="false" ht="15.75" hidden="false" customHeight="false" outlineLevel="0" collapsed="false">
      <c r="A79" s="0" t="s">
        <v>34</v>
      </c>
      <c r="B79" s="1" t="n">
        <v>43939</v>
      </c>
      <c r="C79" s="14" t="n">
        <v>13980</v>
      </c>
      <c r="D79" s="14" t="n">
        <v>709</v>
      </c>
      <c r="E79" s="14" t="n">
        <v>530</v>
      </c>
      <c r="F79" s="14" t="n">
        <v>44</v>
      </c>
      <c r="G79" s="14" t="n">
        <v>77</v>
      </c>
      <c r="H79" s="14" t="n">
        <v>13373</v>
      </c>
      <c r="I79" s="14" t="n">
        <v>156</v>
      </c>
      <c r="J79" s="14" t="n">
        <v>2831</v>
      </c>
      <c r="K79" s="14" t="n">
        <v>107</v>
      </c>
      <c r="L79" s="14" t="n">
        <v>90646</v>
      </c>
      <c r="M79" s="14" t="n">
        <v>18358</v>
      </c>
    </row>
    <row r="80" customFormat="false" ht="15.75" hidden="false" customHeight="false" outlineLevel="0" collapsed="false">
      <c r="A80" s="0" t="s">
        <v>34</v>
      </c>
      <c r="B80" s="1" t="n">
        <v>43940</v>
      </c>
      <c r="C80" s="14" t="n">
        <v>14758</v>
      </c>
      <c r="D80" s="14" t="n">
        <v>778</v>
      </c>
      <c r="E80" s="14" t="n">
        <v>571</v>
      </c>
      <c r="F80" s="14" t="n">
        <v>41</v>
      </c>
      <c r="G80" s="14" t="n">
        <v>77</v>
      </c>
      <c r="H80" s="14" t="n">
        <v>14110</v>
      </c>
      <c r="I80" s="14" t="n">
        <v>294</v>
      </c>
      <c r="J80" s="14" t="n">
        <v>2989</v>
      </c>
      <c r="K80" s="14" t="n">
        <v>116</v>
      </c>
      <c r="L80" s="14" t="n">
        <v>90646</v>
      </c>
      <c r="M80" s="14" t="n">
        <v>18358</v>
      </c>
    </row>
    <row r="81" customFormat="false" ht="15.75" hidden="false" customHeight="false" outlineLevel="0" collapsed="false">
      <c r="A81" s="0" t="s">
        <v>34</v>
      </c>
      <c r="B81" s="1" t="n">
        <v>43941</v>
      </c>
      <c r="C81" s="14" t="n">
        <v>15251</v>
      </c>
      <c r="D81" s="14" t="n">
        <v>493</v>
      </c>
      <c r="E81" s="14" t="n">
        <v>610</v>
      </c>
      <c r="F81" s="14" t="n">
        <v>39</v>
      </c>
      <c r="G81" s="14" t="n">
        <v>77</v>
      </c>
      <c r="H81" s="14" t="n">
        <v>14564</v>
      </c>
      <c r="I81" s="14" t="n">
        <v>294</v>
      </c>
      <c r="J81" s="14" t="n">
        <v>3089</v>
      </c>
      <c r="K81" s="14" t="n">
        <v>124</v>
      </c>
      <c r="L81" s="14" t="n">
        <v>90646</v>
      </c>
      <c r="M81" s="14" t="n">
        <v>18358</v>
      </c>
    </row>
    <row r="82" customFormat="false" ht="15.75" hidden="false" customHeight="false" outlineLevel="0" collapsed="false">
      <c r="A82" s="0" t="s">
        <v>34</v>
      </c>
      <c r="B82" s="1" t="n">
        <v>43942</v>
      </c>
      <c r="C82" s="6" t="n">
        <v>15652</v>
      </c>
      <c r="D82" s="6" t="n">
        <v>401</v>
      </c>
      <c r="E82" s="6" t="n">
        <v>687</v>
      </c>
      <c r="F82" s="6" t="n">
        <v>77</v>
      </c>
      <c r="G82" s="6" t="n">
        <v>77</v>
      </c>
      <c r="H82" s="6" t="n">
        <v>14888</v>
      </c>
      <c r="I82" s="6" t="n">
        <v>294</v>
      </c>
      <c r="J82" s="6" t="n">
        <v>3170</v>
      </c>
      <c r="K82" s="6" t="n">
        <v>139</v>
      </c>
      <c r="L82" s="6" t="n">
        <v>90646</v>
      </c>
      <c r="M82" s="6" t="n">
        <v>18358</v>
      </c>
    </row>
    <row r="83" customFormat="false" ht="15.75" hidden="false" customHeight="false" outlineLevel="0" collapsed="false">
      <c r="A83" s="0" t="s">
        <v>34</v>
      </c>
      <c r="B83" s="1" t="n">
        <v>43943</v>
      </c>
      <c r="C83" s="6" t="n">
        <v>16040</v>
      </c>
      <c r="D83" s="6" t="n">
        <v>388</v>
      </c>
      <c r="E83" s="6" t="n">
        <v>730</v>
      </c>
      <c r="F83" s="6" t="n">
        <v>43</v>
      </c>
      <c r="G83" s="6" t="n">
        <v>9233</v>
      </c>
      <c r="H83" s="6" t="n">
        <v>6077</v>
      </c>
      <c r="I83" s="6" t="n">
        <v>315</v>
      </c>
      <c r="J83" s="6" t="n">
        <v>3248</v>
      </c>
      <c r="K83" s="6" t="n">
        <v>148</v>
      </c>
      <c r="L83" s="6" t="n">
        <v>111584</v>
      </c>
      <c r="M83" s="6" t="n">
        <v>22598</v>
      </c>
    </row>
    <row r="84" customFormat="false" ht="15.75" hidden="false" customHeight="false" outlineLevel="0" collapsed="false">
      <c r="A84" s="0" t="s">
        <v>34</v>
      </c>
      <c r="B84" s="1" t="n">
        <v>43944</v>
      </c>
      <c r="C84" s="6" t="n">
        <v>16671</v>
      </c>
      <c r="D84" s="6" t="n">
        <v>631</v>
      </c>
      <c r="E84" s="6" t="n">
        <v>769</v>
      </c>
      <c r="F84" s="6" t="n">
        <v>39</v>
      </c>
      <c r="G84" s="6" t="n">
        <v>9233</v>
      </c>
      <c r="H84" s="6" t="n">
        <v>6669</v>
      </c>
      <c r="I84" s="6" t="n">
        <v>147</v>
      </c>
      <c r="J84" s="6" t="n">
        <v>3376</v>
      </c>
      <c r="K84" s="6" t="n">
        <v>156</v>
      </c>
      <c r="L84" s="6" t="n">
        <v>111584</v>
      </c>
      <c r="M84" s="6" t="n">
        <v>22598</v>
      </c>
    </row>
    <row r="85" customFormat="false" ht="15.75" hidden="false" customHeight="false" outlineLevel="0" collapsed="false">
      <c r="A85" s="0" t="s">
        <v>34</v>
      </c>
      <c r="B85" s="1" t="n">
        <v>43945</v>
      </c>
      <c r="C85" s="6" t="n">
        <v>17607</v>
      </c>
      <c r="D85" s="6" t="n">
        <v>936</v>
      </c>
      <c r="E85" s="6" t="n">
        <v>794</v>
      </c>
      <c r="F85" s="6" t="n">
        <v>25</v>
      </c>
      <c r="G85" s="6" t="n">
        <v>9233</v>
      </c>
      <c r="H85" s="6" t="n">
        <v>7580</v>
      </c>
      <c r="I85" s="6" t="n">
        <v>147</v>
      </c>
      <c r="J85" s="6" t="n">
        <v>3566</v>
      </c>
      <c r="K85" s="6" t="n">
        <v>161</v>
      </c>
      <c r="L85" s="6" t="n">
        <v>111584</v>
      </c>
      <c r="M85" s="6" t="n">
        <v>22598</v>
      </c>
    </row>
    <row r="86" customFormat="false" ht="15.75" hidden="false" customHeight="false" outlineLevel="0" collapsed="false">
      <c r="A86" s="0" t="s">
        <v>34</v>
      </c>
      <c r="B86" s="1" t="n">
        <v>43946</v>
      </c>
      <c r="C86" s="6" t="n">
        <v>18184</v>
      </c>
      <c r="D86" s="6" t="n">
        <v>577</v>
      </c>
      <c r="E86" s="6" t="n">
        <v>1014</v>
      </c>
      <c r="F86" s="6" t="n">
        <v>220</v>
      </c>
      <c r="G86" s="6" t="n">
        <v>9233</v>
      </c>
      <c r="H86" s="6" t="n">
        <v>7937</v>
      </c>
      <c r="I86" s="6" t="n">
        <v>142</v>
      </c>
      <c r="J86" s="6" t="n">
        <v>3683</v>
      </c>
      <c r="K86" s="6" t="n">
        <v>205</v>
      </c>
      <c r="L86" s="6" t="n">
        <v>111584</v>
      </c>
      <c r="M86" s="6" t="n">
        <v>22598</v>
      </c>
    </row>
    <row r="87" customFormat="false" ht="15.75" hidden="false" customHeight="false" outlineLevel="0" collapsed="false">
      <c r="A87" s="0" t="s">
        <v>34</v>
      </c>
      <c r="B87" s="1" t="n">
        <v>43947</v>
      </c>
      <c r="C87" s="6" t="n">
        <v>18561</v>
      </c>
      <c r="D87" s="6" t="n">
        <v>377</v>
      </c>
      <c r="E87" s="6" t="n">
        <v>1063</v>
      </c>
      <c r="F87" s="6" t="n">
        <v>49</v>
      </c>
      <c r="G87" s="6" t="n">
        <v>9233</v>
      </c>
      <c r="H87" s="6" t="n">
        <v>8265</v>
      </c>
      <c r="I87" s="6" t="n">
        <v>142</v>
      </c>
      <c r="J87" s="6" t="n">
        <v>3759</v>
      </c>
      <c r="K87" s="6" t="n">
        <v>215</v>
      </c>
      <c r="L87" s="6" t="n">
        <v>127319</v>
      </c>
      <c r="M87" s="6" t="n">
        <v>25785</v>
      </c>
    </row>
    <row r="88" customFormat="false" ht="15.75" hidden="false" customHeight="false" outlineLevel="0" collapsed="false">
      <c r="A88" s="0" t="s">
        <v>34</v>
      </c>
      <c r="B88" s="1" t="n">
        <v>43948</v>
      </c>
      <c r="C88" s="6" t="n">
        <v>19262</v>
      </c>
      <c r="D88" s="6" t="n">
        <v>701</v>
      </c>
      <c r="E88" s="6" t="n">
        <v>1087</v>
      </c>
      <c r="F88" s="6" t="n">
        <v>24</v>
      </c>
      <c r="G88" s="6" t="n">
        <v>9233</v>
      </c>
      <c r="H88" s="6" t="n">
        <v>8942</v>
      </c>
      <c r="I88" s="6" t="n">
        <v>142</v>
      </c>
      <c r="J88" s="6" t="n">
        <v>3901</v>
      </c>
      <c r="K88" s="6" t="n">
        <v>220</v>
      </c>
      <c r="L88" s="6" t="n">
        <v>127319</v>
      </c>
      <c r="M88" s="6" t="n">
        <v>25785</v>
      </c>
    </row>
    <row r="89" customFormat="false" ht="13.5" hidden="false" customHeight="false" outlineLevel="0" collapsed="false">
      <c r="A89" s="0" t="s">
        <v>34</v>
      </c>
      <c r="B89" s="1" t="n">
        <v>43949</v>
      </c>
      <c r="C89" s="2" t="n">
        <v>19648</v>
      </c>
      <c r="D89" s="2" t="n">
        <v>386</v>
      </c>
      <c r="E89" s="2" t="n">
        <v>1102</v>
      </c>
      <c r="F89" s="2" t="n">
        <v>15</v>
      </c>
      <c r="G89" s="2" t="n">
        <v>9233</v>
      </c>
      <c r="H89" s="2" t="n">
        <v>9313</v>
      </c>
      <c r="I89" s="2" t="n">
        <v>146</v>
      </c>
      <c r="J89" s="2" t="n">
        <v>3979</v>
      </c>
      <c r="K89" s="2" t="n">
        <v>223</v>
      </c>
      <c r="L89" s="2" t="n">
        <v>127319</v>
      </c>
      <c r="M89" s="2" t="n">
        <v>25785</v>
      </c>
    </row>
    <row r="90" customFormat="false" ht="13.5" hidden="false" customHeight="false" outlineLevel="0" collapsed="false">
      <c r="A90" s="0" t="s">
        <v>34</v>
      </c>
      <c r="B90" s="1" t="n">
        <v>43950</v>
      </c>
      <c r="C90" s="2" t="n">
        <v>19877</v>
      </c>
      <c r="D90" s="2" t="n">
        <v>229</v>
      </c>
      <c r="E90" s="2" t="n">
        <v>1159</v>
      </c>
      <c r="F90" s="2" t="n">
        <v>57</v>
      </c>
      <c r="G90" s="2" t="n">
        <v>9233</v>
      </c>
      <c r="H90" s="2" t="n">
        <v>9485</v>
      </c>
      <c r="I90" s="2" t="n">
        <v>146</v>
      </c>
      <c r="J90" s="2" t="n">
        <v>4025</v>
      </c>
      <c r="K90" s="2" t="n">
        <v>235</v>
      </c>
      <c r="L90" s="2" t="n">
        <v>153954</v>
      </c>
      <c r="M90" s="2" t="n">
        <v>31179</v>
      </c>
    </row>
    <row r="91" customFormat="false" ht="13.5" hidden="false" customHeight="false" outlineLevel="0" collapsed="false">
      <c r="A91" s="0" t="s">
        <v>34</v>
      </c>
      <c r="B91" s="1" t="n">
        <v>43951</v>
      </c>
      <c r="C91" s="2" t="n">
        <v>20253</v>
      </c>
      <c r="D91" s="2" t="n">
        <v>376</v>
      </c>
      <c r="E91" s="2" t="n">
        <v>1190</v>
      </c>
      <c r="F91" s="2" t="n">
        <v>31</v>
      </c>
      <c r="G91" s="2" t="n">
        <v>13386</v>
      </c>
      <c r="H91" s="2" t="n">
        <v>5677</v>
      </c>
      <c r="I91" s="2" t="n">
        <v>129</v>
      </c>
      <c r="J91" s="2" t="n">
        <v>4102</v>
      </c>
      <c r="K91" s="2" t="n">
        <v>241</v>
      </c>
      <c r="L91" s="2" t="n">
        <v>153954</v>
      </c>
      <c r="M91" s="2" t="n">
        <v>31179</v>
      </c>
    </row>
    <row r="92" customFormat="false" ht="14.25" hidden="false" customHeight="false" outlineLevel="0" collapsed="false">
      <c r="A92" s="0" t="s">
        <v>34</v>
      </c>
      <c r="B92" s="1" t="n">
        <v>43952</v>
      </c>
      <c r="C92" s="2" t="n">
        <v>20612</v>
      </c>
      <c r="D92" s="2" t="n">
        <v>359</v>
      </c>
      <c r="E92" s="2" t="n">
        <v>1232</v>
      </c>
      <c r="F92" s="2" t="n">
        <v>42</v>
      </c>
      <c r="G92" s="2" t="n">
        <v>13386</v>
      </c>
      <c r="H92" s="2" t="n">
        <v>5994</v>
      </c>
      <c r="I92" s="2" t="n">
        <v>123</v>
      </c>
      <c r="J92" s="2" t="n">
        <v>4174</v>
      </c>
      <c r="K92" s="2" t="n">
        <v>250</v>
      </c>
      <c r="L92" s="2" t="n">
        <v>153954</v>
      </c>
      <c r="M92" s="2" t="n">
        <v>31179</v>
      </c>
    </row>
    <row r="93" customFormat="false" ht="15.75" hidden="false" customHeight="false" outlineLevel="0" collapsed="false">
      <c r="A93" s="0" t="s">
        <v>34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34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34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34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34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34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34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34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34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34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34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34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34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34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34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34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34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34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34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34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34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34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34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34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n">
        <v>1606</v>
      </c>
      <c r="F116" s="6" t="n">
        <v>2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34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n">
        <v>0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34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34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34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34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34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n">
        <v>1650</v>
      </c>
      <c r="F122" s="6" t="n">
        <v>5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34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n">
        <v>1650</v>
      </c>
      <c r="F123" s="6" t="n">
        <v>0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34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34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34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34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34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34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34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34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34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34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34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34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34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34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34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34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34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34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34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34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34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34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34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34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34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34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34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34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34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34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34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34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34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34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34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34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34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34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34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34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34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34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34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34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34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34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34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34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34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34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34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34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34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34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34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34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34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34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34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34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34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34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34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34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8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35</v>
      </c>
      <c r="B37" s="1" t="n">
        <v>43897</v>
      </c>
      <c r="C37" s="8" t="n">
        <v>137</v>
      </c>
      <c r="D37" s="8" t="n">
        <v>43</v>
      </c>
      <c r="E37" s="8" t="n">
        <v>0</v>
      </c>
      <c r="F37" s="8" t="n">
        <v>0</v>
      </c>
      <c r="G37" s="8" t="n">
        <v>1</v>
      </c>
      <c r="H37" s="8" t="n">
        <v>136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35</v>
      </c>
      <c r="B38" s="1" t="n">
        <v>43898</v>
      </c>
      <c r="C38" s="6" t="n">
        <v>161</v>
      </c>
      <c r="D38" s="6" t="n">
        <v>24</v>
      </c>
      <c r="E38" s="6" t="n">
        <v>0</v>
      </c>
      <c r="F38" s="6" t="n">
        <v>0</v>
      </c>
      <c r="G38" s="6" t="n">
        <v>1</v>
      </c>
      <c r="H38" s="6" t="n">
        <v>160</v>
      </c>
      <c r="I38" s="6" t="n">
        <v>0</v>
      </c>
      <c r="J38" s="6" t="n">
        <v>15.9</v>
      </c>
      <c r="K38" s="6"/>
      <c r="L38" s="6"/>
      <c r="M38" s="6"/>
    </row>
    <row r="39" customFormat="false" ht="15.75" hidden="false" customHeight="false" outlineLevel="0" collapsed="false">
      <c r="A39" s="0" t="s">
        <v>35</v>
      </c>
      <c r="B39" s="1" t="n">
        <v>43899</v>
      </c>
      <c r="C39" s="6" t="n">
        <v>203</v>
      </c>
      <c r="D39" s="6" t="n">
        <v>42</v>
      </c>
      <c r="E39" s="6" t="n">
        <v>0</v>
      </c>
      <c r="F39" s="6" t="n">
        <v>0</v>
      </c>
      <c r="G39" s="6" t="n">
        <v>1</v>
      </c>
      <c r="H39" s="6" t="n">
        <v>202</v>
      </c>
      <c r="I39" s="6" t="n">
        <v>0</v>
      </c>
      <c r="J39" s="6" t="n">
        <v>20.1</v>
      </c>
      <c r="K39" s="6"/>
      <c r="L39" s="6"/>
      <c r="M39" s="6"/>
    </row>
    <row r="40" customFormat="false" ht="15.75" hidden="false" customHeight="false" outlineLevel="0" collapsed="false">
      <c r="A40" s="0" t="s">
        <v>35</v>
      </c>
      <c r="B40" s="1" t="n">
        <v>43900</v>
      </c>
      <c r="C40" s="6" t="n">
        <v>261</v>
      </c>
      <c r="D40" s="6" t="n">
        <v>58</v>
      </c>
      <c r="E40" s="6" t="n">
        <v>0</v>
      </c>
      <c r="F40" s="6" t="n">
        <v>0</v>
      </c>
      <c r="G40" s="6" t="n">
        <v>1</v>
      </c>
      <c r="H40" s="6" t="n">
        <v>260</v>
      </c>
      <c r="I40" s="6" t="n">
        <v>0</v>
      </c>
      <c r="J40" s="6" t="n">
        <v>25.8</v>
      </c>
      <c r="K40" s="6"/>
      <c r="L40" s="6"/>
      <c r="M40" s="6"/>
    </row>
    <row r="41" customFormat="false" ht="15.75" hidden="false" customHeight="false" outlineLevel="0" collapsed="false">
      <c r="A41" s="0" t="s">
        <v>35</v>
      </c>
      <c r="B41" s="1" t="n">
        <v>43901</v>
      </c>
      <c r="C41" s="6" t="n">
        <v>355</v>
      </c>
      <c r="D41" s="6" t="n">
        <v>94</v>
      </c>
      <c r="E41" s="6" t="n">
        <v>0</v>
      </c>
      <c r="F41" s="6" t="n">
        <v>0</v>
      </c>
      <c r="G41" s="6" t="n">
        <v>1</v>
      </c>
      <c r="H41" s="6" t="n">
        <v>354</v>
      </c>
      <c r="I41" s="6" t="n">
        <v>2</v>
      </c>
      <c r="J41" s="6" t="n">
        <v>35.2</v>
      </c>
      <c r="K41" s="6"/>
      <c r="L41" s="6"/>
      <c r="M41" s="6"/>
    </row>
    <row r="42" customFormat="false" ht="15.75" hidden="false" customHeight="false" outlineLevel="0" collapsed="false">
      <c r="A42" s="0" t="s">
        <v>35</v>
      </c>
      <c r="B42" s="1" t="n">
        <v>43902</v>
      </c>
      <c r="C42" s="6" t="n">
        <v>500</v>
      </c>
      <c r="D42" s="6" t="n">
        <v>145</v>
      </c>
      <c r="E42" s="6" t="n">
        <v>1</v>
      </c>
      <c r="F42" s="6" t="n">
        <v>1</v>
      </c>
      <c r="G42" s="6" t="n">
        <v>1</v>
      </c>
      <c r="H42" s="6" t="n">
        <v>498</v>
      </c>
      <c r="I42" s="6" t="n">
        <v>2</v>
      </c>
      <c r="J42" s="6" t="n">
        <v>49.5</v>
      </c>
      <c r="K42" s="6"/>
      <c r="L42" s="6"/>
      <c r="M42" s="6"/>
    </row>
    <row r="43" customFormat="false" ht="15.75" hidden="false" customHeight="false" outlineLevel="0" collapsed="false">
      <c r="A43" s="0" t="s">
        <v>35</v>
      </c>
      <c r="B43" s="1" t="n">
        <v>43903</v>
      </c>
      <c r="C43" s="6" t="n">
        <v>687</v>
      </c>
      <c r="D43" s="6" t="n">
        <v>187</v>
      </c>
      <c r="E43" s="6" t="n">
        <v>1</v>
      </c>
      <c r="F43" s="6" t="n">
        <v>0</v>
      </c>
      <c r="G43" s="6" t="n">
        <v>1</v>
      </c>
      <c r="H43" s="6" t="n">
        <v>685</v>
      </c>
      <c r="I43" s="6" t="n">
        <v>2</v>
      </c>
      <c r="J43" s="6" t="n">
        <v>68</v>
      </c>
      <c r="K43" s="6"/>
      <c r="L43" s="6"/>
      <c r="M43" s="6"/>
    </row>
    <row r="44" customFormat="false" ht="15.75" hidden="false" customHeight="false" outlineLevel="0" collapsed="false">
      <c r="A44" s="0" t="s">
        <v>35</v>
      </c>
      <c r="B44" s="1" t="n">
        <v>43904</v>
      </c>
      <c r="C44" s="6" t="n">
        <v>814</v>
      </c>
      <c r="D44" s="6" t="n">
        <v>127</v>
      </c>
      <c r="E44" s="6" t="n">
        <v>1</v>
      </c>
      <c r="F44" s="6" t="n">
        <v>0</v>
      </c>
      <c r="G44" s="6" t="n">
        <v>1</v>
      </c>
      <c r="H44" s="6" t="n">
        <v>812</v>
      </c>
      <c r="I44" s="6" t="n">
        <v>2</v>
      </c>
      <c r="J44" s="6" t="n">
        <v>80.6</v>
      </c>
      <c r="K44" s="6"/>
      <c r="L44" s="6"/>
      <c r="M44" s="6"/>
    </row>
    <row r="45" customFormat="false" ht="15.75" hidden="false" customHeight="false" outlineLevel="0" collapsed="false">
      <c r="A45" s="0" t="s">
        <v>35</v>
      </c>
      <c r="B45" s="1" t="n">
        <v>43905</v>
      </c>
      <c r="C45" s="6" t="n">
        <v>961</v>
      </c>
      <c r="D45" s="6" t="n">
        <v>147</v>
      </c>
      <c r="E45" s="6" t="n">
        <v>2</v>
      </c>
      <c r="F45" s="6" t="n">
        <v>1</v>
      </c>
      <c r="G45" s="6" t="n">
        <v>1</v>
      </c>
      <c r="H45" s="6" t="n">
        <v>958</v>
      </c>
      <c r="I45" s="6" t="n">
        <v>2</v>
      </c>
      <c r="J45" s="6" t="n">
        <v>95.2</v>
      </c>
      <c r="K45" s="6"/>
      <c r="L45" s="6"/>
      <c r="M45" s="6"/>
    </row>
    <row r="46" customFormat="false" ht="15.75" hidden="false" customHeight="false" outlineLevel="0" collapsed="false">
      <c r="A46" s="0" t="s">
        <v>35</v>
      </c>
      <c r="B46" s="1" t="n">
        <v>43906</v>
      </c>
      <c r="C46" s="6" t="n">
        <v>1040</v>
      </c>
      <c r="D46" s="6" t="n">
        <v>79</v>
      </c>
      <c r="E46" s="6" t="n">
        <v>3</v>
      </c>
      <c r="F46" s="6" t="n">
        <v>1</v>
      </c>
      <c r="G46" s="6" t="n">
        <v>1</v>
      </c>
      <c r="H46" s="6" t="n">
        <v>1036</v>
      </c>
      <c r="I46" s="6" t="n">
        <v>2</v>
      </c>
      <c r="J46" s="6" t="n">
        <v>103</v>
      </c>
      <c r="K46" s="6"/>
      <c r="L46" s="6"/>
      <c r="M46" s="6"/>
    </row>
    <row r="47" customFormat="false" ht="15.75" hidden="false" customHeight="false" outlineLevel="0" collapsed="false">
      <c r="A47" s="0" t="s">
        <v>35</v>
      </c>
      <c r="B47" s="1" t="n">
        <v>43907</v>
      </c>
      <c r="C47" s="6" t="n">
        <v>1121</v>
      </c>
      <c r="D47" s="6" t="n">
        <v>81</v>
      </c>
      <c r="E47" s="6" t="n">
        <v>7</v>
      </c>
      <c r="F47" s="6" t="n">
        <v>4</v>
      </c>
      <c r="G47" s="6" t="n">
        <v>1</v>
      </c>
      <c r="H47" s="6" t="n">
        <v>1113</v>
      </c>
      <c r="I47" s="6" t="n">
        <v>2</v>
      </c>
      <c r="J47" s="6" t="n">
        <v>111</v>
      </c>
      <c r="K47" s="6"/>
      <c r="L47" s="6"/>
      <c r="M47" s="6"/>
    </row>
    <row r="48" customFormat="false" ht="15.75" hidden="false" customHeight="false" outlineLevel="0" collapsed="false">
      <c r="A48" s="0" t="s">
        <v>35</v>
      </c>
      <c r="B48" s="1" t="n">
        <v>43908</v>
      </c>
      <c r="C48" s="6" t="n">
        <v>1196</v>
      </c>
      <c r="D48" s="6" t="n">
        <v>75</v>
      </c>
      <c r="E48" s="6" t="n">
        <v>8</v>
      </c>
      <c r="F48" s="6" t="n">
        <v>1</v>
      </c>
      <c r="G48" s="6" t="n">
        <v>1</v>
      </c>
      <c r="H48" s="6" t="n">
        <v>1187</v>
      </c>
      <c r="I48" s="6" t="n">
        <v>12</v>
      </c>
      <c r="J48" s="6" t="n">
        <v>118.4</v>
      </c>
      <c r="K48" s="6"/>
      <c r="L48" s="6"/>
      <c r="M48" s="6"/>
    </row>
    <row r="49" customFormat="false" ht="15.75" hidden="false" customHeight="false" outlineLevel="0" collapsed="false">
      <c r="A49" s="0" t="s">
        <v>35</v>
      </c>
      <c r="B49" s="1" t="n">
        <v>43909</v>
      </c>
      <c r="C49" s="6" t="n">
        <v>1292</v>
      </c>
      <c r="D49" s="6" t="n">
        <v>96</v>
      </c>
      <c r="E49" s="6" t="n">
        <v>10</v>
      </c>
      <c r="F49" s="6" t="n">
        <v>2</v>
      </c>
      <c r="G49" s="6" t="n">
        <v>15</v>
      </c>
      <c r="H49" s="6" t="n">
        <v>1267</v>
      </c>
      <c r="I49" s="6" t="n">
        <v>12</v>
      </c>
      <c r="J49" s="6" t="n">
        <v>128</v>
      </c>
      <c r="K49" s="6"/>
      <c r="L49" s="6"/>
      <c r="M49" s="6"/>
    </row>
    <row r="50" customFormat="false" ht="15.75" hidden="false" customHeight="false" outlineLevel="0" collapsed="false">
      <c r="A50" s="0" t="s">
        <v>35</v>
      </c>
      <c r="B50" s="1" t="n">
        <v>43910</v>
      </c>
      <c r="C50" s="6" t="n">
        <v>1439</v>
      </c>
      <c r="D50" s="6" t="n">
        <v>147</v>
      </c>
      <c r="E50" s="6" t="n">
        <v>11</v>
      </c>
      <c r="F50" s="6" t="n">
        <v>1</v>
      </c>
      <c r="G50" s="6" t="n">
        <v>16</v>
      </c>
      <c r="H50" s="6" t="n">
        <v>1412</v>
      </c>
      <c r="I50" s="6" t="n">
        <v>21</v>
      </c>
      <c r="J50" s="6" t="n">
        <v>142</v>
      </c>
      <c r="K50" s="6"/>
      <c r="L50" s="6"/>
      <c r="M50" s="6"/>
    </row>
    <row r="51" customFormat="false" ht="15.75" hidden="false" customHeight="false" outlineLevel="0" collapsed="false">
      <c r="A51" s="0" t="s">
        <v>35</v>
      </c>
      <c r="B51" s="1" t="n">
        <v>43911</v>
      </c>
      <c r="C51" s="6" t="n">
        <v>1657</v>
      </c>
      <c r="D51" s="6" t="n">
        <v>218</v>
      </c>
      <c r="E51" s="6" t="n">
        <v>16</v>
      </c>
      <c r="F51" s="6" t="n">
        <v>5</v>
      </c>
      <c r="G51" s="6" t="n">
        <v>16</v>
      </c>
      <c r="H51" s="6" t="n">
        <v>1625</v>
      </c>
      <c r="I51" s="6" t="n">
        <v>69</v>
      </c>
      <c r="J51" s="6" t="n">
        <v>164</v>
      </c>
      <c r="K51" s="6"/>
      <c r="L51" s="6"/>
      <c r="M51" s="6"/>
    </row>
    <row r="52" customFormat="false" ht="15.75" hidden="false" customHeight="false" outlineLevel="0" collapsed="false">
      <c r="A52" s="0" t="s">
        <v>35</v>
      </c>
      <c r="B52" s="1" t="n">
        <v>43912</v>
      </c>
      <c r="C52" s="6" t="n">
        <v>1770</v>
      </c>
      <c r="D52" s="6" t="n">
        <v>113</v>
      </c>
      <c r="E52" s="6" t="n">
        <v>20</v>
      </c>
      <c r="F52" s="6" t="n">
        <v>4</v>
      </c>
      <c r="G52" s="6" t="n">
        <v>16</v>
      </c>
      <c r="H52" s="6" t="n">
        <v>1734</v>
      </c>
      <c r="I52" s="6" t="n">
        <v>71</v>
      </c>
      <c r="J52" s="6" t="n">
        <v>175</v>
      </c>
      <c r="K52" s="6"/>
      <c r="L52" s="6"/>
      <c r="M52" s="6"/>
    </row>
    <row r="53" customFormat="false" ht="15.75" hidden="false" customHeight="false" outlineLevel="0" collapsed="false">
      <c r="A53" s="0" t="s">
        <v>35</v>
      </c>
      <c r="B53" s="1" t="n">
        <v>43913</v>
      </c>
      <c r="C53" s="6" t="n">
        <v>1931</v>
      </c>
      <c r="D53" s="6" t="n">
        <v>161</v>
      </c>
      <c r="E53" s="6" t="n">
        <v>21</v>
      </c>
      <c r="F53" s="6" t="n">
        <v>1</v>
      </c>
      <c r="G53" s="6" t="n">
        <v>16</v>
      </c>
      <c r="H53" s="6" t="n">
        <v>1894</v>
      </c>
      <c r="I53" s="6" t="n">
        <v>68</v>
      </c>
      <c r="J53" s="6" t="n">
        <v>191</v>
      </c>
      <c r="K53" s="6"/>
      <c r="L53" s="6"/>
      <c r="M53" s="6"/>
    </row>
    <row r="54" customFormat="false" ht="15.75" hidden="false" customHeight="false" outlineLevel="0" collapsed="false">
      <c r="A54" s="0" t="s">
        <v>35</v>
      </c>
      <c r="B54" s="1" t="n">
        <v>43914</v>
      </c>
      <c r="C54" s="6" t="n">
        <v>2046</v>
      </c>
      <c r="D54" s="6" t="n">
        <v>115</v>
      </c>
      <c r="E54" s="6" t="n">
        <v>25</v>
      </c>
      <c r="F54" s="6" t="n">
        <v>4</v>
      </c>
      <c r="G54" s="6" t="n">
        <v>16</v>
      </c>
      <c r="H54" s="6" t="n">
        <v>2005</v>
      </c>
      <c r="I54" s="6" t="n">
        <v>104</v>
      </c>
      <c r="J54" s="6" t="n">
        <v>203</v>
      </c>
      <c r="K54" s="6"/>
      <c r="L54" s="6"/>
      <c r="M54" s="6"/>
    </row>
    <row r="55" customFormat="false" ht="15.75" hidden="false" customHeight="false" outlineLevel="0" collapsed="false">
      <c r="A55" s="0" t="s">
        <v>35</v>
      </c>
      <c r="B55" s="1" t="n">
        <v>43915</v>
      </c>
      <c r="C55" s="7" t="n">
        <v>2286</v>
      </c>
      <c r="D55" s="7" t="n">
        <v>240</v>
      </c>
      <c r="E55" s="7" t="n">
        <v>36</v>
      </c>
      <c r="F55" s="7" t="n">
        <v>11</v>
      </c>
      <c r="G55" s="7" t="n">
        <v>16</v>
      </c>
      <c r="H55" s="7" t="n">
        <v>2234</v>
      </c>
      <c r="I55" s="7" t="n">
        <v>136</v>
      </c>
      <c r="J55" s="7" t="n">
        <v>226</v>
      </c>
      <c r="K55" s="7" t="n">
        <v>4</v>
      </c>
      <c r="L55" s="7"/>
      <c r="M55" s="7"/>
    </row>
    <row r="56" customFormat="false" ht="15.75" hidden="false" customHeight="false" outlineLevel="0" collapsed="false">
      <c r="A56" s="0" t="s">
        <v>35</v>
      </c>
      <c r="B56" s="1" t="n">
        <v>43916</v>
      </c>
      <c r="C56" s="7" t="n">
        <v>2526</v>
      </c>
      <c r="D56" s="7" t="n">
        <v>240</v>
      </c>
      <c r="E56" s="7" t="n">
        <v>62</v>
      </c>
      <c r="F56" s="7" t="n">
        <v>26</v>
      </c>
      <c r="G56" s="7" t="n">
        <v>16</v>
      </c>
      <c r="H56" s="7" t="n">
        <v>2448</v>
      </c>
      <c r="I56" s="7" t="n">
        <v>158</v>
      </c>
      <c r="J56" s="7" t="n">
        <v>250</v>
      </c>
      <c r="K56" s="7" t="n">
        <v>6</v>
      </c>
      <c r="L56" s="7"/>
      <c r="M56" s="7"/>
    </row>
    <row r="57" customFormat="false" ht="15.75" hidden="false" customHeight="false" outlineLevel="0" collapsed="false">
      <c r="A57" s="0" t="s">
        <v>35</v>
      </c>
      <c r="B57" s="1" t="n">
        <v>43917</v>
      </c>
      <c r="C57" s="7" t="n">
        <v>2840</v>
      </c>
      <c r="D57" s="7" t="n">
        <v>314</v>
      </c>
      <c r="E57" s="7" t="n">
        <v>77</v>
      </c>
      <c r="F57" s="7" t="n">
        <v>15</v>
      </c>
      <c r="G57" s="7" t="n">
        <v>16</v>
      </c>
      <c r="H57" s="7" t="n">
        <v>2747</v>
      </c>
      <c r="I57" s="7" t="n">
        <v>176</v>
      </c>
      <c r="J57" s="7" t="n">
        <v>281</v>
      </c>
      <c r="K57" s="7" t="n">
        <v>8</v>
      </c>
      <c r="L57" s="7"/>
      <c r="M57" s="7"/>
    </row>
    <row r="58" customFormat="false" ht="15.75" hidden="false" customHeight="false" outlineLevel="0" collapsed="false">
      <c r="A58" s="0" t="s">
        <v>35</v>
      </c>
      <c r="B58" s="1" t="n">
        <v>43918</v>
      </c>
      <c r="C58" s="7" t="n">
        <v>3069</v>
      </c>
      <c r="D58" s="7" t="n">
        <v>229</v>
      </c>
      <c r="E58" s="7" t="n">
        <v>105</v>
      </c>
      <c r="F58" s="7" t="n">
        <v>28</v>
      </c>
      <c r="G58" s="7" t="n">
        <v>16</v>
      </c>
      <c r="H58" s="7" t="n">
        <v>2948</v>
      </c>
      <c r="I58" s="7" t="n">
        <v>214</v>
      </c>
      <c r="J58" s="7" t="n">
        <v>304</v>
      </c>
      <c r="K58" s="7" t="n">
        <v>10</v>
      </c>
      <c r="L58" s="7"/>
      <c r="M58" s="7"/>
    </row>
    <row r="59" customFormat="false" ht="15.75" hidden="false" customHeight="false" outlineLevel="0" collapsed="false">
      <c r="A59" s="0" t="s">
        <v>35</v>
      </c>
      <c r="B59" s="1" t="n">
        <v>43919</v>
      </c>
      <c r="C59" s="7" t="n">
        <v>3447</v>
      </c>
      <c r="D59" s="7" t="n">
        <v>378</v>
      </c>
      <c r="E59" s="7" t="n">
        <v>105</v>
      </c>
      <c r="F59" s="7" t="n">
        <v>0</v>
      </c>
      <c r="G59" s="7" t="n">
        <v>16</v>
      </c>
      <c r="H59" s="7" t="n">
        <v>3326</v>
      </c>
      <c r="I59" s="7" t="n">
        <v>239</v>
      </c>
      <c r="J59" s="7" t="n">
        <v>341</v>
      </c>
      <c r="K59" s="7" t="n">
        <v>10</v>
      </c>
      <c r="L59" s="7"/>
      <c r="M59" s="7"/>
    </row>
    <row r="60" customFormat="false" ht="15.75" hidden="false" customHeight="false" outlineLevel="0" collapsed="false">
      <c r="A60" s="0" t="s">
        <v>35</v>
      </c>
      <c r="B60" s="1" t="n">
        <v>43920</v>
      </c>
      <c r="C60" s="7" t="n">
        <v>3700</v>
      </c>
      <c r="D60" s="7" t="n">
        <v>253</v>
      </c>
      <c r="E60" s="7" t="n">
        <v>110</v>
      </c>
      <c r="F60" s="7" t="n">
        <v>5</v>
      </c>
      <c r="G60" s="7" t="n">
        <v>16</v>
      </c>
      <c r="H60" s="7" t="n">
        <v>3574</v>
      </c>
      <c r="I60" s="7" t="n">
        <v>255</v>
      </c>
      <c r="J60" s="7" t="n">
        <v>366</v>
      </c>
      <c r="K60" s="7" t="n">
        <v>11</v>
      </c>
      <c r="L60" s="7"/>
      <c r="M60" s="7"/>
    </row>
    <row r="61" customFormat="false" ht="15.75" hidden="false" customHeight="false" outlineLevel="0" collapsed="false">
      <c r="A61" s="0" t="s">
        <v>35</v>
      </c>
      <c r="B61" s="1" t="n">
        <v>43921</v>
      </c>
      <c r="C61" s="7" t="n">
        <v>4028</v>
      </c>
      <c r="D61" s="7" t="n">
        <v>328</v>
      </c>
      <c r="E61" s="7" t="n">
        <v>146</v>
      </c>
      <c r="F61" s="7" t="n">
        <v>36</v>
      </c>
      <c r="G61" s="7" t="n">
        <v>16</v>
      </c>
      <c r="H61" s="7" t="n">
        <v>3866</v>
      </c>
      <c r="I61" s="7" t="n">
        <v>306</v>
      </c>
      <c r="J61" s="7" t="n">
        <v>399</v>
      </c>
      <c r="K61" s="7" t="n">
        <v>14</v>
      </c>
      <c r="L61" s="7"/>
      <c r="M61" s="7"/>
    </row>
    <row r="62" customFormat="false" ht="15.75" hidden="false" customHeight="false" outlineLevel="0" collapsed="false">
      <c r="A62" s="0" t="s">
        <v>35</v>
      </c>
      <c r="B62" s="1" t="n">
        <v>43922</v>
      </c>
      <c r="C62" s="7" t="n">
        <v>4435</v>
      </c>
      <c r="D62" s="7" t="n">
        <v>407</v>
      </c>
      <c r="E62" s="7" t="n">
        <v>180</v>
      </c>
      <c r="F62" s="7" t="n">
        <v>34</v>
      </c>
      <c r="G62" s="7" t="n">
        <v>16</v>
      </c>
      <c r="H62" s="7" t="n">
        <v>4239</v>
      </c>
      <c r="I62" s="7" t="n">
        <v>358</v>
      </c>
      <c r="J62" s="7" t="n">
        <v>439</v>
      </c>
      <c r="K62" s="7" t="n">
        <v>18</v>
      </c>
      <c r="L62" s="7"/>
      <c r="M62" s="7"/>
    </row>
    <row r="63" customFormat="false" ht="15.75" hidden="false" customHeight="false" outlineLevel="0" collapsed="false">
      <c r="A63" s="0" t="s">
        <v>35</v>
      </c>
      <c r="B63" s="1" t="n">
        <v>43923</v>
      </c>
      <c r="C63" s="7" t="n">
        <v>4947</v>
      </c>
      <c r="D63" s="7" t="n">
        <v>512</v>
      </c>
      <c r="E63" s="7" t="n">
        <v>239</v>
      </c>
      <c r="F63" s="7" t="n">
        <v>59</v>
      </c>
      <c r="G63" s="7" t="n">
        <v>103</v>
      </c>
      <c r="H63" s="7" t="n">
        <v>4605</v>
      </c>
      <c r="I63" s="7" t="n">
        <v>393</v>
      </c>
      <c r="J63" s="7" t="n">
        <v>490</v>
      </c>
      <c r="K63" s="7" t="n">
        <v>24</v>
      </c>
      <c r="L63" s="7"/>
      <c r="M63" s="7"/>
    </row>
    <row r="64" customFormat="false" ht="15.75" hidden="false" customHeight="false" outlineLevel="0" collapsed="false">
      <c r="A64" s="0" t="s">
        <v>35</v>
      </c>
      <c r="B64" s="1" t="n">
        <v>43924</v>
      </c>
      <c r="C64" s="7" t="n">
        <v>5568</v>
      </c>
      <c r="D64" s="7" t="n">
        <v>621</v>
      </c>
      <c r="E64" s="7" t="n">
        <v>308</v>
      </c>
      <c r="F64" s="7" t="n">
        <v>69</v>
      </c>
      <c r="G64" s="7" t="n">
        <v>103</v>
      </c>
      <c r="H64" s="7" t="n">
        <v>5157</v>
      </c>
      <c r="I64" s="7" t="n">
        <v>429</v>
      </c>
      <c r="J64" s="7" t="n">
        <v>551</v>
      </c>
      <c r="K64" s="7" t="n">
        <v>30</v>
      </c>
      <c r="L64" s="7"/>
      <c r="M64" s="7"/>
    </row>
    <row r="65" customFormat="false" ht="15.75" hidden="false" customHeight="false" outlineLevel="0" collapsed="false">
      <c r="A65" s="0" t="s">
        <v>35</v>
      </c>
      <c r="B65" s="1" t="n">
        <v>43925</v>
      </c>
      <c r="C65" s="7" t="n">
        <v>6131</v>
      </c>
      <c r="D65" s="7" t="n">
        <v>563</v>
      </c>
      <c r="E65" s="7" t="n">
        <v>358</v>
      </c>
      <c r="F65" s="7" t="n">
        <v>50</v>
      </c>
      <c r="G65" s="7" t="n">
        <v>205</v>
      </c>
      <c r="H65" s="7" t="n">
        <v>5568</v>
      </c>
      <c r="I65" s="7" t="n">
        <v>469</v>
      </c>
      <c r="J65" s="7" t="n">
        <v>607</v>
      </c>
      <c r="K65" s="7" t="n">
        <v>35</v>
      </c>
      <c r="L65" s="7"/>
      <c r="M65" s="7"/>
    </row>
    <row r="66" customFormat="false" ht="15.75" hidden="false" customHeight="false" outlineLevel="0" collapsed="false">
      <c r="A66" s="0" t="s">
        <v>35</v>
      </c>
      <c r="B66" s="1" t="n">
        <v>43926</v>
      </c>
      <c r="C66" s="7" t="n">
        <v>6443</v>
      </c>
      <c r="D66" s="7" t="n">
        <v>312</v>
      </c>
      <c r="E66" s="7" t="n">
        <v>373</v>
      </c>
      <c r="F66" s="7" t="n">
        <v>15</v>
      </c>
      <c r="G66" s="7" t="n">
        <v>205</v>
      </c>
      <c r="H66" s="7" t="n">
        <v>5865</v>
      </c>
      <c r="I66" s="7" t="n">
        <v>379</v>
      </c>
      <c r="J66" s="7" t="n">
        <v>638</v>
      </c>
      <c r="K66" s="7" t="n">
        <v>37</v>
      </c>
      <c r="L66" s="7" t="n">
        <v>36900</v>
      </c>
      <c r="M66" s="7" t="n">
        <v>3654</v>
      </c>
    </row>
    <row r="67" customFormat="false" ht="15.75" hidden="false" customHeight="false" outlineLevel="0" collapsed="false">
      <c r="A67" s="0" t="s">
        <v>35</v>
      </c>
      <c r="B67" s="1" t="n">
        <v>43927</v>
      </c>
      <c r="C67" s="7" t="n">
        <v>6830</v>
      </c>
      <c r="D67" s="7" t="n">
        <v>387</v>
      </c>
      <c r="E67" s="7" t="n">
        <v>401</v>
      </c>
      <c r="F67" s="7" t="n">
        <v>28</v>
      </c>
      <c r="G67" s="7" t="n">
        <v>205</v>
      </c>
      <c r="H67" s="7" t="n">
        <v>6224</v>
      </c>
      <c r="I67" s="7" t="n">
        <v>541</v>
      </c>
      <c r="J67" s="7" t="n">
        <v>676</v>
      </c>
      <c r="K67" s="7" t="n">
        <v>40</v>
      </c>
      <c r="L67" s="7" t="n">
        <v>36900</v>
      </c>
      <c r="M67" s="7" t="n">
        <v>3654</v>
      </c>
    </row>
    <row r="68" customFormat="false" ht="15.75" hidden="false" customHeight="false" outlineLevel="0" collapsed="false">
      <c r="A68" s="0" t="s">
        <v>35</v>
      </c>
      <c r="B68" s="1" t="n">
        <v>43928</v>
      </c>
      <c r="C68" s="12" t="n">
        <v>7206</v>
      </c>
      <c r="D68" s="12" t="n">
        <v>376</v>
      </c>
      <c r="E68" s="12" t="n">
        <v>477</v>
      </c>
      <c r="F68" s="12" t="n">
        <v>76</v>
      </c>
      <c r="G68" s="12" t="n">
        <v>205</v>
      </c>
      <c r="H68" s="12" t="n">
        <v>6524</v>
      </c>
      <c r="I68" s="12" t="n">
        <v>590</v>
      </c>
      <c r="J68" s="12" t="n">
        <v>714</v>
      </c>
      <c r="K68" s="12" t="n">
        <v>47</v>
      </c>
      <c r="L68" s="12" t="n">
        <v>36900</v>
      </c>
      <c r="M68" s="12" t="n">
        <v>3654</v>
      </c>
    </row>
    <row r="69" customFormat="false" ht="15.75" hidden="false" customHeight="false" outlineLevel="0" collapsed="false">
      <c r="A69" s="0" t="s">
        <v>35</v>
      </c>
      <c r="B69" s="1" t="n">
        <v>43929</v>
      </c>
      <c r="C69" s="14" t="n">
        <v>7693</v>
      </c>
      <c r="D69" s="14" t="n">
        <v>487</v>
      </c>
      <c r="E69" s="14" t="n">
        <v>591</v>
      </c>
      <c r="F69" s="14" t="n">
        <v>114</v>
      </c>
      <c r="G69" s="14" t="n">
        <v>205</v>
      </c>
      <c r="H69" s="14" t="n">
        <v>6897</v>
      </c>
      <c r="I69" s="14" t="n">
        <v>640</v>
      </c>
      <c r="J69" s="14" t="n">
        <v>762</v>
      </c>
      <c r="K69" s="14" t="n">
        <v>59</v>
      </c>
      <c r="L69" s="14" t="n">
        <v>54700</v>
      </c>
      <c r="M69" s="14" t="n">
        <v>5416</v>
      </c>
    </row>
    <row r="70" customFormat="false" ht="15.75" hidden="false" customHeight="false" outlineLevel="0" collapsed="false">
      <c r="A70" s="0" t="s">
        <v>35</v>
      </c>
      <c r="B70" s="1" t="n">
        <v>43930</v>
      </c>
      <c r="C70" s="14" t="n">
        <v>8419</v>
      </c>
      <c r="D70" s="14" t="n">
        <v>726</v>
      </c>
      <c r="E70" s="14" t="n">
        <v>687</v>
      </c>
      <c r="F70" s="14" t="n">
        <v>96</v>
      </c>
      <c r="G70" s="14" t="n">
        <v>205</v>
      </c>
      <c r="H70" s="14" t="n">
        <v>7527</v>
      </c>
      <c r="I70" s="14" t="n">
        <v>678</v>
      </c>
      <c r="J70" s="14" t="n">
        <v>834</v>
      </c>
      <c r="K70" s="14" t="n">
        <v>68</v>
      </c>
      <c r="L70" s="14" t="n">
        <v>54700</v>
      </c>
      <c r="M70" s="14" t="n">
        <v>5416</v>
      </c>
    </row>
    <row r="71" customFormat="false" ht="15.75" hidden="false" customHeight="false" outlineLevel="0" collapsed="false">
      <c r="A71" s="0" t="s">
        <v>35</v>
      </c>
      <c r="B71" s="1" t="n">
        <v>43931</v>
      </c>
      <c r="C71" s="14" t="n">
        <v>9141</v>
      </c>
      <c r="D71" s="14" t="n">
        <v>722</v>
      </c>
      <c r="E71" s="14" t="n">
        <v>793</v>
      </c>
      <c r="F71" s="14" t="n">
        <v>106</v>
      </c>
      <c r="G71" s="14" t="n">
        <v>205</v>
      </c>
      <c r="H71" s="14" t="n">
        <v>8143</v>
      </c>
      <c r="I71" s="14" t="n">
        <v>719</v>
      </c>
      <c r="J71" s="14" t="n">
        <v>905</v>
      </c>
      <c r="K71" s="14" t="n">
        <v>79</v>
      </c>
      <c r="L71" s="14" t="n">
        <v>54700</v>
      </c>
      <c r="M71" s="14" t="n">
        <v>5416</v>
      </c>
    </row>
    <row r="72" customFormat="false" ht="15.75" hidden="false" customHeight="false" outlineLevel="0" collapsed="false">
      <c r="A72" s="0" t="s">
        <v>35</v>
      </c>
      <c r="B72" s="1" t="n">
        <v>43932</v>
      </c>
      <c r="C72" s="14" t="n">
        <v>9685</v>
      </c>
      <c r="D72" s="14" t="n">
        <v>544</v>
      </c>
      <c r="E72" s="14" t="n">
        <v>870</v>
      </c>
      <c r="F72" s="14" t="n">
        <v>77</v>
      </c>
      <c r="G72" s="14" t="n">
        <v>381</v>
      </c>
      <c r="H72" s="14" t="n">
        <v>8434</v>
      </c>
      <c r="I72" s="14" t="n">
        <v>749</v>
      </c>
      <c r="J72" s="14" t="n">
        <v>959</v>
      </c>
      <c r="K72" s="14" t="n">
        <v>86</v>
      </c>
      <c r="L72" s="14" t="n">
        <v>54700</v>
      </c>
      <c r="M72" s="14" t="n">
        <v>5416</v>
      </c>
    </row>
    <row r="73" customFormat="false" ht="15.75" hidden="false" customHeight="false" outlineLevel="0" collapsed="false">
      <c r="A73" s="0" t="s">
        <v>35</v>
      </c>
      <c r="B73" s="1" t="n">
        <v>43933</v>
      </c>
      <c r="C73" s="14" t="n">
        <v>10151</v>
      </c>
      <c r="D73" s="14" t="n">
        <v>466</v>
      </c>
      <c r="E73" s="14" t="n">
        <v>887</v>
      </c>
      <c r="F73" s="14" t="n">
        <v>17</v>
      </c>
      <c r="G73" s="14" t="n">
        <v>381</v>
      </c>
      <c r="H73" s="14" t="n">
        <v>8883</v>
      </c>
      <c r="I73" s="14" t="n">
        <v>774</v>
      </c>
      <c r="J73" s="14" t="n">
        <v>1005</v>
      </c>
      <c r="K73" s="14" t="n">
        <v>88</v>
      </c>
      <c r="L73" s="14" t="n">
        <v>54700</v>
      </c>
      <c r="M73" s="14" t="n">
        <v>5416</v>
      </c>
    </row>
    <row r="74" customFormat="false" ht="15.75" hidden="false" customHeight="false" outlineLevel="0" collapsed="false">
      <c r="A74" s="0" t="s">
        <v>35</v>
      </c>
      <c r="B74" s="1" t="n">
        <v>43934</v>
      </c>
      <c r="C74" s="14" t="n">
        <v>10483</v>
      </c>
      <c r="D74" s="14" t="n">
        <v>332</v>
      </c>
      <c r="E74" s="14" t="n">
        <v>899</v>
      </c>
      <c r="F74" s="14" t="n">
        <v>12</v>
      </c>
      <c r="G74" s="14" t="n">
        <v>381</v>
      </c>
      <c r="H74" s="14" t="n">
        <v>9203</v>
      </c>
      <c r="I74" s="14" t="n">
        <v>839</v>
      </c>
      <c r="J74" s="14" t="n">
        <v>1038</v>
      </c>
      <c r="K74" s="14" t="n">
        <v>89</v>
      </c>
      <c r="L74" s="14" t="n">
        <v>54700</v>
      </c>
      <c r="M74" s="14" t="n">
        <v>5416</v>
      </c>
    </row>
    <row r="75" customFormat="false" ht="15.75" hidden="false" customHeight="false" outlineLevel="0" collapsed="false">
      <c r="A75" s="0" t="s">
        <v>35</v>
      </c>
      <c r="B75" s="1" t="n">
        <v>43935</v>
      </c>
      <c r="C75" s="14" t="n">
        <v>10948</v>
      </c>
      <c r="D75" s="14" t="n">
        <v>465</v>
      </c>
      <c r="E75" s="14" t="n">
        <v>919</v>
      </c>
      <c r="F75" s="14" t="n">
        <v>20</v>
      </c>
      <c r="G75" s="14" t="n">
        <v>381</v>
      </c>
      <c r="H75" s="14" t="n">
        <v>9648</v>
      </c>
      <c r="I75" s="14" t="n">
        <v>859</v>
      </c>
      <c r="J75" s="14" t="n">
        <v>1084</v>
      </c>
      <c r="K75" s="14" t="n">
        <v>91</v>
      </c>
      <c r="L75" s="14" t="n">
        <v>54700</v>
      </c>
      <c r="M75" s="14" t="n">
        <v>5416</v>
      </c>
    </row>
    <row r="76" customFormat="false" ht="15.75" hidden="false" customHeight="false" outlineLevel="0" collapsed="false">
      <c r="A76" s="0" t="s">
        <v>35</v>
      </c>
      <c r="B76" s="1" t="n">
        <v>43936</v>
      </c>
      <c r="C76" s="14" t="n">
        <v>11445</v>
      </c>
      <c r="D76" s="14" t="n">
        <v>497</v>
      </c>
      <c r="E76" s="14" t="n">
        <v>1033</v>
      </c>
      <c r="F76" s="14" t="n">
        <v>114</v>
      </c>
      <c r="G76" s="14" t="n">
        <v>381</v>
      </c>
      <c r="H76" s="14" t="n">
        <v>10031</v>
      </c>
      <c r="I76" s="14" t="n">
        <v>915</v>
      </c>
      <c r="J76" s="14" t="n">
        <v>1133</v>
      </c>
      <c r="K76" s="14" t="n">
        <v>102</v>
      </c>
      <c r="L76" s="14" t="n">
        <v>54700</v>
      </c>
      <c r="M76" s="14" t="n">
        <v>5416</v>
      </c>
    </row>
    <row r="77" customFormat="false" ht="15.75" hidden="false" customHeight="false" outlineLevel="0" collapsed="false">
      <c r="A77" s="0" t="s">
        <v>35</v>
      </c>
      <c r="B77" s="1" t="n">
        <v>43937</v>
      </c>
      <c r="C77" s="14" t="n">
        <v>11927</v>
      </c>
      <c r="D77" s="14" t="n">
        <v>482</v>
      </c>
      <c r="E77" s="14" t="n">
        <v>1203</v>
      </c>
      <c r="F77" s="14" t="n">
        <v>170</v>
      </c>
      <c r="G77" s="14" t="n">
        <v>381</v>
      </c>
      <c r="H77" s="14" t="n">
        <v>10343</v>
      </c>
      <c r="I77" s="14" t="n">
        <v>954</v>
      </c>
      <c r="J77" s="14" t="n">
        <v>1181</v>
      </c>
      <c r="K77" s="14" t="n">
        <v>119</v>
      </c>
      <c r="L77" s="14" t="n">
        <v>74600</v>
      </c>
      <c r="M77" s="14" t="n">
        <v>7387</v>
      </c>
    </row>
    <row r="78" customFormat="false" ht="15.75" hidden="false" customHeight="false" outlineLevel="0" collapsed="false">
      <c r="A78" s="0" t="s">
        <v>35</v>
      </c>
      <c r="B78" s="1" t="n">
        <v>43938</v>
      </c>
      <c r="C78" s="14" t="n">
        <v>12540</v>
      </c>
      <c r="D78" s="14" t="n">
        <v>613</v>
      </c>
      <c r="E78" s="14" t="n">
        <v>1333</v>
      </c>
      <c r="F78" s="14" t="n">
        <v>130</v>
      </c>
      <c r="G78" s="14" t="n">
        <v>550</v>
      </c>
      <c r="H78" s="14" t="n">
        <v>10657</v>
      </c>
      <c r="I78" s="14" t="n">
        <v>522</v>
      </c>
      <c r="J78" s="14" t="n">
        <v>1242</v>
      </c>
      <c r="K78" s="14" t="n">
        <v>132</v>
      </c>
      <c r="L78" s="14" t="n">
        <v>74600</v>
      </c>
      <c r="M78" s="14" t="n">
        <v>7387</v>
      </c>
    </row>
    <row r="79" customFormat="false" ht="15.75" hidden="false" customHeight="false" outlineLevel="0" collapsed="false">
      <c r="A79" s="0" t="s">
        <v>35</v>
      </c>
      <c r="B79" s="1" t="n">
        <v>43939</v>
      </c>
      <c r="C79" s="14" t="n">
        <v>13216</v>
      </c>
      <c r="D79" s="14" t="n">
        <v>676</v>
      </c>
      <c r="E79" s="14" t="n">
        <v>1400</v>
      </c>
      <c r="F79" s="14" t="n">
        <v>67</v>
      </c>
      <c r="G79" s="14" t="n">
        <v>550</v>
      </c>
      <c r="H79" s="14" t="n">
        <v>11266</v>
      </c>
      <c r="I79" s="14" t="n">
        <v>482</v>
      </c>
      <c r="J79" s="14" t="n">
        <v>1309</v>
      </c>
      <c r="K79" s="14" t="n">
        <v>139</v>
      </c>
      <c r="L79" s="14" t="n">
        <v>74600</v>
      </c>
      <c r="M79" s="14" t="n">
        <v>7387</v>
      </c>
    </row>
    <row r="80" customFormat="false" ht="15.75" hidden="false" customHeight="false" outlineLevel="0" collapsed="false">
      <c r="A80" s="0" t="s">
        <v>35</v>
      </c>
      <c r="B80" s="1" t="n">
        <v>43940</v>
      </c>
      <c r="C80" s="14" t="n">
        <v>13822</v>
      </c>
      <c r="D80" s="14" t="n">
        <v>606</v>
      </c>
      <c r="E80" s="14" t="n">
        <v>1511</v>
      </c>
      <c r="F80" s="14" t="n">
        <v>111</v>
      </c>
      <c r="G80" s="14" t="n">
        <v>550</v>
      </c>
      <c r="H80" s="14" t="n">
        <v>11761</v>
      </c>
      <c r="I80" s="14" t="n">
        <v>1054</v>
      </c>
      <c r="J80" s="14" t="n">
        <v>1369</v>
      </c>
      <c r="K80" s="14" t="n">
        <v>150</v>
      </c>
      <c r="L80" s="14" t="n">
        <v>74600</v>
      </c>
      <c r="M80" s="14" t="n">
        <v>7387</v>
      </c>
    </row>
    <row r="81" customFormat="false" ht="15.75" hidden="false" customHeight="false" outlineLevel="0" collapsed="false">
      <c r="A81" s="0" t="s">
        <v>35</v>
      </c>
      <c r="B81" s="1" t="n">
        <v>43941</v>
      </c>
      <c r="C81" s="14" t="n">
        <v>14385</v>
      </c>
      <c r="D81" s="14" t="n">
        <v>563</v>
      </c>
      <c r="E81" s="14" t="n">
        <v>1540</v>
      </c>
      <c r="F81" s="14" t="n">
        <v>29</v>
      </c>
      <c r="G81" s="14" t="n">
        <v>550</v>
      </c>
      <c r="H81" s="14" t="n">
        <v>12295</v>
      </c>
      <c r="I81" s="14" t="n">
        <v>450</v>
      </c>
      <c r="J81" s="14" t="n">
        <v>1424</v>
      </c>
      <c r="K81" s="14" t="n">
        <v>152</v>
      </c>
      <c r="L81" s="14" t="n">
        <v>74600</v>
      </c>
      <c r="M81" s="14" t="n">
        <v>7387</v>
      </c>
    </row>
    <row r="82" customFormat="false" ht="15.75" hidden="false" customHeight="false" outlineLevel="0" collapsed="false">
      <c r="A82" s="0" t="s">
        <v>35</v>
      </c>
      <c r="B82" s="1" t="n">
        <v>43942</v>
      </c>
      <c r="C82" s="6" t="n">
        <v>14777</v>
      </c>
      <c r="D82" s="6" t="n">
        <v>392</v>
      </c>
      <c r="E82" s="6" t="n">
        <v>1580</v>
      </c>
      <c r="F82" s="6" t="n">
        <v>40</v>
      </c>
      <c r="G82" s="6" t="n">
        <v>550</v>
      </c>
      <c r="H82" s="6" t="n">
        <v>12647</v>
      </c>
      <c r="I82" s="6" t="n">
        <v>521</v>
      </c>
      <c r="J82" s="6" t="n">
        <v>1463</v>
      </c>
      <c r="K82" s="6" t="n">
        <v>156</v>
      </c>
      <c r="L82" s="6" t="n">
        <v>74600</v>
      </c>
      <c r="M82" s="6" t="n">
        <v>7387</v>
      </c>
    </row>
    <row r="83" customFormat="false" ht="15.75" hidden="false" customHeight="false" outlineLevel="0" collapsed="false">
      <c r="A83" s="0" t="s">
        <v>35</v>
      </c>
      <c r="B83" s="1" t="n">
        <v>43943</v>
      </c>
      <c r="C83" s="6" t="n">
        <v>15322</v>
      </c>
      <c r="D83" s="6" t="n">
        <v>545</v>
      </c>
      <c r="E83" s="6" t="n">
        <v>1765</v>
      </c>
      <c r="F83" s="6" t="n">
        <v>185</v>
      </c>
      <c r="G83" s="6" t="n">
        <v>550</v>
      </c>
      <c r="H83" s="6" t="n">
        <v>13007</v>
      </c>
      <c r="I83" s="6" t="n">
        <v>515</v>
      </c>
      <c r="J83" s="6" t="n">
        <v>1517</v>
      </c>
      <c r="K83" s="6" t="n">
        <v>175</v>
      </c>
      <c r="L83" s="6" t="n">
        <v>94500</v>
      </c>
      <c r="M83" s="6" t="n">
        <v>9357</v>
      </c>
    </row>
    <row r="84" customFormat="false" ht="15.75" hidden="false" customHeight="false" outlineLevel="0" collapsed="false">
      <c r="A84" s="0" t="s">
        <v>35</v>
      </c>
      <c r="B84" s="1" t="n">
        <v>43944</v>
      </c>
      <c r="C84" s="6" t="n">
        <v>16004</v>
      </c>
      <c r="D84" s="6" t="n">
        <v>682</v>
      </c>
      <c r="E84" s="6" t="n">
        <v>1937</v>
      </c>
      <c r="F84" s="6" t="n">
        <v>172</v>
      </c>
      <c r="G84" s="6" t="n">
        <v>550</v>
      </c>
      <c r="H84" s="6" t="n">
        <v>13517</v>
      </c>
      <c r="I84" s="6" t="n">
        <v>515</v>
      </c>
      <c r="J84" s="6" t="n">
        <v>1585</v>
      </c>
      <c r="K84" s="6" t="n">
        <v>192</v>
      </c>
      <c r="L84" s="6" t="n">
        <v>94500</v>
      </c>
      <c r="M84" s="6" t="n">
        <v>9357</v>
      </c>
    </row>
    <row r="85" customFormat="false" ht="15.75" hidden="false" customHeight="false" outlineLevel="0" collapsed="false">
      <c r="A85" s="0" t="s">
        <v>35</v>
      </c>
      <c r="B85" s="1" t="n">
        <v>43945</v>
      </c>
      <c r="C85" s="6" t="n">
        <v>16755</v>
      </c>
      <c r="D85" s="6" t="n">
        <v>751</v>
      </c>
      <c r="E85" s="6" t="n">
        <v>2021</v>
      </c>
      <c r="F85" s="6" t="n">
        <v>84</v>
      </c>
      <c r="G85" s="6" t="n">
        <v>550</v>
      </c>
      <c r="H85" s="6" t="n">
        <v>14184</v>
      </c>
      <c r="I85" s="6" t="n">
        <v>533</v>
      </c>
      <c r="J85" s="6" t="n">
        <v>1659</v>
      </c>
      <c r="K85" s="6" t="n">
        <v>200</v>
      </c>
      <c r="L85" s="6" t="n">
        <v>94500</v>
      </c>
      <c r="M85" s="6" t="n">
        <v>9357</v>
      </c>
    </row>
    <row r="86" customFormat="false" ht="15.75" hidden="false" customHeight="false" outlineLevel="0" collapsed="false">
      <c r="A86" s="0" t="s">
        <v>35</v>
      </c>
      <c r="B86" s="1" t="n">
        <v>43946</v>
      </c>
      <c r="C86" s="6" t="n">
        <v>17567</v>
      </c>
      <c r="D86" s="6" t="n">
        <v>812</v>
      </c>
      <c r="E86" s="6" t="n">
        <v>2152</v>
      </c>
      <c r="F86" s="6" t="n">
        <v>131</v>
      </c>
      <c r="G86" s="6" t="n">
        <v>550</v>
      </c>
      <c r="H86" s="6" t="n">
        <v>14865</v>
      </c>
      <c r="I86" s="6" t="n">
        <v>547</v>
      </c>
      <c r="J86" s="6" t="n">
        <v>1739</v>
      </c>
      <c r="K86" s="6" t="n">
        <v>213</v>
      </c>
      <c r="L86" s="6" t="n">
        <v>94500</v>
      </c>
      <c r="M86" s="6" t="n">
        <v>9357</v>
      </c>
    </row>
    <row r="87" customFormat="false" ht="15.75" hidden="false" customHeight="false" outlineLevel="0" collapsed="false">
      <c r="A87" s="0" t="s">
        <v>35</v>
      </c>
      <c r="B87" s="1" t="n">
        <v>43947</v>
      </c>
      <c r="C87" s="6" t="n">
        <v>18177</v>
      </c>
      <c r="D87" s="6" t="n">
        <v>610</v>
      </c>
      <c r="E87" s="6" t="n">
        <v>2192</v>
      </c>
      <c r="F87" s="6" t="n">
        <v>40</v>
      </c>
      <c r="G87" s="6" t="n">
        <v>1005</v>
      </c>
      <c r="H87" s="6" t="n">
        <v>14980</v>
      </c>
      <c r="I87" s="6" t="n">
        <v>547</v>
      </c>
      <c r="J87" s="6" t="n">
        <v>1800</v>
      </c>
      <c r="K87" s="6" t="n">
        <v>217</v>
      </c>
      <c r="L87" s="6" t="n">
        <v>94500</v>
      </c>
      <c r="M87" s="6" t="n">
        <v>9357</v>
      </c>
    </row>
    <row r="88" customFormat="false" ht="15.75" hidden="false" customHeight="false" outlineLevel="0" collapsed="false">
      <c r="A88" s="0" t="s">
        <v>35</v>
      </c>
      <c r="B88" s="1" t="n">
        <v>43948</v>
      </c>
      <c r="C88" s="6" t="n">
        <v>18640</v>
      </c>
      <c r="D88" s="6" t="n">
        <v>463</v>
      </c>
      <c r="E88" s="6" t="n">
        <v>2194</v>
      </c>
      <c r="F88" s="6" t="n">
        <v>2</v>
      </c>
      <c r="G88" s="6" t="n">
        <v>1005</v>
      </c>
      <c r="H88" s="6" t="n">
        <v>15441</v>
      </c>
      <c r="I88" s="6" t="n">
        <v>399</v>
      </c>
      <c r="J88" s="6" t="n">
        <v>1846</v>
      </c>
      <c r="K88" s="6" t="n">
        <v>217</v>
      </c>
      <c r="L88" s="6" t="n">
        <v>94500</v>
      </c>
      <c r="M88" s="6" t="n">
        <v>9357</v>
      </c>
    </row>
    <row r="89" customFormat="false" ht="15.75" hidden="false" customHeight="false" outlineLevel="0" collapsed="false">
      <c r="A89" s="0" t="s">
        <v>35</v>
      </c>
      <c r="B89" s="1" t="n">
        <v>43949</v>
      </c>
      <c r="C89" s="6" t="n">
        <v>18926</v>
      </c>
      <c r="D89" s="6" t="n">
        <v>286</v>
      </c>
      <c r="E89" s="6" t="n">
        <v>2274</v>
      </c>
      <c r="F89" s="6" t="n">
        <v>80</v>
      </c>
      <c r="G89" s="6" t="n">
        <v>1005</v>
      </c>
      <c r="H89" s="6" t="n">
        <v>15647</v>
      </c>
      <c r="I89" s="6" t="n">
        <v>399</v>
      </c>
      <c r="J89" s="6" t="n">
        <v>1874</v>
      </c>
      <c r="K89" s="6" t="n">
        <v>225</v>
      </c>
      <c r="L89" s="6" t="n">
        <v>94500</v>
      </c>
      <c r="M89" s="6" t="n">
        <v>9357</v>
      </c>
    </row>
    <row r="90" customFormat="false" ht="13.5" hidden="false" customHeight="false" outlineLevel="0" collapsed="false">
      <c r="A90" s="0" t="s">
        <v>35</v>
      </c>
      <c r="B90" s="1" t="n">
        <v>43950</v>
      </c>
      <c r="C90" s="2" t="n">
        <v>19621</v>
      </c>
      <c r="D90" s="2" t="n">
        <v>695</v>
      </c>
      <c r="E90" s="2" t="n">
        <v>2355</v>
      </c>
      <c r="F90" s="2" t="n">
        <v>81</v>
      </c>
      <c r="G90" s="2" t="n">
        <v>1005</v>
      </c>
      <c r="H90" s="2" t="n">
        <v>16261</v>
      </c>
      <c r="I90" s="2" t="n">
        <v>524</v>
      </c>
      <c r="J90" s="2" t="n">
        <v>1943</v>
      </c>
      <c r="K90" s="2" t="n">
        <v>233</v>
      </c>
      <c r="L90" s="2" t="n">
        <v>119500</v>
      </c>
      <c r="M90" s="2" t="n">
        <v>11833</v>
      </c>
    </row>
    <row r="91" customFormat="false" ht="13.5" hidden="false" customHeight="false" outlineLevel="0" collapsed="false">
      <c r="A91" s="0" t="s">
        <v>35</v>
      </c>
      <c r="B91" s="1" t="n">
        <v>43951</v>
      </c>
      <c r="C91" s="2" t="n">
        <v>20302</v>
      </c>
      <c r="D91" s="2" t="n">
        <v>681</v>
      </c>
      <c r="E91" s="2" t="n">
        <v>2462</v>
      </c>
      <c r="F91" s="2" t="n">
        <v>107</v>
      </c>
      <c r="G91" s="2" t="n">
        <v>1005</v>
      </c>
      <c r="H91" s="2" t="n">
        <v>16835</v>
      </c>
      <c r="I91" s="2" t="n">
        <v>479</v>
      </c>
      <c r="J91" s="2" t="n">
        <v>2010</v>
      </c>
      <c r="K91" s="2" t="n">
        <v>244</v>
      </c>
      <c r="L91" s="2" t="n">
        <v>119500</v>
      </c>
      <c r="M91" s="2" t="n">
        <v>11833</v>
      </c>
    </row>
    <row r="92" customFormat="false" ht="14.25" hidden="false" customHeight="false" outlineLevel="0" collapsed="false">
      <c r="A92" s="0" t="s">
        <v>35</v>
      </c>
      <c r="B92" s="1" t="n">
        <v>43952</v>
      </c>
      <c r="C92" s="2" t="n">
        <v>21092</v>
      </c>
      <c r="D92" s="2" t="n">
        <v>790</v>
      </c>
      <c r="E92" s="2" t="n">
        <v>2586</v>
      </c>
      <c r="F92" s="2" t="n">
        <v>124</v>
      </c>
      <c r="G92" s="2" t="n">
        <v>1005</v>
      </c>
      <c r="H92" s="2" t="n">
        <v>17501</v>
      </c>
      <c r="I92" s="2" t="n">
        <v>531</v>
      </c>
      <c r="J92" s="2" t="n">
        <v>2088</v>
      </c>
      <c r="K92" s="2" t="n">
        <v>256</v>
      </c>
      <c r="L92" s="2" t="n">
        <v>119500</v>
      </c>
      <c r="M92" s="2" t="n">
        <v>11833</v>
      </c>
    </row>
    <row r="93" customFormat="false" ht="15.75" hidden="false" customHeight="false" outlineLevel="0" collapsed="false">
      <c r="A93" s="0" t="s">
        <v>35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35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35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35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35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35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35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35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35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35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35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35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35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35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35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35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35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35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35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35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35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35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35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35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35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35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35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35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35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35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35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35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35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35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35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35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35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35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35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35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35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35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35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35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35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35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35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35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35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35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35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35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35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35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35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35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35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35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35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35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35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35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35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35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35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35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35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35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35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35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35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35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35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35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35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35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35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35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35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35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35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35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35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35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35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35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35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35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35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35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35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35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35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35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35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36</v>
      </c>
      <c r="B2" s="1" t="n">
        <v>43862</v>
      </c>
      <c r="C2" s="6" t="n">
        <v>12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36</v>
      </c>
      <c r="B3" s="1" t="n">
        <v>43863</v>
      </c>
      <c r="C3" s="6" t="n">
        <v>15</v>
      </c>
      <c r="D3" s="6" t="n">
        <v>3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36</v>
      </c>
      <c r="B4" s="1" t="n">
        <v>43864</v>
      </c>
      <c r="C4" s="6" t="n">
        <v>15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36</v>
      </c>
      <c r="B5" s="1" t="n">
        <v>43865</v>
      </c>
      <c r="C5" s="6" t="n">
        <v>16</v>
      </c>
      <c r="D5" s="6" t="n">
        <v>1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36</v>
      </c>
      <c r="B6" s="1" t="n">
        <v>43866</v>
      </c>
      <c r="C6" s="6" t="n">
        <v>18</v>
      </c>
      <c r="D6" s="6" t="n">
        <v>2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36</v>
      </c>
      <c r="B7" s="1" t="n">
        <v>43867</v>
      </c>
      <c r="C7" s="6" t="n">
        <v>23</v>
      </c>
      <c r="D7" s="6" t="n">
        <v>5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36</v>
      </c>
      <c r="B8" s="1" t="n">
        <v>43868</v>
      </c>
      <c r="C8" s="6" t="n">
        <v>24</v>
      </c>
      <c r="D8" s="6" t="n">
        <v>1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36</v>
      </c>
      <c r="B9" s="1" t="n">
        <v>43869</v>
      </c>
      <c r="C9" s="6" t="n">
        <v>24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36</v>
      </c>
      <c r="B10" s="1" t="n">
        <v>43870</v>
      </c>
      <c r="C10" s="6" t="n">
        <v>27</v>
      </c>
      <c r="D10" s="6" t="n">
        <v>3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36</v>
      </c>
      <c r="B11" s="1" t="n">
        <v>43871</v>
      </c>
      <c r="C11" s="6" t="n">
        <v>27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36</v>
      </c>
      <c r="B12" s="1" t="n">
        <v>43872</v>
      </c>
      <c r="C12" s="6" t="n">
        <v>28</v>
      </c>
      <c r="D12" s="6" t="n">
        <v>1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36</v>
      </c>
      <c r="B13" s="1" t="n">
        <v>43873</v>
      </c>
      <c r="C13" s="6" t="n">
        <v>28</v>
      </c>
      <c r="D13" s="6" t="n">
        <v>0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36</v>
      </c>
      <c r="B14" s="1" t="n">
        <v>43874</v>
      </c>
      <c r="C14" s="6" t="n">
        <v>28</v>
      </c>
      <c r="D14" s="6" t="n">
        <v>0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36</v>
      </c>
      <c r="B15" s="1" t="n">
        <v>43875</v>
      </c>
      <c r="C15" s="6" t="n">
        <v>28</v>
      </c>
      <c r="D15" s="6" t="n">
        <v>0</v>
      </c>
      <c r="E15" s="6" t="n">
        <v>0</v>
      </c>
      <c r="F15" s="6" t="n">
        <v>0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36</v>
      </c>
      <c r="B16" s="1" t="n">
        <v>43876</v>
      </c>
      <c r="C16" s="6" t="n">
        <v>28</v>
      </c>
      <c r="D16" s="6" t="n">
        <v>0</v>
      </c>
      <c r="E16" s="6" t="n">
        <v>0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36</v>
      </c>
      <c r="B17" s="1" t="n">
        <v>43877</v>
      </c>
      <c r="C17" s="6" t="n">
        <v>29</v>
      </c>
      <c r="D17" s="6" t="n">
        <v>1</v>
      </c>
      <c r="E17" s="6" t="n">
        <v>0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36</v>
      </c>
      <c r="B18" s="1" t="n">
        <v>43878</v>
      </c>
      <c r="C18" s="6" t="n">
        <v>30</v>
      </c>
      <c r="D18" s="6" t="n">
        <v>1</v>
      </c>
      <c r="E18" s="6" t="n">
        <v>0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36</v>
      </c>
      <c r="B19" s="1" t="n">
        <v>43879</v>
      </c>
      <c r="C19" s="6" t="n">
        <v>31</v>
      </c>
      <c r="D19" s="6" t="n">
        <v>1</v>
      </c>
      <c r="E19" s="6" t="n">
        <v>0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36</v>
      </c>
      <c r="B20" s="1" t="n">
        <v>43880</v>
      </c>
      <c r="C20" s="6" t="n">
        <v>51</v>
      </c>
      <c r="D20" s="6" t="n">
        <v>20</v>
      </c>
      <c r="E20" s="6" t="n">
        <v>0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36</v>
      </c>
      <c r="B21" s="1" t="n">
        <v>43881</v>
      </c>
      <c r="C21" s="6" t="n">
        <v>104</v>
      </c>
      <c r="D21" s="6" t="n">
        <v>53</v>
      </c>
      <c r="E21" s="6" t="n">
        <v>1</v>
      </c>
      <c r="F21" s="6" t="n">
        <v>1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36</v>
      </c>
      <c r="B22" s="1" t="n">
        <v>43882</v>
      </c>
      <c r="C22" s="6" t="n">
        <v>204</v>
      </c>
      <c r="D22" s="6" t="n">
        <v>100</v>
      </c>
      <c r="E22" s="6" t="n">
        <v>1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36</v>
      </c>
      <c r="B23" s="1" t="n">
        <v>43883</v>
      </c>
      <c r="C23" s="6" t="n">
        <v>346</v>
      </c>
      <c r="D23" s="6" t="n">
        <v>142</v>
      </c>
      <c r="E23" s="6" t="n">
        <v>2</v>
      </c>
      <c r="F23" s="6" t="n">
        <v>1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36</v>
      </c>
      <c r="B24" s="1" t="n">
        <v>43884</v>
      </c>
      <c r="C24" s="6" t="n">
        <v>602</v>
      </c>
      <c r="D24" s="6" t="n">
        <v>256</v>
      </c>
      <c r="E24" s="6" t="n">
        <v>5</v>
      </c>
      <c r="F24" s="6" t="n">
        <v>3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36</v>
      </c>
      <c r="B25" s="1" t="n">
        <v>43885</v>
      </c>
      <c r="C25" s="6" t="n">
        <v>763</v>
      </c>
      <c r="D25" s="6" t="n">
        <v>161</v>
      </c>
      <c r="E25" s="6" t="n">
        <v>7</v>
      </c>
      <c r="F25" s="6" t="n">
        <v>2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36</v>
      </c>
      <c r="B26" s="1" t="n">
        <v>43886</v>
      </c>
      <c r="C26" s="6" t="n">
        <v>977</v>
      </c>
      <c r="D26" s="6" t="n">
        <v>214</v>
      </c>
      <c r="E26" s="6" t="n">
        <v>10</v>
      </c>
      <c r="F26" s="6" t="n">
        <v>3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36</v>
      </c>
      <c r="B27" s="1" t="n">
        <v>43887</v>
      </c>
      <c r="C27" s="6" t="n">
        <v>1261</v>
      </c>
      <c r="D27" s="6" t="n">
        <v>284</v>
      </c>
      <c r="E27" s="6" t="n">
        <v>12</v>
      </c>
      <c r="F27" s="6" t="n">
        <v>2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36</v>
      </c>
      <c r="B28" s="1" t="n">
        <v>43888</v>
      </c>
      <c r="C28" s="6" t="n">
        <v>1766</v>
      </c>
      <c r="D28" s="6" t="n">
        <v>505</v>
      </c>
      <c r="E28" s="6" t="n">
        <v>13</v>
      </c>
      <c r="F28" s="6" t="n">
        <v>1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36</v>
      </c>
      <c r="B29" s="1" t="n">
        <v>43889</v>
      </c>
      <c r="C29" s="6" t="n">
        <v>2337</v>
      </c>
      <c r="D29" s="6" t="n">
        <v>571</v>
      </c>
      <c r="E29" s="6" t="n">
        <v>13</v>
      </c>
      <c r="F29" s="6" t="n">
        <v>0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36</v>
      </c>
      <c r="B30" s="1" t="n">
        <v>43890</v>
      </c>
      <c r="C30" s="6" t="n">
        <v>3150</v>
      </c>
      <c r="D30" s="6" t="n">
        <v>813</v>
      </c>
      <c r="E30" s="6" t="n">
        <v>17</v>
      </c>
      <c r="F30" s="6" t="n">
        <v>4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36</v>
      </c>
      <c r="B31" s="1" t="n">
        <v>43891</v>
      </c>
      <c r="C31" s="6" t="n">
        <v>3736</v>
      </c>
      <c r="D31" s="6" t="n">
        <v>586</v>
      </c>
      <c r="E31" s="6" t="n">
        <v>18</v>
      </c>
      <c r="F31" s="6" t="n">
        <v>1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36</v>
      </c>
      <c r="B32" s="1" t="n">
        <v>43892</v>
      </c>
      <c r="C32" s="6" t="n">
        <v>4212</v>
      </c>
      <c r="D32" s="6" t="n">
        <v>476</v>
      </c>
      <c r="E32" s="6" t="n">
        <v>22</v>
      </c>
      <c r="F32" s="6" t="n">
        <v>4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36</v>
      </c>
      <c r="B33" s="1" t="n">
        <v>43893</v>
      </c>
      <c r="C33" s="6" t="n">
        <v>4812</v>
      </c>
      <c r="D33" s="6" t="n">
        <v>600</v>
      </c>
      <c r="E33" s="6" t="n">
        <v>28</v>
      </c>
      <c r="F33" s="6" t="n">
        <v>6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36</v>
      </c>
      <c r="B34" s="1" t="n">
        <v>43894</v>
      </c>
      <c r="C34" s="6" t="n">
        <v>5328</v>
      </c>
      <c r="D34" s="6" t="n">
        <v>516</v>
      </c>
      <c r="E34" s="6" t="n">
        <v>32</v>
      </c>
      <c r="F34" s="6" t="n">
        <v>4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36</v>
      </c>
      <c r="B35" s="1" t="n">
        <v>43895</v>
      </c>
      <c r="C35" s="6" t="n">
        <v>5766</v>
      </c>
      <c r="D35" s="6" t="n">
        <v>438</v>
      </c>
      <c r="E35" s="6" t="n">
        <v>35</v>
      </c>
      <c r="F35" s="6" t="n">
        <v>3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36</v>
      </c>
      <c r="B36" s="1" t="n">
        <v>43896</v>
      </c>
      <c r="C36" s="6" t="n">
        <v>6284</v>
      </c>
      <c r="D36" s="6" t="n">
        <v>518</v>
      </c>
      <c r="E36" s="6" t="n">
        <v>42</v>
      </c>
      <c r="F36" s="6" t="n">
        <v>7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36</v>
      </c>
      <c r="B37" s="1" t="n">
        <v>43897</v>
      </c>
      <c r="C37" s="8" t="n">
        <v>6593</v>
      </c>
      <c r="D37" s="8" t="n">
        <v>309</v>
      </c>
      <c r="E37" s="8" t="n">
        <v>43</v>
      </c>
      <c r="F37" s="8" t="n">
        <v>1</v>
      </c>
      <c r="G37" s="8" t="n">
        <v>135</v>
      </c>
      <c r="H37" s="8" t="n">
        <v>6415</v>
      </c>
      <c r="I37" s="8" t="n">
        <v>52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36</v>
      </c>
      <c r="B38" s="1" t="n">
        <v>43898</v>
      </c>
      <c r="C38" s="6" t="n">
        <v>7041</v>
      </c>
      <c r="D38" s="6" t="n">
        <v>448</v>
      </c>
      <c r="E38" s="6" t="n">
        <v>48</v>
      </c>
      <c r="F38" s="6" t="n">
        <v>5</v>
      </c>
      <c r="G38" s="6" t="n">
        <v>118</v>
      </c>
      <c r="H38" s="6" t="n">
        <v>6875</v>
      </c>
      <c r="I38" s="6" t="n">
        <v>36</v>
      </c>
      <c r="J38" s="6" t="n">
        <v>137.3</v>
      </c>
      <c r="K38" s="6"/>
      <c r="L38" s="6"/>
      <c r="M38" s="6"/>
    </row>
    <row r="39" customFormat="false" ht="15.75" hidden="false" customHeight="false" outlineLevel="0" collapsed="false">
      <c r="A39" s="0" t="s">
        <v>36</v>
      </c>
      <c r="B39" s="1" t="n">
        <v>43899</v>
      </c>
      <c r="C39" s="6" t="n">
        <v>7313</v>
      </c>
      <c r="D39" s="6" t="n">
        <v>272</v>
      </c>
      <c r="E39" s="6" t="n">
        <v>50</v>
      </c>
      <c r="F39" s="6" t="n">
        <v>2</v>
      </c>
      <c r="G39" s="6" t="n">
        <v>130</v>
      </c>
      <c r="H39" s="6" t="n">
        <v>7133</v>
      </c>
      <c r="I39" s="6" t="n">
        <v>36</v>
      </c>
      <c r="J39" s="6" t="n">
        <v>142.6</v>
      </c>
      <c r="K39" s="6"/>
      <c r="L39" s="6"/>
      <c r="M39" s="6"/>
    </row>
    <row r="40" customFormat="false" ht="15.75" hidden="false" customHeight="false" outlineLevel="0" collapsed="false">
      <c r="A40" s="0" t="s">
        <v>36</v>
      </c>
      <c r="B40" s="1" t="n">
        <v>43900</v>
      </c>
      <c r="C40" s="6" t="n">
        <v>7478</v>
      </c>
      <c r="D40" s="6" t="n">
        <v>165</v>
      </c>
      <c r="E40" s="6" t="n">
        <v>53</v>
      </c>
      <c r="F40" s="6" t="n">
        <v>3</v>
      </c>
      <c r="G40" s="6" t="n">
        <v>166</v>
      </c>
      <c r="H40" s="6" t="n">
        <v>7259</v>
      </c>
      <c r="I40" s="6" t="n">
        <v>36</v>
      </c>
      <c r="J40" s="6" t="n">
        <v>145.9</v>
      </c>
      <c r="K40" s="6"/>
      <c r="L40" s="6"/>
      <c r="M40" s="6"/>
    </row>
    <row r="41" customFormat="false" ht="15.75" hidden="false" customHeight="false" outlineLevel="0" collapsed="false">
      <c r="A41" s="0" t="s">
        <v>36</v>
      </c>
      <c r="B41" s="1" t="n">
        <v>43901</v>
      </c>
      <c r="C41" s="6" t="n">
        <v>7513</v>
      </c>
      <c r="D41" s="6" t="n">
        <v>35</v>
      </c>
      <c r="E41" s="6" t="n">
        <v>58</v>
      </c>
      <c r="F41" s="6" t="n">
        <v>5</v>
      </c>
      <c r="G41" s="6" t="n">
        <v>247</v>
      </c>
      <c r="H41" s="6" t="n">
        <v>7208</v>
      </c>
      <c r="I41" s="6" t="n">
        <v>54</v>
      </c>
      <c r="J41" s="6" t="n">
        <v>146.5</v>
      </c>
      <c r="K41" s="6"/>
      <c r="L41" s="6"/>
      <c r="M41" s="6"/>
    </row>
    <row r="42" customFormat="false" ht="15.75" hidden="false" customHeight="false" outlineLevel="0" collapsed="false">
      <c r="A42" s="0" t="s">
        <v>36</v>
      </c>
      <c r="B42" s="1" t="n">
        <v>43902</v>
      </c>
      <c r="C42" s="6" t="n">
        <v>7755</v>
      </c>
      <c r="D42" s="6" t="n">
        <v>242</v>
      </c>
      <c r="E42" s="6" t="n">
        <v>60</v>
      </c>
      <c r="F42" s="6" t="n">
        <v>2</v>
      </c>
      <c r="G42" s="6" t="n">
        <v>288</v>
      </c>
      <c r="H42" s="6" t="n">
        <v>7407</v>
      </c>
      <c r="I42" s="6" t="n">
        <v>54</v>
      </c>
      <c r="J42" s="6" t="n">
        <v>151.3</v>
      </c>
      <c r="K42" s="6"/>
      <c r="L42" s="6"/>
      <c r="M42" s="6"/>
    </row>
    <row r="43" customFormat="false" ht="15.75" hidden="false" customHeight="false" outlineLevel="0" collapsed="false">
      <c r="A43" s="0" t="s">
        <v>36</v>
      </c>
      <c r="B43" s="1" t="n">
        <v>43903</v>
      </c>
      <c r="C43" s="6" t="n">
        <v>7869</v>
      </c>
      <c r="D43" s="6" t="n">
        <v>114</v>
      </c>
      <c r="E43" s="6" t="n">
        <v>66</v>
      </c>
      <c r="F43" s="6" t="n">
        <v>6</v>
      </c>
      <c r="G43" s="6" t="n">
        <v>333</v>
      </c>
      <c r="H43" s="6" t="n">
        <v>7470</v>
      </c>
      <c r="I43" s="6" t="n">
        <v>93</v>
      </c>
      <c r="J43" s="6" t="n">
        <v>153.5</v>
      </c>
      <c r="K43" s="6"/>
      <c r="L43" s="6"/>
      <c r="M43" s="6"/>
    </row>
    <row r="44" customFormat="false" ht="15.75" hidden="false" customHeight="false" outlineLevel="0" collapsed="false">
      <c r="A44" s="0" t="s">
        <v>36</v>
      </c>
      <c r="B44" s="1" t="n">
        <v>43904</v>
      </c>
      <c r="C44" s="6" t="n">
        <v>7979</v>
      </c>
      <c r="D44" s="6" t="n">
        <v>110</v>
      </c>
      <c r="E44" s="6" t="n">
        <v>71</v>
      </c>
      <c r="F44" s="6" t="n">
        <v>5</v>
      </c>
      <c r="G44" s="6" t="n">
        <v>510</v>
      </c>
      <c r="H44" s="6" t="n">
        <v>7398</v>
      </c>
      <c r="I44" s="6" t="n">
        <v>93</v>
      </c>
      <c r="J44" s="6" t="n">
        <v>155.6</v>
      </c>
      <c r="K44" s="6"/>
      <c r="L44" s="6"/>
      <c r="M44" s="6"/>
    </row>
    <row r="45" customFormat="false" ht="15.75" hidden="false" customHeight="false" outlineLevel="0" collapsed="false">
      <c r="A45" s="0" t="s">
        <v>36</v>
      </c>
      <c r="B45" s="1" t="n">
        <v>43905</v>
      </c>
      <c r="C45" s="6" t="n">
        <v>8086</v>
      </c>
      <c r="D45" s="6" t="n">
        <v>107</v>
      </c>
      <c r="E45" s="6" t="n">
        <v>72</v>
      </c>
      <c r="F45" s="6" t="n">
        <v>1</v>
      </c>
      <c r="G45" s="6" t="n">
        <v>714</v>
      </c>
      <c r="H45" s="6" t="n">
        <v>7300</v>
      </c>
      <c r="I45" s="6" t="n">
        <v>59</v>
      </c>
      <c r="J45" s="6" t="n">
        <v>157.7</v>
      </c>
      <c r="K45" s="6"/>
      <c r="L45" s="6"/>
      <c r="M45" s="6"/>
    </row>
    <row r="46" customFormat="false" ht="15.75" hidden="false" customHeight="false" outlineLevel="0" collapsed="false">
      <c r="A46" s="0" t="s">
        <v>36</v>
      </c>
      <c r="B46" s="1" t="n">
        <v>43906</v>
      </c>
      <c r="C46" s="6" t="n">
        <v>8162</v>
      </c>
      <c r="D46" s="6" t="n">
        <v>76</v>
      </c>
      <c r="E46" s="6" t="n">
        <v>75</v>
      </c>
      <c r="F46" s="6" t="n">
        <v>3</v>
      </c>
      <c r="G46" s="6" t="n">
        <v>834</v>
      </c>
      <c r="H46" s="6" t="n">
        <v>7253</v>
      </c>
      <c r="I46" s="6" t="n">
        <v>59</v>
      </c>
      <c r="J46" s="6" t="n">
        <v>159.2</v>
      </c>
      <c r="K46" s="6"/>
      <c r="L46" s="6"/>
      <c r="M46" s="6"/>
    </row>
    <row r="47" customFormat="false" ht="15.75" hidden="false" customHeight="false" outlineLevel="0" collapsed="false">
      <c r="A47" s="0" t="s">
        <v>36</v>
      </c>
      <c r="B47" s="1" t="n">
        <v>43907</v>
      </c>
      <c r="C47" s="6" t="n">
        <v>8236</v>
      </c>
      <c r="D47" s="6" t="n">
        <v>74</v>
      </c>
      <c r="E47" s="6" t="n">
        <v>75</v>
      </c>
      <c r="F47" s="6" t="n">
        <v>0</v>
      </c>
      <c r="G47" s="6" t="n">
        <v>1137</v>
      </c>
      <c r="H47" s="6" t="n">
        <v>7024</v>
      </c>
      <c r="I47" s="6" t="n">
        <v>59</v>
      </c>
      <c r="J47" s="6" t="n">
        <v>160.6</v>
      </c>
      <c r="K47" s="6"/>
      <c r="L47" s="6"/>
      <c r="M47" s="6"/>
    </row>
    <row r="48" customFormat="false" ht="15.75" hidden="false" customHeight="false" outlineLevel="0" collapsed="false">
      <c r="A48" s="0" t="s">
        <v>36</v>
      </c>
      <c r="B48" s="1" t="n">
        <v>43908</v>
      </c>
      <c r="C48" s="6" t="n">
        <v>8320</v>
      </c>
      <c r="D48" s="6" t="n">
        <v>84</v>
      </c>
      <c r="E48" s="6" t="n">
        <v>81</v>
      </c>
      <c r="F48" s="6" t="n">
        <v>6</v>
      </c>
      <c r="G48" s="6" t="n">
        <v>1401</v>
      </c>
      <c r="H48" s="6" t="n">
        <v>6838</v>
      </c>
      <c r="I48" s="6" t="n">
        <v>59</v>
      </c>
      <c r="J48" s="6" t="n">
        <v>162.3</v>
      </c>
      <c r="K48" s="6"/>
      <c r="L48" s="6"/>
      <c r="M48" s="6"/>
    </row>
    <row r="49" customFormat="false" ht="15.75" hidden="false" customHeight="false" outlineLevel="0" collapsed="false">
      <c r="A49" s="0" t="s">
        <v>36</v>
      </c>
      <c r="B49" s="1" t="n">
        <v>43909</v>
      </c>
      <c r="C49" s="6" t="n">
        <v>8413</v>
      </c>
      <c r="D49" s="6" t="n">
        <v>93</v>
      </c>
      <c r="E49" s="6" t="n">
        <v>84</v>
      </c>
      <c r="F49" s="6" t="n">
        <v>3</v>
      </c>
      <c r="G49" s="6" t="n">
        <v>1540</v>
      </c>
      <c r="H49" s="6" t="n">
        <v>6789</v>
      </c>
      <c r="I49" s="6" t="n">
        <v>59</v>
      </c>
      <c r="J49" s="6" t="n">
        <v>164</v>
      </c>
      <c r="K49" s="6"/>
      <c r="L49" s="6"/>
      <c r="M49" s="6"/>
    </row>
    <row r="50" customFormat="false" ht="15.75" hidden="false" customHeight="false" outlineLevel="0" collapsed="false">
      <c r="A50" s="0" t="s">
        <v>36</v>
      </c>
      <c r="B50" s="1" t="n">
        <v>43910</v>
      </c>
      <c r="C50" s="6" t="n">
        <v>8565</v>
      </c>
      <c r="D50" s="6" t="n">
        <v>152</v>
      </c>
      <c r="E50" s="6" t="n">
        <v>91</v>
      </c>
      <c r="F50" s="6" t="n">
        <v>7</v>
      </c>
      <c r="G50" s="6" t="n">
        <v>1947</v>
      </c>
      <c r="H50" s="6" t="n">
        <v>6527</v>
      </c>
      <c r="I50" s="6" t="n">
        <v>59</v>
      </c>
      <c r="J50" s="6" t="n">
        <v>167</v>
      </c>
      <c r="K50" s="6"/>
      <c r="L50" s="6"/>
      <c r="M50" s="6"/>
    </row>
    <row r="51" customFormat="false" ht="15.75" hidden="false" customHeight="false" outlineLevel="0" collapsed="false">
      <c r="A51" s="0" t="s">
        <v>36</v>
      </c>
      <c r="B51" s="1" t="n">
        <v>43911</v>
      </c>
      <c r="C51" s="6" t="n">
        <v>8652</v>
      </c>
      <c r="D51" s="6" t="n">
        <v>87</v>
      </c>
      <c r="E51" s="6" t="n">
        <v>102</v>
      </c>
      <c r="F51" s="6" t="n">
        <v>11</v>
      </c>
      <c r="G51" s="6" t="n">
        <v>2612</v>
      </c>
      <c r="H51" s="6" t="n">
        <v>6085</v>
      </c>
      <c r="I51" s="6" t="n">
        <v>59</v>
      </c>
      <c r="J51" s="6" t="n">
        <v>172</v>
      </c>
      <c r="K51" s="6"/>
      <c r="L51" s="6"/>
      <c r="M51" s="6"/>
    </row>
    <row r="52" customFormat="false" ht="15.75" hidden="false" customHeight="false" outlineLevel="0" collapsed="false">
      <c r="A52" s="0" t="s">
        <v>36</v>
      </c>
      <c r="B52" s="1" t="n">
        <v>43912</v>
      </c>
      <c r="C52" s="6" t="n">
        <v>8799</v>
      </c>
      <c r="D52" s="6" t="n">
        <v>147</v>
      </c>
      <c r="E52" s="6" t="n">
        <v>102</v>
      </c>
      <c r="F52" s="6" t="n">
        <v>0</v>
      </c>
      <c r="G52" s="6" t="n">
        <v>2612</v>
      </c>
      <c r="H52" s="6" t="n">
        <v>6085</v>
      </c>
      <c r="I52" s="6" t="n">
        <v>59</v>
      </c>
      <c r="J52" s="6" t="n">
        <v>172</v>
      </c>
      <c r="K52" s="6"/>
      <c r="L52" s="6"/>
      <c r="M52" s="6"/>
    </row>
    <row r="53" customFormat="false" ht="15.75" hidden="false" customHeight="false" outlineLevel="0" collapsed="false">
      <c r="A53" s="0" t="s">
        <v>36</v>
      </c>
      <c r="B53" s="1" t="n">
        <v>43913</v>
      </c>
      <c r="C53" s="6" t="n">
        <v>8897</v>
      </c>
      <c r="D53" s="6" t="n">
        <v>98</v>
      </c>
      <c r="E53" s="6" t="n">
        <v>104</v>
      </c>
      <c r="F53" s="6" t="n">
        <v>2</v>
      </c>
      <c r="G53" s="6" t="n">
        <v>2909</v>
      </c>
      <c r="H53" s="6" t="n">
        <v>5884</v>
      </c>
      <c r="I53" s="6" t="n">
        <v>59</v>
      </c>
      <c r="J53" s="6" t="n">
        <v>174</v>
      </c>
      <c r="K53" s="6"/>
      <c r="L53" s="6"/>
      <c r="M53" s="6"/>
    </row>
    <row r="54" customFormat="false" ht="15.75" hidden="false" customHeight="false" outlineLevel="0" collapsed="false">
      <c r="A54" s="0" t="s">
        <v>36</v>
      </c>
      <c r="B54" s="1" t="n">
        <v>43914</v>
      </c>
      <c r="C54" s="6" t="n">
        <v>8961</v>
      </c>
      <c r="D54" s="6" t="n">
        <v>64</v>
      </c>
      <c r="E54" s="6" t="n">
        <v>111</v>
      </c>
      <c r="F54" s="6" t="n">
        <v>7</v>
      </c>
      <c r="G54" s="6" t="n">
        <v>3166</v>
      </c>
      <c r="H54" s="6" t="n">
        <v>5684</v>
      </c>
      <c r="I54" s="6" t="n">
        <v>59</v>
      </c>
      <c r="J54" s="6" t="n">
        <v>175</v>
      </c>
      <c r="K54" s="6"/>
      <c r="L54" s="6"/>
      <c r="M54" s="6"/>
    </row>
    <row r="55" customFormat="false" ht="15.75" hidden="false" customHeight="false" outlineLevel="0" collapsed="false">
      <c r="A55" s="0" t="s">
        <v>36</v>
      </c>
      <c r="B55" s="1" t="n">
        <v>43915</v>
      </c>
      <c r="C55" s="7" t="n">
        <v>9037</v>
      </c>
      <c r="D55" s="7" t="n">
        <v>76</v>
      </c>
      <c r="E55" s="7" t="n">
        <v>120</v>
      </c>
      <c r="F55" s="7" t="n">
        <v>9</v>
      </c>
      <c r="G55" s="7" t="n">
        <v>3507</v>
      </c>
      <c r="H55" s="7" t="n">
        <v>5410</v>
      </c>
      <c r="I55" s="7" t="n">
        <v>59</v>
      </c>
      <c r="J55" s="7" t="n">
        <v>176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36</v>
      </c>
      <c r="B56" s="1" t="n">
        <v>43916</v>
      </c>
      <c r="C56" s="7" t="n">
        <v>9137</v>
      </c>
      <c r="D56" s="7" t="n">
        <v>100</v>
      </c>
      <c r="E56" s="7" t="n">
        <v>126</v>
      </c>
      <c r="F56" s="7" t="n">
        <v>6</v>
      </c>
      <c r="G56" s="7" t="n">
        <v>3730</v>
      </c>
      <c r="H56" s="7" t="n">
        <v>5281</v>
      </c>
      <c r="I56" s="7" t="n">
        <v>59</v>
      </c>
      <c r="J56" s="7" t="n">
        <v>178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36</v>
      </c>
      <c r="B57" s="1" t="n">
        <v>43917</v>
      </c>
      <c r="C57" s="7" t="n">
        <v>9241</v>
      </c>
      <c r="D57" s="7" t="n">
        <v>104</v>
      </c>
      <c r="E57" s="7" t="n">
        <v>131</v>
      </c>
      <c r="F57" s="7" t="n">
        <v>5</v>
      </c>
      <c r="G57" s="7" t="n">
        <v>4144</v>
      </c>
      <c r="H57" s="7" t="n">
        <v>4966</v>
      </c>
      <c r="I57" s="7" t="n">
        <v>59</v>
      </c>
      <c r="J57" s="7" t="n">
        <v>180</v>
      </c>
      <c r="K57" s="7" t="n">
        <v>3</v>
      </c>
      <c r="L57" s="7"/>
      <c r="M57" s="7"/>
    </row>
    <row r="58" customFormat="false" ht="15.75" hidden="false" customHeight="false" outlineLevel="0" collapsed="false">
      <c r="A58" s="0" t="s">
        <v>36</v>
      </c>
      <c r="B58" s="1" t="n">
        <v>43918</v>
      </c>
      <c r="C58" s="7" t="n">
        <v>9332</v>
      </c>
      <c r="D58" s="7" t="n">
        <v>91</v>
      </c>
      <c r="E58" s="7" t="n">
        <v>139</v>
      </c>
      <c r="F58" s="7" t="n">
        <v>8</v>
      </c>
      <c r="G58" s="7" t="n">
        <v>4528</v>
      </c>
      <c r="H58" s="7" t="n">
        <v>4665</v>
      </c>
      <c r="I58" s="7" t="n">
        <v>59</v>
      </c>
      <c r="J58" s="7" t="n">
        <v>182</v>
      </c>
      <c r="K58" s="7" t="n">
        <v>3</v>
      </c>
      <c r="L58" s="7"/>
      <c r="M58" s="7"/>
    </row>
    <row r="59" customFormat="false" ht="15.75" hidden="false" customHeight="false" outlineLevel="0" collapsed="false">
      <c r="A59" s="0" t="s">
        <v>36</v>
      </c>
      <c r="B59" s="1" t="n">
        <v>43919</v>
      </c>
      <c r="C59" s="7" t="n">
        <v>9478</v>
      </c>
      <c r="D59" s="7" t="n">
        <v>146</v>
      </c>
      <c r="E59" s="7" t="n">
        <v>144</v>
      </c>
      <c r="F59" s="7" t="n">
        <v>5</v>
      </c>
      <c r="G59" s="7" t="n">
        <v>4811</v>
      </c>
      <c r="H59" s="7" t="n">
        <v>4523</v>
      </c>
      <c r="I59" s="7" t="n">
        <v>59</v>
      </c>
      <c r="J59" s="7" t="n">
        <v>185</v>
      </c>
      <c r="K59" s="7" t="n">
        <v>3</v>
      </c>
      <c r="L59" s="7"/>
      <c r="M59" s="7"/>
    </row>
    <row r="60" customFormat="false" ht="15.75" hidden="false" customHeight="false" outlineLevel="0" collapsed="false">
      <c r="A60" s="0" t="s">
        <v>36</v>
      </c>
      <c r="B60" s="1" t="n">
        <v>43920</v>
      </c>
      <c r="C60" s="7" t="n">
        <v>9583</v>
      </c>
      <c r="D60" s="7" t="n">
        <v>105</v>
      </c>
      <c r="E60" s="7" t="n">
        <v>152</v>
      </c>
      <c r="F60" s="7" t="n">
        <v>8</v>
      </c>
      <c r="G60" s="7" t="n">
        <v>5033</v>
      </c>
      <c r="H60" s="7" t="n">
        <v>4398</v>
      </c>
      <c r="I60" s="7" t="n">
        <v>59</v>
      </c>
      <c r="J60" s="7" t="n">
        <v>187</v>
      </c>
      <c r="K60" s="7" t="n">
        <v>3</v>
      </c>
      <c r="L60" s="7"/>
      <c r="M60" s="7"/>
    </row>
    <row r="61" customFormat="false" ht="15.75" hidden="false" customHeight="false" outlineLevel="0" collapsed="false">
      <c r="A61" s="0" t="s">
        <v>36</v>
      </c>
      <c r="B61" s="1" t="n">
        <v>43921</v>
      </c>
      <c r="C61" s="7" t="n">
        <v>9661</v>
      </c>
      <c r="D61" s="7" t="n">
        <v>78</v>
      </c>
      <c r="E61" s="7" t="n">
        <v>158</v>
      </c>
      <c r="F61" s="7" t="n">
        <v>6</v>
      </c>
      <c r="G61" s="7" t="n">
        <v>5228</v>
      </c>
      <c r="H61" s="7" t="n">
        <v>4275</v>
      </c>
      <c r="I61" s="7" t="n">
        <v>59</v>
      </c>
      <c r="J61" s="7" t="n">
        <v>188</v>
      </c>
      <c r="K61" s="7" t="n">
        <v>3</v>
      </c>
      <c r="L61" s="7"/>
      <c r="M61" s="7"/>
    </row>
    <row r="62" customFormat="false" ht="15.75" hidden="false" customHeight="false" outlineLevel="0" collapsed="false">
      <c r="A62" s="0" t="s">
        <v>36</v>
      </c>
      <c r="B62" s="1" t="n">
        <v>43922</v>
      </c>
      <c r="C62" s="7" t="n">
        <v>9786</v>
      </c>
      <c r="D62" s="7" t="n">
        <v>125</v>
      </c>
      <c r="E62" s="7" t="n">
        <v>162</v>
      </c>
      <c r="F62" s="7" t="n">
        <v>4</v>
      </c>
      <c r="G62" s="7" t="n">
        <v>5408</v>
      </c>
      <c r="H62" s="7" t="n">
        <v>4216</v>
      </c>
      <c r="I62" s="7" t="n">
        <v>55</v>
      </c>
      <c r="J62" s="7" t="n">
        <v>191</v>
      </c>
      <c r="K62" s="7" t="n">
        <v>3</v>
      </c>
      <c r="L62" s="7"/>
      <c r="M62" s="7"/>
    </row>
    <row r="63" customFormat="false" ht="15.75" hidden="false" customHeight="false" outlineLevel="0" collapsed="false">
      <c r="A63" s="0" t="s">
        <v>36</v>
      </c>
      <c r="B63" s="1" t="n">
        <v>43923</v>
      </c>
      <c r="C63" s="7" t="n">
        <v>9887</v>
      </c>
      <c r="D63" s="7" t="n">
        <v>101</v>
      </c>
      <c r="E63" s="7" t="n">
        <v>165</v>
      </c>
      <c r="F63" s="7" t="n">
        <v>3</v>
      </c>
      <c r="G63" s="7" t="n">
        <v>5567</v>
      </c>
      <c r="H63" s="7" t="n">
        <v>4155</v>
      </c>
      <c r="I63" s="7" t="n">
        <v>55</v>
      </c>
      <c r="J63" s="7" t="n">
        <v>193</v>
      </c>
      <c r="K63" s="7" t="n">
        <v>3</v>
      </c>
      <c r="L63" s="7"/>
      <c r="M63" s="7"/>
    </row>
    <row r="64" customFormat="false" ht="15.75" hidden="false" customHeight="false" outlineLevel="0" collapsed="false">
      <c r="A64" s="0" t="s">
        <v>36</v>
      </c>
      <c r="B64" s="1" t="n">
        <v>43924</v>
      </c>
      <c r="C64" s="7" t="n">
        <v>9976</v>
      </c>
      <c r="D64" s="7" t="n">
        <v>89</v>
      </c>
      <c r="E64" s="7" t="n">
        <v>169</v>
      </c>
      <c r="F64" s="7" t="n">
        <v>4</v>
      </c>
      <c r="G64" s="7" t="n">
        <v>5828</v>
      </c>
      <c r="H64" s="7" t="n">
        <v>3979</v>
      </c>
      <c r="I64" s="7" t="n">
        <v>55</v>
      </c>
      <c r="J64" s="7" t="n">
        <v>195</v>
      </c>
      <c r="K64" s="7" t="n">
        <v>3</v>
      </c>
      <c r="L64" s="7"/>
      <c r="M64" s="7"/>
    </row>
    <row r="65" customFormat="false" ht="15.75" hidden="false" customHeight="false" outlineLevel="0" collapsed="false">
      <c r="A65" s="0" t="s">
        <v>36</v>
      </c>
      <c r="B65" s="1" t="n">
        <v>43925</v>
      </c>
      <c r="C65" s="7" t="n">
        <v>10062</v>
      </c>
      <c r="D65" s="7" t="n">
        <v>86</v>
      </c>
      <c r="E65" s="7" t="n">
        <v>174</v>
      </c>
      <c r="F65" s="7" t="n">
        <v>5</v>
      </c>
      <c r="G65" s="7" t="n">
        <v>6021</v>
      </c>
      <c r="H65" s="7" t="n">
        <v>3867</v>
      </c>
      <c r="I65" s="7" t="n">
        <v>55</v>
      </c>
      <c r="J65" s="7" t="n">
        <v>196</v>
      </c>
      <c r="K65" s="7" t="n">
        <v>3</v>
      </c>
      <c r="L65" s="7"/>
      <c r="M65" s="7"/>
    </row>
    <row r="66" customFormat="false" ht="15.75" hidden="false" customHeight="false" outlineLevel="0" collapsed="false">
      <c r="A66" s="0" t="s">
        <v>36</v>
      </c>
      <c r="B66" s="1" t="n">
        <v>43926</v>
      </c>
      <c r="C66" s="7" t="n">
        <v>10156</v>
      </c>
      <c r="D66" s="7" t="n">
        <v>94</v>
      </c>
      <c r="E66" s="7" t="n">
        <v>177</v>
      </c>
      <c r="F66" s="7" t="n">
        <v>3</v>
      </c>
      <c r="G66" s="7" t="n">
        <v>6325</v>
      </c>
      <c r="H66" s="7" t="n">
        <v>3654</v>
      </c>
      <c r="I66" s="7" t="n">
        <v>55</v>
      </c>
      <c r="J66" s="7" t="n">
        <v>198</v>
      </c>
      <c r="K66" s="7" t="n">
        <v>3</v>
      </c>
      <c r="L66" s="7" t="n">
        <v>455032</v>
      </c>
      <c r="M66" s="7" t="n">
        <v>8875</v>
      </c>
    </row>
    <row r="67" customFormat="false" ht="15.75" hidden="false" customHeight="false" outlineLevel="0" collapsed="false">
      <c r="A67" s="0" t="s">
        <v>36</v>
      </c>
      <c r="B67" s="1" t="n">
        <v>43927</v>
      </c>
      <c r="C67" s="7" t="n">
        <v>10237</v>
      </c>
      <c r="D67" s="7" t="n">
        <v>81</v>
      </c>
      <c r="E67" s="7" t="n">
        <v>183</v>
      </c>
      <c r="F67" s="7" t="n">
        <v>6</v>
      </c>
      <c r="G67" s="7" t="n">
        <v>6463</v>
      </c>
      <c r="H67" s="7" t="n">
        <v>3591</v>
      </c>
      <c r="I67" s="7" t="n">
        <v>55</v>
      </c>
      <c r="J67" s="7" t="n">
        <v>200</v>
      </c>
      <c r="K67" s="7" t="n">
        <v>4</v>
      </c>
      <c r="L67" s="7" t="n">
        <v>461233</v>
      </c>
      <c r="M67" s="7" t="n">
        <v>8996</v>
      </c>
    </row>
    <row r="68" customFormat="false" ht="15.75" hidden="false" customHeight="false" outlineLevel="0" collapsed="false">
      <c r="A68" s="0" t="s">
        <v>36</v>
      </c>
      <c r="B68" s="1" t="n">
        <v>43928</v>
      </c>
      <c r="C68" s="12" t="n">
        <v>10284</v>
      </c>
      <c r="D68" s="12" t="n">
        <v>47</v>
      </c>
      <c r="E68" s="12" t="n">
        <v>186</v>
      </c>
      <c r="F68" s="12" t="n">
        <v>3</v>
      </c>
      <c r="G68" s="12" t="n">
        <v>6598</v>
      </c>
      <c r="H68" s="12" t="n">
        <v>3500</v>
      </c>
      <c r="I68" s="12" t="n">
        <v>55</v>
      </c>
      <c r="J68" s="12" t="n">
        <v>201</v>
      </c>
      <c r="K68" s="12" t="n">
        <v>4</v>
      </c>
      <c r="L68" s="12" t="n">
        <v>461233</v>
      </c>
      <c r="M68" s="12" t="n">
        <v>8996</v>
      </c>
    </row>
    <row r="69" customFormat="false" ht="15.75" hidden="false" customHeight="false" outlineLevel="0" collapsed="false">
      <c r="A69" s="0" t="s">
        <v>36</v>
      </c>
      <c r="B69" s="1" t="n">
        <v>43929</v>
      </c>
      <c r="C69" s="14" t="n">
        <v>10331</v>
      </c>
      <c r="D69" s="14" t="n">
        <v>47</v>
      </c>
      <c r="E69" s="14" t="n">
        <v>192</v>
      </c>
      <c r="F69" s="14" t="n">
        <v>6</v>
      </c>
      <c r="G69" s="14" t="n">
        <v>6694</v>
      </c>
      <c r="H69" s="14" t="n">
        <v>3445</v>
      </c>
      <c r="I69" s="14" t="n">
        <v>55</v>
      </c>
      <c r="J69" s="14" t="n">
        <v>202</v>
      </c>
      <c r="K69" s="14" t="n">
        <v>4</v>
      </c>
      <c r="L69" s="7" t="n">
        <v>477304</v>
      </c>
      <c r="M69" s="14" t="n">
        <v>9310</v>
      </c>
    </row>
    <row r="70" customFormat="false" ht="15.75" hidden="false" customHeight="false" outlineLevel="0" collapsed="false">
      <c r="A70" s="0" t="s">
        <v>36</v>
      </c>
      <c r="B70" s="1" t="n">
        <v>43930</v>
      </c>
      <c r="C70" s="14" t="n">
        <v>10384</v>
      </c>
      <c r="D70" s="14" t="n">
        <v>53</v>
      </c>
      <c r="E70" s="14" t="n">
        <v>200</v>
      </c>
      <c r="F70" s="14" t="n">
        <v>8</v>
      </c>
      <c r="G70" s="14" t="n">
        <v>6776</v>
      </c>
      <c r="H70" s="14" t="n">
        <v>3408</v>
      </c>
      <c r="I70" s="14" t="n">
        <v>55</v>
      </c>
      <c r="J70" s="14" t="n">
        <v>203</v>
      </c>
      <c r="K70" s="14" t="n">
        <v>4</v>
      </c>
      <c r="L70" s="14" t="n">
        <v>477304</v>
      </c>
      <c r="M70" s="14" t="n">
        <v>9310</v>
      </c>
    </row>
    <row r="71" customFormat="false" ht="15.75" hidden="false" customHeight="false" outlineLevel="0" collapsed="false">
      <c r="A71" s="0" t="s">
        <v>36</v>
      </c>
      <c r="B71" s="1" t="n">
        <v>43931</v>
      </c>
      <c r="C71" s="14" t="n">
        <v>10423</v>
      </c>
      <c r="D71" s="14" t="n">
        <v>39</v>
      </c>
      <c r="E71" s="14" t="n">
        <v>204</v>
      </c>
      <c r="F71" s="14" t="n">
        <v>4</v>
      </c>
      <c r="G71" s="14" t="n">
        <v>6973</v>
      </c>
      <c r="H71" s="14" t="n">
        <v>3246</v>
      </c>
      <c r="I71" s="14" t="n">
        <v>55</v>
      </c>
      <c r="J71" s="14" t="n">
        <v>203</v>
      </c>
      <c r="K71" s="14" t="n">
        <v>4</v>
      </c>
      <c r="L71" s="14" t="n">
        <v>477304</v>
      </c>
      <c r="M71" s="14" t="n">
        <v>9310</v>
      </c>
    </row>
    <row r="72" customFormat="false" ht="15.75" hidden="false" customHeight="false" outlineLevel="0" collapsed="false">
      <c r="A72" s="0" t="s">
        <v>36</v>
      </c>
      <c r="B72" s="1" t="n">
        <v>43932</v>
      </c>
      <c r="C72" s="14" t="n">
        <v>10450</v>
      </c>
      <c r="D72" s="14" t="n">
        <v>27</v>
      </c>
      <c r="E72" s="14" t="n">
        <v>208</v>
      </c>
      <c r="F72" s="14" t="n">
        <v>4</v>
      </c>
      <c r="G72" s="14" t="n">
        <v>7117</v>
      </c>
      <c r="H72" s="14" t="n">
        <v>3125</v>
      </c>
      <c r="I72" s="14" t="n">
        <v>55</v>
      </c>
      <c r="J72" s="14" t="n">
        <v>204</v>
      </c>
      <c r="K72" s="14" t="n">
        <v>4</v>
      </c>
      <c r="L72" s="14" t="n">
        <v>503051</v>
      </c>
      <c r="M72" s="14" t="n">
        <v>9812</v>
      </c>
    </row>
    <row r="73" customFormat="false" ht="15.75" hidden="false" customHeight="false" outlineLevel="0" collapsed="false">
      <c r="A73" s="0" t="s">
        <v>36</v>
      </c>
      <c r="B73" s="1" t="n">
        <v>43933</v>
      </c>
      <c r="C73" s="14" t="n">
        <v>10480</v>
      </c>
      <c r="D73" s="14" t="n">
        <v>30</v>
      </c>
      <c r="E73" s="14" t="n">
        <v>211</v>
      </c>
      <c r="F73" s="14" t="n">
        <v>3</v>
      </c>
      <c r="G73" s="14" t="n">
        <v>7243</v>
      </c>
      <c r="H73" s="14" t="n">
        <v>3026</v>
      </c>
      <c r="I73" s="14" t="n">
        <v>55</v>
      </c>
      <c r="J73" s="14" t="n">
        <v>204</v>
      </c>
      <c r="K73" s="14" t="n">
        <v>4</v>
      </c>
      <c r="L73" s="14" t="n">
        <v>510479</v>
      </c>
      <c r="M73" s="14" t="n">
        <v>9957</v>
      </c>
    </row>
    <row r="74" customFormat="false" ht="15.75" hidden="false" customHeight="false" outlineLevel="0" collapsed="false">
      <c r="A74" s="0" t="s">
        <v>36</v>
      </c>
      <c r="B74" s="1" t="n">
        <v>43934</v>
      </c>
      <c r="C74" s="14" t="n">
        <v>10512</v>
      </c>
      <c r="D74" s="14" t="n">
        <v>32</v>
      </c>
      <c r="E74" s="14" t="n">
        <v>214</v>
      </c>
      <c r="F74" s="14" t="n">
        <v>3</v>
      </c>
      <c r="G74" s="14" t="n">
        <v>7368</v>
      </c>
      <c r="H74" s="14" t="n">
        <v>2930</v>
      </c>
      <c r="I74" s="14" t="n">
        <v>55</v>
      </c>
      <c r="J74" s="14" t="n">
        <v>205</v>
      </c>
      <c r="K74" s="14" t="n">
        <v>4</v>
      </c>
      <c r="L74" s="14" t="n">
        <v>514621</v>
      </c>
      <c r="M74" s="14" t="n">
        <v>10038</v>
      </c>
    </row>
    <row r="75" customFormat="false" ht="15.75" hidden="false" customHeight="false" outlineLevel="0" collapsed="false">
      <c r="A75" s="0" t="s">
        <v>36</v>
      </c>
      <c r="B75" s="1" t="n">
        <v>43935</v>
      </c>
      <c r="C75" s="14" t="n">
        <v>10537</v>
      </c>
      <c r="D75" s="14" t="n">
        <v>25</v>
      </c>
      <c r="E75" s="14" t="n">
        <v>217</v>
      </c>
      <c r="F75" s="14" t="n">
        <v>3</v>
      </c>
      <c r="G75" s="14" t="n">
        <v>7447</v>
      </c>
      <c r="H75" s="14" t="n">
        <v>2873</v>
      </c>
      <c r="I75" s="14" t="n">
        <v>55</v>
      </c>
      <c r="J75" s="14" t="n">
        <v>206</v>
      </c>
      <c r="K75" s="14" t="n">
        <v>4</v>
      </c>
      <c r="L75" s="14" t="n">
        <v>514621</v>
      </c>
      <c r="M75" s="14" t="n">
        <v>10038</v>
      </c>
    </row>
    <row r="76" customFormat="false" ht="15.75" hidden="false" customHeight="false" outlineLevel="0" collapsed="false">
      <c r="A76" s="0" t="s">
        <v>36</v>
      </c>
      <c r="B76" s="1" t="n">
        <v>43936</v>
      </c>
      <c r="C76" s="14" t="n">
        <v>10564</v>
      </c>
      <c r="D76" s="14" t="n">
        <v>27</v>
      </c>
      <c r="E76" s="14" t="n">
        <v>222</v>
      </c>
      <c r="F76" s="14" t="n">
        <v>5</v>
      </c>
      <c r="G76" s="14" t="n">
        <v>7534</v>
      </c>
      <c r="H76" s="14" t="n">
        <v>2808</v>
      </c>
      <c r="I76" s="14" t="n">
        <v>55</v>
      </c>
      <c r="J76" s="14" t="n">
        <v>206</v>
      </c>
      <c r="K76" s="14" t="n">
        <v>4</v>
      </c>
      <c r="L76" s="14" t="n">
        <v>527438</v>
      </c>
      <c r="M76" s="14" t="n">
        <v>10288</v>
      </c>
    </row>
    <row r="77" customFormat="false" ht="15.75" hidden="false" customHeight="false" outlineLevel="0" collapsed="false">
      <c r="A77" s="0" t="s">
        <v>36</v>
      </c>
      <c r="B77" s="1" t="n">
        <v>43937</v>
      </c>
      <c r="C77" s="14" t="n">
        <v>10591</v>
      </c>
      <c r="D77" s="14" t="n">
        <v>27</v>
      </c>
      <c r="E77" s="14" t="n">
        <v>225</v>
      </c>
      <c r="F77" s="14" t="n">
        <v>3</v>
      </c>
      <c r="G77" s="14" t="n">
        <v>7616</v>
      </c>
      <c r="H77" s="14" t="n">
        <v>2750</v>
      </c>
      <c r="I77" s="14" t="n">
        <v>55</v>
      </c>
      <c r="J77" s="14" t="n">
        <v>207</v>
      </c>
      <c r="K77" s="14" t="n">
        <v>4</v>
      </c>
      <c r="L77" s="14" t="n">
        <v>534552</v>
      </c>
      <c r="M77" s="14" t="n">
        <v>10426</v>
      </c>
    </row>
    <row r="78" customFormat="false" ht="15.75" hidden="false" customHeight="false" outlineLevel="0" collapsed="false">
      <c r="A78" s="0" t="s">
        <v>36</v>
      </c>
      <c r="B78" s="1" t="n">
        <v>43938</v>
      </c>
      <c r="C78" s="14" t="n">
        <v>10613</v>
      </c>
      <c r="D78" s="14" t="n">
        <v>22</v>
      </c>
      <c r="E78" s="14" t="n">
        <v>229</v>
      </c>
      <c r="F78" s="14" t="n">
        <v>4</v>
      </c>
      <c r="G78" s="14" t="n">
        <v>7757</v>
      </c>
      <c r="H78" s="14" t="n">
        <v>2627</v>
      </c>
      <c r="I78" s="14" t="n">
        <v>55</v>
      </c>
      <c r="J78" s="14" t="n">
        <v>207</v>
      </c>
      <c r="K78" s="14" t="n">
        <v>4</v>
      </c>
      <c r="L78" s="14" t="n">
        <v>538775</v>
      </c>
      <c r="M78" s="14" t="n">
        <v>10509</v>
      </c>
    </row>
    <row r="79" customFormat="false" ht="15.75" hidden="false" customHeight="false" outlineLevel="0" collapsed="false">
      <c r="A79" s="0" t="s">
        <v>36</v>
      </c>
      <c r="B79" s="1" t="n">
        <v>43939</v>
      </c>
      <c r="C79" s="14" t="n">
        <v>10635</v>
      </c>
      <c r="D79" s="14" t="n">
        <v>22</v>
      </c>
      <c r="E79" s="14" t="n">
        <v>230</v>
      </c>
      <c r="F79" s="14" t="n">
        <v>1</v>
      </c>
      <c r="G79" s="14" t="n">
        <v>7829</v>
      </c>
      <c r="H79" s="14" t="n">
        <v>2576</v>
      </c>
      <c r="I79" s="14" t="n">
        <v>55</v>
      </c>
      <c r="J79" s="14" t="n">
        <v>207</v>
      </c>
      <c r="K79" s="14" t="n">
        <v>4</v>
      </c>
      <c r="L79" s="14" t="n">
        <v>546463</v>
      </c>
      <c r="M79" s="14" t="n">
        <v>10659</v>
      </c>
    </row>
    <row r="80" customFormat="false" ht="15.75" hidden="false" customHeight="false" outlineLevel="0" collapsed="false">
      <c r="A80" s="0" t="s">
        <v>36</v>
      </c>
      <c r="B80" s="1" t="n">
        <v>43940</v>
      </c>
      <c r="C80" s="14" t="n">
        <v>10653</v>
      </c>
      <c r="D80" s="14" t="n">
        <v>18</v>
      </c>
      <c r="E80" s="14" t="n">
        <v>232</v>
      </c>
      <c r="F80" s="14" t="n">
        <v>2</v>
      </c>
      <c r="G80" s="14" t="n">
        <v>7937</v>
      </c>
      <c r="H80" s="14" t="n">
        <v>2484</v>
      </c>
      <c r="I80" s="14" t="n">
        <v>55</v>
      </c>
      <c r="J80" s="14" t="n">
        <v>208</v>
      </c>
      <c r="K80" s="14" t="n">
        <v>5</v>
      </c>
      <c r="L80" s="14" t="n">
        <v>546463</v>
      </c>
      <c r="M80" s="14" t="n">
        <v>10659</v>
      </c>
    </row>
    <row r="81" customFormat="false" ht="15.75" hidden="false" customHeight="false" outlineLevel="0" collapsed="false">
      <c r="A81" s="0" t="s">
        <v>36</v>
      </c>
      <c r="B81" s="1" t="n">
        <v>43941</v>
      </c>
      <c r="C81" s="14" t="n">
        <v>10661</v>
      </c>
      <c r="D81" s="14" t="n">
        <v>8</v>
      </c>
      <c r="E81" s="14" t="n">
        <v>234</v>
      </c>
      <c r="F81" s="14" t="n">
        <v>2</v>
      </c>
      <c r="G81" s="14" t="n">
        <v>8042</v>
      </c>
      <c r="H81" s="14" t="n">
        <v>2385</v>
      </c>
      <c r="I81" s="14" t="n">
        <v>55</v>
      </c>
      <c r="J81" s="14" t="n">
        <v>208</v>
      </c>
      <c r="K81" s="14" t="n">
        <v>5</v>
      </c>
      <c r="L81" s="14" t="n">
        <v>559109</v>
      </c>
      <c r="M81" s="14" t="n">
        <v>10905</v>
      </c>
    </row>
    <row r="82" customFormat="false" ht="15.75" hidden="false" customHeight="false" outlineLevel="0" collapsed="false">
      <c r="A82" s="0" t="s">
        <v>36</v>
      </c>
      <c r="B82" s="1" t="n">
        <v>43942</v>
      </c>
      <c r="C82" s="6" t="n">
        <v>10674</v>
      </c>
      <c r="D82" s="6" t="n">
        <v>13</v>
      </c>
      <c r="E82" s="6" t="n">
        <v>236</v>
      </c>
      <c r="F82" s="6" t="n">
        <v>2</v>
      </c>
      <c r="G82" s="6" t="n">
        <v>8114</v>
      </c>
      <c r="H82" s="6" t="n">
        <v>2324</v>
      </c>
      <c r="I82" s="6" t="n">
        <v>55</v>
      </c>
      <c r="J82" s="6" t="n">
        <v>208</v>
      </c>
      <c r="K82" s="6" t="n">
        <v>5</v>
      </c>
      <c r="L82" s="6" t="n">
        <v>563035</v>
      </c>
      <c r="M82" s="6" t="n">
        <v>10982</v>
      </c>
    </row>
    <row r="83" customFormat="false" ht="15.75" hidden="false" customHeight="false" outlineLevel="0" collapsed="false">
      <c r="A83" s="0" t="s">
        <v>36</v>
      </c>
      <c r="B83" s="1" t="n">
        <v>43943</v>
      </c>
      <c r="C83" s="6" t="n">
        <v>10683</v>
      </c>
      <c r="D83" s="6" t="n">
        <v>9</v>
      </c>
      <c r="E83" s="6" t="n">
        <v>237</v>
      </c>
      <c r="F83" s="6" t="n">
        <v>1</v>
      </c>
      <c r="G83" s="6" t="n">
        <v>8213</v>
      </c>
      <c r="H83" s="6" t="n">
        <v>2233</v>
      </c>
      <c r="I83" s="6" t="n">
        <v>55</v>
      </c>
      <c r="J83" s="6" t="n">
        <v>208</v>
      </c>
      <c r="K83" s="6" t="n">
        <v>5</v>
      </c>
      <c r="L83" s="6" t="n">
        <v>571014</v>
      </c>
      <c r="M83" s="6" t="n">
        <v>11138</v>
      </c>
    </row>
    <row r="84" customFormat="false" ht="15.75" hidden="false" customHeight="false" outlineLevel="0" collapsed="false">
      <c r="A84" s="0" t="s">
        <v>36</v>
      </c>
      <c r="B84" s="1" t="n">
        <v>43944</v>
      </c>
      <c r="C84" s="6" t="n">
        <v>10694</v>
      </c>
      <c r="D84" s="6" t="n">
        <v>11</v>
      </c>
      <c r="E84" s="6" t="n">
        <v>238</v>
      </c>
      <c r="F84" s="6" t="n">
        <v>1</v>
      </c>
      <c r="G84" s="6" t="n">
        <v>8277</v>
      </c>
      <c r="H84" s="6" t="n">
        <v>2179</v>
      </c>
      <c r="I84" s="6" t="n">
        <v>55</v>
      </c>
      <c r="J84" s="6" t="n">
        <v>209</v>
      </c>
      <c r="K84" s="6" t="n">
        <v>5</v>
      </c>
      <c r="L84" s="6" t="n">
        <v>577959</v>
      </c>
      <c r="M84" s="6" t="n">
        <v>11273</v>
      </c>
    </row>
    <row r="85" customFormat="false" ht="15.75" hidden="false" customHeight="false" outlineLevel="0" collapsed="false">
      <c r="A85" s="0" t="s">
        <v>36</v>
      </c>
      <c r="B85" s="1" t="n">
        <v>43945</v>
      </c>
      <c r="C85" s="6" t="n">
        <v>10702</v>
      </c>
      <c r="D85" s="6" t="n">
        <v>8</v>
      </c>
      <c r="E85" s="6" t="n">
        <v>240</v>
      </c>
      <c r="F85" s="6" t="n">
        <v>2</v>
      </c>
      <c r="G85" s="6" t="n">
        <v>8411</v>
      </c>
      <c r="H85" s="6" t="n">
        <v>2051</v>
      </c>
      <c r="I85" s="6" t="n">
        <v>55</v>
      </c>
      <c r="J85" s="6" t="n">
        <v>209</v>
      </c>
      <c r="K85" s="6" t="n">
        <v>5</v>
      </c>
      <c r="L85" s="6" t="n">
        <v>583971</v>
      </c>
      <c r="M85" s="6" t="n">
        <v>11390</v>
      </c>
    </row>
    <row r="86" customFormat="false" ht="15.75" hidden="false" customHeight="false" outlineLevel="0" collapsed="false">
      <c r="A86" s="0" t="s">
        <v>36</v>
      </c>
      <c r="B86" s="1" t="n">
        <v>43946</v>
      </c>
      <c r="C86" s="6" t="n">
        <v>10708</v>
      </c>
      <c r="D86" s="6" t="n">
        <v>6</v>
      </c>
      <c r="E86" s="6" t="n">
        <v>240</v>
      </c>
      <c r="F86" s="6" t="n">
        <v>0</v>
      </c>
      <c r="G86" s="6" t="n">
        <v>8501</v>
      </c>
      <c r="H86" s="6" t="n">
        <v>1967</v>
      </c>
      <c r="I86" s="6" t="n">
        <v>55</v>
      </c>
      <c r="J86" s="6" t="n">
        <v>209</v>
      </c>
      <c r="K86" s="6" t="n">
        <v>5</v>
      </c>
      <c r="L86" s="6" t="n">
        <v>589520</v>
      </c>
      <c r="M86" s="6" t="n">
        <v>11499</v>
      </c>
    </row>
    <row r="87" customFormat="false" ht="15.75" hidden="false" customHeight="false" outlineLevel="0" collapsed="false">
      <c r="A87" s="0" t="s">
        <v>36</v>
      </c>
      <c r="B87" s="1" t="n">
        <v>43947</v>
      </c>
      <c r="C87" s="6" t="n">
        <v>10718</v>
      </c>
      <c r="D87" s="6" t="n">
        <v>10</v>
      </c>
      <c r="E87" s="6" t="n">
        <v>240</v>
      </c>
      <c r="F87" s="6" t="n">
        <v>0</v>
      </c>
      <c r="G87" s="6" t="n">
        <v>8635</v>
      </c>
      <c r="H87" s="6" t="n">
        <v>1843</v>
      </c>
      <c r="I87" s="6" t="n">
        <v>55</v>
      </c>
      <c r="J87" s="6" t="n">
        <v>209</v>
      </c>
      <c r="K87" s="6" t="n">
        <v>5</v>
      </c>
      <c r="L87" s="6" t="n">
        <v>595161</v>
      </c>
      <c r="M87" s="6" t="n">
        <v>11609</v>
      </c>
    </row>
    <row r="88" customFormat="false" ht="15.75" hidden="false" customHeight="false" outlineLevel="0" collapsed="false">
      <c r="A88" s="0" t="s">
        <v>36</v>
      </c>
      <c r="B88" s="1" t="n">
        <v>43948</v>
      </c>
      <c r="C88" s="6" t="n">
        <v>10728</v>
      </c>
      <c r="D88" s="6" t="n">
        <v>10</v>
      </c>
      <c r="E88" s="6" t="n">
        <v>242</v>
      </c>
      <c r="F88" s="6" t="n">
        <v>2</v>
      </c>
      <c r="G88" s="6" t="n">
        <v>8717</v>
      </c>
      <c r="H88" s="6" t="n">
        <v>1769</v>
      </c>
      <c r="I88" s="6" t="n">
        <v>55</v>
      </c>
      <c r="J88" s="6" t="n">
        <v>209</v>
      </c>
      <c r="K88" s="6" t="n">
        <v>5</v>
      </c>
      <c r="L88" s="6" t="n">
        <v>598285</v>
      </c>
      <c r="M88" s="6" t="n">
        <v>11669</v>
      </c>
    </row>
    <row r="89" customFormat="false" ht="13.5" hidden="false" customHeight="false" outlineLevel="0" collapsed="false">
      <c r="A89" s="0" t="s">
        <v>36</v>
      </c>
      <c r="B89" s="1" t="n">
        <v>43949</v>
      </c>
      <c r="C89" s="2" t="n">
        <v>10738</v>
      </c>
      <c r="D89" s="2" t="n">
        <v>10</v>
      </c>
      <c r="E89" s="2" t="n">
        <v>243</v>
      </c>
      <c r="F89" s="2" t="n">
        <v>1</v>
      </c>
      <c r="G89" s="2" t="n">
        <v>8764</v>
      </c>
      <c r="H89" s="2" t="n">
        <v>1731</v>
      </c>
      <c r="I89" s="2" t="n">
        <v>55</v>
      </c>
      <c r="J89" s="2" t="n">
        <v>209</v>
      </c>
      <c r="K89" s="2" t="n">
        <v>5</v>
      </c>
      <c r="L89" s="2" t="n">
        <v>601660</v>
      </c>
      <c r="M89" s="2" t="n">
        <v>11735</v>
      </c>
    </row>
    <row r="90" customFormat="false" ht="13.5" hidden="false" customHeight="false" outlineLevel="0" collapsed="false">
      <c r="A90" s="0" t="s">
        <v>36</v>
      </c>
      <c r="B90" s="1" t="n">
        <v>43950</v>
      </c>
      <c r="C90" s="2" t="n">
        <v>10752</v>
      </c>
      <c r="D90" s="2" t="n">
        <v>14</v>
      </c>
      <c r="E90" s="2" t="n">
        <v>244</v>
      </c>
      <c r="F90" s="2" t="n">
        <v>1</v>
      </c>
      <c r="G90" s="2" t="n">
        <v>8854</v>
      </c>
      <c r="H90" s="2" t="n">
        <v>1654</v>
      </c>
      <c r="I90" s="2" t="n">
        <v>55</v>
      </c>
      <c r="J90" s="2" t="n">
        <v>210</v>
      </c>
      <c r="K90" s="2" t="n">
        <v>5</v>
      </c>
      <c r="L90" s="2" t="n">
        <v>608514</v>
      </c>
      <c r="M90" s="2" t="n">
        <v>11869</v>
      </c>
    </row>
    <row r="91" customFormat="false" ht="13.5" hidden="false" customHeight="false" outlineLevel="0" collapsed="false">
      <c r="A91" s="0" t="s">
        <v>36</v>
      </c>
      <c r="B91" s="1" t="n">
        <v>43951</v>
      </c>
      <c r="C91" s="2" t="n">
        <v>10761</v>
      </c>
      <c r="D91" s="2" t="n">
        <v>9</v>
      </c>
      <c r="E91" s="2" t="n">
        <v>246</v>
      </c>
      <c r="F91" s="2" t="n">
        <v>2</v>
      </c>
      <c r="G91" s="2" t="n">
        <v>8922</v>
      </c>
      <c r="H91" s="2" t="n">
        <v>1593</v>
      </c>
      <c r="I91" s="2" t="n">
        <v>55</v>
      </c>
      <c r="J91" s="2" t="n">
        <v>210</v>
      </c>
      <c r="K91" s="2" t="n">
        <v>5</v>
      </c>
      <c r="L91" s="2" t="n">
        <v>614197</v>
      </c>
      <c r="M91" s="2" t="n">
        <v>11980</v>
      </c>
    </row>
    <row r="92" customFormat="false" ht="13.5" hidden="false" customHeight="false" outlineLevel="0" collapsed="false">
      <c r="A92" s="0" t="s">
        <v>36</v>
      </c>
      <c r="B92" s="1" t="n">
        <v>43952</v>
      </c>
      <c r="C92" s="2" t="n">
        <v>10765</v>
      </c>
      <c r="D92" s="2" t="n">
        <v>4</v>
      </c>
      <c r="E92" s="2" t="n">
        <v>247</v>
      </c>
      <c r="F92" s="2" t="n">
        <v>1</v>
      </c>
      <c r="G92" s="2" t="n">
        <v>9059</v>
      </c>
      <c r="H92" s="2" t="n">
        <v>1459</v>
      </c>
      <c r="I92" s="2" t="n">
        <v>55</v>
      </c>
      <c r="J92" s="2" t="n">
        <v>210</v>
      </c>
      <c r="K92" s="2" t="n">
        <v>5</v>
      </c>
      <c r="L92" s="2" t="n">
        <v>619881</v>
      </c>
      <c r="M92" s="2" t="n">
        <v>12091</v>
      </c>
    </row>
    <row r="93" customFormat="false" ht="13.5" hidden="false" customHeight="false" outlineLevel="0" collapsed="false">
      <c r="A93" s="0" t="s">
        <v>36</v>
      </c>
      <c r="B93" s="1" t="n">
        <v>43953</v>
      </c>
      <c r="C93" s="2" t="e">
        <f aca="false">#REF!</f>
        <v>#REF!</v>
      </c>
      <c r="D93" s="2" t="e">
        <f aca="false">#REF!</f>
        <v>#REF!</v>
      </c>
      <c r="E93" s="2" t="e">
        <f aca="false">#REF!</f>
        <v>#REF!</v>
      </c>
      <c r="F93" s="2" t="e">
        <f aca="false">#REF!</f>
        <v>#REF!</v>
      </c>
      <c r="G93" s="2" t="e">
        <f aca="false">#REF!</f>
        <v>#REF!</v>
      </c>
      <c r="H93" s="2" t="e">
        <f aca="false">#REF!</f>
        <v>#REF!</v>
      </c>
      <c r="I93" s="2" t="e">
        <f aca="false">#REF!</f>
        <v>#REF!</v>
      </c>
      <c r="J93" s="2" t="e">
        <f aca="false">#REF!</f>
        <v>#REF!</v>
      </c>
      <c r="K93" s="2" t="e">
        <f aca="false">#REF!</f>
        <v>#REF!</v>
      </c>
      <c r="L93" s="2" t="e">
        <f aca="false">#REF!</f>
        <v>#REF!</v>
      </c>
      <c r="M93" s="2" t="e">
        <f aca="false">#REF!</f>
        <v>#REF!</v>
      </c>
    </row>
    <row r="94" customFormat="false" ht="13.5" hidden="false" customHeight="false" outlineLevel="0" collapsed="false">
      <c r="A94" s="0" t="s">
        <v>36</v>
      </c>
      <c r="B94" s="1" t="n">
        <v>43954</v>
      </c>
      <c r="C94" s="2" t="e">
        <f aca="false">#REF!</f>
        <v>#REF!</v>
      </c>
      <c r="D94" s="2" t="e">
        <f aca="false">#REF!</f>
        <v>#REF!</v>
      </c>
      <c r="E94" s="2" t="e">
        <f aca="false">#REF!</f>
        <v>#REF!</v>
      </c>
      <c r="F94" s="2" t="e">
        <f aca="false">#REF!</f>
        <v>#REF!</v>
      </c>
      <c r="G94" s="2" t="e">
        <f aca="false">#REF!</f>
        <v>#REF!</v>
      </c>
      <c r="H94" s="2" t="e">
        <f aca="false">#REF!</f>
        <v>#REF!</v>
      </c>
      <c r="I94" s="2" t="e">
        <f aca="false">#REF!</f>
        <v>#REF!</v>
      </c>
      <c r="J94" s="2" t="e">
        <f aca="false">#REF!</f>
        <v>#REF!</v>
      </c>
      <c r="K94" s="2" t="e">
        <f aca="false">#REF!</f>
        <v>#REF!</v>
      </c>
      <c r="L94" s="2" t="e">
        <f aca="false">#REF!</f>
        <v>#REF!</v>
      </c>
      <c r="M94" s="2" t="e">
        <f aca="false">#REF!</f>
        <v>#REF!</v>
      </c>
    </row>
    <row r="95" customFormat="false" ht="13.5" hidden="false" customHeight="false" outlineLevel="0" collapsed="false">
      <c r="A95" s="0" t="s">
        <v>36</v>
      </c>
      <c r="B95" s="1" t="n">
        <v>43955</v>
      </c>
      <c r="C95" s="2" t="e">
        <f aca="false">#REF!</f>
        <v>#REF!</v>
      </c>
      <c r="D95" s="2" t="e">
        <f aca="false">#REF!</f>
        <v>#REF!</v>
      </c>
      <c r="E95" s="2" t="e">
        <f aca="false">#REF!</f>
        <v>#REF!</v>
      </c>
      <c r="F95" s="2" t="e">
        <f aca="false">#REF!</f>
        <v>#REF!</v>
      </c>
      <c r="G95" s="2" t="e">
        <f aca="false">#REF!</f>
        <v>#REF!</v>
      </c>
      <c r="H95" s="2" t="e">
        <f aca="false">#REF!</f>
        <v>#REF!</v>
      </c>
      <c r="I95" s="2" t="e">
        <f aca="false">#REF!</f>
        <v>#REF!</v>
      </c>
      <c r="J95" s="2" t="e">
        <f aca="false">#REF!</f>
        <v>#REF!</v>
      </c>
      <c r="K95" s="2" t="e">
        <f aca="false">#REF!</f>
        <v>#REF!</v>
      </c>
      <c r="L95" s="2" t="e">
        <f aca="false">#REF!</f>
        <v>#REF!</v>
      </c>
      <c r="M95" s="2" t="e">
        <f aca="false">#REF!</f>
        <v>#REF!</v>
      </c>
    </row>
    <row r="96" customFormat="false" ht="13.5" hidden="false" customHeight="false" outlineLevel="0" collapsed="false">
      <c r="A96" s="0" t="s">
        <v>36</v>
      </c>
      <c r="B96" s="1" t="n">
        <v>43956</v>
      </c>
      <c r="C96" s="2" t="e">
        <f aca="false">#REF!</f>
        <v>#REF!</v>
      </c>
      <c r="D96" s="2" t="e">
        <f aca="false">#REF!</f>
        <v>#REF!</v>
      </c>
      <c r="E96" s="2" t="e">
        <f aca="false">#REF!</f>
        <v>#REF!</v>
      </c>
      <c r="F96" s="2" t="e">
        <f aca="false">#REF!</f>
        <v>#REF!</v>
      </c>
      <c r="G96" s="2" t="e">
        <f aca="false">#REF!</f>
        <v>#REF!</v>
      </c>
      <c r="H96" s="2" t="e">
        <f aca="false">#REF!</f>
        <v>#REF!</v>
      </c>
      <c r="I96" s="2" t="e">
        <f aca="false">#REF!</f>
        <v>#REF!</v>
      </c>
      <c r="J96" s="2" t="e">
        <f aca="false">#REF!</f>
        <v>#REF!</v>
      </c>
      <c r="K96" s="2" t="e">
        <f aca="false">#REF!</f>
        <v>#REF!</v>
      </c>
      <c r="L96" s="2" t="e">
        <f aca="false">#REF!</f>
        <v>#REF!</v>
      </c>
      <c r="M96" s="2" t="e">
        <f aca="false">#REF!</f>
        <v>#REF!</v>
      </c>
    </row>
    <row r="97" customFormat="false" ht="13.5" hidden="false" customHeight="false" outlineLevel="0" collapsed="false">
      <c r="A97" s="0" t="s">
        <v>36</v>
      </c>
      <c r="B97" s="1" t="n">
        <v>43957</v>
      </c>
      <c r="C97" s="2" t="e">
        <f aca="false">#REF!</f>
        <v>#REF!</v>
      </c>
      <c r="D97" s="2" t="e">
        <f aca="false">#REF!</f>
        <v>#REF!</v>
      </c>
      <c r="E97" s="2" t="e">
        <f aca="false">#REF!</f>
        <v>#REF!</v>
      </c>
      <c r="F97" s="2" t="e">
        <f aca="false">#REF!</f>
        <v>#REF!</v>
      </c>
      <c r="G97" s="2" t="e">
        <f aca="false">#REF!</f>
        <v>#REF!</v>
      </c>
      <c r="H97" s="2" t="e">
        <f aca="false">#REF!</f>
        <v>#REF!</v>
      </c>
      <c r="I97" s="2" t="e">
        <f aca="false">#REF!</f>
        <v>#REF!</v>
      </c>
      <c r="J97" s="2" t="e">
        <f aca="false">#REF!</f>
        <v>#REF!</v>
      </c>
      <c r="K97" s="2" t="e">
        <f aca="false">#REF!</f>
        <v>#REF!</v>
      </c>
      <c r="L97" s="2" t="e">
        <f aca="false">#REF!</f>
        <v>#REF!</v>
      </c>
      <c r="M97" s="2" t="e">
        <f aca="false">#REF!</f>
        <v>#REF!</v>
      </c>
    </row>
    <row r="98" customFormat="false" ht="13.5" hidden="false" customHeight="false" outlineLevel="0" collapsed="false">
      <c r="A98" s="0" t="s">
        <v>36</v>
      </c>
      <c r="B98" s="1" t="n">
        <v>43958</v>
      </c>
      <c r="C98" s="2" t="e">
        <f aca="false">#REF!</f>
        <v>#REF!</v>
      </c>
      <c r="D98" s="2" t="e">
        <f aca="false">#REF!</f>
        <v>#REF!</v>
      </c>
      <c r="E98" s="2" t="e">
        <f aca="false">#REF!</f>
        <v>#REF!</v>
      </c>
      <c r="F98" s="2" t="e">
        <f aca="false">#REF!</f>
        <v>#REF!</v>
      </c>
      <c r="G98" s="2" t="e">
        <f aca="false">#REF!</f>
        <v>#REF!</v>
      </c>
      <c r="H98" s="2" t="e">
        <f aca="false">#REF!</f>
        <v>#REF!</v>
      </c>
      <c r="I98" s="2" t="e">
        <f aca="false">#REF!</f>
        <v>#REF!</v>
      </c>
      <c r="J98" s="2" t="e">
        <f aca="false">#REF!</f>
        <v>#REF!</v>
      </c>
      <c r="K98" s="2" t="e">
        <f aca="false">#REF!</f>
        <v>#REF!</v>
      </c>
      <c r="L98" s="2" t="e">
        <f aca="false">#REF!</f>
        <v>#REF!</v>
      </c>
      <c r="M98" s="2" t="e">
        <f aca="false">#REF!</f>
        <v>#REF!</v>
      </c>
    </row>
    <row r="99" customFormat="false" ht="13.5" hidden="false" customHeight="false" outlineLevel="0" collapsed="false">
      <c r="A99" s="0" t="s">
        <v>36</v>
      </c>
      <c r="B99" s="1" t="n">
        <v>43959</v>
      </c>
      <c r="C99" s="2" t="e">
        <f aca="false">#REF!</f>
        <v>#REF!</v>
      </c>
      <c r="D99" s="2" t="e">
        <f aca="false">#REF!</f>
        <v>#REF!</v>
      </c>
      <c r="E99" s="2" t="e">
        <f aca="false">#REF!</f>
        <v>#REF!</v>
      </c>
      <c r="F99" s="2" t="e">
        <f aca="false">#REF!</f>
        <v>#REF!</v>
      </c>
      <c r="G99" s="2" t="e">
        <f aca="false">#REF!</f>
        <v>#REF!</v>
      </c>
      <c r="H99" s="2" t="e">
        <f aca="false">#REF!</f>
        <v>#REF!</v>
      </c>
      <c r="I99" s="2" t="e">
        <f aca="false">#REF!</f>
        <v>#REF!</v>
      </c>
      <c r="J99" s="2" t="e">
        <f aca="false">#REF!</f>
        <v>#REF!</v>
      </c>
      <c r="K99" s="2" t="e">
        <f aca="false">#REF!</f>
        <v>#REF!</v>
      </c>
      <c r="L99" s="2" t="e">
        <f aca="false">#REF!</f>
        <v>#REF!</v>
      </c>
      <c r="M99" s="2" t="e">
        <f aca="false">#REF!</f>
        <v>#REF!</v>
      </c>
    </row>
    <row r="100" customFormat="false" ht="13.5" hidden="false" customHeight="false" outlineLevel="0" collapsed="false">
      <c r="A100" s="0" t="s">
        <v>36</v>
      </c>
      <c r="B100" s="1" t="n">
        <v>43960</v>
      </c>
      <c r="C100" s="2" t="e">
        <f aca="false">#REF!</f>
        <v>#REF!</v>
      </c>
      <c r="D100" s="2" t="e">
        <f aca="false">#REF!</f>
        <v>#REF!</v>
      </c>
      <c r="E100" s="2" t="e">
        <f aca="false">#REF!</f>
        <v>#REF!</v>
      </c>
      <c r="F100" s="2" t="e">
        <f aca="false">#REF!</f>
        <v>#REF!</v>
      </c>
      <c r="G100" s="2" t="e">
        <f aca="false">#REF!</f>
        <v>#REF!</v>
      </c>
      <c r="H100" s="2" t="e">
        <f aca="false">#REF!</f>
        <v>#REF!</v>
      </c>
      <c r="I100" s="2" t="e">
        <f aca="false">#REF!</f>
        <v>#REF!</v>
      </c>
      <c r="J100" s="2" t="e">
        <f aca="false">#REF!</f>
        <v>#REF!</v>
      </c>
      <c r="K100" s="2" t="e">
        <f aca="false">#REF!</f>
        <v>#REF!</v>
      </c>
      <c r="L100" s="2" t="e">
        <f aca="false">#REF!</f>
        <v>#REF!</v>
      </c>
      <c r="M100" s="2" t="e">
        <f aca="false">#REF!</f>
        <v>#REF!</v>
      </c>
    </row>
    <row r="101" customFormat="false" ht="13.5" hidden="false" customHeight="false" outlineLevel="0" collapsed="false">
      <c r="A101" s="0" t="s">
        <v>36</v>
      </c>
      <c r="B101" s="1" t="n">
        <v>43961</v>
      </c>
      <c r="C101" s="2" t="e">
        <f aca="false">#REF!</f>
        <v>#REF!</v>
      </c>
      <c r="D101" s="2" t="e">
        <f aca="false">#REF!</f>
        <v>#REF!</v>
      </c>
      <c r="E101" s="2" t="e">
        <f aca="false">#REF!</f>
        <v>#REF!</v>
      </c>
      <c r="F101" s="2" t="e">
        <f aca="false">#REF!</f>
        <v>#REF!</v>
      </c>
      <c r="G101" s="2" t="e">
        <f aca="false">#REF!</f>
        <v>#REF!</v>
      </c>
      <c r="H101" s="2" t="e">
        <f aca="false">#REF!</f>
        <v>#REF!</v>
      </c>
      <c r="I101" s="2" t="e">
        <f aca="false">#REF!</f>
        <v>#REF!</v>
      </c>
      <c r="J101" s="2" t="e">
        <f aca="false">#REF!</f>
        <v>#REF!</v>
      </c>
      <c r="K101" s="2" t="e">
        <f aca="false">#REF!</f>
        <v>#REF!</v>
      </c>
      <c r="L101" s="2" t="e">
        <f aca="false">#REF!</f>
        <v>#REF!</v>
      </c>
      <c r="M101" s="2" t="e">
        <f aca="false">#REF!</f>
        <v>#REF!</v>
      </c>
    </row>
    <row r="102" customFormat="false" ht="13.5" hidden="false" customHeight="false" outlineLevel="0" collapsed="false">
      <c r="A102" s="0" t="s">
        <v>36</v>
      </c>
      <c r="B102" s="1" t="n">
        <v>43962</v>
      </c>
      <c r="C102" s="2" t="e">
        <f aca="false">#REF!</f>
        <v>#REF!</v>
      </c>
      <c r="D102" s="2" t="e">
        <f aca="false">#REF!</f>
        <v>#REF!</v>
      </c>
      <c r="E102" s="2" t="e">
        <f aca="false">#REF!</f>
        <v>#REF!</v>
      </c>
      <c r="F102" s="2" t="e">
        <f aca="false">#REF!</f>
        <v>#REF!</v>
      </c>
      <c r="G102" s="2" t="e">
        <f aca="false">#REF!</f>
        <v>#REF!</v>
      </c>
      <c r="H102" s="2" t="e">
        <f aca="false">#REF!</f>
        <v>#REF!</v>
      </c>
      <c r="I102" s="2" t="e">
        <f aca="false">#REF!</f>
        <v>#REF!</v>
      </c>
      <c r="J102" s="2" t="e">
        <f aca="false">#REF!</f>
        <v>#REF!</v>
      </c>
      <c r="K102" s="2" t="e">
        <f aca="false">#REF!</f>
        <v>#REF!</v>
      </c>
      <c r="L102" s="2" t="e">
        <f aca="false">#REF!</f>
        <v>#REF!</v>
      </c>
      <c r="M102" s="2" t="e">
        <f aca="false">#REF!</f>
        <v>#REF!</v>
      </c>
    </row>
    <row r="103" customFormat="false" ht="13.5" hidden="false" customHeight="false" outlineLevel="0" collapsed="false">
      <c r="A103" s="0" t="s">
        <v>36</v>
      </c>
      <c r="B103" s="1" t="n">
        <v>43963</v>
      </c>
      <c r="C103" s="2" t="e">
        <f aca="false">#REF!</f>
        <v>#REF!</v>
      </c>
      <c r="D103" s="2" t="e">
        <f aca="false">#REF!</f>
        <v>#REF!</v>
      </c>
      <c r="E103" s="2" t="e">
        <f aca="false">#REF!</f>
        <v>#REF!</v>
      </c>
      <c r="F103" s="2" t="e">
        <f aca="false">#REF!</f>
        <v>#REF!</v>
      </c>
      <c r="G103" s="2" t="e">
        <f aca="false">#REF!</f>
        <v>#REF!</v>
      </c>
      <c r="H103" s="2" t="e">
        <f aca="false">#REF!</f>
        <v>#REF!</v>
      </c>
      <c r="I103" s="2" t="e">
        <f aca="false">#REF!</f>
        <v>#REF!</v>
      </c>
      <c r="J103" s="2" t="e">
        <f aca="false">#REF!</f>
        <v>#REF!</v>
      </c>
      <c r="K103" s="2" t="e">
        <f aca="false">#REF!</f>
        <v>#REF!</v>
      </c>
      <c r="L103" s="2" t="e">
        <f aca="false">#REF!</f>
        <v>#REF!</v>
      </c>
      <c r="M103" s="2" t="e">
        <f aca="false">#REF!</f>
        <v>#REF!</v>
      </c>
    </row>
    <row r="104" customFormat="false" ht="13.5" hidden="false" customHeight="false" outlineLevel="0" collapsed="false">
      <c r="A104" s="0" t="s">
        <v>36</v>
      </c>
      <c r="B104" s="1" t="n">
        <v>43964</v>
      </c>
      <c r="C104" s="2" t="e">
        <f aca="false">#REF!</f>
        <v>#REF!</v>
      </c>
      <c r="D104" s="2" t="e">
        <f aca="false">#REF!</f>
        <v>#REF!</v>
      </c>
      <c r="E104" s="2" t="e">
        <f aca="false">#REF!</f>
        <v>#REF!</v>
      </c>
      <c r="F104" s="2" t="e">
        <f aca="false">#REF!</f>
        <v>#REF!</v>
      </c>
      <c r="G104" s="2" t="e">
        <f aca="false">#REF!</f>
        <v>#REF!</v>
      </c>
      <c r="H104" s="2" t="e">
        <f aca="false">#REF!</f>
        <v>#REF!</v>
      </c>
      <c r="I104" s="2" t="e">
        <f aca="false">#REF!</f>
        <v>#REF!</v>
      </c>
      <c r="J104" s="2" t="e">
        <f aca="false">#REF!</f>
        <v>#REF!</v>
      </c>
      <c r="K104" s="2" t="e">
        <f aca="false">#REF!</f>
        <v>#REF!</v>
      </c>
      <c r="L104" s="2" t="e">
        <f aca="false">#REF!</f>
        <v>#REF!</v>
      </c>
      <c r="M104" s="2" t="e">
        <f aca="false">#REF!</f>
        <v>#REF!</v>
      </c>
    </row>
    <row r="105" customFormat="false" ht="13.5" hidden="false" customHeight="false" outlineLevel="0" collapsed="false">
      <c r="A105" s="0" t="s">
        <v>36</v>
      </c>
      <c r="B105" s="1" t="n">
        <v>43965</v>
      </c>
      <c r="C105" s="2" t="e">
        <f aca="false">#REF!</f>
        <v>#REF!</v>
      </c>
      <c r="D105" s="2" t="e">
        <f aca="false">#REF!</f>
        <v>#REF!</v>
      </c>
      <c r="E105" s="2" t="e">
        <f aca="false">#REF!</f>
        <v>#REF!</v>
      </c>
      <c r="F105" s="2" t="e">
        <f aca="false">#REF!</f>
        <v>#REF!</v>
      </c>
      <c r="G105" s="2" t="e">
        <f aca="false">#REF!</f>
        <v>#REF!</v>
      </c>
      <c r="H105" s="2" t="e">
        <f aca="false">#REF!</f>
        <v>#REF!</v>
      </c>
      <c r="I105" s="2" t="e">
        <f aca="false">#REF!</f>
        <v>#REF!</v>
      </c>
      <c r="J105" s="2" t="e">
        <f aca="false">#REF!</f>
        <v>#REF!</v>
      </c>
      <c r="K105" s="2" t="e">
        <f aca="false">#REF!</f>
        <v>#REF!</v>
      </c>
      <c r="L105" s="2" t="e">
        <f aca="false">#REF!</f>
        <v>#REF!</v>
      </c>
      <c r="M105" s="2" t="e">
        <f aca="false">#REF!</f>
        <v>#REF!</v>
      </c>
    </row>
    <row r="106" customFormat="false" ht="13.5" hidden="false" customHeight="false" outlineLevel="0" collapsed="false">
      <c r="A106" s="0" t="s">
        <v>36</v>
      </c>
      <c r="B106" s="1" t="n">
        <v>43966</v>
      </c>
      <c r="C106" s="2" t="e">
        <f aca="false">#REF!</f>
        <v>#REF!</v>
      </c>
      <c r="D106" s="2" t="e">
        <f aca="false">#REF!</f>
        <v>#REF!</v>
      </c>
      <c r="E106" s="2" t="e">
        <f aca="false">#REF!</f>
        <v>#REF!</v>
      </c>
      <c r="F106" s="2" t="e">
        <f aca="false">#REF!</f>
        <v>#REF!</v>
      </c>
      <c r="G106" s="2" t="e">
        <f aca="false">#REF!</f>
        <v>#REF!</v>
      </c>
      <c r="H106" s="2" t="e">
        <f aca="false">#REF!</f>
        <v>#REF!</v>
      </c>
      <c r="I106" s="2" t="e">
        <f aca="false">#REF!</f>
        <v>#REF!</v>
      </c>
      <c r="J106" s="2" t="e">
        <f aca="false">#REF!</f>
        <v>#REF!</v>
      </c>
      <c r="K106" s="2" t="e">
        <f aca="false">#REF!</f>
        <v>#REF!</v>
      </c>
      <c r="L106" s="2" t="e">
        <f aca="false">#REF!</f>
        <v>#REF!</v>
      </c>
      <c r="M106" s="2" t="e">
        <f aca="false">#REF!</f>
        <v>#REF!</v>
      </c>
    </row>
    <row r="107" customFormat="false" ht="13.5" hidden="false" customHeight="false" outlineLevel="0" collapsed="false">
      <c r="A107" s="0" t="s">
        <v>36</v>
      </c>
      <c r="B107" s="1" t="n">
        <v>43967</v>
      </c>
      <c r="C107" s="2" t="e">
        <f aca="false">#REF!</f>
        <v>#REF!</v>
      </c>
      <c r="D107" s="2" t="e">
        <f aca="false">#REF!</f>
        <v>#REF!</v>
      </c>
      <c r="E107" s="2" t="e">
        <f aca="false">#REF!</f>
        <v>#REF!</v>
      </c>
      <c r="F107" s="2" t="e">
        <f aca="false">#REF!</f>
        <v>#REF!</v>
      </c>
      <c r="G107" s="2" t="e">
        <f aca="false">#REF!</f>
        <v>#REF!</v>
      </c>
      <c r="H107" s="2" t="e">
        <f aca="false">#REF!</f>
        <v>#REF!</v>
      </c>
      <c r="I107" s="2" t="e">
        <f aca="false">#REF!</f>
        <v>#REF!</v>
      </c>
      <c r="J107" s="2" t="e">
        <f aca="false">#REF!</f>
        <v>#REF!</v>
      </c>
      <c r="K107" s="2" t="e">
        <f aca="false">#REF!</f>
        <v>#REF!</v>
      </c>
      <c r="L107" s="2" t="e">
        <f aca="false">#REF!</f>
        <v>#REF!</v>
      </c>
      <c r="M107" s="2" t="e">
        <f aca="false">#REF!</f>
        <v>#REF!</v>
      </c>
    </row>
    <row r="108" customFormat="false" ht="13.5" hidden="false" customHeight="false" outlineLevel="0" collapsed="false">
      <c r="A108" s="0" t="s">
        <v>36</v>
      </c>
      <c r="B108" s="1" t="n">
        <v>43968</v>
      </c>
      <c r="C108" s="2" t="e">
        <f aca="false">#REF!</f>
        <v>#REF!</v>
      </c>
      <c r="D108" s="2" t="e">
        <f aca="false">#REF!</f>
        <v>#REF!</v>
      </c>
      <c r="E108" s="2" t="e">
        <f aca="false">#REF!</f>
        <v>#REF!</v>
      </c>
      <c r="F108" s="2" t="e">
        <f aca="false">#REF!</f>
        <v>#REF!</v>
      </c>
      <c r="G108" s="2" t="e">
        <f aca="false">#REF!</f>
        <v>#REF!</v>
      </c>
      <c r="H108" s="2" t="e">
        <f aca="false">#REF!</f>
        <v>#REF!</v>
      </c>
      <c r="I108" s="2" t="e">
        <f aca="false">#REF!</f>
        <v>#REF!</v>
      </c>
      <c r="J108" s="2" t="e">
        <f aca="false">#REF!</f>
        <v>#REF!</v>
      </c>
      <c r="K108" s="2" t="e">
        <f aca="false">#REF!</f>
        <v>#REF!</v>
      </c>
      <c r="L108" s="2" t="e">
        <f aca="false">#REF!</f>
        <v>#REF!</v>
      </c>
      <c r="M108" s="2" t="e">
        <f aca="false">#REF!</f>
        <v>#REF!</v>
      </c>
    </row>
    <row r="109" customFormat="false" ht="13.5" hidden="false" customHeight="false" outlineLevel="0" collapsed="false">
      <c r="A109" s="0" t="s">
        <v>36</v>
      </c>
      <c r="B109" s="1" t="n">
        <v>43969</v>
      </c>
      <c r="C109" s="2" t="e">
        <f aca="false">#REF!</f>
        <v>#REF!</v>
      </c>
      <c r="D109" s="2" t="e">
        <f aca="false">#REF!</f>
        <v>#REF!</v>
      </c>
      <c r="E109" s="2" t="e">
        <f aca="false">#REF!</f>
        <v>#REF!</v>
      </c>
      <c r="F109" s="2" t="e">
        <f aca="false">#REF!</f>
        <v>#REF!</v>
      </c>
      <c r="G109" s="2" t="e">
        <f aca="false">#REF!</f>
        <v>#REF!</v>
      </c>
      <c r="H109" s="2" t="e">
        <f aca="false">#REF!</f>
        <v>#REF!</v>
      </c>
      <c r="I109" s="2" t="e">
        <f aca="false">#REF!</f>
        <v>#REF!</v>
      </c>
      <c r="J109" s="2" t="e">
        <f aca="false">#REF!</f>
        <v>#REF!</v>
      </c>
      <c r="K109" s="2" t="e">
        <f aca="false">#REF!</f>
        <v>#REF!</v>
      </c>
      <c r="L109" s="2" t="e">
        <f aca="false">#REF!</f>
        <v>#REF!</v>
      </c>
      <c r="M109" s="2" t="e">
        <f aca="false">#REF!</f>
        <v>#REF!</v>
      </c>
    </row>
    <row r="110" customFormat="false" ht="13.5" hidden="false" customHeight="false" outlineLevel="0" collapsed="false">
      <c r="A110" s="0" t="s">
        <v>36</v>
      </c>
      <c r="B110" s="1" t="n">
        <v>43970</v>
      </c>
      <c r="C110" s="2" t="e">
        <f aca="false">#REF!</f>
        <v>#REF!</v>
      </c>
      <c r="D110" s="2" t="e">
        <f aca="false">#REF!</f>
        <v>#REF!</v>
      </c>
      <c r="E110" s="2" t="e">
        <f aca="false">#REF!</f>
        <v>#REF!</v>
      </c>
      <c r="F110" s="2" t="e">
        <f aca="false">#REF!</f>
        <v>#REF!</v>
      </c>
      <c r="G110" s="2" t="e">
        <f aca="false">#REF!</f>
        <v>#REF!</v>
      </c>
      <c r="H110" s="2" t="e">
        <f aca="false">#REF!</f>
        <v>#REF!</v>
      </c>
      <c r="I110" s="2" t="e">
        <f aca="false">#REF!</f>
        <v>#REF!</v>
      </c>
      <c r="J110" s="2" t="e">
        <f aca="false">#REF!</f>
        <v>#REF!</v>
      </c>
      <c r="K110" s="2" t="e">
        <f aca="false">#REF!</f>
        <v>#REF!</v>
      </c>
      <c r="L110" s="2" t="e">
        <f aca="false">#REF!</f>
        <v>#REF!</v>
      </c>
      <c r="M110" s="2" t="e">
        <f aca="false">#REF!</f>
        <v>#REF!</v>
      </c>
    </row>
    <row r="111" customFormat="false" ht="13.5" hidden="false" customHeight="false" outlineLevel="0" collapsed="false">
      <c r="A111" s="0" t="s">
        <v>36</v>
      </c>
      <c r="B111" s="1" t="n">
        <v>43971</v>
      </c>
      <c r="C111" s="2" t="e">
        <f aca="false">#REF!</f>
        <v>#REF!</v>
      </c>
      <c r="D111" s="2" t="e">
        <f aca="false">#REF!</f>
        <v>#REF!</v>
      </c>
      <c r="E111" s="2" t="e">
        <f aca="false">#REF!</f>
        <v>#REF!</v>
      </c>
      <c r="F111" s="2" t="e">
        <f aca="false">#REF!</f>
        <v>#REF!</v>
      </c>
      <c r="G111" s="2" t="e">
        <f aca="false">#REF!</f>
        <v>#REF!</v>
      </c>
      <c r="H111" s="2" t="e">
        <f aca="false">#REF!</f>
        <v>#REF!</v>
      </c>
      <c r="I111" s="2" t="e">
        <f aca="false">#REF!</f>
        <v>#REF!</v>
      </c>
      <c r="J111" s="2" t="e">
        <f aca="false">#REF!</f>
        <v>#REF!</v>
      </c>
      <c r="K111" s="2" t="e">
        <f aca="false">#REF!</f>
        <v>#REF!</v>
      </c>
      <c r="L111" s="2" t="e">
        <f aca="false">#REF!</f>
        <v>#REF!</v>
      </c>
      <c r="M111" s="2" t="e">
        <f aca="false">#REF!</f>
        <v>#REF!</v>
      </c>
    </row>
    <row r="112" customFormat="false" ht="13.5" hidden="false" customHeight="false" outlineLevel="0" collapsed="false">
      <c r="A112" s="0" t="s">
        <v>36</v>
      </c>
      <c r="B112" s="1" t="n">
        <v>43972</v>
      </c>
      <c r="C112" s="2" t="e">
        <f aca="false">#REF!</f>
        <v>#REF!</v>
      </c>
      <c r="D112" s="2" t="e">
        <f aca="false">#REF!</f>
        <v>#REF!</v>
      </c>
      <c r="E112" s="2" t="e">
        <f aca="false">#REF!</f>
        <v>#REF!</v>
      </c>
      <c r="F112" s="2" t="e">
        <f aca="false">#REF!</f>
        <v>#REF!</v>
      </c>
      <c r="G112" s="2" t="e">
        <f aca="false">#REF!</f>
        <v>#REF!</v>
      </c>
      <c r="H112" s="2" t="e">
        <f aca="false">#REF!</f>
        <v>#REF!</v>
      </c>
      <c r="I112" s="2" t="e">
        <f aca="false">#REF!</f>
        <v>#REF!</v>
      </c>
      <c r="J112" s="2" t="e">
        <f aca="false">#REF!</f>
        <v>#REF!</v>
      </c>
      <c r="K112" s="2" t="e">
        <f aca="false">#REF!</f>
        <v>#REF!</v>
      </c>
      <c r="L112" s="2" t="e">
        <f aca="false">#REF!</f>
        <v>#REF!</v>
      </c>
      <c r="M112" s="2" t="e">
        <f aca="false">#REF!</f>
        <v>#REF!</v>
      </c>
    </row>
    <row r="113" customFormat="false" ht="13.5" hidden="false" customHeight="false" outlineLevel="0" collapsed="false">
      <c r="A113" s="0" t="s">
        <v>36</v>
      </c>
      <c r="B113" s="1" t="n">
        <v>43973</v>
      </c>
      <c r="C113" s="2" t="e">
        <f aca="false">#REF!</f>
        <v>#REF!</v>
      </c>
      <c r="D113" s="2" t="e">
        <f aca="false">#REF!</f>
        <v>#REF!</v>
      </c>
      <c r="E113" s="2" t="e">
        <f aca="false">#REF!</f>
        <v>#REF!</v>
      </c>
      <c r="F113" s="2" t="e">
        <f aca="false">#REF!</f>
        <v>#REF!</v>
      </c>
      <c r="G113" s="2" t="e">
        <f aca="false">#REF!</f>
        <v>#REF!</v>
      </c>
      <c r="H113" s="2" t="e">
        <f aca="false">#REF!</f>
        <v>#REF!</v>
      </c>
      <c r="I113" s="2" t="e">
        <f aca="false">#REF!</f>
        <v>#REF!</v>
      </c>
      <c r="J113" s="2" t="e">
        <f aca="false">#REF!</f>
        <v>#REF!</v>
      </c>
      <c r="K113" s="2" t="e">
        <f aca="false">#REF!</f>
        <v>#REF!</v>
      </c>
      <c r="L113" s="2" t="e">
        <f aca="false">#REF!</f>
        <v>#REF!</v>
      </c>
      <c r="M113" s="2" t="e">
        <f aca="false">#REF!</f>
        <v>#REF!</v>
      </c>
    </row>
    <row r="114" customFormat="false" ht="13.5" hidden="false" customHeight="false" outlineLevel="0" collapsed="false">
      <c r="A114" s="0" t="s">
        <v>36</v>
      </c>
      <c r="B114" s="1" t="n">
        <v>43974</v>
      </c>
      <c r="C114" s="2" t="e">
        <f aca="false">#REF!</f>
        <v>#REF!</v>
      </c>
      <c r="D114" s="2" t="e">
        <f aca="false">#REF!</f>
        <v>#REF!</v>
      </c>
      <c r="E114" s="2" t="e">
        <f aca="false">#REF!</f>
        <v>#REF!</v>
      </c>
      <c r="F114" s="2" t="e">
        <f aca="false">#REF!</f>
        <v>#REF!</v>
      </c>
      <c r="G114" s="2" t="e">
        <f aca="false">#REF!</f>
        <v>#REF!</v>
      </c>
      <c r="H114" s="2" t="e">
        <f aca="false">#REF!</f>
        <v>#REF!</v>
      </c>
      <c r="I114" s="2" t="e">
        <f aca="false">#REF!</f>
        <v>#REF!</v>
      </c>
      <c r="J114" s="2" t="e">
        <f aca="false">#REF!</f>
        <v>#REF!</v>
      </c>
      <c r="K114" s="2" t="e">
        <f aca="false">#REF!</f>
        <v>#REF!</v>
      </c>
      <c r="L114" s="2" t="e">
        <f aca="false">#REF!</f>
        <v>#REF!</v>
      </c>
      <c r="M114" s="2" t="e">
        <f aca="false">#REF!</f>
        <v>#REF!</v>
      </c>
    </row>
    <row r="115" customFormat="false" ht="13.5" hidden="false" customHeight="false" outlineLevel="0" collapsed="false">
      <c r="A115" s="0" t="s">
        <v>36</v>
      </c>
      <c r="B115" s="1" t="n">
        <v>43975</v>
      </c>
      <c r="C115" s="2" t="e">
        <f aca="false">#REF!</f>
        <v>#REF!</v>
      </c>
      <c r="D115" s="2" t="e">
        <f aca="false">#REF!</f>
        <v>#REF!</v>
      </c>
      <c r="E115" s="2" t="e">
        <f aca="false">#REF!</f>
        <v>#REF!</v>
      </c>
      <c r="F115" s="2" t="e">
        <f aca="false">#REF!</f>
        <v>#REF!</v>
      </c>
      <c r="G115" s="2" t="e">
        <f aca="false">#REF!</f>
        <v>#REF!</v>
      </c>
      <c r="H115" s="2" t="e">
        <f aca="false">#REF!</f>
        <v>#REF!</v>
      </c>
      <c r="I115" s="2" t="e">
        <f aca="false">#REF!</f>
        <v>#REF!</v>
      </c>
      <c r="J115" s="2" t="e">
        <f aca="false">#REF!</f>
        <v>#REF!</v>
      </c>
      <c r="K115" s="2" t="e">
        <f aca="false">#REF!</f>
        <v>#REF!</v>
      </c>
      <c r="L115" s="2" t="e">
        <f aca="false">#REF!</f>
        <v>#REF!</v>
      </c>
      <c r="M115" s="2" t="e">
        <f aca="false">#REF!</f>
        <v>#REF!</v>
      </c>
    </row>
    <row r="116" customFormat="false" ht="13.5" hidden="false" customHeight="false" outlineLevel="0" collapsed="false">
      <c r="A116" s="0" t="s">
        <v>36</v>
      </c>
      <c r="B116" s="1" t="n">
        <v>43976</v>
      </c>
      <c r="C116" s="2" t="e">
        <f aca="false">#REF!</f>
        <v>#REF!</v>
      </c>
      <c r="D116" s="2" t="e">
        <f aca="false">#REF!</f>
        <v>#REF!</v>
      </c>
      <c r="E116" s="2" t="e">
        <f aca="false">#REF!</f>
        <v>#REF!</v>
      </c>
      <c r="F116" s="2" t="e">
        <f aca="false">#REF!</f>
        <v>#REF!</v>
      </c>
      <c r="G116" s="2" t="e">
        <f aca="false">#REF!</f>
        <v>#REF!</v>
      </c>
      <c r="H116" s="2" t="e">
        <f aca="false">#REF!</f>
        <v>#REF!</v>
      </c>
      <c r="I116" s="2" t="e">
        <f aca="false">#REF!</f>
        <v>#REF!</v>
      </c>
      <c r="J116" s="2" t="e">
        <f aca="false">#REF!</f>
        <v>#REF!</v>
      </c>
      <c r="K116" s="2" t="e">
        <f aca="false">#REF!</f>
        <v>#REF!</v>
      </c>
      <c r="L116" s="2" t="e">
        <f aca="false">#REF!</f>
        <v>#REF!</v>
      </c>
      <c r="M116" s="2" t="e">
        <f aca="false">#REF!</f>
        <v>#REF!</v>
      </c>
    </row>
    <row r="117" customFormat="false" ht="13.5" hidden="false" customHeight="false" outlineLevel="0" collapsed="false">
      <c r="A117" s="0" t="s">
        <v>36</v>
      </c>
      <c r="B117" s="1" t="n">
        <v>43977</v>
      </c>
      <c r="C117" s="2" t="e">
        <f aca="false">#REF!</f>
        <v>#REF!</v>
      </c>
      <c r="D117" s="2" t="e">
        <f aca="false">#REF!</f>
        <v>#REF!</v>
      </c>
      <c r="E117" s="2" t="e">
        <f aca="false">#REF!</f>
        <v>#REF!</v>
      </c>
      <c r="F117" s="2" t="e">
        <f aca="false">#REF!</f>
        <v>#REF!</v>
      </c>
      <c r="G117" s="2" t="e">
        <f aca="false">#REF!</f>
        <v>#REF!</v>
      </c>
      <c r="H117" s="2" t="e">
        <f aca="false">#REF!</f>
        <v>#REF!</v>
      </c>
      <c r="I117" s="2" t="e">
        <f aca="false">#REF!</f>
        <v>#REF!</v>
      </c>
      <c r="J117" s="2" t="e">
        <f aca="false">#REF!</f>
        <v>#REF!</v>
      </c>
      <c r="K117" s="2" t="e">
        <f aca="false">#REF!</f>
        <v>#REF!</v>
      </c>
      <c r="L117" s="2" t="e">
        <f aca="false">#REF!</f>
        <v>#REF!</v>
      </c>
      <c r="M117" s="2" t="e">
        <f aca="false">#REF!</f>
        <v>#REF!</v>
      </c>
    </row>
    <row r="118" customFormat="false" ht="13.5" hidden="false" customHeight="false" outlineLevel="0" collapsed="false">
      <c r="A118" s="0" t="s">
        <v>36</v>
      </c>
      <c r="B118" s="1" t="n">
        <v>43978</v>
      </c>
      <c r="C118" s="2" t="e">
        <f aca="false">#REF!</f>
        <v>#REF!</v>
      </c>
      <c r="D118" s="2" t="e">
        <f aca="false">#REF!</f>
        <v>#REF!</v>
      </c>
      <c r="E118" s="2" t="e">
        <f aca="false">#REF!</f>
        <v>#REF!</v>
      </c>
      <c r="F118" s="2" t="e">
        <f aca="false">#REF!</f>
        <v>#REF!</v>
      </c>
      <c r="G118" s="2" t="e">
        <f aca="false">#REF!</f>
        <v>#REF!</v>
      </c>
      <c r="H118" s="2" t="e">
        <f aca="false">#REF!</f>
        <v>#REF!</v>
      </c>
      <c r="I118" s="2" t="e">
        <f aca="false">#REF!</f>
        <v>#REF!</v>
      </c>
      <c r="J118" s="2" t="e">
        <f aca="false">#REF!</f>
        <v>#REF!</v>
      </c>
      <c r="K118" s="2" t="e">
        <f aca="false">#REF!</f>
        <v>#REF!</v>
      </c>
      <c r="L118" s="2" t="e">
        <f aca="false">#REF!</f>
        <v>#REF!</v>
      </c>
      <c r="M118" s="2" t="e">
        <f aca="false">#REF!</f>
        <v>#REF!</v>
      </c>
    </row>
    <row r="119" customFormat="false" ht="13.5" hidden="false" customHeight="false" outlineLevel="0" collapsed="false">
      <c r="A119" s="0" t="s">
        <v>36</v>
      </c>
      <c r="B119" s="1" t="n">
        <v>43979</v>
      </c>
      <c r="C119" s="2" t="e">
        <f aca="false">#REF!</f>
        <v>#REF!</v>
      </c>
      <c r="D119" s="2" t="e">
        <f aca="false">#REF!</f>
        <v>#REF!</v>
      </c>
      <c r="E119" s="2" t="e">
        <f aca="false">#REF!</f>
        <v>#REF!</v>
      </c>
      <c r="F119" s="2" t="e">
        <f aca="false">#REF!</f>
        <v>#REF!</v>
      </c>
      <c r="G119" s="2" t="e">
        <f aca="false">#REF!</f>
        <v>#REF!</v>
      </c>
      <c r="H119" s="2" t="e">
        <f aca="false">#REF!</f>
        <v>#REF!</v>
      </c>
      <c r="I119" s="2" t="e">
        <f aca="false">#REF!</f>
        <v>#REF!</v>
      </c>
      <c r="J119" s="2" t="e">
        <f aca="false">#REF!</f>
        <v>#REF!</v>
      </c>
      <c r="K119" s="2" t="e">
        <f aca="false">#REF!</f>
        <v>#REF!</v>
      </c>
      <c r="L119" s="2" t="e">
        <f aca="false">#REF!</f>
        <v>#REF!</v>
      </c>
      <c r="M119" s="2" t="e">
        <f aca="false">#REF!</f>
        <v>#REF!</v>
      </c>
    </row>
    <row r="120" customFormat="false" ht="13.5" hidden="false" customHeight="false" outlineLevel="0" collapsed="false">
      <c r="A120" s="0" t="s">
        <v>36</v>
      </c>
      <c r="B120" s="1" t="n">
        <v>43980</v>
      </c>
      <c r="C120" s="2" t="e">
        <f aca="false">#REF!</f>
        <v>#REF!</v>
      </c>
      <c r="D120" s="2" t="e">
        <f aca="false">#REF!</f>
        <v>#REF!</v>
      </c>
      <c r="E120" s="2" t="e">
        <f aca="false">#REF!</f>
        <v>#REF!</v>
      </c>
      <c r="F120" s="2" t="e">
        <f aca="false">#REF!</f>
        <v>#REF!</v>
      </c>
      <c r="G120" s="2" t="e">
        <f aca="false">#REF!</f>
        <v>#REF!</v>
      </c>
      <c r="H120" s="2" t="e">
        <f aca="false">#REF!</f>
        <v>#REF!</v>
      </c>
      <c r="I120" s="2" t="e">
        <f aca="false">#REF!</f>
        <v>#REF!</v>
      </c>
      <c r="J120" s="2" t="e">
        <f aca="false">#REF!</f>
        <v>#REF!</v>
      </c>
      <c r="K120" s="2" t="e">
        <f aca="false">#REF!</f>
        <v>#REF!</v>
      </c>
      <c r="L120" s="2" t="e">
        <f aca="false">#REF!</f>
        <v>#REF!</v>
      </c>
      <c r="M120" s="2" t="e">
        <f aca="false">#REF!</f>
        <v>#REF!</v>
      </c>
    </row>
    <row r="121" customFormat="false" ht="13.5" hidden="false" customHeight="false" outlineLevel="0" collapsed="false">
      <c r="A121" s="0" t="s">
        <v>36</v>
      </c>
      <c r="B121" s="1" t="n">
        <v>43981</v>
      </c>
      <c r="C121" s="2" t="e">
        <f aca="false">#REF!</f>
        <v>#REF!</v>
      </c>
      <c r="D121" s="2" t="e">
        <f aca="false">#REF!</f>
        <v>#REF!</v>
      </c>
      <c r="E121" s="2" t="e">
        <f aca="false">#REF!</f>
        <v>#REF!</v>
      </c>
      <c r="F121" s="2" t="e">
        <f aca="false">#REF!</f>
        <v>#REF!</v>
      </c>
      <c r="G121" s="2" t="e">
        <f aca="false">#REF!</f>
        <v>#REF!</v>
      </c>
      <c r="H121" s="2" t="e">
        <f aca="false">#REF!</f>
        <v>#REF!</v>
      </c>
      <c r="I121" s="2" t="e">
        <f aca="false">#REF!</f>
        <v>#REF!</v>
      </c>
      <c r="J121" s="2" t="e">
        <f aca="false">#REF!</f>
        <v>#REF!</v>
      </c>
      <c r="K121" s="2" t="e">
        <f aca="false">#REF!</f>
        <v>#REF!</v>
      </c>
      <c r="L121" s="2" t="e">
        <f aca="false">#REF!</f>
        <v>#REF!</v>
      </c>
      <c r="M121" s="2" t="e">
        <f aca="false">#REF!</f>
        <v>#REF!</v>
      </c>
    </row>
    <row r="122" customFormat="false" ht="13.5" hidden="false" customHeight="false" outlineLevel="0" collapsed="false">
      <c r="A122" s="0" t="s">
        <v>36</v>
      </c>
      <c r="B122" s="1" t="n">
        <v>43982</v>
      </c>
      <c r="C122" s="2" t="e">
        <f aca="false">#REF!</f>
        <v>#REF!</v>
      </c>
      <c r="D122" s="2" t="e">
        <f aca="false">#REF!</f>
        <v>#REF!</v>
      </c>
      <c r="E122" s="2" t="e">
        <f aca="false">#REF!</f>
        <v>#REF!</v>
      </c>
      <c r="F122" s="2" t="e">
        <f aca="false">#REF!</f>
        <v>#REF!</v>
      </c>
      <c r="G122" s="2" t="e">
        <f aca="false">#REF!</f>
        <v>#REF!</v>
      </c>
      <c r="H122" s="2" t="e">
        <f aca="false">#REF!</f>
        <v>#REF!</v>
      </c>
      <c r="I122" s="2" t="e">
        <f aca="false">#REF!</f>
        <v>#REF!</v>
      </c>
      <c r="J122" s="2" t="e">
        <f aca="false">#REF!</f>
        <v>#REF!</v>
      </c>
      <c r="K122" s="2" t="e">
        <f aca="false">#REF!</f>
        <v>#REF!</v>
      </c>
      <c r="L122" s="2" t="e">
        <f aca="false">#REF!</f>
        <v>#REF!</v>
      </c>
      <c r="M122" s="2" t="e">
        <f aca="false">#REF!</f>
        <v>#REF!</v>
      </c>
    </row>
    <row r="123" customFormat="false" ht="13.5" hidden="false" customHeight="false" outlineLevel="0" collapsed="false">
      <c r="A123" s="0" t="s">
        <v>36</v>
      </c>
      <c r="B123" s="1" t="n">
        <v>43983</v>
      </c>
      <c r="C123" s="2" t="e">
        <f aca="false">#REF!</f>
        <v>#REF!</v>
      </c>
      <c r="D123" s="2" t="e">
        <f aca="false">#REF!</f>
        <v>#REF!</v>
      </c>
      <c r="E123" s="2" t="e">
        <f aca="false">#REF!</f>
        <v>#REF!</v>
      </c>
      <c r="F123" s="2" t="e">
        <f aca="false">#REF!</f>
        <v>#REF!</v>
      </c>
      <c r="G123" s="2" t="e">
        <f aca="false">#REF!</f>
        <v>#REF!</v>
      </c>
      <c r="H123" s="2" t="e">
        <f aca="false">#REF!</f>
        <v>#REF!</v>
      </c>
      <c r="I123" s="2" t="e">
        <f aca="false">#REF!</f>
        <v>#REF!</v>
      </c>
      <c r="J123" s="2" t="e">
        <f aca="false">#REF!</f>
        <v>#REF!</v>
      </c>
      <c r="K123" s="2" t="e">
        <f aca="false">#REF!</f>
        <v>#REF!</v>
      </c>
      <c r="L123" s="2" t="e">
        <f aca="false">#REF!</f>
        <v>#REF!</v>
      </c>
      <c r="M123" s="2" t="e">
        <f aca="false">#REF!</f>
        <v>#REF!</v>
      </c>
    </row>
    <row r="124" customFormat="false" ht="13.5" hidden="false" customHeight="false" outlineLevel="0" collapsed="false">
      <c r="A124" s="0" t="s">
        <v>36</v>
      </c>
      <c r="B124" s="1" t="n">
        <v>43984</v>
      </c>
      <c r="C124" s="2" t="e">
        <f aca="false">#REF!</f>
        <v>#REF!</v>
      </c>
      <c r="D124" s="2" t="e">
        <f aca="false">#REF!</f>
        <v>#REF!</v>
      </c>
      <c r="E124" s="2" t="e">
        <f aca="false">#REF!</f>
        <v>#REF!</v>
      </c>
      <c r="F124" s="2" t="e">
        <f aca="false">#REF!</f>
        <v>#REF!</v>
      </c>
      <c r="G124" s="2" t="e">
        <f aca="false">#REF!</f>
        <v>#REF!</v>
      </c>
      <c r="H124" s="2" t="e">
        <f aca="false">#REF!</f>
        <v>#REF!</v>
      </c>
      <c r="I124" s="2" t="e">
        <f aca="false">#REF!</f>
        <v>#REF!</v>
      </c>
      <c r="J124" s="2" t="e">
        <f aca="false">#REF!</f>
        <v>#REF!</v>
      </c>
      <c r="K124" s="2" t="e">
        <f aca="false">#REF!</f>
        <v>#REF!</v>
      </c>
      <c r="L124" s="2" t="e">
        <f aca="false">#REF!</f>
        <v>#REF!</v>
      </c>
      <c r="M124" s="2" t="e">
        <f aca="false">#REF!</f>
        <v>#REF!</v>
      </c>
    </row>
    <row r="125" customFormat="false" ht="13.5" hidden="false" customHeight="false" outlineLevel="0" collapsed="false">
      <c r="A125" s="0" t="s">
        <v>36</v>
      </c>
      <c r="B125" s="1" t="n">
        <v>43985</v>
      </c>
      <c r="C125" s="2" t="e">
        <f aca="false">#REF!</f>
        <v>#REF!</v>
      </c>
      <c r="D125" s="2" t="e">
        <f aca="false">#REF!</f>
        <v>#REF!</v>
      </c>
      <c r="E125" s="2" t="e">
        <f aca="false">#REF!</f>
        <v>#REF!</v>
      </c>
      <c r="F125" s="2" t="e">
        <f aca="false">#REF!</f>
        <v>#REF!</v>
      </c>
      <c r="G125" s="2" t="e">
        <f aca="false">#REF!</f>
        <v>#REF!</v>
      </c>
      <c r="H125" s="2" t="e">
        <f aca="false">#REF!</f>
        <v>#REF!</v>
      </c>
      <c r="I125" s="2" t="e">
        <f aca="false">#REF!</f>
        <v>#REF!</v>
      </c>
      <c r="J125" s="2" t="e">
        <f aca="false">#REF!</f>
        <v>#REF!</v>
      </c>
      <c r="K125" s="2" t="e">
        <f aca="false">#REF!</f>
        <v>#REF!</v>
      </c>
      <c r="L125" s="2" t="e">
        <f aca="false">#REF!</f>
        <v>#REF!</v>
      </c>
      <c r="M125" s="2" t="e">
        <f aca="false">#REF!</f>
        <v>#REF!</v>
      </c>
    </row>
    <row r="126" customFormat="false" ht="13.5" hidden="false" customHeight="false" outlineLevel="0" collapsed="false">
      <c r="A126" s="0" t="s">
        <v>36</v>
      </c>
      <c r="B126" s="1" t="n">
        <v>43986</v>
      </c>
      <c r="C126" s="2" t="e">
        <f aca="false">#REF!</f>
        <v>#REF!</v>
      </c>
      <c r="D126" s="2" t="e">
        <f aca="false">#REF!</f>
        <v>#REF!</v>
      </c>
      <c r="E126" s="2" t="e">
        <f aca="false">#REF!</f>
        <v>#REF!</v>
      </c>
      <c r="F126" s="2" t="e">
        <f aca="false">#REF!</f>
        <v>#REF!</v>
      </c>
      <c r="G126" s="2" t="e">
        <f aca="false">#REF!</f>
        <v>#REF!</v>
      </c>
      <c r="H126" s="2" t="e">
        <f aca="false">#REF!</f>
        <v>#REF!</v>
      </c>
      <c r="I126" s="2" t="e">
        <f aca="false">#REF!</f>
        <v>#REF!</v>
      </c>
      <c r="J126" s="2" t="e">
        <f aca="false">#REF!</f>
        <v>#REF!</v>
      </c>
      <c r="K126" s="2" t="e">
        <f aca="false">#REF!</f>
        <v>#REF!</v>
      </c>
      <c r="L126" s="2" t="e">
        <f aca="false">#REF!</f>
        <v>#REF!</v>
      </c>
      <c r="M126" s="2" t="e">
        <f aca="false">#REF!</f>
        <v>#REF!</v>
      </c>
    </row>
    <row r="127" customFormat="false" ht="13.5" hidden="false" customHeight="false" outlineLevel="0" collapsed="false">
      <c r="A127" s="0" t="s">
        <v>36</v>
      </c>
      <c r="B127" s="1" t="n">
        <v>43987</v>
      </c>
      <c r="C127" s="2" t="e">
        <f aca="false">#REF!</f>
        <v>#REF!</v>
      </c>
      <c r="D127" s="2" t="e">
        <f aca="false">#REF!</f>
        <v>#REF!</v>
      </c>
      <c r="E127" s="2" t="e">
        <f aca="false">#REF!</f>
        <v>#REF!</v>
      </c>
      <c r="F127" s="2" t="e">
        <f aca="false">#REF!</f>
        <v>#REF!</v>
      </c>
      <c r="G127" s="2" t="e">
        <f aca="false">#REF!</f>
        <v>#REF!</v>
      </c>
      <c r="H127" s="2" t="e">
        <f aca="false">#REF!</f>
        <v>#REF!</v>
      </c>
      <c r="I127" s="2" t="e">
        <f aca="false">#REF!</f>
        <v>#REF!</v>
      </c>
      <c r="J127" s="2" t="e">
        <f aca="false">#REF!</f>
        <v>#REF!</v>
      </c>
      <c r="K127" s="2" t="e">
        <f aca="false">#REF!</f>
        <v>#REF!</v>
      </c>
      <c r="L127" s="2" t="e">
        <f aca="false">#REF!</f>
        <v>#REF!</v>
      </c>
      <c r="M127" s="2" t="e">
        <f aca="false">#REF!</f>
        <v>#REF!</v>
      </c>
    </row>
    <row r="128" customFormat="false" ht="13.5" hidden="false" customHeight="false" outlineLevel="0" collapsed="false">
      <c r="A128" s="0" t="s">
        <v>36</v>
      </c>
      <c r="B128" s="1" t="n">
        <v>43988</v>
      </c>
      <c r="C128" s="2" t="e">
        <f aca="false">#REF!</f>
        <v>#REF!</v>
      </c>
      <c r="D128" s="2" t="e">
        <f aca="false">#REF!</f>
        <v>#REF!</v>
      </c>
      <c r="E128" s="2" t="e">
        <f aca="false">#REF!</f>
        <v>#REF!</v>
      </c>
      <c r="F128" s="2" t="e">
        <f aca="false">#REF!</f>
        <v>#REF!</v>
      </c>
      <c r="G128" s="2" t="e">
        <f aca="false">#REF!</f>
        <v>#REF!</v>
      </c>
      <c r="H128" s="2" t="e">
        <f aca="false">#REF!</f>
        <v>#REF!</v>
      </c>
      <c r="I128" s="2" t="e">
        <f aca="false">#REF!</f>
        <v>#REF!</v>
      </c>
      <c r="J128" s="2" t="e">
        <f aca="false">#REF!</f>
        <v>#REF!</v>
      </c>
      <c r="K128" s="2" t="e">
        <f aca="false">#REF!</f>
        <v>#REF!</v>
      </c>
      <c r="L128" s="2" t="e">
        <f aca="false">#REF!</f>
        <v>#REF!</v>
      </c>
      <c r="M128" s="2" t="e">
        <f aca="false">#REF!</f>
        <v>#REF!</v>
      </c>
    </row>
    <row r="129" customFormat="false" ht="13.5" hidden="false" customHeight="false" outlineLevel="0" collapsed="false">
      <c r="A129" s="0" t="s">
        <v>36</v>
      </c>
      <c r="B129" s="1" t="n">
        <v>43989</v>
      </c>
      <c r="C129" s="2" t="e">
        <f aca="false">#REF!</f>
        <v>#REF!</v>
      </c>
      <c r="D129" s="2" t="e">
        <f aca="false">#REF!</f>
        <v>#REF!</v>
      </c>
      <c r="E129" s="2" t="e">
        <f aca="false">#REF!</f>
        <v>#REF!</v>
      </c>
      <c r="F129" s="2" t="e">
        <f aca="false">#REF!</f>
        <v>#REF!</v>
      </c>
      <c r="G129" s="2" t="e">
        <f aca="false">#REF!</f>
        <v>#REF!</v>
      </c>
      <c r="H129" s="2" t="e">
        <f aca="false">#REF!</f>
        <v>#REF!</v>
      </c>
      <c r="I129" s="2" t="e">
        <f aca="false">#REF!</f>
        <v>#REF!</v>
      </c>
      <c r="J129" s="2" t="e">
        <f aca="false">#REF!</f>
        <v>#REF!</v>
      </c>
      <c r="K129" s="2" t="e">
        <f aca="false">#REF!</f>
        <v>#REF!</v>
      </c>
      <c r="L129" s="2" t="e">
        <f aca="false">#REF!</f>
        <v>#REF!</v>
      </c>
      <c r="M129" s="2" t="e">
        <f aca="false">#REF!</f>
        <v>#REF!</v>
      </c>
    </row>
    <row r="130" customFormat="false" ht="13.5" hidden="false" customHeight="false" outlineLevel="0" collapsed="false">
      <c r="A130" s="0" t="s">
        <v>36</v>
      </c>
      <c r="B130" s="1" t="n">
        <v>43990</v>
      </c>
      <c r="C130" s="2" t="e">
        <f aca="false">#REF!</f>
        <v>#REF!</v>
      </c>
      <c r="D130" s="2" t="e">
        <f aca="false">#REF!</f>
        <v>#REF!</v>
      </c>
      <c r="E130" s="2" t="e">
        <f aca="false">#REF!</f>
        <v>#REF!</v>
      </c>
      <c r="F130" s="2" t="e">
        <f aca="false">#REF!</f>
        <v>#REF!</v>
      </c>
      <c r="G130" s="2" t="e">
        <f aca="false">#REF!</f>
        <v>#REF!</v>
      </c>
      <c r="H130" s="2" t="e">
        <f aca="false">#REF!</f>
        <v>#REF!</v>
      </c>
      <c r="I130" s="2" t="e">
        <f aca="false">#REF!</f>
        <v>#REF!</v>
      </c>
      <c r="J130" s="2" t="e">
        <f aca="false">#REF!</f>
        <v>#REF!</v>
      </c>
      <c r="K130" s="2" t="e">
        <f aca="false">#REF!</f>
        <v>#REF!</v>
      </c>
      <c r="L130" s="2" t="e">
        <f aca="false">#REF!</f>
        <v>#REF!</v>
      </c>
      <c r="M130" s="2" t="e">
        <f aca="false">#REF!</f>
        <v>#REF!</v>
      </c>
    </row>
    <row r="131" customFormat="false" ht="13.5" hidden="false" customHeight="false" outlineLevel="0" collapsed="false">
      <c r="A131" s="0" t="s">
        <v>36</v>
      </c>
      <c r="B131" s="1" t="n">
        <v>43991</v>
      </c>
      <c r="C131" s="2" t="e">
        <f aca="false">#REF!</f>
        <v>#REF!</v>
      </c>
      <c r="D131" s="2" t="e">
        <f aca="false">#REF!</f>
        <v>#REF!</v>
      </c>
      <c r="E131" s="2" t="e">
        <f aca="false">#REF!</f>
        <v>#REF!</v>
      </c>
      <c r="F131" s="2" t="e">
        <f aca="false">#REF!</f>
        <v>#REF!</v>
      </c>
      <c r="G131" s="2" t="e">
        <f aca="false">#REF!</f>
        <v>#REF!</v>
      </c>
      <c r="H131" s="2" t="e">
        <f aca="false">#REF!</f>
        <v>#REF!</v>
      </c>
      <c r="I131" s="2" t="e">
        <f aca="false">#REF!</f>
        <v>#REF!</v>
      </c>
      <c r="J131" s="2" t="e">
        <f aca="false">#REF!</f>
        <v>#REF!</v>
      </c>
      <c r="K131" s="2" t="e">
        <f aca="false">#REF!</f>
        <v>#REF!</v>
      </c>
      <c r="L131" s="2" t="e">
        <f aca="false">#REF!</f>
        <v>#REF!</v>
      </c>
      <c r="M131" s="2" t="e">
        <f aca="false">#REF!</f>
        <v>#REF!</v>
      </c>
    </row>
    <row r="132" customFormat="false" ht="13.5" hidden="false" customHeight="false" outlineLevel="0" collapsed="false">
      <c r="A132" s="0" t="s">
        <v>36</v>
      </c>
      <c r="B132" s="1" t="n">
        <v>43992</v>
      </c>
      <c r="C132" s="2" t="e">
        <f aca="false">#REF!</f>
        <v>#REF!</v>
      </c>
      <c r="D132" s="2" t="e">
        <f aca="false">#REF!</f>
        <v>#REF!</v>
      </c>
      <c r="E132" s="2" t="e">
        <f aca="false">#REF!</f>
        <v>#REF!</v>
      </c>
      <c r="F132" s="2" t="e">
        <f aca="false">#REF!</f>
        <v>#REF!</v>
      </c>
      <c r="G132" s="2" t="e">
        <f aca="false">#REF!</f>
        <v>#REF!</v>
      </c>
      <c r="H132" s="2" t="e">
        <f aca="false">#REF!</f>
        <v>#REF!</v>
      </c>
      <c r="I132" s="2" t="e">
        <f aca="false">#REF!</f>
        <v>#REF!</v>
      </c>
      <c r="J132" s="2" t="e">
        <f aca="false">#REF!</f>
        <v>#REF!</v>
      </c>
      <c r="K132" s="2" t="e">
        <f aca="false">#REF!</f>
        <v>#REF!</v>
      </c>
      <c r="L132" s="2" t="e">
        <f aca="false">#REF!</f>
        <v>#REF!</v>
      </c>
      <c r="M132" s="2" t="e">
        <f aca="false">#REF!</f>
        <v>#REF!</v>
      </c>
    </row>
    <row r="133" customFormat="false" ht="13.5" hidden="false" customHeight="false" outlineLevel="0" collapsed="false">
      <c r="A133" s="0" t="s">
        <v>36</v>
      </c>
      <c r="B133" s="1" t="n">
        <v>43993</v>
      </c>
      <c r="C133" s="2" t="e">
        <f aca="false">#REF!</f>
        <v>#REF!</v>
      </c>
      <c r="D133" s="2" t="e">
        <f aca="false">#REF!</f>
        <v>#REF!</v>
      </c>
      <c r="E133" s="2" t="e">
        <f aca="false">#REF!</f>
        <v>#REF!</v>
      </c>
      <c r="F133" s="2" t="e">
        <f aca="false">#REF!</f>
        <v>#REF!</v>
      </c>
      <c r="G133" s="2" t="e">
        <f aca="false">#REF!</f>
        <v>#REF!</v>
      </c>
      <c r="H133" s="2" t="e">
        <f aca="false">#REF!</f>
        <v>#REF!</v>
      </c>
      <c r="I133" s="2" t="e">
        <f aca="false">#REF!</f>
        <v>#REF!</v>
      </c>
      <c r="J133" s="2" t="e">
        <f aca="false">#REF!</f>
        <v>#REF!</v>
      </c>
      <c r="K133" s="2" t="e">
        <f aca="false">#REF!</f>
        <v>#REF!</v>
      </c>
      <c r="L133" s="2" t="e">
        <f aca="false">#REF!</f>
        <v>#REF!</v>
      </c>
      <c r="M133" s="2" t="e">
        <f aca="false">#REF!</f>
        <v>#REF!</v>
      </c>
    </row>
    <row r="134" customFormat="false" ht="13.5" hidden="false" customHeight="false" outlineLevel="0" collapsed="false">
      <c r="A134" s="0" t="s">
        <v>36</v>
      </c>
      <c r="B134" s="1" t="n">
        <v>43994</v>
      </c>
      <c r="C134" s="2" t="e">
        <f aca="false">#REF!</f>
        <v>#REF!</v>
      </c>
      <c r="D134" s="2" t="e">
        <f aca="false">#REF!</f>
        <v>#REF!</v>
      </c>
      <c r="E134" s="2" t="e">
        <f aca="false">#REF!</f>
        <v>#REF!</v>
      </c>
      <c r="F134" s="2" t="e">
        <f aca="false">#REF!</f>
        <v>#REF!</v>
      </c>
      <c r="G134" s="2" t="e">
        <f aca="false">#REF!</f>
        <v>#REF!</v>
      </c>
      <c r="H134" s="2" t="e">
        <f aca="false">#REF!</f>
        <v>#REF!</v>
      </c>
      <c r="I134" s="2" t="e">
        <f aca="false">#REF!</f>
        <v>#REF!</v>
      </c>
      <c r="J134" s="2" t="e">
        <f aca="false">#REF!</f>
        <v>#REF!</v>
      </c>
      <c r="K134" s="2" t="e">
        <f aca="false">#REF!</f>
        <v>#REF!</v>
      </c>
      <c r="L134" s="2" t="e">
        <f aca="false">#REF!</f>
        <v>#REF!</v>
      </c>
      <c r="M134" s="2" t="e">
        <f aca="false">#REF!</f>
        <v>#REF!</v>
      </c>
    </row>
    <row r="135" customFormat="false" ht="13.5" hidden="false" customHeight="false" outlineLevel="0" collapsed="false">
      <c r="A135" s="0" t="s">
        <v>36</v>
      </c>
      <c r="B135" s="1" t="n">
        <v>43995</v>
      </c>
      <c r="C135" s="2" t="e">
        <f aca="false">#REF!</f>
        <v>#REF!</v>
      </c>
      <c r="D135" s="2" t="e">
        <f aca="false">#REF!</f>
        <v>#REF!</v>
      </c>
      <c r="E135" s="2" t="e">
        <f aca="false">#REF!</f>
        <v>#REF!</v>
      </c>
      <c r="F135" s="2" t="e">
        <f aca="false">#REF!</f>
        <v>#REF!</v>
      </c>
      <c r="G135" s="2" t="e">
        <f aca="false">#REF!</f>
        <v>#REF!</v>
      </c>
      <c r="H135" s="2" t="e">
        <f aca="false">#REF!</f>
        <v>#REF!</v>
      </c>
      <c r="I135" s="2" t="e">
        <f aca="false">#REF!</f>
        <v>#REF!</v>
      </c>
      <c r="J135" s="2" t="e">
        <f aca="false">#REF!</f>
        <v>#REF!</v>
      </c>
      <c r="K135" s="2" t="e">
        <f aca="false">#REF!</f>
        <v>#REF!</v>
      </c>
      <c r="L135" s="2" t="e">
        <f aca="false">#REF!</f>
        <v>#REF!</v>
      </c>
      <c r="M135" s="2" t="e">
        <f aca="false">#REF!</f>
        <v>#REF!</v>
      </c>
    </row>
    <row r="136" customFormat="false" ht="13.5" hidden="false" customHeight="false" outlineLevel="0" collapsed="false">
      <c r="A136" s="0" t="s">
        <v>36</v>
      </c>
      <c r="B136" s="1" t="n">
        <v>43996</v>
      </c>
      <c r="C136" s="2" t="e">
        <f aca="false">#REF!</f>
        <v>#REF!</v>
      </c>
      <c r="D136" s="2" t="e">
        <f aca="false">#REF!</f>
        <v>#REF!</v>
      </c>
      <c r="E136" s="2" t="e">
        <f aca="false">#REF!</f>
        <v>#REF!</v>
      </c>
      <c r="F136" s="2" t="e">
        <f aca="false">#REF!</f>
        <v>#REF!</v>
      </c>
      <c r="G136" s="2" t="e">
        <f aca="false">#REF!</f>
        <v>#REF!</v>
      </c>
      <c r="H136" s="2" t="e">
        <f aca="false">#REF!</f>
        <v>#REF!</v>
      </c>
      <c r="I136" s="2" t="e">
        <f aca="false">#REF!</f>
        <v>#REF!</v>
      </c>
      <c r="J136" s="2" t="e">
        <f aca="false">#REF!</f>
        <v>#REF!</v>
      </c>
      <c r="K136" s="2" t="e">
        <f aca="false">#REF!</f>
        <v>#REF!</v>
      </c>
      <c r="L136" s="2" t="e">
        <f aca="false">#REF!</f>
        <v>#REF!</v>
      </c>
      <c r="M136" s="2" t="e">
        <f aca="false">#REF!</f>
        <v>#REF!</v>
      </c>
    </row>
    <row r="137" customFormat="false" ht="13.5" hidden="false" customHeight="false" outlineLevel="0" collapsed="false">
      <c r="A137" s="0" t="s">
        <v>36</v>
      </c>
      <c r="B137" s="1" t="n">
        <v>43997</v>
      </c>
      <c r="C137" s="2" t="e">
        <f aca="false">#REF!</f>
        <v>#REF!</v>
      </c>
      <c r="D137" s="2" t="e">
        <f aca="false">#REF!</f>
        <v>#REF!</v>
      </c>
      <c r="E137" s="2" t="e">
        <f aca="false">#REF!</f>
        <v>#REF!</v>
      </c>
      <c r="F137" s="2" t="e">
        <f aca="false">#REF!</f>
        <v>#REF!</v>
      </c>
      <c r="G137" s="2" t="e">
        <f aca="false">#REF!</f>
        <v>#REF!</v>
      </c>
      <c r="H137" s="2" t="e">
        <f aca="false">#REF!</f>
        <v>#REF!</v>
      </c>
      <c r="I137" s="2" t="e">
        <f aca="false">#REF!</f>
        <v>#REF!</v>
      </c>
      <c r="J137" s="2" t="e">
        <f aca="false">#REF!</f>
        <v>#REF!</v>
      </c>
      <c r="K137" s="2" t="e">
        <f aca="false">#REF!</f>
        <v>#REF!</v>
      </c>
      <c r="L137" s="2" t="e">
        <f aca="false">#REF!</f>
        <v>#REF!</v>
      </c>
      <c r="M137" s="2" t="e">
        <f aca="false">#REF!</f>
        <v>#REF!</v>
      </c>
    </row>
    <row r="138" customFormat="false" ht="13.5" hidden="false" customHeight="false" outlineLevel="0" collapsed="false">
      <c r="A138" s="0" t="s">
        <v>36</v>
      </c>
      <c r="B138" s="1" t="n">
        <v>43998</v>
      </c>
      <c r="C138" s="2" t="e">
        <f aca="false">#REF!</f>
        <v>#REF!</v>
      </c>
      <c r="D138" s="2" t="e">
        <f aca="false">#REF!</f>
        <v>#REF!</v>
      </c>
      <c r="E138" s="2" t="e">
        <f aca="false">#REF!</f>
        <v>#REF!</v>
      </c>
      <c r="F138" s="2" t="e">
        <f aca="false">#REF!</f>
        <v>#REF!</v>
      </c>
      <c r="G138" s="2" t="e">
        <f aca="false">#REF!</f>
        <v>#REF!</v>
      </c>
      <c r="H138" s="2" t="e">
        <f aca="false">#REF!</f>
        <v>#REF!</v>
      </c>
      <c r="I138" s="2" t="e">
        <f aca="false">#REF!</f>
        <v>#REF!</v>
      </c>
      <c r="J138" s="2" t="e">
        <f aca="false">#REF!</f>
        <v>#REF!</v>
      </c>
      <c r="K138" s="2" t="e">
        <f aca="false">#REF!</f>
        <v>#REF!</v>
      </c>
      <c r="L138" s="2" t="e">
        <f aca="false">#REF!</f>
        <v>#REF!</v>
      </c>
      <c r="M138" s="2" t="e">
        <f aca="false">#REF!</f>
        <v>#REF!</v>
      </c>
    </row>
    <row r="139" customFormat="false" ht="13.5" hidden="false" customHeight="false" outlineLevel="0" collapsed="false">
      <c r="A139" s="0" t="s">
        <v>36</v>
      </c>
      <c r="B139" s="1" t="n">
        <v>43999</v>
      </c>
      <c r="C139" s="2" t="e">
        <f aca="false">#REF!</f>
        <v>#REF!</v>
      </c>
      <c r="D139" s="2" t="e">
        <f aca="false">#REF!</f>
        <v>#REF!</v>
      </c>
      <c r="E139" s="2" t="e">
        <f aca="false">#REF!</f>
        <v>#REF!</v>
      </c>
      <c r="F139" s="2" t="e">
        <f aca="false">#REF!</f>
        <v>#REF!</v>
      </c>
      <c r="G139" s="2" t="e">
        <f aca="false">#REF!</f>
        <v>#REF!</v>
      </c>
      <c r="H139" s="2" t="e">
        <f aca="false">#REF!</f>
        <v>#REF!</v>
      </c>
      <c r="I139" s="2" t="e">
        <f aca="false">#REF!</f>
        <v>#REF!</v>
      </c>
      <c r="J139" s="2" t="e">
        <f aca="false">#REF!</f>
        <v>#REF!</v>
      </c>
      <c r="K139" s="2" t="e">
        <f aca="false">#REF!</f>
        <v>#REF!</v>
      </c>
      <c r="L139" s="2" t="e">
        <f aca="false">#REF!</f>
        <v>#REF!</v>
      </c>
      <c r="M139" s="2" t="e">
        <f aca="false">#REF!</f>
        <v>#REF!</v>
      </c>
    </row>
    <row r="140" customFormat="false" ht="13.5" hidden="false" customHeight="false" outlineLevel="0" collapsed="false">
      <c r="A140" s="0" t="s">
        <v>36</v>
      </c>
      <c r="B140" s="1" t="n">
        <v>44000</v>
      </c>
      <c r="C140" s="2" t="e">
        <f aca="false">#REF!</f>
        <v>#REF!</v>
      </c>
      <c r="D140" s="2" t="e">
        <f aca="false">#REF!</f>
        <v>#REF!</v>
      </c>
      <c r="E140" s="2" t="e">
        <f aca="false">#REF!</f>
        <v>#REF!</v>
      </c>
      <c r="F140" s="2" t="e">
        <f aca="false">#REF!</f>
        <v>#REF!</v>
      </c>
      <c r="G140" s="2" t="e">
        <f aca="false">#REF!</f>
        <v>#REF!</v>
      </c>
      <c r="H140" s="2" t="e">
        <f aca="false">#REF!</f>
        <v>#REF!</v>
      </c>
      <c r="I140" s="2" t="e">
        <f aca="false">#REF!</f>
        <v>#REF!</v>
      </c>
      <c r="J140" s="2" t="e">
        <f aca="false">#REF!</f>
        <v>#REF!</v>
      </c>
      <c r="K140" s="2" t="e">
        <f aca="false">#REF!</f>
        <v>#REF!</v>
      </c>
      <c r="L140" s="2" t="e">
        <f aca="false">#REF!</f>
        <v>#REF!</v>
      </c>
      <c r="M140" s="2" t="e">
        <f aca="false">#REF!</f>
        <v>#REF!</v>
      </c>
    </row>
    <row r="141" customFormat="false" ht="13.5" hidden="false" customHeight="false" outlineLevel="0" collapsed="false">
      <c r="A141" s="0" t="s">
        <v>36</v>
      </c>
      <c r="B141" s="1" t="n">
        <v>44001</v>
      </c>
      <c r="C141" s="2" t="e">
        <f aca="false">#REF!</f>
        <v>#REF!</v>
      </c>
      <c r="D141" s="2" t="e">
        <f aca="false">#REF!</f>
        <v>#REF!</v>
      </c>
      <c r="E141" s="2" t="e">
        <f aca="false">#REF!</f>
        <v>#REF!</v>
      </c>
      <c r="F141" s="2" t="e">
        <f aca="false">#REF!</f>
        <v>#REF!</v>
      </c>
      <c r="G141" s="2" t="e">
        <f aca="false">#REF!</f>
        <v>#REF!</v>
      </c>
      <c r="H141" s="2" t="e">
        <f aca="false">#REF!</f>
        <v>#REF!</v>
      </c>
      <c r="I141" s="2" t="e">
        <f aca="false">#REF!</f>
        <v>#REF!</v>
      </c>
      <c r="J141" s="2" t="e">
        <f aca="false">#REF!</f>
        <v>#REF!</v>
      </c>
      <c r="K141" s="2" t="e">
        <f aca="false">#REF!</f>
        <v>#REF!</v>
      </c>
      <c r="L141" s="2" t="e">
        <f aca="false">#REF!</f>
        <v>#REF!</v>
      </c>
      <c r="M141" s="2" t="e">
        <f aca="false">#REF!</f>
        <v>#REF!</v>
      </c>
    </row>
    <row r="142" customFormat="false" ht="13.5" hidden="false" customHeight="false" outlineLevel="0" collapsed="false">
      <c r="A142" s="0" t="s">
        <v>36</v>
      </c>
      <c r="B142" s="1" t="n">
        <v>44002</v>
      </c>
      <c r="C142" s="2" t="e">
        <f aca="false">#REF!</f>
        <v>#REF!</v>
      </c>
      <c r="D142" s="2" t="e">
        <f aca="false">#REF!</f>
        <v>#REF!</v>
      </c>
      <c r="E142" s="2" t="e">
        <f aca="false">#REF!</f>
        <v>#REF!</v>
      </c>
      <c r="F142" s="2" t="e">
        <f aca="false">#REF!</f>
        <v>#REF!</v>
      </c>
      <c r="G142" s="2" t="e">
        <f aca="false">#REF!</f>
        <v>#REF!</v>
      </c>
      <c r="H142" s="2" t="e">
        <f aca="false">#REF!</f>
        <v>#REF!</v>
      </c>
      <c r="I142" s="2" t="e">
        <f aca="false">#REF!</f>
        <v>#REF!</v>
      </c>
      <c r="J142" s="2" t="e">
        <f aca="false">#REF!</f>
        <v>#REF!</v>
      </c>
      <c r="K142" s="2" t="e">
        <f aca="false">#REF!</f>
        <v>#REF!</v>
      </c>
      <c r="L142" s="2" t="e">
        <f aca="false">#REF!</f>
        <v>#REF!</v>
      </c>
      <c r="M142" s="2" t="e">
        <f aca="false">#REF!</f>
        <v>#REF!</v>
      </c>
    </row>
    <row r="143" customFormat="false" ht="13.5" hidden="false" customHeight="false" outlineLevel="0" collapsed="false">
      <c r="A143" s="0" t="s">
        <v>36</v>
      </c>
      <c r="B143" s="1" t="n">
        <v>44003</v>
      </c>
      <c r="C143" s="2" t="e">
        <f aca="false">#REF!</f>
        <v>#REF!</v>
      </c>
      <c r="D143" s="2" t="e">
        <f aca="false">#REF!</f>
        <v>#REF!</v>
      </c>
      <c r="E143" s="2" t="e">
        <f aca="false">#REF!</f>
        <v>#REF!</v>
      </c>
      <c r="F143" s="2" t="e">
        <f aca="false">#REF!</f>
        <v>#REF!</v>
      </c>
      <c r="G143" s="2" t="e">
        <f aca="false">#REF!</f>
        <v>#REF!</v>
      </c>
      <c r="H143" s="2" t="e">
        <f aca="false">#REF!</f>
        <v>#REF!</v>
      </c>
      <c r="I143" s="2" t="e">
        <f aca="false">#REF!</f>
        <v>#REF!</v>
      </c>
      <c r="J143" s="2" t="e">
        <f aca="false">#REF!</f>
        <v>#REF!</v>
      </c>
      <c r="K143" s="2" t="e">
        <f aca="false">#REF!</f>
        <v>#REF!</v>
      </c>
      <c r="L143" s="2" t="e">
        <f aca="false">#REF!</f>
        <v>#REF!</v>
      </c>
      <c r="M143" s="2" t="e">
        <f aca="false">#REF!</f>
        <v>#REF!</v>
      </c>
    </row>
    <row r="144" customFormat="false" ht="13.5" hidden="false" customHeight="false" outlineLevel="0" collapsed="false">
      <c r="A144" s="0" t="s">
        <v>36</v>
      </c>
      <c r="B144" s="1" t="n">
        <v>44004</v>
      </c>
      <c r="C144" s="2" t="e">
        <f aca="false">#REF!</f>
        <v>#REF!</v>
      </c>
      <c r="D144" s="2" t="e">
        <f aca="false">#REF!</f>
        <v>#REF!</v>
      </c>
      <c r="E144" s="2" t="e">
        <f aca="false">#REF!</f>
        <v>#REF!</v>
      </c>
      <c r="F144" s="2" t="e">
        <f aca="false">#REF!</f>
        <v>#REF!</v>
      </c>
      <c r="G144" s="2" t="e">
        <f aca="false">#REF!</f>
        <v>#REF!</v>
      </c>
      <c r="H144" s="2" t="e">
        <f aca="false">#REF!</f>
        <v>#REF!</v>
      </c>
      <c r="I144" s="2" t="e">
        <f aca="false">#REF!</f>
        <v>#REF!</v>
      </c>
      <c r="J144" s="2" t="e">
        <f aca="false">#REF!</f>
        <v>#REF!</v>
      </c>
      <c r="K144" s="2" t="e">
        <f aca="false">#REF!</f>
        <v>#REF!</v>
      </c>
      <c r="L144" s="2" t="e">
        <f aca="false">#REF!</f>
        <v>#REF!</v>
      </c>
      <c r="M144" s="2" t="e">
        <f aca="false">#REF!</f>
        <v>#REF!</v>
      </c>
    </row>
    <row r="145" customFormat="false" ht="13.5" hidden="false" customHeight="false" outlineLevel="0" collapsed="false">
      <c r="A145" s="0" t="s">
        <v>36</v>
      </c>
      <c r="B145" s="1" t="n">
        <v>44005</v>
      </c>
      <c r="C145" s="2" t="e">
        <f aca="false">#REF!</f>
        <v>#REF!</v>
      </c>
      <c r="D145" s="2" t="e">
        <f aca="false">#REF!</f>
        <v>#REF!</v>
      </c>
      <c r="E145" s="2" t="e">
        <f aca="false">#REF!</f>
        <v>#REF!</v>
      </c>
      <c r="F145" s="2" t="e">
        <f aca="false">#REF!</f>
        <v>#REF!</v>
      </c>
      <c r="G145" s="2" t="e">
        <f aca="false">#REF!</f>
        <v>#REF!</v>
      </c>
      <c r="H145" s="2" t="e">
        <f aca="false">#REF!</f>
        <v>#REF!</v>
      </c>
      <c r="I145" s="2" t="e">
        <f aca="false">#REF!</f>
        <v>#REF!</v>
      </c>
      <c r="J145" s="2" t="e">
        <f aca="false">#REF!</f>
        <v>#REF!</v>
      </c>
      <c r="K145" s="2" t="e">
        <f aca="false">#REF!</f>
        <v>#REF!</v>
      </c>
      <c r="L145" s="2" t="e">
        <f aca="false">#REF!</f>
        <v>#REF!</v>
      </c>
      <c r="M145" s="2" t="e">
        <f aca="false">#REF!</f>
        <v>#REF!</v>
      </c>
    </row>
    <row r="146" customFormat="false" ht="13.5" hidden="false" customHeight="false" outlineLevel="0" collapsed="false">
      <c r="A146" s="0" t="s">
        <v>36</v>
      </c>
      <c r="B146" s="1" t="n">
        <v>44006</v>
      </c>
      <c r="C146" s="2" t="e">
        <f aca="false">#REF!</f>
        <v>#REF!</v>
      </c>
      <c r="D146" s="2" t="e">
        <f aca="false">#REF!</f>
        <v>#REF!</v>
      </c>
      <c r="E146" s="2" t="e">
        <f aca="false">#REF!</f>
        <v>#REF!</v>
      </c>
      <c r="F146" s="2" t="e">
        <f aca="false">#REF!</f>
        <v>#REF!</v>
      </c>
      <c r="G146" s="2" t="e">
        <f aca="false">#REF!</f>
        <v>#REF!</v>
      </c>
      <c r="H146" s="2" t="e">
        <f aca="false">#REF!</f>
        <v>#REF!</v>
      </c>
      <c r="I146" s="2" t="e">
        <f aca="false">#REF!</f>
        <v>#REF!</v>
      </c>
      <c r="J146" s="2" t="e">
        <f aca="false">#REF!</f>
        <v>#REF!</v>
      </c>
      <c r="K146" s="2" t="e">
        <f aca="false">#REF!</f>
        <v>#REF!</v>
      </c>
      <c r="L146" s="2" t="e">
        <f aca="false">#REF!</f>
        <v>#REF!</v>
      </c>
      <c r="M146" s="2" t="e">
        <f aca="false">#REF!</f>
        <v>#REF!</v>
      </c>
    </row>
    <row r="147" customFormat="false" ht="13.5" hidden="false" customHeight="false" outlineLevel="0" collapsed="false">
      <c r="A147" s="0" t="s">
        <v>36</v>
      </c>
      <c r="B147" s="1" t="n">
        <v>44007</v>
      </c>
      <c r="C147" s="2" t="e">
        <f aca="false">#REF!</f>
        <v>#REF!</v>
      </c>
      <c r="D147" s="2" t="e">
        <f aca="false">#REF!</f>
        <v>#REF!</v>
      </c>
      <c r="E147" s="2" t="e">
        <f aca="false">#REF!</f>
        <v>#REF!</v>
      </c>
      <c r="F147" s="2" t="e">
        <f aca="false">#REF!</f>
        <v>#REF!</v>
      </c>
      <c r="G147" s="2" t="e">
        <f aca="false">#REF!</f>
        <v>#REF!</v>
      </c>
      <c r="H147" s="2" t="e">
        <f aca="false">#REF!</f>
        <v>#REF!</v>
      </c>
      <c r="I147" s="2" t="e">
        <f aca="false">#REF!</f>
        <v>#REF!</v>
      </c>
      <c r="J147" s="2" t="e">
        <f aca="false">#REF!</f>
        <v>#REF!</v>
      </c>
      <c r="K147" s="2" t="e">
        <f aca="false">#REF!</f>
        <v>#REF!</v>
      </c>
      <c r="L147" s="2" t="e">
        <f aca="false">#REF!</f>
        <v>#REF!</v>
      </c>
      <c r="M147" s="2" t="e">
        <f aca="false">#REF!</f>
        <v>#REF!</v>
      </c>
    </row>
    <row r="148" customFormat="false" ht="13.5" hidden="false" customHeight="false" outlineLevel="0" collapsed="false">
      <c r="A148" s="0" t="s">
        <v>36</v>
      </c>
      <c r="B148" s="1" t="n">
        <v>44008</v>
      </c>
      <c r="C148" s="2" t="e">
        <f aca="false">#REF!</f>
        <v>#REF!</v>
      </c>
      <c r="D148" s="2" t="e">
        <f aca="false">#REF!</f>
        <v>#REF!</v>
      </c>
      <c r="E148" s="2" t="e">
        <f aca="false">#REF!</f>
        <v>#REF!</v>
      </c>
      <c r="F148" s="2" t="e">
        <f aca="false">#REF!</f>
        <v>#REF!</v>
      </c>
      <c r="G148" s="2" t="e">
        <f aca="false">#REF!</f>
        <v>#REF!</v>
      </c>
      <c r="H148" s="2" t="e">
        <f aca="false">#REF!</f>
        <v>#REF!</v>
      </c>
      <c r="I148" s="2" t="e">
        <f aca="false">#REF!</f>
        <v>#REF!</v>
      </c>
      <c r="J148" s="2" t="e">
        <f aca="false">#REF!</f>
        <v>#REF!</v>
      </c>
      <c r="K148" s="2" t="e">
        <f aca="false">#REF!</f>
        <v>#REF!</v>
      </c>
      <c r="L148" s="2" t="e">
        <f aca="false">#REF!</f>
        <v>#REF!</v>
      </c>
      <c r="M148" s="2" t="e">
        <f aca="false">#REF!</f>
        <v>#REF!</v>
      </c>
    </row>
    <row r="149" customFormat="false" ht="13.5" hidden="false" customHeight="false" outlineLevel="0" collapsed="false">
      <c r="A149" s="0" t="s">
        <v>36</v>
      </c>
      <c r="B149" s="1" t="n">
        <v>44009</v>
      </c>
      <c r="C149" s="2" t="e">
        <f aca="false">#REF!</f>
        <v>#REF!</v>
      </c>
      <c r="D149" s="2" t="e">
        <f aca="false">#REF!</f>
        <v>#REF!</v>
      </c>
      <c r="E149" s="2" t="e">
        <f aca="false">#REF!</f>
        <v>#REF!</v>
      </c>
      <c r="F149" s="2" t="e">
        <f aca="false">#REF!</f>
        <v>#REF!</v>
      </c>
      <c r="G149" s="2" t="e">
        <f aca="false">#REF!</f>
        <v>#REF!</v>
      </c>
      <c r="H149" s="2" t="e">
        <f aca="false">#REF!</f>
        <v>#REF!</v>
      </c>
      <c r="I149" s="2" t="e">
        <f aca="false">#REF!</f>
        <v>#REF!</v>
      </c>
      <c r="J149" s="2" t="e">
        <f aca="false">#REF!</f>
        <v>#REF!</v>
      </c>
      <c r="K149" s="2" t="e">
        <f aca="false">#REF!</f>
        <v>#REF!</v>
      </c>
      <c r="L149" s="2" t="e">
        <f aca="false">#REF!</f>
        <v>#REF!</v>
      </c>
      <c r="M149" s="2" t="e">
        <f aca="false">#REF!</f>
        <v>#REF!</v>
      </c>
    </row>
    <row r="150" customFormat="false" ht="13.5" hidden="false" customHeight="false" outlineLevel="0" collapsed="false">
      <c r="A150" s="0" t="s">
        <v>36</v>
      </c>
      <c r="B150" s="1" t="n">
        <v>44010</v>
      </c>
      <c r="C150" s="2" t="e">
        <f aca="false">#REF!</f>
        <v>#REF!</v>
      </c>
      <c r="D150" s="2" t="e">
        <f aca="false">#REF!</f>
        <v>#REF!</v>
      </c>
      <c r="E150" s="2" t="e">
        <f aca="false">#REF!</f>
        <v>#REF!</v>
      </c>
      <c r="F150" s="2" t="e">
        <f aca="false">#REF!</f>
        <v>#REF!</v>
      </c>
      <c r="G150" s="2" t="e">
        <f aca="false">#REF!</f>
        <v>#REF!</v>
      </c>
      <c r="H150" s="2" t="e">
        <f aca="false">#REF!</f>
        <v>#REF!</v>
      </c>
      <c r="I150" s="2" t="e">
        <f aca="false">#REF!</f>
        <v>#REF!</v>
      </c>
      <c r="J150" s="2" t="e">
        <f aca="false">#REF!</f>
        <v>#REF!</v>
      </c>
      <c r="K150" s="2" t="e">
        <f aca="false">#REF!</f>
        <v>#REF!</v>
      </c>
      <c r="L150" s="2" t="e">
        <f aca="false">#REF!</f>
        <v>#REF!</v>
      </c>
      <c r="M150" s="2" t="e">
        <f aca="false">#REF!</f>
        <v>#REF!</v>
      </c>
    </row>
    <row r="151" customFormat="false" ht="13.5" hidden="false" customHeight="false" outlineLevel="0" collapsed="false">
      <c r="A151" s="0" t="s">
        <v>36</v>
      </c>
      <c r="B151" s="1" t="n">
        <v>44011</v>
      </c>
      <c r="C151" s="2" t="e">
        <f aca="false">#REF!</f>
        <v>#REF!</v>
      </c>
      <c r="D151" s="2" t="e">
        <f aca="false">#REF!</f>
        <v>#REF!</v>
      </c>
      <c r="E151" s="2" t="e">
        <f aca="false">#REF!</f>
        <v>#REF!</v>
      </c>
      <c r="F151" s="2" t="e">
        <f aca="false">#REF!</f>
        <v>#REF!</v>
      </c>
      <c r="G151" s="2" t="e">
        <f aca="false">#REF!</f>
        <v>#REF!</v>
      </c>
      <c r="H151" s="2" t="e">
        <f aca="false">#REF!</f>
        <v>#REF!</v>
      </c>
      <c r="I151" s="2" t="e">
        <f aca="false">#REF!</f>
        <v>#REF!</v>
      </c>
      <c r="J151" s="2" t="e">
        <f aca="false">#REF!</f>
        <v>#REF!</v>
      </c>
      <c r="K151" s="2" t="e">
        <f aca="false">#REF!</f>
        <v>#REF!</v>
      </c>
      <c r="L151" s="2" t="e">
        <f aca="false">#REF!</f>
        <v>#REF!</v>
      </c>
      <c r="M151" s="2" t="e">
        <f aca="false">#REF!</f>
        <v>#REF!</v>
      </c>
    </row>
    <row r="152" customFormat="false" ht="13.5" hidden="false" customHeight="false" outlineLevel="0" collapsed="false">
      <c r="A152" s="0" t="s">
        <v>36</v>
      </c>
      <c r="B152" s="1" t="n">
        <v>44012</v>
      </c>
      <c r="C152" s="2" t="e">
        <f aca="false">#REF!</f>
        <v>#REF!</v>
      </c>
      <c r="D152" s="2" t="e">
        <f aca="false">#REF!</f>
        <v>#REF!</v>
      </c>
      <c r="E152" s="2" t="e">
        <f aca="false">#REF!</f>
        <v>#REF!</v>
      </c>
      <c r="F152" s="2" t="e">
        <f aca="false">#REF!</f>
        <v>#REF!</v>
      </c>
      <c r="G152" s="2" t="e">
        <f aca="false">#REF!</f>
        <v>#REF!</v>
      </c>
      <c r="H152" s="2" t="e">
        <f aca="false">#REF!</f>
        <v>#REF!</v>
      </c>
      <c r="I152" s="2" t="e">
        <f aca="false">#REF!</f>
        <v>#REF!</v>
      </c>
      <c r="J152" s="2" t="e">
        <f aca="false">#REF!</f>
        <v>#REF!</v>
      </c>
      <c r="K152" s="2" t="e">
        <f aca="false">#REF!</f>
        <v>#REF!</v>
      </c>
      <c r="L152" s="2" t="e">
        <f aca="false">#REF!</f>
        <v>#REF!</v>
      </c>
      <c r="M152" s="2" t="e">
        <f aca="false">#REF!</f>
        <v>#REF!</v>
      </c>
    </row>
    <row r="153" customFormat="false" ht="13.5" hidden="false" customHeight="false" outlineLevel="0" collapsed="false">
      <c r="A153" s="0" t="s">
        <v>36</v>
      </c>
      <c r="B153" s="1" t="n">
        <v>44013</v>
      </c>
      <c r="C153" s="2" t="e">
        <f aca="false">#REF!</f>
        <v>#REF!</v>
      </c>
      <c r="D153" s="2" t="e">
        <f aca="false">#REF!</f>
        <v>#REF!</v>
      </c>
      <c r="E153" s="2" t="e">
        <f aca="false">#REF!</f>
        <v>#REF!</v>
      </c>
      <c r="F153" s="2" t="e">
        <f aca="false">#REF!</f>
        <v>#REF!</v>
      </c>
      <c r="G153" s="2" t="e">
        <f aca="false">#REF!</f>
        <v>#REF!</v>
      </c>
      <c r="H153" s="2" t="e">
        <f aca="false">#REF!</f>
        <v>#REF!</v>
      </c>
      <c r="I153" s="2" t="e">
        <f aca="false">#REF!</f>
        <v>#REF!</v>
      </c>
      <c r="J153" s="2" t="e">
        <f aca="false">#REF!</f>
        <v>#REF!</v>
      </c>
      <c r="K153" s="2" t="e">
        <f aca="false">#REF!</f>
        <v>#REF!</v>
      </c>
      <c r="L153" s="2" t="e">
        <f aca="false">#REF!</f>
        <v>#REF!</v>
      </c>
      <c r="M153" s="2" t="e">
        <f aca="false">#REF!</f>
        <v>#REF!</v>
      </c>
    </row>
    <row r="154" customFormat="false" ht="13.5" hidden="false" customHeight="false" outlineLevel="0" collapsed="false">
      <c r="A154" s="0" t="s">
        <v>36</v>
      </c>
      <c r="B154" s="1" t="n">
        <v>44014</v>
      </c>
      <c r="C154" s="2" t="e">
        <f aca="false">#REF!</f>
        <v>#REF!</v>
      </c>
      <c r="D154" s="2" t="e">
        <f aca="false">#REF!</f>
        <v>#REF!</v>
      </c>
      <c r="E154" s="2" t="e">
        <f aca="false">#REF!</f>
        <v>#REF!</v>
      </c>
      <c r="F154" s="2" t="e">
        <f aca="false">#REF!</f>
        <v>#REF!</v>
      </c>
      <c r="G154" s="2" t="e">
        <f aca="false">#REF!</f>
        <v>#REF!</v>
      </c>
      <c r="H154" s="2" t="e">
        <f aca="false">#REF!</f>
        <v>#REF!</v>
      </c>
      <c r="I154" s="2" t="e">
        <f aca="false">#REF!</f>
        <v>#REF!</v>
      </c>
      <c r="J154" s="2" t="e">
        <f aca="false">#REF!</f>
        <v>#REF!</v>
      </c>
      <c r="K154" s="2" t="e">
        <f aca="false">#REF!</f>
        <v>#REF!</v>
      </c>
      <c r="L154" s="2" t="e">
        <f aca="false">#REF!</f>
        <v>#REF!</v>
      </c>
      <c r="M154" s="2" t="e">
        <f aca="false">#REF!</f>
        <v>#REF!</v>
      </c>
    </row>
    <row r="155" customFormat="false" ht="13.5" hidden="false" customHeight="false" outlineLevel="0" collapsed="false">
      <c r="A155" s="0" t="s">
        <v>36</v>
      </c>
      <c r="B155" s="1" t="n">
        <v>44015</v>
      </c>
      <c r="C155" s="2" t="e">
        <f aca="false">#REF!</f>
        <v>#REF!</v>
      </c>
      <c r="D155" s="2" t="e">
        <f aca="false">#REF!</f>
        <v>#REF!</v>
      </c>
      <c r="E155" s="2" t="e">
        <f aca="false">#REF!</f>
        <v>#REF!</v>
      </c>
      <c r="F155" s="2" t="e">
        <f aca="false">#REF!</f>
        <v>#REF!</v>
      </c>
      <c r="G155" s="2" t="e">
        <f aca="false">#REF!</f>
        <v>#REF!</v>
      </c>
      <c r="H155" s="2" t="e">
        <f aca="false">#REF!</f>
        <v>#REF!</v>
      </c>
      <c r="I155" s="2" t="e">
        <f aca="false">#REF!</f>
        <v>#REF!</v>
      </c>
      <c r="J155" s="2" t="e">
        <f aca="false">#REF!</f>
        <v>#REF!</v>
      </c>
      <c r="K155" s="2" t="e">
        <f aca="false">#REF!</f>
        <v>#REF!</v>
      </c>
      <c r="L155" s="2" t="e">
        <f aca="false">#REF!</f>
        <v>#REF!</v>
      </c>
      <c r="M155" s="2" t="e">
        <f aca="false">#REF!</f>
        <v>#REF!</v>
      </c>
    </row>
    <row r="156" customFormat="false" ht="13.5" hidden="false" customHeight="false" outlineLevel="0" collapsed="false">
      <c r="A156" s="0" t="s">
        <v>36</v>
      </c>
      <c r="B156" s="1" t="n">
        <v>44016</v>
      </c>
      <c r="C156" s="2" t="e">
        <f aca="false">#REF!</f>
        <v>#REF!</v>
      </c>
      <c r="D156" s="2" t="e">
        <f aca="false">#REF!</f>
        <v>#REF!</v>
      </c>
      <c r="E156" s="2" t="e">
        <f aca="false">#REF!</f>
        <v>#REF!</v>
      </c>
      <c r="F156" s="2" t="e">
        <f aca="false">#REF!</f>
        <v>#REF!</v>
      </c>
      <c r="G156" s="2" t="e">
        <f aca="false">#REF!</f>
        <v>#REF!</v>
      </c>
      <c r="H156" s="2" t="e">
        <f aca="false">#REF!</f>
        <v>#REF!</v>
      </c>
      <c r="I156" s="2" t="e">
        <f aca="false">#REF!</f>
        <v>#REF!</v>
      </c>
      <c r="J156" s="2" t="e">
        <f aca="false">#REF!</f>
        <v>#REF!</v>
      </c>
      <c r="K156" s="2" t="e">
        <f aca="false">#REF!</f>
        <v>#REF!</v>
      </c>
      <c r="L156" s="2" t="e">
        <f aca="false">#REF!</f>
        <v>#REF!</v>
      </c>
      <c r="M156" s="2" t="e">
        <f aca="false">#REF!</f>
        <v>#REF!</v>
      </c>
    </row>
    <row r="157" customFormat="false" ht="13.5" hidden="false" customHeight="false" outlineLevel="0" collapsed="false">
      <c r="A157" s="0" t="s">
        <v>36</v>
      </c>
      <c r="B157" s="1" t="n">
        <v>44017</v>
      </c>
      <c r="C157" s="2" t="e">
        <f aca="false">#REF!</f>
        <v>#REF!</v>
      </c>
      <c r="D157" s="2" t="e">
        <f aca="false">#REF!</f>
        <v>#REF!</v>
      </c>
      <c r="E157" s="2" t="e">
        <f aca="false">#REF!</f>
        <v>#REF!</v>
      </c>
      <c r="F157" s="2" t="e">
        <f aca="false">#REF!</f>
        <v>#REF!</v>
      </c>
      <c r="G157" s="2" t="e">
        <f aca="false">#REF!</f>
        <v>#REF!</v>
      </c>
      <c r="H157" s="2" t="e">
        <f aca="false">#REF!</f>
        <v>#REF!</v>
      </c>
      <c r="I157" s="2" t="e">
        <f aca="false">#REF!</f>
        <v>#REF!</v>
      </c>
      <c r="J157" s="2" t="e">
        <f aca="false">#REF!</f>
        <v>#REF!</v>
      </c>
      <c r="K157" s="2" t="e">
        <f aca="false">#REF!</f>
        <v>#REF!</v>
      </c>
      <c r="L157" s="2" t="e">
        <f aca="false">#REF!</f>
        <v>#REF!</v>
      </c>
      <c r="M157" s="2" t="e">
        <f aca="false">#REF!</f>
        <v>#REF!</v>
      </c>
    </row>
    <row r="158" customFormat="false" ht="13.5" hidden="false" customHeight="false" outlineLevel="0" collapsed="false">
      <c r="A158" s="0" t="s">
        <v>36</v>
      </c>
      <c r="B158" s="1" t="n">
        <v>44018</v>
      </c>
      <c r="C158" s="2" t="e">
        <f aca="false">#REF!</f>
        <v>#REF!</v>
      </c>
      <c r="D158" s="2" t="e">
        <f aca="false">#REF!</f>
        <v>#REF!</v>
      </c>
      <c r="E158" s="2" t="e">
        <f aca="false">#REF!</f>
        <v>#REF!</v>
      </c>
      <c r="F158" s="2" t="e">
        <f aca="false">#REF!</f>
        <v>#REF!</v>
      </c>
      <c r="G158" s="2" t="e">
        <f aca="false">#REF!</f>
        <v>#REF!</v>
      </c>
      <c r="H158" s="2" t="e">
        <f aca="false">#REF!</f>
        <v>#REF!</v>
      </c>
      <c r="I158" s="2" t="e">
        <f aca="false">#REF!</f>
        <v>#REF!</v>
      </c>
      <c r="J158" s="2" t="e">
        <f aca="false">#REF!</f>
        <v>#REF!</v>
      </c>
      <c r="K158" s="2" t="e">
        <f aca="false">#REF!</f>
        <v>#REF!</v>
      </c>
      <c r="L158" s="2" t="e">
        <f aca="false">#REF!</f>
        <v>#REF!</v>
      </c>
      <c r="M158" s="2" t="e">
        <f aca="false">#REF!</f>
        <v>#REF!</v>
      </c>
    </row>
    <row r="159" customFormat="false" ht="13.5" hidden="false" customHeight="false" outlineLevel="0" collapsed="false">
      <c r="A159" s="0" t="s">
        <v>36</v>
      </c>
      <c r="B159" s="1" t="n">
        <v>44019</v>
      </c>
      <c r="C159" s="2" t="e">
        <f aca="false">#REF!</f>
        <v>#REF!</v>
      </c>
      <c r="D159" s="2" t="e">
        <f aca="false">#REF!</f>
        <v>#REF!</v>
      </c>
      <c r="E159" s="2" t="e">
        <f aca="false">#REF!</f>
        <v>#REF!</v>
      </c>
      <c r="F159" s="2" t="e">
        <f aca="false">#REF!</f>
        <v>#REF!</v>
      </c>
      <c r="G159" s="2" t="e">
        <f aca="false">#REF!</f>
        <v>#REF!</v>
      </c>
      <c r="H159" s="2" t="e">
        <f aca="false">#REF!</f>
        <v>#REF!</v>
      </c>
      <c r="I159" s="2" t="e">
        <f aca="false">#REF!</f>
        <v>#REF!</v>
      </c>
      <c r="J159" s="2" t="e">
        <f aca="false">#REF!</f>
        <v>#REF!</v>
      </c>
      <c r="K159" s="2" t="e">
        <f aca="false">#REF!</f>
        <v>#REF!</v>
      </c>
      <c r="L159" s="2" t="e">
        <f aca="false">#REF!</f>
        <v>#REF!</v>
      </c>
      <c r="M159" s="2" t="e">
        <f aca="false">#REF!</f>
        <v>#REF!</v>
      </c>
    </row>
    <row r="160" customFormat="false" ht="13.5" hidden="false" customHeight="false" outlineLevel="0" collapsed="false">
      <c r="A160" s="0" t="s">
        <v>36</v>
      </c>
      <c r="B160" s="1" t="n">
        <v>44020</v>
      </c>
      <c r="C160" s="2" t="e">
        <f aca="false">#REF!</f>
        <v>#REF!</v>
      </c>
      <c r="D160" s="2" t="e">
        <f aca="false">#REF!</f>
        <v>#REF!</v>
      </c>
      <c r="E160" s="2" t="e">
        <f aca="false">#REF!</f>
        <v>#REF!</v>
      </c>
      <c r="F160" s="2" t="e">
        <f aca="false">#REF!</f>
        <v>#REF!</v>
      </c>
      <c r="G160" s="2" t="e">
        <f aca="false">#REF!</f>
        <v>#REF!</v>
      </c>
      <c r="H160" s="2" t="e">
        <f aca="false">#REF!</f>
        <v>#REF!</v>
      </c>
      <c r="I160" s="2" t="e">
        <f aca="false">#REF!</f>
        <v>#REF!</v>
      </c>
      <c r="J160" s="2" t="e">
        <f aca="false">#REF!</f>
        <v>#REF!</v>
      </c>
      <c r="K160" s="2" t="e">
        <f aca="false">#REF!</f>
        <v>#REF!</v>
      </c>
      <c r="L160" s="2" t="e">
        <f aca="false">#REF!</f>
        <v>#REF!</v>
      </c>
      <c r="M160" s="2" t="e">
        <f aca="false">#REF!</f>
        <v>#REF!</v>
      </c>
    </row>
    <row r="161" customFormat="false" ht="13.5" hidden="false" customHeight="false" outlineLevel="0" collapsed="false">
      <c r="A161" s="0" t="s">
        <v>36</v>
      </c>
      <c r="B161" s="1" t="n">
        <v>44021</v>
      </c>
      <c r="C161" s="2" t="e">
        <f aca="false">#REF!</f>
        <v>#REF!</v>
      </c>
      <c r="D161" s="2" t="e">
        <f aca="false">#REF!</f>
        <v>#REF!</v>
      </c>
      <c r="E161" s="2" t="e">
        <f aca="false">#REF!</f>
        <v>#REF!</v>
      </c>
      <c r="F161" s="2" t="e">
        <f aca="false">#REF!</f>
        <v>#REF!</v>
      </c>
      <c r="G161" s="2" t="e">
        <f aca="false">#REF!</f>
        <v>#REF!</v>
      </c>
      <c r="H161" s="2" t="e">
        <f aca="false">#REF!</f>
        <v>#REF!</v>
      </c>
      <c r="I161" s="2" t="e">
        <f aca="false">#REF!</f>
        <v>#REF!</v>
      </c>
      <c r="J161" s="2" t="e">
        <f aca="false">#REF!</f>
        <v>#REF!</v>
      </c>
      <c r="K161" s="2" t="e">
        <f aca="false">#REF!</f>
        <v>#REF!</v>
      </c>
      <c r="L161" s="2" t="e">
        <f aca="false">#REF!</f>
        <v>#REF!</v>
      </c>
      <c r="M161" s="2" t="e">
        <f aca="false">#REF!</f>
        <v>#REF!</v>
      </c>
    </row>
    <row r="162" customFormat="false" ht="13.5" hidden="false" customHeight="false" outlineLevel="0" collapsed="false">
      <c r="A162" s="0" t="s">
        <v>36</v>
      </c>
      <c r="B162" s="1" t="n">
        <v>44022</v>
      </c>
      <c r="C162" s="2" t="e">
        <f aca="false">#REF!</f>
        <v>#REF!</v>
      </c>
      <c r="D162" s="2" t="e">
        <f aca="false">#REF!</f>
        <v>#REF!</v>
      </c>
      <c r="E162" s="2" t="e">
        <f aca="false">#REF!</f>
        <v>#REF!</v>
      </c>
      <c r="F162" s="2" t="e">
        <f aca="false">#REF!</f>
        <v>#REF!</v>
      </c>
      <c r="G162" s="2" t="e">
        <f aca="false">#REF!</f>
        <v>#REF!</v>
      </c>
      <c r="H162" s="2" t="e">
        <f aca="false">#REF!</f>
        <v>#REF!</v>
      </c>
      <c r="I162" s="2" t="e">
        <f aca="false">#REF!</f>
        <v>#REF!</v>
      </c>
      <c r="J162" s="2" t="e">
        <f aca="false">#REF!</f>
        <v>#REF!</v>
      </c>
      <c r="K162" s="2" t="e">
        <f aca="false">#REF!</f>
        <v>#REF!</v>
      </c>
      <c r="L162" s="2" t="e">
        <f aca="false">#REF!</f>
        <v>#REF!</v>
      </c>
      <c r="M162" s="2" t="e">
        <f aca="false">#REF!</f>
        <v>#REF!</v>
      </c>
    </row>
    <row r="163" customFormat="false" ht="13.5" hidden="false" customHeight="false" outlineLevel="0" collapsed="false">
      <c r="A163" s="0" t="s">
        <v>36</v>
      </c>
      <c r="B163" s="1" t="n">
        <v>44023</v>
      </c>
      <c r="C163" s="2" t="e">
        <f aca="false">#REF!</f>
        <v>#REF!</v>
      </c>
      <c r="D163" s="2" t="e">
        <f aca="false">#REF!</f>
        <v>#REF!</v>
      </c>
      <c r="E163" s="2" t="e">
        <f aca="false">#REF!</f>
        <v>#REF!</v>
      </c>
      <c r="F163" s="2" t="e">
        <f aca="false">#REF!</f>
        <v>#REF!</v>
      </c>
      <c r="G163" s="2" t="e">
        <f aca="false">#REF!</f>
        <v>#REF!</v>
      </c>
      <c r="H163" s="2" t="e">
        <f aca="false">#REF!</f>
        <v>#REF!</v>
      </c>
      <c r="I163" s="2" t="e">
        <f aca="false">#REF!</f>
        <v>#REF!</v>
      </c>
      <c r="J163" s="2" t="e">
        <f aca="false">#REF!</f>
        <v>#REF!</v>
      </c>
      <c r="K163" s="2" t="e">
        <f aca="false">#REF!</f>
        <v>#REF!</v>
      </c>
      <c r="L163" s="2" t="e">
        <f aca="false">#REF!</f>
        <v>#REF!</v>
      </c>
      <c r="M163" s="2" t="e">
        <f aca="false">#REF!</f>
        <v>#REF!</v>
      </c>
    </row>
    <row r="164" customFormat="false" ht="13.5" hidden="false" customHeight="false" outlineLevel="0" collapsed="false">
      <c r="A164" s="0" t="s">
        <v>36</v>
      </c>
      <c r="B164" s="1" t="n">
        <v>44024</v>
      </c>
      <c r="C164" s="2" t="e">
        <f aca="false">#REF!</f>
        <v>#REF!</v>
      </c>
      <c r="D164" s="2" t="e">
        <f aca="false">#REF!</f>
        <v>#REF!</v>
      </c>
      <c r="E164" s="2" t="e">
        <f aca="false">#REF!</f>
        <v>#REF!</v>
      </c>
      <c r="F164" s="2" t="e">
        <f aca="false">#REF!</f>
        <v>#REF!</v>
      </c>
      <c r="G164" s="2" t="e">
        <f aca="false">#REF!</f>
        <v>#REF!</v>
      </c>
      <c r="H164" s="2" t="e">
        <f aca="false">#REF!</f>
        <v>#REF!</v>
      </c>
      <c r="I164" s="2" t="e">
        <f aca="false">#REF!</f>
        <v>#REF!</v>
      </c>
      <c r="J164" s="2" t="e">
        <f aca="false">#REF!</f>
        <v>#REF!</v>
      </c>
      <c r="K164" s="2" t="e">
        <f aca="false">#REF!</f>
        <v>#REF!</v>
      </c>
      <c r="L164" s="2" t="e">
        <f aca="false">#REF!</f>
        <v>#REF!</v>
      </c>
      <c r="M164" s="2" t="e">
        <f aca="false">#REF!</f>
        <v>#REF!</v>
      </c>
    </row>
    <row r="165" customFormat="false" ht="13.5" hidden="false" customHeight="false" outlineLevel="0" collapsed="false">
      <c r="A165" s="0" t="s">
        <v>36</v>
      </c>
      <c r="B165" s="1" t="n">
        <v>44025</v>
      </c>
      <c r="C165" s="2" t="e">
        <f aca="false">#REF!</f>
        <v>#REF!</v>
      </c>
      <c r="D165" s="2" t="e">
        <f aca="false">#REF!</f>
        <v>#REF!</v>
      </c>
      <c r="E165" s="2" t="e">
        <f aca="false">#REF!</f>
        <v>#REF!</v>
      </c>
      <c r="F165" s="2" t="e">
        <f aca="false">#REF!</f>
        <v>#REF!</v>
      </c>
      <c r="G165" s="2" t="e">
        <f aca="false">#REF!</f>
        <v>#REF!</v>
      </c>
      <c r="H165" s="2" t="e">
        <f aca="false">#REF!</f>
        <v>#REF!</v>
      </c>
      <c r="I165" s="2" t="e">
        <f aca="false">#REF!</f>
        <v>#REF!</v>
      </c>
      <c r="J165" s="2" t="e">
        <f aca="false">#REF!</f>
        <v>#REF!</v>
      </c>
      <c r="K165" s="2" t="e">
        <f aca="false">#REF!</f>
        <v>#REF!</v>
      </c>
      <c r="L165" s="2" t="e">
        <f aca="false">#REF!</f>
        <v>#REF!</v>
      </c>
      <c r="M165" s="2" t="e">
        <f aca="false">#REF!</f>
        <v>#REF!</v>
      </c>
    </row>
    <row r="166" customFormat="false" ht="13.5" hidden="false" customHeight="false" outlineLevel="0" collapsed="false">
      <c r="A166" s="0" t="s">
        <v>36</v>
      </c>
      <c r="B166" s="1" t="n">
        <v>44026</v>
      </c>
      <c r="C166" s="2" t="e">
        <f aca="false">#REF!</f>
        <v>#REF!</v>
      </c>
      <c r="D166" s="2" t="e">
        <f aca="false">#REF!</f>
        <v>#REF!</v>
      </c>
      <c r="E166" s="2" t="e">
        <f aca="false">#REF!</f>
        <v>#REF!</v>
      </c>
      <c r="F166" s="2" t="e">
        <f aca="false">#REF!</f>
        <v>#REF!</v>
      </c>
      <c r="G166" s="2" t="e">
        <f aca="false">#REF!</f>
        <v>#REF!</v>
      </c>
      <c r="H166" s="2" t="e">
        <f aca="false">#REF!</f>
        <v>#REF!</v>
      </c>
      <c r="I166" s="2" t="e">
        <f aca="false">#REF!</f>
        <v>#REF!</v>
      </c>
      <c r="J166" s="2" t="e">
        <f aca="false">#REF!</f>
        <v>#REF!</v>
      </c>
      <c r="K166" s="2" t="e">
        <f aca="false">#REF!</f>
        <v>#REF!</v>
      </c>
      <c r="L166" s="2" t="e">
        <f aca="false">#REF!</f>
        <v>#REF!</v>
      </c>
      <c r="M166" s="2" t="e">
        <f aca="false">#REF!</f>
        <v>#REF!</v>
      </c>
    </row>
    <row r="167" customFormat="false" ht="13.5" hidden="false" customHeight="false" outlineLevel="0" collapsed="false">
      <c r="A167" s="0" t="s">
        <v>36</v>
      </c>
      <c r="B167" s="1" t="n">
        <v>44027</v>
      </c>
      <c r="C167" s="2" t="e">
        <f aca="false">#REF!</f>
        <v>#REF!</v>
      </c>
      <c r="D167" s="2" t="e">
        <f aca="false">#REF!</f>
        <v>#REF!</v>
      </c>
      <c r="E167" s="2" t="e">
        <f aca="false">#REF!</f>
        <v>#REF!</v>
      </c>
      <c r="F167" s="2" t="e">
        <f aca="false">#REF!</f>
        <v>#REF!</v>
      </c>
      <c r="G167" s="2" t="e">
        <f aca="false">#REF!</f>
        <v>#REF!</v>
      </c>
      <c r="H167" s="2" t="e">
        <f aca="false">#REF!</f>
        <v>#REF!</v>
      </c>
      <c r="I167" s="2" t="e">
        <f aca="false">#REF!</f>
        <v>#REF!</v>
      </c>
      <c r="J167" s="2" t="e">
        <f aca="false">#REF!</f>
        <v>#REF!</v>
      </c>
      <c r="K167" s="2" t="e">
        <f aca="false">#REF!</f>
        <v>#REF!</v>
      </c>
      <c r="L167" s="2" t="e">
        <f aca="false">#REF!</f>
        <v>#REF!</v>
      </c>
      <c r="M167" s="2" t="e">
        <f aca="false">#REF!</f>
        <v>#REF!</v>
      </c>
    </row>
    <row r="168" customFormat="false" ht="13.5" hidden="false" customHeight="false" outlineLevel="0" collapsed="false">
      <c r="A168" s="0" t="s">
        <v>36</v>
      </c>
      <c r="B168" s="1" t="n">
        <v>44028</v>
      </c>
      <c r="C168" s="2" t="e">
        <f aca="false">#REF!</f>
        <v>#REF!</v>
      </c>
      <c r="D168" s="2" t="e">
        <f aca="false">#REF!</f>
        <v>#REF!</v>
      </c>
      <c r="E168" s="2" t="e">
        <f aca="false">#REF!</f>
        <v>#REF!</v>
      </c>
      <c r="F168" s="2" t="e">
        <f aca="false">#REF!</f>
        <v>#REF!</v>
      </c>
      <c r="G168" s="2" t="e">
        <f aca="false">#REF!</f>
        <v>#REF!</v>
      </c>
      <c r="H168" s="2" t="e">
        <f aca="false">#REF!</f>
        <v>#REF!</v>
      </c>
      <c r="I168" s="2" t="e">
        <f aca="false">#REF!</f>
        <v>#REF!</v>
      </c>
      <c r="J168" s="2" t="e">
        <f aca="false">#REF!</f>
        <v>#REF!</v>
      </c>
      <c r="K168" s="2" t="e">
        <f aca="false">#REF!</f>
        <v>#REF!</v>
      </c>
      <c r="L168" s="2" t="e">
        <f aca="false">#REF!</f>
        <v>#REF!</v>
      </c>
      <c r="M168" s="2" t="e">
        <f aca="false">#REF!</f>
        <v>#REF!</v>
      </c>
    </row>
    <row r="169" customFormat="false" ht="13.5" hidden="false" customHeight="false" outlineLevel="0" collapsed="false">
      <c r="A169" s="0" t="s">
        <v>36</v>
      </c>
      <c r="B169" s="1" t="n">
        <v>44029</v>
      </c>
      <c r="C169" s="2" t="e">
        <f aca="false">#REF!</f>
        <v>#REF!</v>
      </c>
      <c r="D169" s="2" t="e">
        <f aca="false">#REF!</f>
        <v>#REF!</v>
      </c>
      <c r="E169" s="2" t="e">
        <f aca="false">#REF!</f>
        <v>#REF!</v>
      </c>
      <c r="F169" s="2" t="e">
        <f aca="false">#REF!</f>
        <v>#REF!</v>
      </c>
      <c r="G169" s="2" t="e">
        <f aca="false">#REF!</f>
        <v>#REF!</v>
      </c>
      <c r="H169" s="2" t="e">
        <f aca="false">#REF!</f>
        <v>#REF!</v>
      </c>
      <c r="I169" s="2" t="e">
        <f aca="false">#REF!</f>
        <v>#REF!</v>
      </c>
      <c r="J169" s="2" t="e">
        <f aca="false">#REF!</f>
        <v>#REF!</v>
      </c>
      <c r="K169" s="2" t="e">
        <f aca="false">#REF!</f>
        <v>#REF!</v>
      </c>
      <c r="L169" s="2" t="e">
        <f aca="false">#REF!</f>
        <v>#REF!</v>
      </c>
      <c r="M169" s="2" t="e">
        <f aca="false">#REF!</f>
        <v>#REF!</v>
      </c>
    </row>
    <row r="170" customFormat="false" ht="13.5" hidden="false" customHeight="false" outlineLevel="0" collapsed="false">
      <c r="A170" s="0" t="s">
        <v>36</v>
      </c>
      <c r="B170" s="1" t="n">
        <v>44030</v>
      </c>
      <c r="C170" s="2" t="e">
        <f aca="false">#REF!</f>
        <v>#REF!</v>
      </c>
      <c r="D170" s="2" t="e">
        <f aca="false">#REF!</f>
        <v>#REF!</v>
      </c>
      <c r="E170" s="2" t="e">
        <f aca="false">#REF!</f>
        <v>#REF!</v>
      </c>
      <c r="F170" s="2" t="e">
        <f aca="false">#REF!</f>
        <v>#REF!</v>
      </c>
      <c r="G170" s="2" t="e">
        <f aca="false">#REF!</f>
        <v>#REF!</v>
      </c>
      <c r="H170" s="2" t="e">
        <f aca="false">#REF!</f>
        <v>#REF!</v>
      </c>
      <c r="I170" s="2" t="e">
        <f aca="false">#REF!</f>
        <v>#REF!</v>
      </c>
      <c r="J170" s="2" t="e">
        <f aca="false">#REF!</f>
        <v>#REF!</v>
      </c>
      <c r="K170" s="2" t="e">
        <f aca="false">#REF!</f>
        <v>#REF!</v>
      </c>
      <c r="L170" s="2" t="e">
        <f aca="false">#REF!</f>
        <v>#REF!</v>
      </c>
      <c r="M170" s="2" t="e">
        <f aca="false">#REF!</f>
        <v>#REF!</v>
      </c>
    </row>
    <row r="171" customFormat="false" ht="13.5" hidden="false" customHeight="false" outlineLevel="0" collapsed="false">
      <c r="A171" s="0" t="s">
        <v>36</v>
      </c>
      <c r="B171" s="1" t="n">
        <v>44031</v>
      </c>
      <c r="C171" s="2" t="e">
        <f aca="false">#REF!</f>
        <v>#REF!</v>
      </c>
      <c r="D171" s="2" t="e">
        <f aca="false">#REF!</f>
        <v>#REF!</v>
      </c>
      <c r="E171" s="2" t="e">
        <f aca="false">#REF!</f>
        <v>#REF!</v>
      </c>
      <c r="F171" s="2" t="e">
        <f aca="false">#REF!</f>
        <v>#REF!</v>
      </c>
      <c r="G171" s="2" t="e">
        <f aca="false">#REF!</f>
        <v>#REF!</v>
      </c>
      <c r="H171" s="2" t="e">
        <f aca="false">#REF!</f>
        <v>#REF!</v>
      </c>
      <c r="I171" s="2" t="e">
        <f aca="false">#REF!</f>
        <v>#REF!</v>
      </c>
      <c r="J171" s="2" t="e">
        <f aca="false">#REF!</f>
        <v>#REF!</v>
      </c>
      <c r="K171" s="2" t="e">
        <f aca="false">#REF!</f>
        <v>#REF!</v>
      </c>
      <c r="L171" s="2" t="e">
        <f aca="false">#REF!</f>
        <v>#REF!</v>
      </c>
      <c r="M171" s="2" t="e">
        <f aca="false">#REF!</f>
        <v>#REF!</v>
      </c>
    </row>
    <row r="172" customFormat="false" ht="13.5" hidden="false" customHeight="false" outlineLevel="0" collapsed="false">
      <c r="A172" s="0" t="s">
        <v>36</v>
      </c>
      <c r="B172" s="1" t="n">
        <v>44032</v>
      </c>
      <c r="C172" s="2" t="e">
        <f aca="false">#REF!</f>
        <v>#REF!</v>
      </c>
      <c r="D172" s="2" t="e">
        <f aca="false">#REF!</f>
        <v>#REF!</v>
      </c>
      <c r="E172" s="2" t="e">
        <f aca="false">#REF!</f>
        <v>#REF!</v>
      </c>
      <c r="F172" s="2" t="e">
        <f aca="false">#REF!</f>
        <v>#REF!</v>
      </c>
      <c r="G172" s="2" t="e">
        <f aca="false">#REF!</f>
        <v>#REF!</v>
      </c>
      <c r="H172" s="2" t="e">
        <f aca="false">#REF!</f>
        <v>#REF!</v>
      </c>
      <c r="I172" s="2" t="e">
        <f aca="false">#REF!</f>
        <v>#REF!</v>
      </c>
      <c r="J172" s="2" t="e">
        <f aca="false">#REF!</f>
        <v>#REF!</v>
      </c>
      <c r="K172" s="2" t="e">
        <f aca="false">#REF!</f>
        <v>#REF!</v>
      </c>
      <c r="L172" s="2" t="e">
        <f aca="false">#REF!</f>
        <v>#REF!</v>
      </c>
      <c r="M172" s="2" t="e">
        <f aca="false">#REF!</f>
        <v>#REF!</v>
      </c>
    </row>
    <row r="173" customFormat="false" ht="13.5" hidden="false" customHeight="false" outlineLevel="0" collapsed="false">
      <c r="A173" s="0" t="s">
        <v>36</v>
      </c>
      <c r="B173" s="1" t="n">
        <v>44033</v>
      </c>
      <c r="C173" s="2" t="e">
        <f aca="false">#REF!</f>
        <v>#REF!</v>
      </c>
      <c r="D173" s="2" t="e">
        <f aca="false">#REF!</f>
        <v>#REF!</v>
      </c>
      <c r="E173" s="2" t="e">
        <f aca="false">#REF!</f>
        <v>#REF!</v>
      </c>
      <c r="F173" s="2" t="e">
        <f aca="false">#REF!</f>
        <v>#REF!</v>
      </c>
      <c r="G173" s="2" t="e">
        <f aca="false">#REF!</f>
        <v>#REF!</v>
      </c>
      <c r="H173" s="2" t="e">
        <f aca="false">#REF!</f>
        <v>#REF!</v>
      </c>
      <c r="I173" s="2" t="e">
        <f aca="false">#REF!</f>
        <v>#REF!</v>
      </c>
      <c r="J173" s="2" t="e">
        <f aca="false">#REF!</f>
        <v>#REF!</v>
      </c>
      <c r="K173" s="2" t="e">
        <f aca="false">#REF!</f>
        <v>#REF!</v>
      </c>
      <c r="L173" s="2" t="e">
        <f aca="false">#REF!</f>
        <v>#REF!</v>
      </c>
      <c r="M173" s="2" t="e">
        <f aca="false">#REF!</f>
        <v>#REF!</v>
      </c>
    </row>
    <row r="174" customFormat="false" ht="13.5" hidden="false" customHeight="false" outlineLevel="0" collapsed="false">
      <c r="A174" s="0" t="s">
        <v>36</v>
      </c>
      <c r="B174" s="1" t="n">
        <v>44034</v>
      </c>
      <c r="C174" s="2" t="e">
        <f aca="false">#REF!</f>
        <v>#REF!</v>
      </c>
      <c r="D174" s="2" t="e">
        <f aca="false">#REF!</f>
        <v>#REF!</v>
      </c>
      <c r="E174" s="2" t="e">
        <f aca="false">#REF!</f>
        <v>#REF!</v>
      </c>
      <c r="F174" s="2" t="e">
        <f aca="false">#REF!</f>
        <v>#REF!</v>
      </c>
      <c r="G174" s="2" t="e">
        <f aca="false">#REF!</f>
        <v>#REF!</v>
      </c>
      <c r="H174" s="2" t="e">
        <f aca="false">#REF!</f>
        <v>#REF!</v>
      </c>
      <c r="I174" s="2" t="e">
        <f aca="false">#REF!</f>
        <v>#REF!</v>
      </c>
      <c r="J174" s="2" t="e">
        <f aca="false">#REF!</f>
        <v>#REF!</v>
      </c>
      <c r="K174" s="2" t="e">
        <f aca="false">#REF!</f>
        <v>#REF!</v>
      </c>
      <c r="L174" s="2" t="e">
        <f aca="false">#REF!</f>
        <v>#REF!</v>
      </c>
      <c r="M174" s="2" t="e">
        <f aca="false">#REF!</f>
        <v>#REF!</v>
      </c>
    </row>
    <row r="175" customFormat="false" ht="13.5" hidden="false" customHeight="false" outlineLevel="0" collapsed="false">
      <c r="A175" s="0" t="s">
        <v>36</v>
      </c>
      <c r="B175" s="1" t="n">
        <v>44035</v>
      </c>
      <c r="C175" s="2" t="e">
        <f aca="false">#REF!</f>
        <v>#REF!</v>
      </c>
      <c r="D175" s="2" t="e">
        <f aca="false">#REF!</f>
        <v>#REF!</v>
      </c>
      <c r="E175" s="2" t="e">
        <f aca="false">#REF!</f>
        <v>#REF!</v>
      </c>
      <c r="F175" s="2" t="e">
        <f aca="false">#REF!</f>
        <v>#REF!</v>
      </c>
      <c r="G175" s="2" t="e">
        <f aca="false">#REF!</f>
        <v>#REF!</v>
      </c>
      <c r="H175" s="2" t="e">
        <f aca="false">#REF!</f>
        <v>#REF!</v>
      </c>
      <c r="I175" s="2" t="e">
        <f aca="false">#REF!</f>
        <v>#REF!</v>
      </c>
      <c r="J175" s="2" t="e">
        <f aca="false">#REF!</f>
        <v>#REF!</v>
      </c>
      <c r="K175" s="2" t="e">
        <f aca="false">#REF!</f>
        <v>#REF!</v>
      </c>
      <c r="L175" s="2" t="e">
        <f aca="false">#REF!</f>
        <v>#REF!</v>
      </c>
      <c r="M175" s="2" t="e">
        <f aca="false">#REF!</f>
        <v>#REF!</v>
      </c>
    </row>
    <row r="176" customFormat="false" ht="13.5" hidden="false" customHeight="false" outlineLevel="0" collapsed="false">
      <c r="A176" s="0" t="s">
        <v>36</v>
      </c>
      <c r="B176" s="1" t="n">
        <v>44036</v>
      </c>
      <c r="C176" s="2" t="e">
        <f aca="false">#REF!</f>
        <v>#REF!</v>
      </c>
      <c r="D176" s="2" t="e">
        <f aca="false">#REF!</f>
        <v>#REF!</v>
      </c>
      <c r="E176" s="2" t="e">
        <f aca="false">#REF!</f>
        <v>#REF!</v>
      </c>
      <c r="F176" s="2" t="e">
        <f aca="false">#REF!</f>
        <v>#REF!</v>
      </c>
      <c r="G176" s="2" t="e">
        <f aca="false">#REF!</f>
        <v>#REF!</v>
      </c>
      <c r="H176" s="2" t="e">
        <f aca="false">#REF!</f>
        <v>#REF!</v>
      </c>
      <c r="I176" s="2" t="e">
        <f aca="false">#REF!</f>
        <v>#REF!</v>
      </c>
      <c r="J176" s="2" t="e">
        <f aca="false">#REF!</f>
        <v>#REF!</v>
      </c>
      <c r="K176" s="2" t="e">
        <f aca="false">#REF!</f>
        <v>#REF!</v>
      </c>
      <c r="L176" s="2" t="e">
        <f aca="false">#REF!</f>
        <v>#REF!</v>
      </c>
      <c r="M176" s="2" t="e">
        <f aca="false">#REF!</f>
        <v>#REF!</v>
      </c>
    </row>
    <row r="177" customFormat="false" ht="13.5" hidden="false" customHeight="false" outlineLevel="0" collapsed="false">
      <c r="A177" s="0" t="s">
        <v>36</v>
      </c>
      <c r="B177" s="1" t="n">
        <v>44037</v>
      </c>
      <c r="C177" s="2" t="e">
        <f aca="false">#REF!</f>
        <v>#REF!</v>
      </c>
      <c r="D177" s="2" t="e">
        <f aca="false">#REF!</f>
        <v>#REF!</v>
      </c>
      <c r="E177" s="2" t="e">
        <f aca="false">#REF!</f>
        <v>#REF!</v>
      </c>
      <c r="F177" s="2" t="e">
        <f aca="false">#REF!</f>
        <v>#REF!</v>
      </c>
      <c r="G177" s="2" t="e">
        <f aca="false">#REF!</f>
        <v>#REF!</v>
      </c>
      <c r="H177" s="2" t="e">
        <f aca="false">#REF!</f>
        <v>#REF!</v>
      </c>
      <c r="I177" s="2" t="e">
        <f aca="false">#REF!</f>
        <v>#REF!</v>
      </c>
      <c r="J177" s="2" t="e">
        <f aca="false">#REF!</f>
        <v>#REF!</v>
      </c>
      <c r="K177" s="2" t="e">
        <f aca="false">#REF!</f>
        <v>#REF!</v>
      </c>
      <c r="L177" s="2" t="e">
        <f aca="false">#REF!</f>
        <v>#REF!</v>
      </c>
      <c r="M177" s="2" t="e">
        <f aca="false">#REF!</f>
        <v>#REF!</v>
      </c>
    </row>
    <row r="178" customFormat="false" ht="13.5" hidden="false" customHeight="false" outlineLevel="0" collapsed="false">
      <c r="A178" s="0" t="s">
        <v>36</v>
      </c>
      <c r="B178" s="1" t="n">
        <v>44038</v>
      </c>
      <c r="C178" s="2" t="e">
        <f aca="false">#REF!</f>
        <v>#REF!</v>
      </c>
      <c r="D178" s="2" t="e">
        <f aca="false">#REF!</f>
        <v>#REF!</v>
      </c>
      <c r="E178" s="2" t="e">
        <f aca="false">#REF!</f>
        <v>#REF!</v>
      </c>
      <c r="F178" s="2" t="e">
        <f aca="false">#REF!</f>
        <v>#REF!</v>
      </c>
      <c r="G178" s="2" t="e">
        <f aca="false">#REF!</f>
        <v>#REF!</v>
      </c>
      <c r="H178" s="2" t="e">
        <f aca="false">#REF!</f>
        <v>#REF!</v>
      </c>
      <c r="I178" s="2" t="e">
        <f aca="false">#REF!</f>
        <v>#REF!</v>
      </c>
      <c r="J178" s="2" t="e">
        <f aca="false">#REF!</f>
        <v>#REF!</v>
      </c>
      <c r="K178" s="2" t="e">
        <f aca="false">#REF!</f>
        <v>#REF!</v>
      </c>
      <c r="L178" s="2" t="e">
        <f aca="false">#REF!</f>
        <v>#REF!</v>
      </c>
      <c r="M178" s="2" t="e">
        <f aca="false">#REF!</f>
        <v>#REF!</v>
      </c>
    </row>
    <row r="179" customFormat="false" ht="13.5" hidden="false" customHeight="false" outlineLevel="0" collapsed="false">
      <c r="A179" s="0" t="s">
        <v>36</v>
      </c>
      <c r="B179" s="1" t="n">
        <v>44039</v>
      </c>
      <c r="C179" s="2" t="e">
        <f aca="false">#REF!</f>
        <v>#REF!</v>
      </c>
      <c r="D179" s="2" t="e">
        <f aca="false">#REF!</f>
        <v>#REF!</v>
      </c>
      <c r="E179" s="2" t="e">
        <f aca="false">#REF!</f>
        <v>#REF!</v>
      </c>
      <c r="F179" s="2" t="e">
        <f aca="false">#REF!</f>
        <v>#REF!</v>
      </c>
      <c r="G179" s="2" t="e">
        <f aca="false">#REF!</f>
        <v>#REF!</v>
      </c>
      <c r="H179" s="2" t="e">
        <f aca="false">#REF!</f>
        <v>#REF!</v>
      </c>
      <c r="I179" s="2" t="e">
        <f aca="false">#REF!</f>
        <v>#REF!</v>
      </c>
      <c r="J179" s="2" t="e">
        <f aca="false">#REF!</f>
        <v>#REF!</v>
      </c>
      <c r="K179" s="2" t="e">
        <f aca="false">#REF!</f>
        <v>#REF!</v>
      </c>
      <c r="L179" s="2" t="e">
        <f aca="false">#REF!</f>
        <v>#REF!</v>
      </c>
      <c r="M179" s="2" t="e">
        <f aca="false">#REF!</f>
        <v>#REF!</v>
      </c>
    </row>
    <row r="180" customFormat="false" ht="13.5" hidden="false" customHeight="false" outlineLevel="0" collapsed="false">
      <c r="A180" s="0" t="s">
        <v>36</v>
      </c>
      <c r="B180" s="1" t="n">
        <v>44040</v>
      </c>
      <c r="C180" s="2" t="e">
        <f aca="false">#REF!</f>
        <v>#REF!</v>
      </c>
      <c r="D180" s="2" t="e">
        <f aca="false">#REF!</f>
        <v>#REF!</v>
      </c>
      <c r="E180" s="2" t="e">
        <f aca="false">#REF!</f>
        <v>#REF!</v>
      </c>
      <c r="F180" s="2" t="e">
        <f aca="false">#REF!</f>
        <v>#REF!</v>
      </c>
      <c r="G180" s="2" t="e">
        <f aca="false">#REF!</f>
        <v>#REF!</v>
      </c>
      <c r="H180" s="2" t="e">
        <f aca="false">#REF!</f>
        <v>#REF!</v>
      </c>
      <c r="I180" s="2" t="e">
        <f aca="false">#REF!</f>
        <v>#REF!</v>
      </c>
      <c r="J180" s="2" t="e">
        <f aca="false">#REF!</f>
        <v>#REF!</v>
      </c>
      <c r="K180" s="2" t="e">
        <f aca="false">#REF!</f>
        <v>#REF!</v>
      </c>
      <c r="L180" s="2" t="e">
        <f aca="false">#REF!</f>
        <v>#REF!</v>
      </c>
      <c r="M180" s="2" t="e">
        <f aca="false">#REF!</f>
        <v>#REF!</v>
      </c>
    </row>
    <row r="181" customFormat="false" ht="13.5" hidden="false" customHeight="false" outlineLevel="0" collapsed="false">
      <c r="A181" s="0" t="s">
        <v>36</v>
      </c>
      <c r="B181" s="1" t="n">
        <v>44041</v>
      </c>
      <c r="C181" s="2" t="e">
        <f aca="false">#REF!</f>
        <v>#REF!</v>
      </c>
      <c r="D181" s="2" t="e">
        <f aca="false">#REF!</f>
        <v>#REF!</v>
      </c>
      <c r="E181" s="2" t="e">
        <f aca="false">#REF!</f>
        <v>#REF!</v>
      </c>
      <c r="F181" s="2" t="e">
        <f aca="false">#REF!</f>
        <v>#REF!</v>
      </c>
      <c r="G181" s="2" t="e">
        <f aca="false">#REF!</f>
        <v>#REF!</v>
      </c>
      <c r="H181" s="2" t="e">
        <f aca="false">#REF!</f>
        <v>#REF!</v>
      </c>
      <c r="I181" s="2" t="e">
        <f aca="false">#REF!</f>
        <v>#REF!</v>
      </c>
      <c r="J181" s="2" t="e">
        <f aca="false">#REF!</f>
        <v>#REF!</v>
      </c>
      <c r="K181" s="2" t="e">
        <f aca="false">#REF!</f>
        <v>#REF!</v>
      </c>
      <c r="L181" s="2" t="e">
        <f aca="false">#REF!</f>
        <v>#REF!</v>
      </c>
      <c r="M181" s="2" t="e">
        <f aca="false">#REF!</f>
        <v>#REF!</v>
      </c>
    </row>
    <row r="182" customFormat="false" ht="13.5" hidden="false" customHeight="false" outlineLevel="0" collapsed="false">
      <c r="A182" s="0" t="s">
        <v>36</v>
      </c>
      <c r="B182" s="1" t="n">
        <v>44042</v>
      </c>
      <c r="C182" s="2" t="e">
        <f aca="false">#REF!</f>
        <v>#REF!</v>
      </c>
      <c r="D182" s="2" t="e">
        <f aca="false">#REF!</f>
        <v>#REF!</v>
      </c>
      <c r="E182" s="2" t="e">
        <f aca="false">#REF!</f>
        <v>#REF!</v>
      </c>
      <c r="F182" s="2" t="e">
        <f aca="false">#REF!</f>
        <v>#REF!</v>
      </c>
      <c r="G182" s="2" t="e">
        <f aca="false">#REF!</f>
        <v>#REF!</v>
      </c>
      <c r="H182" s="2" t="e">
        <f aca="false">#REF!</f>
        <v>#REF!</v>
      </c>
      <c r="I182" s="2" t="e">
        <f aca="false">#REF!</f>
        <v>#REF!</v>
      </c>
      <c r="J182" s="2" t="e">
        <f aca="false">#REF!</f>
        <v>#REF!</v>
      </c>
      <c r="K182" s="2" t="e">
        <f aca="false">#REF!</f>
        <v>#REF!</v>
      </c>
      <c r="L182" s="2" t="e">
        <f aca="false">#REF!</f>
        <v>#REF!</v>
      </c>
      <c r="M182" s="2" t="e">
        <f aca="false">#REF!</f>
        <v>#REF!</v>
      </c>
    </row>
    <row r="183" customFormat="false" ht="13.5" hidden="false" customHeight="false" outlineLevel="0" collapsed="false">
      <c r="A183" s="0" t="s">
        <v>36</v>
      </c>
      <c r="B183" s="1" t="n">
        <v>44043</v>
      </c>
      <c r="C183" s="2" t="e">
        <f aca="false">#REF!</f>
        <v>#REF!</v>
      </c>
      <c r="D183" s="2" t="e">
        <f aca="false">#REF!</f>
        <v>#REF!</v>
      </c>
      <c r="E183" s="2" t="e">
        <f aca="false">#REF!</f>
        <v>#REF!</v>
      </c>
      <c r="F183" s="2" t="e">
        <f aca="false">#REF!</f>
        <v>#REF!</v>
      </c>
      <c r="G183" s="2" t="e">
        <f aca="false">#REF!</f>
        <v>#REF!</v>
      </c>
      <c r="H183" s="2" t="e">
        <f aca="false">#REF!</f>
        <v>#REF!</v>
      </c>
      <c r="I183" s="2" t="e">
        <f aca="false">#REF!</f>
        <v>#REF!</v>
      </c>
      <c r="J183" s="2" t="e">
        <f aca="false">#REF!</f>
        <v>#REF!</v>
      </c>
      <c r="K183" s="2" t="e">
        <f aca="false">#REF!</f>
        <v>#REF!</v>
      </c>
      <c r="L183" s="2" t="e">
        <f aca="false">#REF!</f>
        <v>#REF!</v>
      </c>
      <c r="M183" s="2" t="e">
        <f aca="false">#REF!</f>
        <v>#REF!</v>
      </c>
    </row>
    <row r="184" customFormat="false" ht="13.5" hidden="false" customHeight="false" outlineLevel="0" collapsed="false">
      <c r="A184" s="0" t="s">
        <v>36</v>
      </c>
      <c r="B184" s="1" t="n">
        <v>44044</v>
      </c>
      <c r="C184" s="2" t="e">
        <f aca="false">#REF!</f>
        <v>#REF!</v>
      </c>
      <c r="D184" s="2" t="e">
        <f aca="false">#REF!</f>
        <v>#REF!</v>
      </c>
      <c r="E184" s="2" t="e">
        <f aca="false">#REF!</f>
        <v>#REF!</v>
      </c>
      <c r="F184" s="2" t="e">
        <f aca="false">#REF!</f>
        <v>#REF!</v>
      </c>
      <c r="G184" s="2" t="e">
        <f aca="false">#REF!</f>
        <v>#REF!</v>
      </c>
      <c r="H184" s="2" t="e">
        <f aca="false">#REF!</f>
        <v>#REF!</v>
      </c>
      <c r="I184" s="2" t="e">
        <f aca="false">#REF!</f>
        <v>#REF!</v>
      </c>
      <c r="J184" s="2" t="e">
        <f aca="false">#REF!</f>
        <v>#REF!</v>
      </c>
      <c r="K184" s="2" t="e">
        <f aca="false">#REF!</f>
        <v>#REF!</v>
      </c>
      <c r="L184" s="2" t="e">
        <f aca="false">#REF!</f>
        <v>#REF!</v>
      </c>
      <c r="M184" s="2" t="e">
        <f aca="false">#REF!</f>
        <v>#REF!</v>
      </c>
    </row>
    <row r="185" customFormat="false" ht="13.5" hidden="false" customHeight="false" outlineLevel="0" collapsed="false">
      <c r="A185" s="0" t="s">
        <v>36</v>
      </c>
      <c r="B185" s="1" t="n">
        <v>44045</v>
      </c>
      <c r="C185" s="2" t="e">
        <f aca="false">#REF!</f>
        <v>#REF!</v>
      </c>
      <c r="D185" s="2" t="e">
        <f aca="false">#REF!</f>
        <v>#REF!</v>
      </c>
      <c r="E185" s="2" t="e">
        <f aca="false">#REF!</f>
        <v>#REF!</v>
      </c>
      <c r="F185" s="2" t="e">
        <f aca="false">#REF!</f>
        <v>#REF!</v>
      </c>
      <c r="G185" s="2" t="e">
        <f aca="false">#REF!</f>
        <v>#REF!</v>
      </c>
      <c r="H185" s="2" t="e">
        <f aca="false">#REF!</f>
        <v>#REF!</v>
      </c>
      <c r="I185" s="2" t="e">
        <f aca="false">#REF!</f>
        <v>#REF!</v>
      </c>
      <c r="J185" s="2" t="e">
        <f aca="false">#REF!</f>
        <v>#REF!</v>
      </c>
      <c r="K185" s="2" t="e">
        <f aca="false">#REF!</f>
        <v>#REF!</v>
      </c>
      <c r="L185" s="2" t="e">
        <f aca="false">#REF!</f>
        <v>#REF!</v>
      </c>
      <c r="M185" s="2" t="e">
        <f aca="false">#REF!</f>
        <v>#REF!</v>
      </c>
    </row>
    <row r="186" customFormat="false" ht="13.5" hidden="false" customHeight="false" outlineLevel="0" collapsed="false">
      <c r="A186" s="0" t="s">
        <v>36</v>
      </c>
      <c r="B186" s="1" t="n">
        <v>44046</v>
      </c>
      <c r="C186" s="2" t="e">
        <f aca="false">#REF!</f>
        <v>#REF!</v>
      </c>
      <c r="D186" s="2" t="e">
        <f aca="false">#REF!</f>
        <v>#REF!</v>
      </c>
      <c r="E186" s="2" t="e">
        <f aca="false">#REF!</f>
        <v>#REF!</v>
      </c>
      <c r="F186" s="2" t="e">
        <f aca="false">#REF!</f>
        <v>#REF!</v>
      </c>
      <c r="G186" s="2" t="e">
        <f aca="false">#REF!</f>
        <v>#REF!</v>
      </c>
      <c r="H186" s="2" t="e">
        <f aca="false">#REF!</f>
        <v>#REF!</v>
      </c>
      <c r="I186" s="2" t="e">
        <f aca="false">#REF!</f>
        <v>#REF!</v>
      </c>
      <c r="J186" s="2" t="e">
        <f aca="false">#REF!</f>
        <v>#REF!</v>
      </c>
      <c r="K186" s="2" t="e">
        <f aca="false">#REF!</f>
        <v>#REF!</v>
      </c>
      <c r="L186" s="2" t="e">
        <f aca="false">#REF!</f>
        <v>#REF!</v>
      </c>
      <c r="M186" s="2" t="e">
        <f aca="false">#REF!</f>
        <v>#REF!</v>
      </c>
    </row>
    <row r="187" customFormat="false" ht="13.5" hidden="false" customHeight="false" outlineLevel="0" collapsed="false">
      <c r="A187" s="0" t="s">
        <v>36</v>
      </c>
      <c r="B187" s="1" t="n">
        <v>44047</v>
      </c>
      <c r="C187" s="2" t="e">
        <f aca="false">#REF!</f>
        <v>#REF!</v>
      </c>
      <c r="D187" s="2" t="e">
        <f aca="false">#REF!</f>
        <v>#REF!</v>
      </c>
      <c r="E187" s="2" t="e">
        <f aca="false">#REF!</f>
        <v>#REF!</v>
      </c>
      <c r="F187" s="2" t="e">
        <f aca="false">#REF!</f>
        <v>#REF!</v>
      </c>
      <c r="G187" s="2" t="e">
        <f aca="false">#REF!</f>
        <v>#REF!</v>
      </c>
      <c r="H187" s="2" t="e">
        <f aca="false">#REF!</f>
        <v>#REF!</v>
      </c>
      <c r="I187" s="2" t="e">
        <f aca="false">#REF!</f>
        <v>#REF!</v>
      </c>
      <c r="J187" s="2" t="e">
        <f aca="false">#REF!</f>
        <v>#REF!</v>
      </c>
      <c r="K187" s="2" t="e">
        <f aca="false">#REF!</f>
        <v>#REF!</v>
      </c>
      <c r="L187" s="2" t="e">
        <f aca="false">#REF!</f>
        <v>#REF!</v>
      </c>
      <c r="M187" s="2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37</v>
      </c>
      <c r="B37" s="1" t="n">
        <v>43897</v>
      </c>
      <c r="C37" s="8" t="n">
        <v>1</v>
      </c>
      <c r="D37" s="8" t="n">
        <v>1</v>
      </c>
      <c r="E37" s="8"/>
      <c r="F37" s="8"/>
      <c r="G37" s="8"/>
      <c r="H37" s="8" t="n">
        <v>1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37</v>
      </c>
      <c r="B38" s="1" t="n">
        <v>43898</v>
      </c>
      <c r="C38" s="6" t="n">
        <v>6</v>
      </c>
      <c r="D38" s="6" t="n">
        <v>5</v>
      </c>
      <c r="E38" s="6"/>
      <c r="F38" s="6"/>
      <c r="G38" s="6"/>
      <c r="H38" s="6" t="n">
        <v>6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37</v>
      </c>
      <c r="B39" s="1" t="n">
        <v>43899</v>
      </c>
      <c r="C39" s="6" t="n">
        <v>6</v>
      </c>
      <c r="D39" s="6" t="n">
        <v>0</v>
      </c>
      <c r="E39" s="6"/>
      <c r="F39" s="6"/>
      <c r="G39" s="6"/>
      <c r="H39" s="6" t="n">
        <v>6</v>
      </c>
      <c r="I39" s="6"/>
      <c r="J39" s="6" t="n">
        <v>0.2</v>
      </c>
      <c r="K39" s="6"/>
      <c r="L39" s="6"/>
      <c r="M39" s="6"/>
    </row>
    <row r="40" customFormat="false" ht="15.75" hidden="false" customHeight="false" outlineLevel="0" collapsed="false">
      <c r="A40" s="0" t="s">
        <v>37</v>
      </c>
      <c r="B40" s="1" t="n">
        <v>43900</v>
      </c>
      <c r="C40" s="6" t="n">
        <v>9</v>
      </c>
      <c r="D40" s="6" t="n">
        <v>3</v>
      </c>
      <c r="E40" s="6"/>
      <c r="F40" s="6"/>
      <c r="G40" s="6"/>
      <c r="H40" s="6" t="n">
        <v>9</v>
      </c>
      <c r="I40" s="6"/>
      <c r="J40" s="6" t="n">
        <v>0.3</v>
      </c>
      <c r="K40" s="6"/>
      <c r="L40" s="6"/>
      <c r="M40" s="6"/>
    </row>
    <row r="41" customFormat="false" ht="15.75" hidden="false" customHeight="false" outlineLevel="0" collapsed="false">
      <c r="A41" s="0" t="s">
        <v>37</v>
      </c>
      <c r="B41" s="1" t="n">
        <v>43901</v>
      </c>
      <c r="C41" s="6" t="n">
        <v>11</v>
      </c>
      <c r="D41" s="6" t="n">
        <v>2</v>
      </c>
      <c r="E41" s="6"/>
      <c r="F41" s="6"/>
      <c r="G41" s="6"/>
      <c r="H41" s="6" t="n">
        <v>11</v>
      </c>
      <c r="I41" s="6"/>
      <c r="J41" s="6" t="n">
        <v>0.3</v>
      </c>
      <c r="K41" s="6"/>
      <c r="L41" s="6"/>
      <c r="M41" s="6"/>
    </row>
    <row r="42" customFormat="false" ht="15.75" hidden="false" customHeight="false" outlineLevel="0" collapsed="false">
      <c r="A42" s="0" t="s">
        <v>37</v>
      </c>
      <c r="B42" s="1" t="n">
        <v>43902</v>
      </c>
      <c r="C42" s="6" t="n">
        <v>13</v>
      </c>
      <c r="D42" s="6" t="n">
        <v>2</v>
      </c>
      <c r="E42" s="6"/>
      <c r="F42" s="6"/>
      <c r="G42" s="6"/>
      <c r="H42" s="6" t="n">
        <v>13</v>
      </c>
      <c r="I42" s="6"/>
      <c r="J42" s="6" t="n">
        <v>0.4</v>
      </c>
      <c r="K42" s="6"/>
      <c r="L42" s="6"/>
      <c r="M42" s="6"/>
    </row>
    <row r="43" customFormat="false" ht="15.75" hidden="false" customHeight="false" outlineLevel="0" collapsed="false">
      <c r="A43" s="0" t="s">
        <v>37</v>
      </c>
      <c r="B43" s="1" t="n">
        <v>43903</v>
      </c>
      <c r="C43" s="6" t="n">
        <v>22</v>
      </c>
      <c r="D43" s="6" t="n">
        <v>9</v>
      </c>
      <c r="E43" s="6"/>
      <c r="F43" s="6"/>
      <c r="G43" s="6"/>
      <c r="H43" s="6" t="n">
        <v>22</v>
      </c>
      <c r="I43" s="6"/>
      <c r="J43" s="6" t="n">
        <v>0.7</v>
      </c>
      <c r="K43" s="6"/>
      <c r="L43" s="6"/>
      <c r="M43" s="6"/>
    </row>
    <row r="44" customFormat="false" ht="15.75" hidden="false" customHeight="false" outlineLevel="0" collapsed="false">
      <c r="A44" s="0" t="s">
        <v>37</v>
      </c>
      <c r="B44" s="1" t="n">
        <v>43904</v>
      </c>
      <c r="C44" s="6" t="n">
        <v>28</v>
      </c>
      <c r="D44" s="6" t="n">
        <v>6</v>
      </c>
      <c r="E44" s="6"/>
      <c r="F44" s="6"/>
      <c r="G44" s="6"/>
      <c r="H44" s="6" t="n">
        <v>28</v>
      </c>
      <c r="I44" s="6"/>
      <c r="J44" s="6" t="n">
        <v>0.8</v>
      </c>
      <c r="K44" s="6"/>
      <c r="L44" s="6"/>
      <c r="M44" s="6"/>
    </row>
    <row r="45" customFormat="false" ht="15.75" hidden="false" customHeight="false" outlineLevel="0" collapsed="false">
      <c r="A45" s="0" t="s">
        <v>37</v>
      </c>
      <c r="B45" s="1" t="n">
        <v>43905</v>
      </c>
      <c r="C45" s="6" t="n">
        <v>38</v>
      </c>
      <c r="D45" s="6" t="n">
        <v>10</v>
      </c>
      <c r="E45" s="6"/>
      <c r="F45" s="6"/>
      <c r="G45" s="6"/>
      <c r="H45" s="6" t="n">
        <v>38</v>
      </c>
      <c r="I45" s="6"/>
      <c r="J45" s="6" t="n">
        <v>1.2</v>
      </c>
      <c r="K45" s="6"/>
      <c r="L45" s="6"/>
      <c r="M45" s="6"/>
    </row>
    <row r="46" customFormat="false" ht="15.75" hidden="false" customHeight="false" outlineLevel="0" collapsed="false">
      <c r="A46" s="0" t="s">
        <v>37</v>
      </c>
      <c r="B46" s="1" t="n">
        <v>43906</v>
      </c>
      <c r="C46" s="6" t="n">
        <v>71</v>
      </c>
      <c r="D46" s="6" t="n">
        <v>33</v>
      </c>
      <c r="E46" s="6"/>
      <c r="F46" s="6"/>
      <c r="G46" s="6"/>
      <c r="H46" s="6" t="n">
        <v>71</v>
      </c>
      <c r="I46" s="6"/>
      <c r="J46" s="6" t="n">
        <v>2.2</v>
      </c>
      <c r="K46" s="6"/>
      <c r="L46" s="6"/>
      <c r="M46" s="6"/>
    </row>
    <row r="47" customFormat="false" ht="15.75" hidden="false" customHeight="false" outlineLevel="0" collapsed="false">
      <c r="A47" s="0" t="s">
        <v>37</v>
      </c>
      <c r="B47" s="1" t="n">
        <v>43907</v>
      </c>
      <c r="C47" s="6" t="n">
        <v>86</v>
      </c>
      <c r="D47" s="6" t="n">
        <v>15</v>
      </c>
      <c r="E47" s="6"/>
      <c r="F47" s="6"/>
      <c r="G47" s="6" t="n">
        <v>1</v>
      </c>
      <c r="H47" s="6" t="n">
        <v>85</v>
      </c>
      <c r="I47" s="6" t="n">
        <v>8</v>
      </c>
      <c r="J47" s="6" t="n">
        <v>2.6</v>
      </c>
      <c r="K47" s="6"/>
      <c r="L47" s="6"/>
      <c r="M47" s="6"/>
    </row>
    <row r="48" customFormat="false" ht="15.75" hidden="false" customHeight="false" outlineLevel="0" collapsed="false">
      <c r="A48" s="0" t="s">
        <v>37</v>
      </c>
      <c r="B48" s="1" t="n">
        <v>43908</v>
      </c>
      <c r="C48" s="6" t="n">
        <v>117</v>
      </c>
      <c r="D48" s="6" t="n">
        <v>31</v>
      </c>
      <c r="E48" s="6"/>
      <c r="F48" s="6"/>
      <c r="G48" s="6" t="n">
        <v>1</v>
      </c>
      <c r="H48" s="6" t="n">
        <v>116</v>
      </c>
      <c r="I48" s="6" t="n">
        <v>8</v>
      </c>
      <c r="J48" s="6" t="n">
        <v>3.5</v>
      </c>
      <c r="K48" s="6"/>
      <c r="L48" s="6"/>
      <c r="M48" s="6"/>
    </row>
    <row r="49" customFormat="false" ht="15.75" hidden="false" customHeight="false" outlineLevel="0" collapsed="false">
      <c r="A49" s="0" t="s">
        <v>37</v>
      </c>
      <c r="B49" s="1" t="n">
        <v>43909</v>
      </c>
      <c r="C49" s="6" t="n">
        <v>145</v>
      </c>
      <c r="D49" s="6" t="n">
        <v>28</v>
      </c>
      <c r="E49" s="6"/>
      <c r="F49" s="6"/>
      <c r="G49" s="6" t="n">
        <v>1</v>
      </c>
      <c r="H49" s="6" t="n">
        <v>144</v>
      </c>
      <c r="I49" s="6" t="n">
        <v>8</v>
      </c>
      <c r="J49" s="6" t="n">
        <v>4</v>
      </c>
      <c r="K49" s="6"/>
      <c r="L49" s="6"/>
      <c r="M49" s="6"/>
    </row>
    <row r="50" customFormat="false" ht="15.75" hidden="false" customHeight="false" outlineLevel="0" collapsed="false">
      <c r="A50" s="0" t="s">
        <v>37</v>
      </c>
      <c r="B50" s="1" t="n">
        <v>43910</v>
      </c>
      <c r="C50" s="6" t="n">
        <v>234</v>
      </c>
      <c r="D50" s="6" t="n">
        <v>89</v>
      </c>
      <c r="E50" s="6" t="n">
        <v>1</v>
      </c>
      <c r="F50" s="6" t="n">
        <v>1</v>
      </c>
      <c r="G50" s="6" t="n">
        <v>1</v>
      </c>
      <c r="H50" s="6" t="n">
        <v>232</v>
      </c>
      <c r="I50" s="6" t="n">
        <v>7</v>
      </c>
      <c r="J50" s="6" t="n">
        <v>7</v>
      </c>
      <c r="K50" s="6"/>
      <c r="L50" s="6"/>
      <c r="M50" s="6"/>
    </row>
    <row r="51" customFormat="false" ht="15.75" hidden="false" customHeight="false" outlineLevel="0" collapsed="false">
      <c r="A51" s="0" t="s">
        <v>37</v>
      </c>
      <c r="B51" s="1" t="n">
        <v>43911</v>
      </c>
      <c r="C51" s="6" t="n">
        <v>263</v>
      </c>
      <c r="D51" s="6" t="n">
        <v>29</v>
      </c>
      <c r="E51" s="6" t="n">
        <v>4</v>
      </c>
      <c r="F51" s="6" t="n">
        <v>3</v>
      </c>
      <c r="G51" s="6" t="n">
        <v>1</v>
      </c>
      <c r="H51" s="6" t="n">
        <v>258</v>
      </c>
      <c r="I51" s="6" t="n">
        <v>5</v>
      </c>
      <c r="J51" s="6" t="n">
        <v>8</v>
      </c>
      <c r="K51" s="6"/>
      <c r="L51" s="6"/>
      <c r="M51" s="6"/>
    </row>
    <row r="52" customFormat="false" ht="15.75" hidden="false" customHeight="false" outlineLevel="0" collapsed="false">
      <c r="A52" s="0" t="s">
        <v>37</v>
      </c>
      <c r="B52" s="1" t="n">
        <v>43912</v>
      </c>
      <c r="C52" s="6" t="n">
        <v>318</v>
      </c>
      <c r="D52" s="6" t="n">
        <v>55</v>
      </c>
      <c r="E52" s="6" t="n">
        <v>5</v>
      </c>
      <c r="F52" s="6" t="n">
        <v>1</v>
      </c>
      <c r="G52" s="6" t="n">
        <v>1</v>
      </c>
      <c r="H52" s="6" t="n">
        <v>312</v>
      </c>
      <c r="I52" s="6" t="n">
        <v>5</v>
      </c>
      <c r="J52" s="6" t="n">
        <v>10</v>
      </c>
      <c r="K52" s="6"/>
      <c r="L52" s="6"/>
      <c r="M52" s="6"/>
    </row>
    <row r="53" customFormat="false" ht="15.75" hidden="false" customHeight="false" outlineLevel="0" collapsed="false">
      <c r="A53" s="0" t="s">
        <v>37</v>
      </c>
      <c r="B53" s="1" t="n">
        <v>43913</v>
      </c>
      <c r="C53" s="6" t="n">
        <v>363</v>
      </c>
      <c r="D53" s="6" t="n">
        <v>45</v>
      </c>
      <c r="E53" s="6" t="n">
        <v>5</v>
      </c>
      <c r="F53" s="6" t="n">
        <v>0</v>
      </c>
      <c r="G53" s="6" t="n">
        <v>1</v>
      </c>
      <c r="H53" s="6" t="n">
        <v>357</v>
      </c>
      <c r="I53" s="6" t="n">
        <v>5</v>
      </c>
      <c r="J53" s="6" t="n">
        <v>11</v>
      </c>
      <c r="K53" s="6"/>
      <c r="L53" s="6"/>
      <c r="M53" s="6"/>
    </row>
    <row r="54" customFormat="false" ht="15.75" hidden="false" customHeight="false" outlineLevel="0" collapsed="false">
      <c r="A54" s="0" t="s">
        <v>37</v>
      </c>
      <c r="B54" s="1" t="n">
        <v>43914</v>
      </c>
      <c r="C54" s="6" t="n">
        <v>395</v>
      </c>
      <c r="D54" s="6" t="n">
        <v>32</v>
      </c>
      <c r="E54" s="6" t="n">
        <v>5</v>
      </c>
      <c r="F54" s="6" t="n">
        <v>0</v>
      </c>
      <c r="G54" s="6" t="n">
        <v>1</v>
      </c>
      <c r="H54" s="6" t="n">
        <v>389</v>
      </c>
      <c r="I54" s="6" t="n">
        <v>19</v>
      </c>
      <c r="J54" s="6" t="n">
        <v>12</v>
      </c>
      <c r="K54" s="6"/>
      <c r="L54" s="6"/>
      <c r="M54" s="6"/>
    </row>
    <row r="55" customFormat="false" ht="15.75" hidden="false" customHeight="false" outlineLevel="0" collapsed="false">
      <c r="A55" s="0" t="s">
        <v>37</v>
      </c>
      <c r="B55" s="1" t="n">
        <v>43915</v>
      </c>
      <c r="C55" s="7" t="n">
        <v>416</v>
      </c>
      <c r="D55" s="7" t="n">
        <v>21</v>
      </c>
      <c r="E55" s="7" t="n">
        <v>7</v>
      </c>
      <c r="F55" s="7" t="n">
        <v>2</v>
      </c>
      <c r="G55" s="7" t="n">
        <v>1</v>
      </c>
      <c r="H55" s="7" t="n">
        <v>408</v>
      </c>
      <c r="I55" s="7" t="n">
        <v>9</v>
      </c>
      <c r="J55" s="7" t="n">
        <v>13</v>
      </c>
      <c r="K55" s="10" t="n">
        <v>0.2</v>
      </c>
      <c r="L55" s="7"/>
      <c r="M55" s="7"/>
    </row>
    <row r="56" customFormat="false" ht="15.75" hidden="false" customHeight="false" outlineLevel="0" collapsed="false">
      <c r="A56" s="0" t="s">
        <v>37</v>
      </c>
      <c r="B56" s="1" t="n">
        <v>43916</v>
      </c>
      <c r="C56" s="7" t="n">
        <v>480</v>
      </c>
      <c r="D56" s="7" t="n">
        <v>64</v>
      </c>
      <c r="E56" s="7" t="n">
        <v>9</v>
      </c>
      <c r="F56" s="7" t="n">
        <v>2</v>
      </c>
      <c r="G56" s="7" t="n">
        <v>1</v>
      </c>
      <c r="H56" s="7" t="n">
        <v>470</v>
      </c>
      <c r="I56" s="7" t="n">
        <v>9</v>
      </c>
      <c r="J56" s="7" t="n">
        <v>15</v>
      </c>
      <c r="K56" s="10" t="n">
        <v>0.3</v>
      </c>
      <c r="L56" s="7"/>
      <c r="M56" s="7"/>
    </row>
    <row r="57" customFormat="false" ht="15.75" hidden="false" customHeight="false" outlineLevel="0" collapsed="false">
      <c r="A57" s="0" t="s">
        <v>37</v>
      </c>
      <c r="B57" s="1" t="n">
        <v>43917</v>
      </c>
      <c r="C57" s="7" t="n">
        <v>580</v>
      </c>
      <c r="D57" s="7" t="n">
        <v>100</v>
      </c>
      <c r="E57" s="7" t="n">
        <v>9</v>
      </c>
      <c r="F57" s="7" t="n">
        <v>0</v>
      </c>
      <c r="G57" s="7" t="n">
        <v>14</v>
      </c>
      <c r="H57" s="7" t="n">
        <v>557</v>
      </c>
      <c r="I57" s="7" t="n">
        <v>14</v>
      </c>
      <c r="J57" s="7" t="n">
        <v>18</v>
      </c>
      <c r="K57" s="10" t="n">
        <v>0.3</v>
      </c>
      <c r="L57" s="7"/>
      <c r="M57" s="7"/>
    </row>
    <row r="58" customFormat="false" ht="15.75" hidden="false" customHeight="false" outlineLevel="0" collapsed="false">
      <c r="A58" s="0" t="s">
        <v>37</v>
      </c>
      <c r="B58" s="1" t="n">
        <v>43918</v>
      </c>
      <c r="C58" s="7" t="n">
        <v>635</v>
      </c>
      <c r="D58" s="7" t="n">
        <v>55</v>
      </c>
      <c r="E58" s="7" t="n">
        <v>9</v>
      </c>
      <c r="F58" s="7" t="n">
        <v>0</v>
      </c>
      <c r="G58" s="7" t="n">
        <v>16</v>
      </c>
      <c r="H58" s="7" t="n">
        <v>610</v>
      </c>
      <c r="I58" s="7" t="n">
        <v>14</v>
      </c>
      <c r="J58" s="7" t="n">
        <v>19</v>
      </c>
      <c r="K58" s="10" t="n">
        <v>0.3</v>
      </c>
      <c r="L58" s="7"/>
      <c r="M58" s="7"/>
    </row>
    <row r="59" customFormat="false" ht="15.75" hidden="false" customHeight="false" outlineLevel="0" collapsed="false">
      <c r="A59" s="0" t="s">
        <v>37</v>
      </c>
      <c r="B59" s="1" t="n">
        <v>43919</v>
      </c>
      <c r="C59" s="7" t="n">
        <v>671</v>
      </c>
      <c r="D59" s="7" t="n">
        <v>36</v>
      </c>
      <c r="E59" s="7" t="n">
        <v>16</v>
      </c>
      <c r="F59" s="7" t="n">
        <v>7</v>
      </c>
      <c r="G59" s="7" t="n">
        <v>16</v>
      </c>
      <c r="H59" s="7" t="n">
        <v>639</v>
      </c>
      <c r="I59" s="7" t="n">
        <v>33</v>
      </c>
      <c r="J59" s="7" t="n">
        <v>20</v>
      </c>
      <c r="K59" s="10" t="n">
        <v>0.5</v>
      </c>
      <c r="L59" s="7"/>
      <c r="M59" s="7"/>
    </row>
    <row r="60" customFormat="false" ht="15.75" hidden="false" customHeight="false" outlineLevel="0" collapsed="false">
      <c r="A60" s="0" t="s">
        <v>37</v>
      </c>
      <c r="B60" s="1" t="n">
        <v>43920</v>
      </c>
      <c r="C60" s="7" t="n">
        <v>852</v>
      </c>
      <c r="D60" s="7" t="n">
        <v>181</v>
      </c>
      <c r="E60" s="7" t="n">
        <v>18</v>
      </c>
      <c r="F60" s="7" t="n">
        <v>2</v>
      </c>
      <c r="G60" s="7" t="n">
        <v>16</v>
      </c>
      <c r="H60" s="7" t="n">
        <v>818</v>
      </c>
      <c r="I60" s="7" t="n">
        <v>40</v>
      </c>
      <c r="J60" s="7" t="n">
        <v>26</v>
      </c>
      <c r="K60" s="10" t="n">
        <v>0.5</v>
      </c>
      <c r="L60" s="7"/>
      <c r="M60" s="7"/>
    </row>
    <row r="61" customFormat="false" ht="15.75" hidden="false" customHeight="false" outlineLevel="0" collapsed="false">
      <c r="A61" s="0" t="s">
        <v>37</v>
      </c>
      <c r="B61" s="1" t="n">
        <v>43921</v>
      </c>
      <c r="C61" s="7" t="n">
        <v>950</v>
      </c>
      <c r="D61" s="7" t="n">
        <v>98</v>
      </c>
      <c r="E61" s="7" t="n">
        <v>18</v>
      </c>
      <c r="F61" s="7" t="n">
        <v>0</v>
      </c>
      <c r="G61" s="7" t="n">
        <v>16</v>
      </c>
      <c r="H61" s="7" t="n">
        <v>916</v>
      </c>
      <c r="I61" s="7" t="n">
        <v>49</v>
      </c>
      <c r="J61" s="7" t="n">
        <v>29</v>
      </c>
      <c r="K61" s="10" t="n">
        <v>0.5</v>
      </c>
      <c r="L61" s="7"/>
      <c r="M61" s="7"/>
    </row>
    <row r="62" customFormat="false" ht="15.75" hidden="false" customHeight="false" outlineLevel="0" collapsed="false">
      <c r="A62" s="0" t="s">
        <v>37</v>
      </c>
      <c r="B62" s="1" t="n">
        <v>43922</v>
      </c>
      <c r="C62" s="7" t="n">
        <v>1065</v>
      </c>
      <c r="D62" s="7" t="n">
        <v>115</v>
      </c>
      <c r="E62" s="7" t="n">
        <v>30</v>
      </c>
      <c r="F62" s="7" t="n">
        <v>12</v>
      </c>
      <c r="G62" s="7" t="n">
        <v>394</v>
      </c>
      <c r="H62" s="7" t="n">
        <v>641</v>
      </c>
      <c r="I62" s="7" t="n">
        <v>49</v>
      </c>
      <c r="J62" s="7" t="n">
        <v>32</v>
      </c>
      <c r="K62" s="10" t="n">
        <v>0.9</v>
      </c>
      <c r="L62" s="7"/>
      <c r="M62" s="7"/>
    </row>
    <row r="63" customFormat="false" ht="15.75" hidden="false" customHeight="false" outlineLevel="0" collapsed="false">
      <c r="A63" s="0" t="s">
        <v>37</v>
      </c>
      <c r="B63" s="1" t="n">
        <v>43923</v>
      </c>
      <c r="C63" s="7" t="n">
        <v>1323</v>
      </c>
      <c r="D63" s="7" t="n">
        <v>258</v>
      </c>
      <c r="E63" s="7" t="n">
        <v>38</v>
      </c>
      <c r="F63" s="7" t="n">
        <v>8</v>
      </c>
      <c r="G63" s="7" t="n">
        <v>394</v>
      </c>
      <c r="H63" s="7" t="n">
        <v>891</v>
      </c>
      <c r="I63" s="7" t="n">
        <v>49</v>
      </c>
      <c r="J63" s="7" t="n">
        <v>40</v>
      </c>
      <c r="K63" s="7" t="n">
        <v>1</v>
      </c>
      <c r="L63" s="7"/>
      <c r="M63" s="7"/>
    </row>
    <row r="64" customFormat="false" ht="15.75" hidden="false" customHeight="false" outlineLevel="0" collapsed="false">
      <c r="A64" s="0" t="s">
        <v>37</v>
      </c>
      <c r="B64" s="1" t="n">
        <v>43924</v>
      </c>
      <c r="C64" s="7" t="n">
        <v>1414</v>
      </c>
      <c r="D64" s="7" t="n">
        <v>91</v>
      </c>
      <c r="E64" s="7" t="n">
        <v>55</v>
      </c>
      <c r="F64" s="7" t="n">
        <v>17</v>
      </c>
      <c r="G64" s="7" t="n">
        <v>537</v>
      </c>
      <c r="H64" s="7" t="n">
        <v>822</v>
      </c>
      <c r="I64" s="7" t="n">
        <v>51</v>
      </c>
      <c r="J64" s="7" t="n">
        <v>43</v>
      </c>
      <c r="K64" s="7" t="n">
        <v>2</v>
      </c>
      <c r="L64" s="7"/>
      <c r="M64" s="7"/>
    </row>
    <row r="65" customFormat="false" ht="15.75" hidden="false" customHeight="false" outlineLevel="0" collapsed="false">
      <c r="A65" s="0" t="s">
        <v>37</v>
      </c>
      <c r="B65" s="1" t="n">
        <v>43925</v>
      </c>
      <c r="C65" s="7" t="n">
        <v>1595</v>
      </c>
      <c r="D65" s="7" t="n">
        <v>181</v>
      </c>
      <c r="E65" s="7" t="n">
        <v>61</v>
      </c>
      <c r="F65" s="7" t="n">
        <v>6</v>
      </c>
      <c r="G65" s="7" t="n">
        <v>537</v>
      </c>
      <c r="H65" s="7" t="n">
        <v>997</v>
      </c>
      <c r="I65" s="7" t="n">
        <v>51</v>
      </c>
      <c r="J65" s="7" t="n">
        <v>48</v>
      </c>
      <c r="K65" s="7" t="n">
        <v>2</v>
      </c>
      <c r="L65" s="7"/>
      <c r="M65" s="7"/>
    </row>
    <row r="66" customFormat="false" ht="15.75" hidden="false" customHeight="false" outlineLevel="0" collapsed="false">
      <c r="A66" s="0" t="s">
        <v>37</v>
      </c>
      <c r="B66" s="1" t="n">
        <v>43926</v>
      </c>
      <c r="C66" s="7" t="n">
        <v>1746</v>
      </c>
      <c r="D66" s="7" t="n">
        <v>151</v>
      </c>
      <c r="E66" s="7" t="n">
        <v>73</v>
      </c>
      <c r="F66" s="7" t="n">
        <v>12</v>
      </c>
      <c r="G66" s="7" t="n">
        <v>914</v>
      </c>
      <c r="H66" s="7" t="n">
        <v>759</v>
      </c>
      <c r="I66" s="7" t="n">
        <v>88</v>
      </c>
      <c r="J66" s="7" t="n">
        <v>53</v>
      </c>
      <c r="K66" s="7" t="n">
        <v>2</v>
      </c>
      <c r="L66" s="7" t="n">
        <v>17841</v>
      </c>
      <c r="M66" s="7" t="n">
        <v>541</v>
      </c>
    </row>
    <row r="67" customFormat="false" ht="15.75" hidden="false" customHeight="false" outlineLevel="0" collapsed="false">
      <c r="A67" s="0" t="s">
        <v>37</v>
      </c>
      <c r="B67" s="1" t="n">
        <v>43927</v>
      </c>
      <c r="C67" s="7" t="n">
        <v>2281</v>
      </c>
      <c r="D67" s="7" t="n">
        <v>535</v>
      </c>
      <c r="E67" s="7" t="n">
        <v>83</v>
      </c>
      <c r="F67" s="7" t="n">
        <v>10</v>
      </c>
      <c r="G67" s="7" t="n">
        <v>989</v>
      </c>
      <c r="H67" s="7" t="n">
        <v>1209</v>
      </c>
      <c r="I67" s="7" t="n">
        <v>81</v>
      </c>
      <c r="J67" s="7" t="n">
        <v>69</v>
      </c>
      <c r="K67" s="7" t="n">
        <v>3</v>
      </c>
      <c r="L67" s="7" t="n">
        <v>19410</v>
      </c>
      <c r="M67" s="7" t="n">
        <v>589</v>
      </c>
    </row>
    <row r="68" customFormat="false" ht="15.75" hidden="false" customHeight="false" outlineLevel="0" collapsed="false">
      <c r="A68" s="0" t="s">
        <v>37</v>
      </c>
      <c r="B68" s="1" t="n">
        <v>43928</v>
      </c>
      <c r="C68" s="12" t="n">
        <v>2561</v>
      </c>
      <c r="D68" s="12" t="n">
        <v>280</v>
      </c>
      <c r="E68" s="12" t="n">
        <v>92</v>
      </c>
      <c r="F68" s="12" t="n">
        <v>9</v>
      </c>
      <c r="G68" s="12" t="n">
        <v>997</v>
      </c>
      <c r="H68" s="12" t="n">
        <v>1472</v>
      </c>
      <c r="I68" s="12" t="n">
        <v>89</v>
      </c>
      <c r="J68" s="12" t="n">
        <v>78</v>
      </c>
      <c r="K68" s="12" t="n">
        <v>3</v>
      </c>
      <c r="L68" s="12" t="n">
        <v>20414</v>
      </c>
      <c r="M68" s="12" t="n">
        <v>619</v>
      </c>
    </row>
    <row r="69" customFormat="false" ht="15.75" hidden="false" customHeight="false" outlineLevel="0" collapsed="false">
      <c r="A69" s="0" t="s">
        <v>37</v>
      </c>
      <c r="B69" s="1" t="n">
        <v>43929</v>
      </c>
      <c r="C69" s="14" t="n">
        <v>2954</v>
      </c>
      <c r="D69" s="14" t="n">
        <v>393</v>
      </c>
      <c r="E69" s="14" t="n">
        <v>107</v>
      </c>
      <c r="F69" s="14" t="n">
        <v>15</v>
      </c>
      <c r="G69" s="14" t="n">
        <v>1301</v>
      </c>
      <c r="H69" s="14" t="n">
        <v>1546</v>
      </c>
      <c r="I69" s="14" t="n">
        <v>109</v>
      </c>
      <c r="J69" s="14" t="n">
        <v>90</v>
      </c>
      <c r="K69" s="14" t="n">
        <v>3</v>
      </c>
      <c r="L69" s="14" t="n">
        <v>21555</v>
      </c>
      <c r="M69" s="14" t="n">
        <v>654</v>
      </c>
    </row>
    <row r="70" customFormat="false" ht="15.75" hidden="false" customHeight="false" outlineLevel="0" collapsed="false">
      <c r="A70" s="0" t="s">
        <v>37</v>
      </c>
      <c r="B70" s="1" t="n">
        <v>43930</v>
      </c>
      <c r="C70" s="14" t="n">
        <v>4342</v>
      </c>
      <c r="D70" s="14" t="n">
        <v>1388</v>
      </c>
      <c r="E70" s="14" t="n">
        <v>121</v>
      </c>
      <c r="F70" s="14" t="n">
        <v>14</v>
      </c>
      <c r="G70" s="14" t="n">
        <v>1333</v>
      </c>
      <c r="H70" s="14" t="n">
        <v>2888</v>
      </c>
      <c r="I70" s="14" t="n">
        <v>113</v>
      </c>
      <c r="J70" s="14" t="n">
        <v>132</v>
      </c>
      <c r="K70" s="14" t="n">
        <v>4</v>
      </c>
      <c r="L70" s="14" t="n">
        <v>39599</v>
      </c>
      <c r="M70" s="14" t="n">
        <v>1201</v>
      </c>
    </row>
    <row r="71" customFormat="false" ht="15.75" hidden="false" customHeight="false" outlineLevel="0" collapsed="false">
      <c r="A71" s="0" t="s">
        <v>37</v>
      </c>
      <c r="B71" s="1" t="n">
        <v>43931</v>
      </c>
      <c r="C71" s="14" t="n">
        <v>5256</v>
      </c>
      <c r="D71" s="14" t="n">
        <v>914</v>
      </c>
      <c r="E71" s="14" t="n">
        <v>138</v>
      </c>
      <c r="F71" s="14" t="n">
        <v>17</v>
      </c>
      <c r="G71" s="14" t="n">
        <v>1438</v>
      </c>
      <c r="H71" s="14" t="n">
        <v>3680</v>
      </c>
      <c r="I71" s="14" t="n">
        <v>124</v>
      </c>
      <c r="J71" s="14" t="n">
        <v>159</v>
      </c>
      <c r="K71" s="14" t="n">
        <v>4</v>
      </c>
      <c r="L71" s="14" t="n">
        <v>48465</v>
      </c>
      <c r="M71" s="14" t="n">
        <v>1470</v>
      </c>
    </row>
    <row r="72" customFormat="false" ht="15.75" hidden="false" customHeight="false" outlineLevel="0" collapsed="false">
      <c r="A72" s="0" t="s">
        <v>37</v>
      </c>
      <c r="B72" s="1" t="n">
        <v>43932</v>
      </c>
      <c r="C72" s="14" t="n">
        <v>5897</v>
      </c>
      <c r="D72" s="14" t="n">
        <v>641</v>
      </c>
      <c r="E72" s="14" t="n">
        <v>169</v>
      </c>
      <c r="F72" s="14" t="n">
        <v>31</v>
      </c>
      <c r="G72" s="14" t="n">
        <v>1569</v>
      </c>
      <c r="H72" s="14" t="n">
        <v>4159</v>
      </c>
      <c r="I72" s="14" t="n">
        <v>130</v>
      </c>
      <c r="J72" s="14" t="n">
        <v>179</v>
      </c>
      <c r="K72" s="14" t="n">
        <v>5</v>
      </c>
      <c r="L72" s="14" t="n">
        <v>56681</v>
      </c>
      <c r="M72" s="14" t="n">
        <v>1719</v>
      </c>
    </row>
    <row r="73" customFormat="false" ht="15.75" hidden="false" customHeight="false" outlineLevel="0" collapsed="false">
      <c r="A73" s="0" t="s">
        <v>37</v>
      </c>
      <c r="B73" s="1" t="n">
        <v>43933</v>
      </c>
      <c r="C73" s="14" t="n">
        <v>6848</v>
      </c>
      <c r="D73" s="14" t="n">
        <v>951</v>
      </c>
      <c r="E73" s="14" t="n">
        <v>181</v>
      </c>
      <c r="F73" s="14" t="n">
        <v>12</v>
      </c>
      <c r="G73" s="14" t="n">
        <v>1739</v>
      </c>
      <c r="H73" s="14" t="n">
        <v>4928</v>
      </c>
      <c r="I73" s="14" t="n">
        <v>142</v>
      </c>
      <c r="J73" s="14" t="n">
        <v>208</v>
      </c>
      <c r="K73" s="14" t="n">
        <v>5</v>
      </c>
      <c r="L73" s="14" t="n">
        <v>67712</v>
      </c>
      <c r="M73" s="14" t="n">
        <v>2054</v>
      </c>
    </row>
    <row r="74" customFormat="false" ht="15.75" hidden="false" customHeight="false" outlineLevel="0" collapsed="false">
      <c r="A74" s="0" t="s">
        <v>37</v>
      </c>
      <c r="B74" s="1" t="n">
        <v>43934</v>
      </c>
      <c r="C74" s="14" t="n">
        <v>7519</v>
      </c>
      <c r="D74" s="14" t="n">
        <v>671</v>
      </c>
      <c r="E74" s="14" t="n">
        <v>193</v>
      </c>
      <c r="F74" s="14" t="n">
        <v>12</v>
      </c>
      <c r="G74" s="14" t="n">
        <v>1798</v>
      </c>
      <c r="H74" s="14" t="n">
        <v>5528</v>
      </c>
      <c r="I74" s="14" t="n">
        <v>134</v>
      </c>
      <c r="J74" s="14" t="n">
        <v>228</v>
      </c>
      <c r="K74" s="14" t="n">
        <v>6</v>
      </c>
      <c r="L74" s="14" t="n">
        <v>76506</v>
      </c>
      <c r="M74" s="14" t="n">
        <v>2320</v>
      </c>
    </row>
    <row r="75" customFormat="false" ht="15.75" hidden="false" customHeight="false" outlineLevel="0" collapsed="false">
      <c r="A75" s="0" t="s">
        <v>37</v>
      </c>
      <c r="B75" s="1" t="n">
        <v>43935</v>
      </c>
      <c r="C75" s="14" t="n">
        <v>9784</v>
      </c>
      <c r="D75" s="14" t="n">
        <v>2265</v>
      </c>
      <c r="E75" s="14" t="n">
        <v>216</v>
      </c>
      <c r="F75" s="14" t="n">
        <v>23</v>
      </c>
      <c r="G75" s="14" t="n">
        <v>2642</v>
      </c>
      <c r="H75" s="14" t="n">
        <v>6926</v>
      </c>
      <c r="I75" s="14" t="n">
        <v>134</v>
      </c>
      <c r="J75" s="14" t="n">
        <v>297</v>
      </c>
      <c r="K75" s="14" t="n">
        <v>7</v>
      </c>
      <c r="L75" s="14" t="n">
        <v>87116</v>
      </c>
      <c r="M75" s="14" t="n">
        <v>2642</v>
      </c>
    </row>
    <row r="76" customFormat="false" ht="15.75" hidden="false" customHeight="false" outlineLevel="0" collapsed="false">
      <c r="A76" s="0" t="s">
        <v>37</v>
      </c>
      <c r="B76" s="1" t="n">
        <v>43936</v>
      </c>
      <c r="C76" s="14" t="n">
        <v>10303</v>
      </c>
      <c r="D76" s="14" t="n">
        <v>519</v>
      </c>
      <c r="E76" s="14" t="n">
        <v>230</v>
      </c>
      <c r="F76" s="14" t="n">
        <v>14</v>
      </c>
      <c r="G76" s="14" t="n">
        <v>2869</v>
      </c>
      <c r="H76" s="14" t="n">
        <v>7204</v>
      </c>
      <c r="I76" s="14" t="n">
        <v>132</v>
      </c>
      <c r="J76" s="14" t="n">
        <v>312</v>
      </c>
      <c r="K76" s="14" t="n">
        <v>7</v>
      </c>
      <c r="L76" s="14" t="n">
        <v>102216</v>
      </c>
      <c r="M76" s="14" t="n">
        <v>3100</v>
      </c>
    </row>
    <row r="77" customFormat="false" ht="15.75" hidden="false" customHeight="false" outlineLevel="0" collapsed="false">
      <c r="A77" s="0" t="s">
        <v>37</v>
      </c>
      <c r="B77" s="1" t="n">
        <v>43937</v>
      </c>
      <c r="C77" s="14" t="n">
        <v>11475</v>
      </c>
      <c r="D77" s="14" t="n">
        <v>1172</v>
      </c>
      <c r="E77" s="14" t="n">
        <v>254</v>
      </c>
      <c r="F77" s="14" t="n">
        <v>24</v>
      </c>
      <c r="G77" s="14" t="n">
        <v>3108</v>
      </c>
      <c r="H77" s="14" t="n">
        <v>8113</v>
      </c>
      <c r="I77" s="14" t="n">
        <v>146</v>
      </c>
      <c r="J77" s="14" t="n">
        <v>348</v>
      </c>
      <c r="K77" s="14" t="n">
        <v>8</v>
      </c>
      <c r="L77" s="14" t="n">
        <v>109385</v>
      </c>
      <c r="M77" s="14" t="n">
        <v>3318</v>
      </c>
    </row>
    <row r="78" customFormat="false" ht="15.75" hidden="false" customHeight="false" outlineLevel="0" collapsed="false">
      <c r="A78" s="0" t="s">
        <v>37</v>
      </c>
      <c r="B78" s="1" t="n">
        <v>43938</v>
      </c>
      <c r="C78" s="14" t="n">
        <v>12491</v>
      </c>
      <c r="D78" s="14" t="n">
        <v>1016</v>
      </c>
      <c r="E78" s="14" t="n">
        <v>274</v>
      </c>
      <c r="F78" s="14" t="n">
        <v>20</v>
      </c>
      <c r="G78" s="14" t="n">
        <v>6120</v>
      </c>
      <c r="H78" s="14" t="n">
        <v>6097</v>
      </c>
      <c r="I78" s="14" t="n">
        <v>169</v>
      </c>
      <c r="J78" s="14" t="n">
        <v>379</v>
      </c>
      <c r="K78" s="14" t="n">
        <v>8</v>
      </c>
      <c r="L78" s="14" t="n">
        <v>121468</v>
      </c>
      <c r="M78" s="14" t="n">
        <v>3684</v>
      </c>
    </row>
    <row r="79" customFormat="false" ht="15.75" hidden="false" customHeight="false" outlineLevel="0" collapsed="false">
      <c r="A79" s="0" t="s">
        <v>37</v>
      </c>
      <c r="B79" s="1" t="n">
        <v>43939</v>
      </c>
      <c r="C79" s="14" t="n">
        <v>13489</v>
      </c>
      <c r="D79" s="14" t="n">
        <v>998</v>
      </c>
      <c r="E79" s="14" t="n">
        <v>300</v>
      </c>
      <c r="F79" s="14" t="n">
        <v>26</v>
      </c>
      <c r="G79" s="14" t="n">
        <v>6541</v>
      </c>
      <c r="H79" s="14" t="n">
        <v>6648</v>
      </c>
      <c r="I79" s="14" t="n">
        <v>137</v>
      </c>
      <c r="J79" s="14" t="n">
        <v>409</v>
      </c>
      <c r="K79" s="14" t="n">
        <v>9</v>
      </c>
      <c r="L79" s="14" t="n">
        <v>127513</v>
      </c>
      <c r="M79" s="14" t="n">
        <v>3867</v>
      </c>
    </row>
    <row r="80" customFormat="false" ht="15.75" hidden="false" customHeight="false" outlineLevel="0" collapsed="false">
      <c r="A80" s="0" t="s">
        <v>37</v>
      </c>
      <c r="B80" s="1" t="n">
        <v>43940</v>
      </c>
      <c r="C80" s="14" t="n">
        <v>14420</v>
      </c>
      <c r="D80" s="14" t="n">
        <v>931</v>
      </c>
      <c r="E80" s="14" t="n">
        <v>348</v>
      </c>
      <c r="F80" s="14" t="n">
        <v>48</v>
      </c>
      <c r="G80" s="14" t="n">
        <v>6684</v>
      </c>
      <c r="H80" s="14" t="n">
        <v>7388</v>
      </c>
      <c r="I80" s="14" t="n">
        <v>117</v>
      </c>
      <c r="J80" s="14" t="n">
        <v>437</v>
      </c>
      <c r="K80" s="14" t="n">
        <v>11</v>
      </c>
      <c r="L80" s="14" t="n">
        <v>135895</v>
      </c>
      <c r="M80" s="14" t="n">
        <v>4122</v>
      </c>
    </row>
    <row r="81" customFormat="false" ht="15.75" hidden="false" customHeight="false" outlineLevel="0" collapsed="false">
      <c r="A81" s="0" t="s">
        <v>37</v>
      </c>
      <c r="B81" s="1" t="n">
        <v>43941</v>
      </c>
      <c r="C81" s="14" t="n">
        <v>15628</v>
      </c>
      <c r="D81" s="14" t="n">
        <v>1208</v>
      </c>
      <c r="E81" s="14" t="n">
        <v>400</v>
      </c>
      <c r="F81" s="14" t="n">
        <v>52</v>
      </c>
      <c r="G81" s="14" t="n">
        <v>6811</v>
      </c>
      <c r="H81" s="14" t="n">
        <v>8417</v>
      </c>
      <c r="I81" s="14" t="n">
        <v>167</v>
      </c>
      <c r="J81" s="14" t="n">
        <v>474</v>
      </c>
      <c r="K81" s="14" t="n">
        <v>12</v>
      </c>
      <c r="L81" s="14" t="n">
        <v>143745</v>
      </c>
      <c r="M81" s="14" t="n">
        <v>4360</v>
      </c>
    </row>
    <row r="82" customFormat="false" ht="15.75" hidden="false" customHeight="false" outlineLevel="0" collapsed="false">
      <c r="A82" s="0" t="s">
        <v>37</v>
      </c>
      <c r="B82" s="1" t="n">
        <v>43942</v>
      </c>
      <c r="C82" s="6" t="n">
        <v>16325</v>
      </c>
      <c r="D82" s="6" t="n">
        <v>697</v>
      </c>
      <c r="E82" s="6" t="n">
        <v>445</v>
      </c>
      <c r="F82" s="6" t="n">
        <v>45</v>
      </c>
      <c r="G82" s="6" t="n">
        <v>6968</v>
      </c>
      <c r="H82" s="6" t="n">
        <v>8912</v>
      </c>
      <c r="I82" s="6" t="n">
        <v>385</v>
      </c>
      <c r="J82" s="6" t="n">
        <v>495</v>
      </c>
      <c r="K82" s="6" t="n">
        <v>13</v>
      </c>
      <c r="L82" s="6" t="n">
        <v>148011</v>
      </c>
      <c r="M82" s="6" t="n">
        <v>4489</v>
      </c>
    </row>
    <row r="83" customFormat="false" ht="15.75" hidden="false" customHeight="false" outlineLevel="0" collapsed="false">
      <c r="A83" s="0" t="s">
        <v>37</v>
      </c>
      <c r="B83" s="1" t="n">
        <v>43943</v>
      </c>
      <c r="C83" s="6" t="n">
        <v>17837</v>
      </c>
      <c r="D83" s="6" t="n">
        <v>1512</v>
      </c>
      <c r="E83" s="6" t="n">
        <v>484</v>
      </c>
      <c r="F83" s="6" t="n">
        <v>39</v>
      </c>
      <c r="G83" s="6" t="n">
        <v>6982</v>
      </c>
      <c r="H83" s="6" t="n">
        <v>10371</v>
      </c>
      <c r="I83" s="6" t="n">
        <v>380</v>
      </c>
      <c r="J83" s="6" t="n">
        <v>541</v>
      </c>
      <c r="K83" s="6" t="n">
        <v>15</v>
      </c>
      <c r="L83" s="6" t="n">
        <v>155724</v>
      </c>
      <c r="M83" s="6" t="n">
        <v>4723</v>
      </c>
    </row>
    <row r="84" customFormat="false" ht="15.75" hidden="false" customHeight="false" outlineLevel="0" collapsed="false">
      <c r="A84" s="0" t="s">
        <v>37</v>
      </c>
      <c r="B84" s="1" t="n">
        <v>43944</v>
      </c>
      <c r="C84" s="6" t="n">
        <v>19250</v>
      </c>
      <c r="D84" s="6" t="n">
        <v>1413</v>
      </c>
      <c r="E84" s="6" t="n">
        <v>530</v>
      </c>
      <c r="F84" s="6" t="n">
        <v>46</v>
      </c>
      <c r="G84" s="6" t="n">
        <v>7027</v>
      </c>
      <c r="H84" s="6" t="n">
        <v>11693</v>
      </c>
      <c r="I84" s="6" t="n">
        <v>396</v>
      </c>
      <c r="J84" s="6" t="n">
        <v>584</v>
      </c>
      <c r="K84" s="6" t="n">
        <v>16</v>
      </c>
      <c r="L84" s="6" t="n">
        <v>170400</v>
      </c>
      <c r="M84" s="6" t="n">
        <v>5168</v>
      </c>
    </row>
    <row r="85" customFormat="false" ht="15.75" hidden="false" customHeight="false" outlineLevel="0" collapsed="false">
      <c r="A85" s="0" t="s">
        <v>37</v>
      </c>
      <c r="B85" s="1" t="n">
        <v>43945</v>
      </c>
      <c r="C85" s="6" t="n">
        <v>20914</v>
      </c>
      <c r="D85" s="6" t="n">
        <v>1664</v>
      </c>
      <c r="E85" s="6" t="n">
        <v>572</v>
      </c>
      <c r="F85" s="6" t="n">
        <v>42</v>
      </c>
      <c r="G85" s="6" t="n">
        <v>7422</v>
      </c>
      <c r="H85" s="6" t="n">
        <v>12920</v>
      </c>
      <c r="I85" s="6" t="n">
        <v>396</v>
      </c>
      <c r="J85" s="6" t="n">
        <v>634</v>
      </c>
      <c r="K85" s="6" t="n">
        <v>17</v>
      </c>
      <c r="L85" s="6" t="n">
        <v>185238</v>
      </c>
      <c r="M85" s="6" t="n">
        <v>5618</v>
      </c>
    </row>
    <row r="86" customFormat="false" ht="15.75" hidden="false" customHeight="false" outlineLevel="0" collapsed="false">
      <c r="A86" s="0" t="s">
        <v>37</v>
      </c>
      <c r="B86" s="1" t="n">
        <v>43946</v>
      </c>
      <c r="C86" s="6" t="n">
        <v>21648</v>
      </c>
      <c r="D86" s="6" t="n">
        <v>734</v>
      </c>
      <c r="E86" s="6" t="n">
        <v>634</v>
      </c>
      <c r="F86" s="6" t="n">
        <v>62</v>
      </c>
      <c r="G86" s="6" t="n">
        <v>7496</v>
      </c>
      <c r="H86" s="6" t="n">
        <v>13518</v>
      </c>
      <c r="I86" s="6" t="n">
        <v>505</v>
      </c>
      <c r="J86" s="6" t="n">
        <v>657</v>
      </c>
      <c r="K86" s="6" t="n">
        <v>19</v>
      </c>
      <c r="L86" s="6" t="n">
        <v>198349</v>
      </c>
      <c r="M86" s="6" t="n">
        <v>6016</v>
      </c>
    </row>
    <row r="87" customFormat="false" ht="15.75" hidden="false" customHeight="false" outlineLevel="0" collapsed="false">
      <c r="A87" s="0" t="s">
        <v>37</v>
      </c>
      <c r="B87" s="1" t="n">
        <v>43947</v>
      </c>
      <c r="C87" s="6" t="n">
        <v>25331</v>
      </c>
      <c r="D87" s="6" t="n">
        <v>3683</v>
      </c>
      <c r="E87" s="6" t="n">
        <v>700</v>
      </c>
      <c r="F87" s="6" t="n">
        <v>66</v>
      </c>
      <c r="G87" s="6" t="n">
        <v>7797</v>
      </c>
      <c r="H87" s="6" t="n">
        <v>16834</v>
      </c>
      <c r="I87" s="6" t="n">
        <v>545</v>
      </c>
      <c r="J87" s="6" t="n">
        <v>768</v>
      </c>
      <c r="K87" s="6" t="n">
        <v>21</v>
      </c>
      <c r="L87" s="6" t="n">
        <v>218195</v>
      </c>
      <c r="M87" s="6" t="n">
        <v>6618</v>
      </c>
    </row>
    <row r="88" customFormat="false" ht="15.75" hidden="false" customHeight="false" outlineLevel="0" collapsed="false">
      <c r="A88" s="0" t="s">
        <v>37</v>
      </c>
      <c r="B88" s="1" t="n">
        <v>43948</v>
      </c>
      <c r="C88" s="6" t="n">
        <v>27517</v>
      </c>
      <c r="D88" s="6" t="n">
        <v>2186</v>
      </c>
      <c r="E88" s="6" t="n">
        <v>728</v>
      </c>
      <c r="F88" s="6" t="n">
        <v>28</v>
      </c>
      <c r="G88" s="6" t="n">
        <v>8088</v>
      </c>
      <c r="H88" s="6" t="n">
        <v>18701</v>
      </c>
      <c r="I88" s="6" t="n">
        <v>554</v>
      </c>
      <c r="J88" s="6" t="n">
        <v>835</v>
      </c>
      <c r="K88" s="6" t="n">
        <v>22</v>
      </c>
      <c r="L88" s="6" t="n">
        <v>232747</v>
      </c>
      <c r="M88" s="6" t="n">
        <v>7059</v>
      </c>
    </row>
    <row r="89" customFormat="false" ht="13.5" hidden="false" customHeight="false" outlineLevel="0" collapsed="false">
      <c r="A89" s="0" t="s">
        <v>37</v>
      </c>
      <c r="B89" s="1" t="n">
        <v>43949</v>
      </c>
      <c r="C89" s="2" t="n">
        <v>28699</v>
      </c>
      <c r="D89" s="2" t="n">
        <v>1182</v>
      </c>
      <c r="E89" s="2" t="n">
        <v>782</v>
      </c>
      <c r="F89" s="2" t="n">
        <v>54</v>
      </c>
      <c r="G89" s="2" t="n">
        <v>8425</v>
      </c>
      <c r="H89" s="2" t="n">
        <v>19492</v>
      </c>
      <c r="I89" s="2" t="n">
        <v>598</v>
      </c>
      <c r="J89" s="2" t="n">
        <v>870</v>
      </c>
      <c r="K89" s="2" t="n">
        <v>24</v>
      </c>
      <c r="L89" s="2" t="n">
        <v>239563</v>
      </c>
      <c r="M89" s="2" t="n">
        <v>7266</v>
      </c>
    </row>
    <row r="90" customFormat="false" ht="13.5" hidden="false" customHeight="false" outlineLevel="0" collapsed="false">
      <c r="A90" s="0" t="s">
        <v>37</v>
      </c>
      <c r="B90" s="1" t="n">
        <v>43950</v>
      </c>
      <c r="C90" s="2" t="n">
        <v>31190</v>
      </c>
      <c r="D90" s="2" t="n">
        <v>2491</v>
      </c>
      <c r="E90" s="2" t="n">
        <v>854</v>
      </c>
      <c r="F90" s="2" t="n">
        <v>72</v>
      </c>
      <c r="G90" s="2" t="n">
        <v>9179</v>
      </c>
      <c r="H90" s="2" t="n">
        <v>21157</v>
      </c>
      <c r="I90" s="2" t="n">
        <v>600</v>
      </c>
      <c r="J90" s="2" t="n">
        <v>946</v>
      </c>
      <c r="K90" s="2" t="n">
        <v>26</v>
      </c>
      <c r="L90" s="2" t="n">
        <v>267612</v>
      </c>
      <c r="M90" s="2" t="n">
        <v>8116</v>
      </c>
    </row>
    <row r="91" customFormat="false" ht="13.5" hidden="false" customHeight="false" outlineLevel="0" collapsed="false">
      <c r="A91" s="0" t="s">
        <v>37</v>
      </c>
      <c r="B91" s="1" t="n">
        <v>43951</v>
      </c>
      <c r="C91" s="2" t="n">
        <v>33931</v>
      </c>
      <c r="D91" s="2" t="n">
        <v>2741</v>
      </c>
      <c r="E91" s="2" t="n">
        <v>943</v>
      </c>
      <c r="F91" s="2" t="n">
        <v>89</v>
      </c>
      <c r="G91" s="2" t="n">
        <v>10037</v>
      </c>
      <c r="H91" s="2" t="n">
        <v>22951</v>
      </c>
      <c r="I91" s="2" t="n">
        <v>623</v>
      </c>
      <c r="J91" s="2" t="n">
        <v>1029</v>
      </c>
      <c r="K91" s="2" t="n">
        <v>29</v>
      </c>
      <c r="L91" s="2" t="n">
        <v>296262</v>
      </c>
      <c r="M91" s="2" t="n">
        <v>8985</v>
      </c>
    </row>
    <row r="92" customFormat="false" ht="14.25" hidden="false" customHeight="false" outlineLevel="0" collapsed="false">
      <c r="A92" s="0" t="s">
        <v>37</v>
      </c>
      <c r="B92" s="1" t="n">
        <v>43952</v>
      </c>
      <c r="C92" s="2" t="n">
        <v>36976</v>
      </c>
      <c r="D92" s="2" t="n">
        <v>3045</v>
      </c>
      <c r="E92" s="2" t="n">
        <v>1051</v>
      </c>
      <c r="F92" s="2" t="n">
        <v>108</v>
      </c>
      <c r="G92" s="2" t="n">
        <v>10405</v>
      </c>
      <c r="H92" s="2" t="n">
        <v>25520</v>
      </c>
      <c r="I92" s="2" t="n">
        <v>651</v>
      </c>
      <c r="J92" s="2" t="n">
        <v>1121</v>
      </c>
      <c r="K92" s="2" t="n">
        <v>32</v>
      </c>
      <c r="L92" s="2" t="n">
        <v>318252</v>
      </c>
      <c r="M92" s="2" t="n">
        <v>9652</v>
      </c>
    </row>
    <row r="93" customFormat="false" ht="15.75" hidden="false" customHeight="false" outlineLevel="0" collapsed="false">
      <c r="A93" s="0" t="s">
        <v>37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37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37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37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37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37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37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37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37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37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37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37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37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37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37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37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37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37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37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37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37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37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37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37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37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37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37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37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37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37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37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37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37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37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37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37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37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37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37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37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37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37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37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37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37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37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37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37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37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37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37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37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37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37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37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37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37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37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37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37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37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37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37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37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37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37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37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37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37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37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37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37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37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37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37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37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37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37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37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37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37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37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37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37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37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37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37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37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37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37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37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37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37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37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37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P174" activeCellId="0" sqref="P174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38</v>
      </c>
      <c r="B37" s="1" t="n">
        <v>43897</v>
      </c>
      <c r="C37" s="8" t="n">
        <v>5</v>
      </c>
      <c r="D37" s="8" t="n">
        <v>1</v>
      </c>
      <c r="E37" s="8"/>
      <c r="F37" s="8"/>
      <c r="G37" s="8"/>
      <c r="H37" s="8" t="n">
        <v>5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38</v>
      </c>
      <c r="B38" s="1" t="n">
        <v>43898</v>
      </c>
      <c r="C38" s="6" t="n">
        <v>5</v>
      </c>
      <c r="D38" s="6" t="n">
        <v>0</v>
      </c>
      <c r="E38" s="6"/>
      <c r="F38" s="6"/>
      <c r="G38" s="6"/>
      <c r="H38" s="6" t="n">
        <v>5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38</v>
      </c>
      <c r="B39" s="1" t="n">
        <v>43899</v>
      </c>
      <c r="C39" s="6" t="n">
        <v>10</v>
      </c>
      <c r="D39" s="6" t="n">
        <v>5</v>
      </c>
      <c r="E39" s="6"/>
      <c r="F39" s="6"/>
      <c r="G39" s="6"/>
      <c r="H39" s="6" t="n">
        <v>10</v>
      </c>
      <c r="I39" s="6"/>
      <c r="J39" s="6" t="n">
        <v>0.5</v>
      </c>
      <c r="K39" s="6"/>
      <c r="L39" s="6"/>
      <c r="M39" s="6"/>
    </row>
    <row r="40" customFormat="false" ht="15.75" hidden="false" customHeight="false" outlineLevel="0" collapsed="false">
      <c r="A40" s="0" t="s">
        <v>38</v>
      </c>
      <c r="B40" s="1" t="n">
        <v>43900</v>
      </c>
      <c r="C40" s="6" t="n">
        <v>13</v>
      </c>
      <c r="D40" s="6" t="n">
        <v>3</v>
      </c>
      <c r="E40" s="6"/>
      <c r="F40" s="6"/>
      <c r="G40" s="6"/>
      <c r="H40" s="6" t="n">
        <v>13</v>
      </c>
      <c r="I40" s="6"/>
      <c r="J40" s="6" t="n">
        <v>0.7</v>
      </c>
      <c r="K40" s="6"/>
      <c r="L40" s="6"/>
      <c r="M40" s="6"/>
    </row>
    <row r="41" customFormat="false" ht="15.75" hidden="false" customHeight="false" outlineLevel="0" collapsed="false">
      <c r="A41" s="0" t="s">
        <v>38</v>
      </c>
      <c r="B41" s="1" t="n">
        <v>43901</v>
      </c>
      <c r="C41" s="6" t="n">
        <v>17</v>
      </c>
      <c r="D41" s="6" t="n">
        <v>4</v>
      </c>
      <c r="E41" s="6"/>
      <c r="F41" s="6"/>
      <c r="G41" s="6"/>
      <c r="H41" s="6" t="n">
        <v>17</v>
      </c>
      <c r="I41" s="6"/>
      <c r="J41" s="6" t="n">
        <v>0.9</v>
      </c>
      <c r="K41" s="6"/>
      <c r="L41" s="6"/>
      <c r="M41" s="6"/>
    </row>
    <row r="42" customFormat="false" ht="15.75" hidden="false" customHeight="false" outlineLevel="0" collapsed="false">
      <c r="A42" s="0" t="s">
        <v>38</v>
      </c>
      <c r="B42" s="1" t="n">
        <v>43902</v>
      </c>
      <c r="C42" s="6" t="n">
        <v>23</v>
      </c>
      <c r="D42" s="6" t="n">
        <v>6</v>
      </c>
      <c r="E42" s="6"/>
      <c r="F42" s="6"/>
      <c r="G42" s="6"/>
      <c r="H42" s="6" t="n">
        <v>23</v>
      </c>
      <c r="I42" s="6"/>
      <c r="J42" s="6" t="n">
        <v>1.2</v>
      </c>
      <c r="K42" s="6"/>
      <c r="L42" s="6"/>
      <c r="M42" s="6"/>
    </row>
    <row r="43" customFormat="false" ht="15.75" hidden="false" customHeight="false" outlineLevel="0" collapsed="false">
      <c r="A43" s="0" t="s">
        <v>38</v>
      </c>
      <c r="B43" s="1" t="n">
        <v>43903</v>
      </c>
      <c r="C43" s="6" t="n">
        <v>33</v>
      </c>
      <c r="D43" s="6" t="n">
        <v>10</v>
      </c>
      <c r="E43" s="6"/>
      <c r="F43" s="6"/>
      <c r="G43" s="6"/>
      <c r="H43" s="6" t="n">
        <v>33</v>
      </c>
      <c r="I43" s="6"/>
      <c r="J43" s="6" t="n">
        <v>1.7</v>
      </c>
      <c r="K43" s="6"/>
      <c r="L43" s="6"/>
      <c r="M43" s="6"/>
    </row>
    <row r="44" customFormat="false" ht="15.75" hidden="false" customHeight="false" outlineLevel="0" collapsed="false">
      <c r="A44" s="0" t="s">
        <v>38</v>
      </c>
      <c r="B44" s="1" t="n">
        <v>43904</v>
      </c>
      <c r="C44" s="6" t="n">
        <v>43</v>
      </c>
      <c r="D44" s="6" t="n">
        <v>10</v>
      </c>
      <c r="E44" s="6"/>
      <c r="F44" s="6"/>
      <c r="G44" s="6"/>
      <c r="H44" s="6" t="n">
        <v>43</v>
      </c>
      <c r="I44" s="6"/>
      <c r="J44" s="6" t="n">
        <v>2.2</v>
      </c>
      <c r="K44" s="6"/>
      <c r="L44" s="6"/>
      <c r="M44" s="6"/>
    </row>
    <row r="45" customFormat="false" ht="15.75" hidden="false" customHeight="false" outlineLevel="0" collapsed="false">
      <c r="A45" s="0" t="s">
        <v>38</v>
      </c>
      <c r="B45" s="1" t="n">
        <v>43905</v>
      </c>
      <c r="C45" s="6" t="n">
        <v>61</v>
      </c>
      <c r="D45" s="6" t="n">
        <v>18</v>
      </c>
      <c r="E45" s="6"/>
      <c r="F45" s="6"/>
      <c r="G45" s="6"/>
      <c r="H45" s="6" t="n">
        <v>61</v>
      </c>
      <c r="I45" s="6"/>
      <c r="J45" s="6" t="n">
        <v>3.2</v>
      </c>
      <c r="K45" s="6"/>
      <c r="L45" s="6"/>
      <c r="M45" s="6"/>
    </row>
    <row r="46" customFormat="false" ht="15.75" hidden="false" customHeight="false" outlineLevel="0" collapsed="false">
      <c r="A46" s="0" t="s">
        <v>38</v>
      </c>
      <c r="B46" s="1" t="n">
        <v>43906</v>
      </c>
      <c r="C46" s="6" t="n">
        <v>75</v>
      </c>
      <c r="D46" s="6" t="n">
        <v>14</v>
      </c>
      <c r="E46" s="6"/>
      <c r="F46" s="6"/>
      <c r="G46" s="6"/>
      <c r="H46" s="6" t="n">
        <v>75</v>
      </c>
      <c r="I46" s="6"/>
      <c r="J46" s="6" t="n">
        <v>3.9</v>
      </c>
      <c r="K46" s="6"/>
      <c r="L46" s="6"/>
      <c r="M46" s="6"/>
    </row>
    <row r="47" customFormat="false" ht="15.75" hidden="false" customHeight="false" outlineLevel="0" collapsed="false">
      <c r="A47" s="0" t="s">
        <v>38</v>
      </c>
      <c r="B47" s="1" t="n">
        <v>43907</v>
      </c>
      <c r="C47" s="6" t="n">
        <v>156</v>
      </c>
      <c r="D47" s="6" t="n">
        <v>81</v>
      </c>
      <c r="E47" s="6"/>
      <c r="F47" s="6"/>
      <c r="G47" s="6"/>
      <c r="H47" s="6" t="n">
        <v>156</v>
      </c>
      <c r="I47" s="6"/>
      <c r="J47" s="6" t="n">
        <v>8.2</v>
      </c>
      <c r="K47" s="6"/>
      <c r="L47" s="6"/>
      <c r="M47" s="6"/>
    </row>
    <row r="48" customFormat="false" ht="15.75" hidden="false" customHeight="false" outlineLevel="0" collapsed="false">
      <c r="A48" s="0" t="s">
        <v>38</v>
      </c>
      <c r="B48" s="1" t="n">
        <v>43908</v>
      </c>
      <c r="C48" s="6" t="n">
        <v>201</v>
      </c>
      <c r="D48" s="6" t="n">
        <v>45</v>
      </c>
      <c r="E48" s="6"/>
      <c r="F48" s="6"/>
      <c r="G48" s="6"/>
      <c r="H48" s="6" t="n">
        <v>201</v>
      </c>
      <c r="I48" s="6" t="n">
        <v>3</v>
      </c>
      <c r="J48" s="6" t="n">
        <v>10.5</v>
      </c>
      <c r="K48" s="6"/>
      <c r="L48" s="6"/>
      <c r="M48" s="6"/>
    </row>
    <row r="49" customFormat="false" ht="15.75" hidden="false" customHeight="false" outlineLevel="0" collapsed="false">
      <c r="A49" s="0" t="s">
        <v>38</v>
      </c>
      <c r="B49" s="1" t="n">
        <v>43909</v>
      </c>
      <c r="C49" s="6" t="n">
        <v>238</v>
      </c>
      <c r="D49" s="6" t="n">
        <v>37</v>
      </c>
      <c r="E49" s="6"/>
      <c r="F49" s="6"/>
      <c r="G49" s="6"/>
      <c r="H49" s="6" t="n">
        <v>238</v>
      </c>
      <c r="I49" s="6" t="n">
        <v>3</v>
      </c>
      <c r="J49" s="6" t="n">
        <v>12</v>
      </c>
      <c r="K49" s="6"/>
      <c r="L49" s="6"/>
      <c r="M49" s="6"/>
    </row>
    <row r="50" customFormat="false" ht="15.75" hidden="false" customHeight="false" outlineLevel="0" collapsed="false">
      <c r="A50" s="0" t="s">
        <v>38</v>
      </c>
      <c r="B50" s="1" t="n">
        <v>43910</v>
      </c>
      <c r="C50" s="6" t="n">
        <v>342</v>
      </c>
      <c r="D50" s="6" t="n">
        <v>104</v>
      </c>
      <c r="E50" s="6"/>
      <c r="F50" s="6"/>
      <c r="G50" s="6"/>
      <c r="H50" s="6" t="n">
        <v>342</v>
      </c>
      <c r="I50" s="6" t="n">
        <v>6</v>
      </c>
      <c r="J50" s="6" t="n">
        <v>18</v>
      </c>
      <c r="K50" s="6"/>
      <c r="L50" s="6"/>
      <c r="M50" s="6"/>
    </row>
    <row r="51" customFormat="false" ht="15.75" hidden="false" customHeight="false" outlineLevel="0" collapsed="false">
      <c r="A51" s="0" t="s">
        <v>38</v>
      </c>
      <c r="B51" s="1" t="n">
        <v>43911</v>
      </c>
      <c r="C51" s="6" t="n">
        <v>434</v>
      </c>
      <c r="D51" s="6" t="n">
        <v>92</v>
      </c>
      <c r="E51" s="6"/>
      <c r="F51" s="6"/>
      <c r="G51" s="6" t="n">
        <v>6</v>
      </c>
      <c r="H51" s="6" t="n">
        <v>428</v>
      </c>
      <c r="I51" s="6" t="n">
        <v>7</v>
      </c>
      <c r="J51" s="6" t="n">
        <v>23</v>
      </c>
      <c r="K51" s="6"/>
      <c r="L51" s="6"/>
      <c r="M51" s="6"/>
    </row>
    <row r="52" customFormat="false" ht="15.75" hidden="false" customHeight="false" outlineLevel="0" collapsed="false">
      <c r="A52" s="0" t="s">
        <v>38</v>
      </c>
      <c r="B52" s="1" t="n">
        <v>43912</v>
      </c>
      <c r="C52" s="6" t="n">
        <v>537</v>
      </c>
      <c r="D52" s="6" t="n">
        <v>103</v>
      </c>
      <c r="E52" s="6" t="n">
        <v>1</v>
      </c>
      <c r="F52" s="6" t="n">
        <v>1</v>
      </c>
      <c r="G52" s="6" t="n">
        <v>8</v>
      </c>
      <c r="H52" s="6" t="n">
        <v>528</v>
      </c>
      <c r="I52" s="6" t="n">
        <v>7</v>
      </c>
      <c r="J52" s="6" t="n">
        <v>28</v>
      </c>
      <c r="K52" s="6"/>
      <c r="L52" s="6"/>
      <c r="M52" s="6"/>
    </row>
    <row r="53" customFormat="false" ht="15.75" hidden="false" customHeight="false" outlineLevel="0" collapsed="false">
      <c r="A53" s="0" t="s">
        <v>38</v>
      </c>
      <c r="B53" s="1" t="n">
        <v>43913</v>
      </c>
      <c r="C53" s="6" t="n">
        <v>632</v>
      </c>
      <c r="D53" s="6" t="n">
        <v>95</v>
      </c>
      <c r="E53" s="6" t="n">
        <v>1</v>
      </c>
      <c r="F53" s="6" t="n">
        <v>0</v>
      </c>
      <c r="G53" s="6" t="n">
        <v>8</v>
      </c>
      <c r="H53" s="6" t="n">
        <v>623</v>
      </c>
      <c r="I53" s="6" t="n">
        <v>7</v>
      </c>
      <c r="J53" s="6" t="n">
        <v>33</v>
      </c>
      <c r="K53" s="6"/>
      <c r="L53" s="6"/>
      <c r="M53" s="6"/>
    </row>
    <row r="54" customFormat="false" ht="15.75" hidden="false" customHeight="false" outlineLevel="0" collapsed="false">
      <c r="A54" s="0" t="s">
        <v>38</v>
      </c>
      <c r="B54" s="1" t="n">
        <v>43914</v>
      </c>
      <c r="C54" s="6" t="n">
        <v>746</v>
      </c>
      <c r="D54" s="6" t="n">
        <v>114</v>
      </c>
      <c r="E54" s="6" t="n">
        <v>2</v>
      </c>
      <c r="F54" s="6" t="n">
        <v>1</v>
      </c>
      <c r="G54" s="6" t="n">
        <v>11</v>
      </c>
      <c r="H54" s="6" t="n">
        <v>733</v>
      </c>
      <c r="I54" s="6" t="n">
        <v>7</v>
      </c>
      <c r="J54" s="6" t="n">
        <v>39</v>
      </c>
      <c r="K54" s="6"/>
      <c r="L54" s="6"/>
      <c r="M54" s="6"/>
    </row>
    <row r="55" customFormat="false" ht="15.75" hidden="false" customHeight="false" outlineLevel="0" collapsed="false">
      <c r="A55" s="0" t="s">
        <v>38</v>
      </c>
      <c r="B55" s="1" t="n">
        <v>43915</v>
      </c>
      <c r="C55" s="7" t="n">
        <v>922</v>
      </c>
      <c r="D55" s="7" t="n">
        <v>176</v>
      </c>
      <c r="E55" s="7" t="n">
        <v>2</v>
      </c>
      <c r="F55" s="7" t="n">
        <v>0</v>
      </c>
      <c r="G55" s="7" t="n">
        <v>17</v>
      </c>
      <c r="H55" s="7" t="n">
        <v>903</v>
      </c>
      <c r="I55" s="7" t="n">
        <v>7</v>
      </c>
      <c r="J55" s="7" t="n">
        <v>48</v>
      </c>
      <c r="K55" s="10" t="n">
        <v>0.1</v>
      </c>
      <c r="L55" s="7"/>
      <c r="M55" s="7"/>
    </row>
    <row r="56" customFormat="false" ht="15.75" hidden="false" customHeight="false" outlineLevel="0" collapsed="false">
      <c r="A56" s="0" t="s">
        <v>38</v>
      </c>
      <c r="B56" s="1" t="n">
        <v>43916</v>
      </c>
      <c r="C56" s="7" t="n">
        <v>1142</v>
      </c>
      <c r="D56" s="7" t="n">
        <v>220</v>
      </c>
      <c r="E56" s="7" t="n">
        <v>3</v>
      </c>
      <c r="F56" s="7" t="n">
        <v>1</v>
      </c>
      <c r="G56" s="7" t="n">
        <v>22</v>
      </c>
      <c r="H56" s="7" t="n">
        <v>1117</v>
      </c>
      <c r="I56" s="7" t="n">
        <v>7</v>
      </c>
      <c r="J56" s="7" t="n">
        <v>60</v>
      </c>
      <c r="K56" s="10" t="n">
        <v>0.2</v>
      </c>
      <c r="L56" s="7"/>
      <c r="M56" s="7"/>
    </row>
    <row r="57" customFormat="false" ht="15.75" hidden="false" customHeight="false" outlineLevel="0" collapsed="false">
      <c r="A57" s="0" t="s">
        <v>38</v>
      </c>
      <c r="B57" s="1" t="n">
        <v>43917</v>
      </c>
      <c r="C57" s="7" t="n">
        <v>1306</v>
      </c>
      <c r="D57" s="7" t="n">
        <v>164</v>
      </c>
      <c r="E57" s="7" t="n">
        <v>4</v>
      </c>
      <c r="F57" s="7" t="n">
        <v>1</v>
      </c>
      <c r="G57" s="7" t="n">
        <v>22</v>
      </c>
      <c r="H57" s="7" t="n">
        <v>1280</v>
      </c>
      <c r="I57" s="7" t="n">
        <v>7</v>
      </c>
      <c r="J57" s="7" t="n">
        <v>68</v>
      </c>
      <c r="K57" s="10" t="n">
        <v>0.2</v>
      </c>
      <c r="L57" s="7"/>
      <c r="M57" s="7"/>
    </row>
    <row r="58" customFormat="false" ht="15.75" hidden="false" customHeight="false" outlineLevel="0" collapsed="false">
      <c r="A58" s="0" t="s">
        <v>38</v>
      </c>
      <c r="B58" s="1" t="n">
        <v>43918</v>
      </c>
      <c r="C58" s="7" t="n">
        <v>1610</v>
      </c>
      <c r="D58" s="7" t="n">
        <v>304</v>
      </c>
      <c r="E58" s="7" t="n">
        <v>5</v>
      </c>
      <c r="F58" s="7" t="n">
        <v>1</v>
      </c>
      <c r="G58" s="7" t="n">
        <v>43</v>
      </c>
      <c r="H58" s="7" t="n">
        <v>1562</v>
      </c>
      <c r="I58" s="7" t="n">
        <v>7</v>
      </c>
      <c r="J58" s="7" t="n">
        <v>84</v>
      </c>
      <c r="K58" s="10" t="n">
        <v>0.3</v>
      </c>
      <c r="L58" s="7"/>
      <c r="M58" s="7"/>
    </row>
    <row r="59" customFormat="false" ht="15.75" hidden="false" customHeight="false" outlineLevel="0" collapsed="false">
      <c r="A59" s="0" t="s">
        <v>38</v>
      </c>
      <c r="B59" s="1" t="n">
        <v>43919</v>
      </c>
      <c r="C59" s="7" t="n">
        <v>1909</v>
      </c>
      <c r="D59" s="7" t="n">
        <v>299</v>
      </c>
      <c r="E59" s="7" t="n">
        <v>6</v>
      </c>
      <c r="F59" s="7" t="n">
        <v>1</v>
      </c>
      <c r="G59" s="7" t="n">
        <v>61</v>
      </c>
      <c r="H59" s="7" t="n">
        <v>1842</v>
      </c>
      <c r="I59" s="7" t="n">
        <v>7</v>
      </c>
      <c r="J59" s="7" t="n">
        <v>100</v>
      </c>
      <c r="K59" s="10" t="n">
        <v>0.3</v>
      </c>
      <c r="L59" s="7"/>
      <c r="M59" s="7"/>
    </row>
    <row r="60" customFormat="false" ht="15.75" hidden="false" customHeight="false" outlineLevel="0" collapsed="false">
      <c r="A60" s="0" t="s">
        <v>38</v>
      </c>
      <c r="B60" s="1" t="n">
        <v>43920</v>
      </c>
      <c r="C60" s="7" t="n">
        <v>2139</v>
      </c>
      <c r="D60" s="7" t="n">
        <v>230</v>
      </c>
      <c r="E60" s="7" t="n">
        <v>7</v>
      </c>
      <c r="F60" s="7" t="n">
        <v>1</v>
      </c>
      <c r="G60" s="7" t="n">
        <v>75</v>
      </c>
      <c r="H60" s="7" t="n">
        <v>2057</v>
      </c>
      <c r="I60" s="7" t="n">
        <v>7</v>
      </c>
      <c r="J60" s="7" t="n">
        <v>112</v>
      </c>
      <c r="K60" s="10" t="n">
        <v>0.4</v>
      </c>
      <c r="L60" s="7"/>
      <c r="M60" s="7"/>
    </row>
    <row r="61" customFormat="false" ht="15.75" hidden="false" customHeight="false" outlineLevel="0" collapsed="false">
      <c r="A61" s="0" t="s">
        <v>38</v>
      </c>
      <c r="B61" s="1" t="n">
        <v>43921</v>
      </c>
      <c r="C61" s="7" t="n">
        <v>2449</v>
      </c>
      <c r="D61" s="7" t="n">
        <v>310</v>
      </c>
      <c r="E61" s="7" t="n">
        <v>8</v>
      </c>
      <c r="F61" s="7" t="n">
        <v>1</v>
      </c>
      <c r="G61" s="7" t="n">
        <v>156</v>
      </c>
      <c r="H61" s="7" t="n">
        <v>2285</v>
      </c>
      <c r="I61" s="7" t="n">
        <v>14</v>
      </c>
      <c r="J61" s="7" t="n">
        <v>128</v>
      </c>
      <c r="K61" s="10" t="n">
        <v>0.4</v>
      </c>
      <c r="L61" s="7"/>
      <c r="M61" s="7"/>
    </row>
    <row r="62" customFormat="false" ht="15.75" hidden="false" customHeight="false" outlineLevel="0" collapsed="false">
      <c r="A62" s="0" t="s">
        <v>38</v>
      </c>
      <c r="B62" s="1" t="n">
        <v>43922</v>
      </c>
      <c r="C62" s="7" t="n">
        <v>2738</v>
      </c>
      <c r="D62" s="7" t="n">
        <v>289</v>
      </c>
      <c r="E62" s="7" t="n">
        <v>12</v>
      </c>
      <c r="F62" s="7" t="n">
        <v>4</v>
      </c>
      <c r="G62" s="7" t="n">
        <v>156</v>
      </c>
      <c r="H62" s="7" t="n">
        <v>2570</v>
      </c>
      <c r="I62" s="7" t="n">
        <v>14</v>
      </c>
      <c r="J62" s="7" t="n">
        <v>143</v>
      </c>
      <c r="K62" s="10" t="n">
        <v>0.6</v>
      </c>
      <c r="L62" s="7"/>
      <c r="M62" s="7"/>
    </row>
    <row r="63" customFormat="false" ht="15.75" hidden="false" customHeight="false" outlineLevel="0" collapsed="false">
      <c r="A63" s="0" t="s">
        <v>38</v>
      </c>
      <c r="B63" s="1" t="n">
        <v>43923</v>
      </c>
      <c r="C63" s="7" t="n">
        <v>3031</v>
      </c>
      <c r="D63" s="7" t="n">
        <v>293</v>
      </c>
      <c r="E63" s="7" t="n">
        <v>16</v>
      </c>
      <c r="F63" s="7" t="n">
        <v>4</v>
      </c>
      <c r="G63" s="7" t="n">
        <v>234</v>
      </c>
      <c r="H63" s="7" t="n">
        <v>2781</v>
      </c>
      <c r="I63" s="7" t="n">
        <v>31</v>
      </c>
      <c r="J63" s="7" t="n">
        <v>159</v>
      </c>
      <c r="K63" s="10" t="n">
        <v>0.8</v>
      </c>
      <c r="L63" s="7"/>
      <c r="M63" s="7"/>
    </row>
    <row r="64" customFormat="false" ht="15.75" hidden="false" customHeight="false" outlineLevel="0" collapsed="false">
      <c r="A64" s="0" t="s">
        <v>38</v>
      </c>
      <c r="B64" s="1" t="n">
        <v>43924</v>
      </c>
      <c r="C64" s="7" t="n">
        <v>3404</v>
      </c>
      <c r="D64" s="7" t="n">
        <v>373</v>
      </c>
      <c r="E64" s="7" t="n">
        <v>18</v>
      </c>
      <c r="F64" s="7" t="n">
        <v>2</v>
      </c>
      <c r="G64" s="7" t="n">
        <v>335</v>
      </c>
      <c r="H64" s="7" t="n">
        <v>3051</v>
      </c>
      <c r="I64" s="7" t="n">
        <v>31</v>
      </c>
      <c r="J64" s="7" t="n">
        <v>178</v>
      </c>
      <c r="K64" s="10" t="n">
        <v>0.9</v>
      </c>
      <c r="L64" s="7"/>
      <c r="M64" s="7"/>
    </row>
    <row r="65" customFormat="false" ht="15.75" hidden="false" customHeight="false" outlineLevel="0" collapsed="false">
      <c r="A65" s="0" t="s">
        <v>38</v>
      </c>
      <c r="B65" s="1" t="n">
        <v>43925</v>
      </c>
      <c r="C65" s="7" t="n">
        <v>3737</v>
      </c>
      <c r="D65" s="7" t="n">
        <v>333</v>
      </c>
      <c r="E65" s="7" t="n">
        <v>22</v>
      </c>
      <c r="F65" s="7" t="n">
        <v>4</v>
      </c>
      <c r="G65" s="7" t="n">
        <v>427</v>
      </c>
      <c r="H65" s="7" t="n">
        <v>3288</v>
      </c>
      <c r="I65" s="7" t="n">
        <v>31</v>
      </c>
      <c r="J65" s="7" t="n">
        <v>195</v>
      </c>
      <c r="K65" s="7" t="n">
        <v>1</v>
      </c>
      <c r="L65" s="7"/>
      <c r="M65" s="7"/>
    </row>
    <row r="66" customFormat="false" ht="15.75" hidden="false" customHeight="false" outlineLevel="0" collapsed="false">
      <c r="A66" s="0" t="s">
        <v>38</v>
      </c>
      <c r="B66" s="1" t="n">
        <v>43926</v>
      </c>
      <c r="C66" s="7" t="n">
        <v>4161</v>
      </c>
      <c r="D66" s="7" t="n">
        <v>424</v>
      </c>
      <c r="E66" s="7" t="n">
        <v>27</v>
      </c>
      <c r="F66" s="7" t="n">
        <v>5</v>
      </c>
      <c r="G66" s="7" t="n">
        <v>528</v>
      </c>
      <c r="H66" s="7" t="n">
        <v>3606</v>
      </c>
      <c r="I66" s="7" t="n">
        <v>38</v>
      </c>
      <c r="J66" s="7" t="n">
        <v>218</v>
      </c>
      <c r="K66" s="7" t="n">
        <v>1</v>
      </c>
      <c r="L66" s="7" t="n">
        <v>48613</v>
      </c>
      <c r="M66" s="7" t="n">
        <v>2543</v>
      </c>
    </row>
    <row r="67" customFormat="false" ht="15.75" hidden="false" customHeight="false" outlineLevel="0" collapsed="false">
      <c r="A67" s="0" t="s">
        <v>38</v>
      </c>
      <c r="B67" s="1" t="n">
        <v>43927</v>
      </c>
      <c r="C67" s="7" t="n">
        <v>4471</v>
      </c>
      <c r="D67" s="7" t="n">
        <v>310</v>
      </c>
      <c r="E67" s="7" t="n">
        <v>34</v>
      </c>
      <c r="F67" s="7" t="n">
        <v>7</v>
      </c>
      <c r="G67" s="7" t="n">
        <v>618</v>
      </c>
      <c r="H67" s="7" t="n">
        <v>3819</v>
      </c>
      <c r="I67" s="7" t="n">
        <v>307</v>
      </c>
      <c r="J67" s="7" t="n">
        <v>234</v>
      </c>
      <c r="K67" s="7" t="n">
        <v>2</v>
      </c>
      <c r="L67" s="7" t="n">
        <v>51956</v>
      </c>
      <c r="M67" s="7" t="n">
        <v>2718</v>
      </c>
    </row>
    <row r="68" customFormat="false" ht="15.75" hidden="false" customHeight="false" outlineLevel="0" collapsed="false">
      <c r="A68" s="0" t="s">
        <v>38</v>
      </c>
      <c r="B68" s="1" t="n">
        <v>43928</v>
      </c>
      <c r="C68" s="12" t="n">
        <v>4815</v>
      </c>
      <c r="D68" s="12" t="n">
        <v>344</v>
      </c>
      <c r="E68" s="12" t="n">
        <v>37</v>
      </c>
      <c r="F68" s="12" t="n">
        <v>3</v>
      </c>
      <c r="G68" s="12" t="n">
        <v>728</v>
      </c>
      <c r="H68" s="12" t="n">
        <v>4050</v>
      </c>
      <c r="I68" s="12" t="n">
        <v>327</v>
      </c>
      <c r="J68" s="12" t="n">
        <v>252</v>
      </c>
      <c r="K68" s="12" t="n">
        <v>2</v>
      </c>
      <c r="L68" s="12" t="n">
        <v>54864</v>
      </c>
      <c r="M68" s="12" t="n">
        <v>2870</v>
      </c>
    </row>
    <row r="69" customFormat="false" ht="15.75" hidden="false" customHeight="false" outlineLevel="0" collapsed="false">
      <c r="A69" s="0" t="s">
        <v>38</v>
      </c>
      <c r="B69" s="1" t="n">
        <v>43929</v>
      </c>
      <c r="C69" s="14" t="n">
        <v>5116</v>
      </c>
      <c r="D69" s="14" t="n">
        <v>301</v>
      </c>
      <c r="E69" s="14" t="n">
        <v>43</v>
      </c>
      <c r="F69" s="14" t="n">
        <v>6</v>
      </c>
      <c r="G69" s="14" t="n">
        <v>898</v>
      </c>
      <c r="H69" s="14" t="n">
        <v>4175</v>
      </c>
      <c r="I69" s="14" t="n">
        <v>337</v>
      </c>
      <c r="J69" s="14" t="n">
        <v>268</v>
      </c>
      <c r="K69" s="14" t="n">
        <v>2</v>
      </c>
      <c r="L69" s="14" t="n">
        <v>57122</v>
      </c>
      <c r="M69" s="14" t="n">
        <v>2988</v>
      </c>
    </row>
    <row r="70" customFormat="false" ht="15.75" hidden="false" customHeight="false" outlineLevel="0" collapsed="false">
      <c r="A70" s="0" t="s">
        <v>38</v>
      </c>
      <c r="B70" s="1" t="n">
        <v>43930</v>
      </c>
      <c r="C70" s="14" t="n">
        <v>5546</v>
      </c>
      <c r="D70" s="14" t="n">
        <v>430</v>
      </c>
      <c r="E70" s="14" t="n">
        <v>48</v>
      </c>
      <c r="F70" s="14" t="n">
        <v>5</v>
      </c>
      <c r="G70" s="14" t="n">
        <v>1115</v>
      </c>
      <c r="H70" s="14" t="n">
        <v>4383</v>
      </c>
      <c r="I70" s="14" t="n">
        <v>362</v>
      </c>
      <c r="J70" s="14" t="n">
        <v>290</v>
      </c>
      <c r="K70" s="14" t="n">
        <v>3</v>
      </c>
      <c r="L70" s="14" t="n">
        <v>60391</v>
      </c>
      <c r="M70" s="14" t="n">
        <v>3159</v>
      </c>
    </row>
    <row r="71" customFormat="false" ht="15.75" hidden="false" customHeight="false" outlineLevel="0" collapsed="false">
      <c r="A71" s="0" t="s">
        <v>38</v>
      </c>
      <c r="B71" s="1" t="n">
        <v>43931</v>
      </c>
      <c r="C71" s="14" t="n">
        <v>5972</v>
      </c>
      <c r="D71" s="14" t="n">
        <v>426</v>
      </c>
      <c r="E71" s="14" t="n">
        <v>57</v>
      </c>
      <c r="F71" s="14" t="n">
        <v>9</v>
      </c>
      <c r="G71" s="14" t="n">
        <v>1274</v>
      </c>
      <c r="H71" s="14" t="n">
        <v>4641</v>
      </c>
      <c r="I71" s="14" t="n">
        <v>360</v>
      </c>
      <c r="J71" s="14" t="n">
        <v>312</v>
      </c>
      <c r="K71" s="14" t="n">
        <v>3</v>
      </c>
      <c r="L71" s="14" t="n">
        <v>68353</v>
      </c>
      <c r="M71" s="14" t="n">
        <v>3576</v>
      </c>
    </row>
    <row r="72" customFormat="false" ht="15.75" hidden="false" customHeight="false" outlineLevel="0" collapsed="false">
      <c r="A72" s="0" t="s">
        <v>38</v>
      </c>
      <c r="B72" s="1" t="n">
        <v>43932</v>
      </c>
      <c r="C72" s="14" t="n">
        <v>6501</v>
      </c>
      <c r="D72" s="14" t="n">
        <v>529</v>
      </c>
      <c r="E72" s="14" t="n">
        <v>65</v>
      </c>
      <c r="F72" s="14" t="n">
        <v>8</v>
      </c>
      <c r="G72" s="14" t="n">
        <v>1571</v>
      </c>
      <c r="H72" s="14" t="n">
        <v>4865</v>
      </c>
      <c r="I72" s="14" t="n">
        <v>70</v>
      </c>
      <c r="J72" s="14" t="n">
        <v>340</v>
      </c>
      <c r="K72" s="14" t="n">
        <v>3</v>
      </c>
      <c r="L72" s="14" t="n">
        <v>72797</v>
      </c>
      <c r="M72" s="14" t="n">
        <v>3808</v>
      </c>
    </row>
    <row r="73" customFormat="false" ht="15.75" hidden="false" customHeight="false" outlineLevel="0" collapsed="false">
      <c r="A73" s="0" t="s">
        <v>38</v>
      </c>
      <c r="B73" s="1" t="n">
        <v>43933</v>
      </c>
      <c r="C73" s="14" t="n">
        <v>6927</v>
      </c>
      <c r="D73" s="14" t="n">
        <v>426</v>
      </c>
      <c r="E73" s="14" t="n">
        <v>73</v>
      </c>
      <c r="F73" s="14" t="n">
        <v>8</v>
      </c>
      <c r="G73" s="14" t="n">
        <v>1864</v>
      </c>
      <c r="H73" s="14" t="n">
        <v>4990</v>
      </c>
      <c r="I73" s="14" t="n">
        <v>383</v>
      </c>
      <c r="J73" s="14" t="n">
        <v>362</v>
      </c>
      <c r="K73" s="14" t="n">
        <v>4</v>
      </c>
      <c r="L73" s="14" t="n">
        <v>76374</v>
      </c>
      <c r="M73" s="14" t="n">
        <v>3995</v>
      </c>
    </row>
    <row r="74" customFormat="false" ht="15.75" hidden="false" customHeight="false" outlineLevel="0" collapsed="false">
      <c r="A74" s="0" t="s">
        <v>38</v>
      </c>
      <c r="B74" s="1" t="n">
        <v>43934</v>
      </c>
      <c r="C74" s="14" t="n">
        <v>7213</v>
      </c>
      <c r="D74" s="14" t="n">
        <v>286</v>
      </c>
      <c r="E74" s="14" t="n">
        <v>80</v>
      </c>
      <c r="F74" s="14" t="n">
        <v>7</v>
      </c>
      <c r="G74" s="14" t="n">
        <v>2059</v>
      </c>
      <c r="H74" s="14" t="n">
        <v>5074</v>
      </c>
      <c r="I74" s="14" t="n">
        <v>387</v>
      </c>
      <c r="J74" s="14" t="n">
        <v>377</v>
      </c>
      <c r="K74" s="14" t="n">
        <v>4</v>
      </c>
      <c r="L74" s="14" t="n">
        <v>82271</v>
      </c>
      <c r="M74" s="14" t="n">
        <v>4304</v>
      </c>
    </row>
    <row r="75" customFormat="false" ht="15.75" hidden="false" customHeight="false" outlineLevel="0" collapsed="false">
      <c r="A75" s="0" t="s">
        <v>38</v>
      </c>
      <c r="B75" s="1" t="n">
        <v>43935</v>
      </c>
      <c r="C75" s="14" t="n">
        <v>7525</v>
      </c>
      <c r="D75" s="14" t="n">
        <v>312</v>
      </c>
      <c r="E75" s="14" t="n">
        <v>82</v>
      </c>
      <c r="F75" s="14" t="n">
        <v>2</v>
      </c>
      <c r="G75" s="14" t="n">
        <v>2367</v>
      </c>
      <c r="H75" s="14" t="n">
        <v>5076</v>
      </c>
      <c r="I75" s="14" t="n">
        <v>387</v>
      </c>
      <c r="J75" s="14" t="n">
        <v>394</v>
      </c>
      <c r="K75" s="14" t="n">
        <v>4</v>
      </c>
      <c r="L75" s="14" t="n">
        <v>85035</v>
      </c>
      <c r="M75" s="14" t="n">
        <v>4448</v>
      </c>
    </row>
    <row r="76" customFormat="false" ht="15.75" hidden="false" customHeight="false" outlineLevel="0" collapsed="false">
      <c r="A76" s="0" t="s">
        <v>38</v>
      </c>
      <c r="B76" s="1" t="n">
        <v>43936</v>
      </c>
      <c r="C76" s="14" t="n">
        <v>7917</v>
      </c>
      <c r="D76" s="14" t="n">
        <v>392</v>
      </c>
      <c r="E76" s="14" t="n">
        <v>92</v>
      </c>
      <c r="F76" s="14" t="n">
        <v>10</v>
      </c>
      <c r="G76" s="14" t="n">
        <v>2646</v>
      </c>
      <c r="H76" s="14" t="n">
        <v>5179</v>
      </c>
      <c r="I76" s="14" t="n">
        <v>387</v>
      </c>
      <c r="J76" s="14" t="n">
        <v>414</v>
      </c>
      <c r="K76" s="14" t="n">
        <v>5</v>
      </c>
      <c r="L76" s="14" t="n">
        <v>87794</v>
      </c>
      <c r="M76" s="14" t="n">
        <v>4593</v>
      </c>
    </row>
    <row r="77" customFormat="false" ht="15.75" hidden="false" customHeight="false" outlineLevel="0" collapsed="false">
      <c r="A77" s="0" t="s">
        <v>38</v>
      </c>
      <c r="B77" s="1" t="n">
        <v>43937</v>
      </c>
      <c r="C77" s="14" t="n">
        <v>8273</v>
      </c>
      <c r="D77" s="14" t="n">
        <v>356</v>
      </c>
      <c r="E77" s="14" t="n">
        <v>94</v>
      </c>
      <c r="F77" s="14" t="n">
        <v>2</v>
      </c>
      <c r="G77" s="14" t="n">
        <v>2937</v>
      </c>
      <c r="H77" s="14" t="n">
        <v>5242</v>
      </c>
      <c r="I77" s="14" t="n">
        <v>389</v>
      </c>
      <c r="J77" s="14" t="n">
        <v>433</v>
      </c>
      <c r="K77" s="14" t="n">
        <v>5</v>
      </c>
      <c r="L77" s="14" t="n">
        <v>91873</v>
      </c>
      <c r="M77" s="14" t="n">
        <v>4806</v>
      </c>
    </row>
    <row r="78" customFormat="false" ht="15.75" hidden="false" customHeight="false" outlineLevel="0" collapsed="false">
      <c r="A78" s="0" t="s">
        <v>38</v>
      </c>
      <c r="B78" s="1" t="n">
        <v>43938</v>
      </c>
      <c r="C78" s="14" t="n">
        <v>8807</v>
      </c>
      <c r="D78" s="14" t="n">
        <v>534</v>
      </c>
      <c r="E78" s="14" t="n">
        <v>105</v>
      </c>
      <c r="F78" s="14" t="n">
        <v>11</v>
      </c>
      <c r="G78" s="14" t="n">
        <v>3299</v>
      </c>
      <c r="H78" s="14" t="n">
        <v>5403</v>
      </c>
      <c r="I78" s="14" t="n">
        <v>384</v>
      </c>
      <c r="J78" s="14" t="n">
        <v>461</v>
      </c>
      <c r="K78" s="14" t="n">
        <v>5</v>
      </c>
      <c r="L78" s="14" t="n">
        <v>98424</v>
      </c>
      <c r="M78" s="14" t="n">
        <v>5149</v>
      </c>
    </row>
    <row r="79" customFormat="false" ht="15.75" hidden="false" customHeight="false" outlineLevel="0" collapsed="false">
      <c r="A79" s="0" t="s">
        <v>38</v>
      </c>
      <c r="B79" s="1" t="n">
        <v>43939</v>
      </c>
      <c r="C79" s="14" t="n">
        <v>9252</v>
      </c>
      <c r="D79" s="14" t="n">
        <v>445</v>
      </c>
      <c r="E79" s="14" t="n">
        <v>116</v>
      </c>
      <c r="F79" s="14" t="n">
        <v>11</v>
      </c>
      <c r="G79" s="14" t="n">
        <v>3621</v>
      </c>
      <c r="H79" s="14" t="n">
        <v>5515</v>
      </c>
      <c r="I79" s="14" t="n">
        <v>384</v>
      </c>
      <c r="J79" s="14" t="n">
        <v>484</v>
      </c>
      <c r="K79" s="14" t="n">
        <v>6</v>
      </c>
      <c r="L79" s="14" t="n">
        <v>103873</v>
      </c>
      <c r="M79" s="14" t="n">
        <v>5434</v>
      </c>
    </row>
    <row r="80" customFormat="false" ht="15.75" hidden="false" customHeight="false" outlineLevel="0" collapsed="false">
      <c r="A80" s="0" t="s">
        <v>38</v>
      </c>
      <c r="B80" s="1" t="n">
        <v>43940</v>
      </c>
      <c r="C80" s="14" t="n">
        <v>9730</v>
      </c>
      <c r="D80" s="14" t="n">
        <v>478</v>
      </c>
      <c r="E80" s="14" t="n">
        <v>126</v>
      </c>
      <c r="F80" s="14" t="n">
        <v>10</v>
      </c>
      <c r="G80" s="14" t="n">
        <v>4035</v>
      </c>
      <c r="H80" s="14" t="n">
        <v>5569</v>
      </c>
      <c r="I80" s="14" t="n">
        <v>360</v>
      </c>
      <c r="J80" s="14" t="n">
        <v>509</v>
      </c>
      <c r="K80" s="14" t="n">
        <v>7</v>
      </c>
      <c r="L80" s="14" t="n">
        <v>108891</v>
      </c>
      <c r="M80" s="14" t="n">
        <v>5696</v>
      </c>
    </row>
    <row r="81" customFormat="false" ht="15.75" hidden="false" customHeight="false" outlineLevel="0" collapsed="false">
      <c r="A81" s="0" t="s">
        <v>38</v>
      </c>
      <c r="B81" s="1" t="n">
        <v>43941</v>
      </c>
      <c r="C81" s="14" t="n">
        <v>10088</v>
      </c>
      <c r="D81" s="14" t="n">
        <v>358</v>
      </c>
      <c r="E81" s="14" t="n">
        <v>133</v>
      </c>
      <c r="F81" s="14" t="n">
        <v>7</v>
      </c>
      <c r="G81" s="14" t="n">
        <v>4338</v>
      </c>
      <c r="H81" s="14" t="n">
        <v>5617</v>
      </c>
      <c r="I81" s="14" t="n">
        <v>360</v>
      </c>
      <c r="J81" s="14" t="n">
        <v>528</v>
      </c>
      <c r="K81" s="14" t="n">
        <v>7</v>
      </c>
      <c r="L81" s="14" t="n">
        <v>113649</v>
      </c>
      <c r="M81" s="14" t="n">
        <v>5945</v>
      </c>
    </row>
    <row r="82" customFormat="false" ht="15.75" hidden="false" customHeight="false" outlineLevel="0" collapsed="false">
      <c r="A82" s="0" t="s">
        <v>38</v>
      </c>
      <c r="B82" s="1" t="n">
        <v>43942</v>
      </c>
      <c r="C82" s="6" t="n">
        <v>10507</v>
      </c>
      <c r="D82" s="6" t="n">
        <v>419</v>
      </c>
      <c r="E82" s="6" t="n">
        <v>139</v>
      </c>
      <c r="F82" s="6" t="n">
        <v>6</v>
      </c>
      <c r="G82" s="6" t="n">
        <v>4676</v>
      </c>
      <c r="H82" s="6" t="n">
        <v>5692</v>
      </c>
      <c r="I82" s="6" t="n">
        <v>377</v>
      </c>
      <c r="J82" s="6" t="n">
        <v>550</v>
      </c>
      <c r="K82" s="6" t="n">
        <v>7</v>
      </c>
      <c r="L82" s="6" t="n">
        <v>118827</v>
      </c>
      <c r="M82" s="6" t="n">
        <v>6216</v>
      </c>
    </row>
    <row r="83" customFormat="false" ht="15.75" hidden="false" customHeight="false" outlineLevel="0" collapsed="false">
      <c r="A83" s="0" t="s">
        <v>38</v>
      </c>
      <c r="B83" s="1" t="n">
        <v>43943</v>
      </c>
      <c r="C83" s="6" t="n">
        <v>10832</v>
      </c>
      <c r="D83" s="6" t="n">
        <v>325</v>
      </c>
      <c r="E83" s="6" t="n">
        <v>147</v>
      </c>
      <c r="F83" s="6" t="n">
        <v>8</v>
      </c>
      <c r="G83" s="6" t="n">
        <v>4969</v>
      </c>
      <c r="H83" s="6" t="n">
        <v>5716</v>
      </c>
      <c r="I83" s="6" t="n">
        <v>392</v>
      </c>
      <c r="J83" s="6" t="n">
        <v>567</v>
      </c>
      <c r="K83" s="6" t="n">
        <v>8</v>
      </c>
      <c r="L83" s="6" t="n">
        <v>122357</v>
      </c>
      <c r="M83" s="6" t="n">
        <v>6401</v>
      </c>
    </row>
    <row r="84" customFormat="false" ht="15.75" hidden="false" customHeight="false" outlineLevel="0" collapsed="false">
      <c r="A84" s="0" t="s">
        <v>38</v>
      </c>
      <c r="B84" s="1" t="n">
        <v>43944</v>
      </c>
      <c r="C84" s="6" t="n">
        <v>11296</v>
      </c>
      <c r="D84" s="6" t="n">
        <v>464</v>
      </c>
      <c r="E84" s="6" t="n">
        <v>160</v>
      </c>
      <c r="F84" s="6" t="n">
        <v>13</v>
      </c>
      <c r="G84" s="6" t="n">
        <v>5386</v>
      </c>
      <c r="H84" s="6" t="n">
        <v>5750</v>
      </c>
      <c r="I84" s="6" t="n">
        <v>399</v>
      </c>
      <c r="J84" s="6" t="n">
        <v>591</v>
      </c>
      <c r="K84" s="6" t="n">
        <v>8</v>
      </c>
      <c r="L84" s="6" t="n">
        <v>128722</v>
      </c>
      <c r="M84" s="6" t="n">
        <v>6734</v>
      </c>
    </row>
    <row r="85" customFormat="false" ht="15.75" hidden="false" customHeight="false" outlineLevel="0" collapsed="false">
      <c r="A85" s="0" t="s">
        <v>38</v>
      </c>
      <c r="B85" s="1" t="n">
        <v>43945</v>
      </c>
      <c r="C85" s="6" t="n">
        <v>11812</v>
      </c>
      <c r="D85" s="6" t="n">
        <v>516</v>
      </c>
      <c r="E85" s="6" t="n">
        <v>168</v>
      </c>
      <c r="F85" s="6" t="n">
        <v>8</v>
      </c>
      <c r="G85" s="6" t="n">
        <v>5804</v>
      </c>
      <c r="H85" s="6" t="n">
        <v>5840</v>
      </c>
      <c r="I85" s="6" t="n">
        <v>411</v>
      </c>
      <c r="J85" s="6" t="n">
        <v>618</v>
      </c>
      <c r="K85" s="6" t="n">
        <v>9</v>
      </c>
      <c r="L85" s="6" t="n">
        <v>135147</v>
      </c>
      <c r="M85" s="6" t="n">
        <v>7070</v>
      </c>
    </row>
    <row r="86" customFormat="false" ht="15.75" hidden="false" customHeight="false" outlineLevel="0" collapsed="false">
      <c r="A86" s="0" t="s">
        <v>38</v>
      </c>
      <c r="B86" s="1" t="n">
        <v>43946</v>
      </c>
      <c r="C86" s="6" t="n">
        <v>12306</v>
      </c>
      <c r="D86" s="6" t="n">
        <v>494</v>
      </c>
      <c r="E86" s="6" t="n">
        <v>174</v>
      </c>
      <c r="F86" s="6" t="n">
        <v>6</v>
      </c>
      <c r="G86" s="6" t="n">
        <v>6327</v>
      </c>
      <c r="H86" s="6" t="n">
        <v>5805</v>
      </c>
      <c r="I86" s="6" t="n">
        <v>408</v>
      </c>
      <c r="J86" s="6" t="n">
        <v>644</v>
      </c>
      <c r="K86" s="6" t="n">
        <v>9</v>
      </c>
      <c r="L86" s="6" t="n">
        <v>142267</v>
      </c>
      <c r="M86" s="6" t="n">
        <v>7442</v>
      </c>
    </row>
    <row r="87" customFormat="false" ht="15.75" hidden="false" customHeight="false" outlineLevel="0" collapsed="false">
      <c r="A87" s="0" t="s">
        <v>38</v>
      </c>
      <c r="B87" s="1" t="n">
        <v>43947</v>
      </c>
      <c r="C87" s="6" t="n">
        <v>12858</v>
      </c>
      <c r="D87" s="6" t="n">
        <v>552</v>
      </c>
      <c r="E87" s="6" t="n">
        <v>181</v>
      </c>
      <c r="F87" s="6" t="n">
        <v>7</v>
      </c>
      <c r="G87" s="6" t="n">
        <v>6746</v>
      </c>
      <c r="H87" s="6" t="n">
        <v>5931</v>
      </c>
      <c r="I87" s="6" t="n">
        <v>418</v>
      </c>
      <c r="J87" s="6" t="n">
        <v>673</v>
      </c>
      <c r="K87" s="6" t="n">
        <v>9</v>
      </c>
      <c r="L87" s="6" t="n">
        <v>149212</v>
      </c>
      <c r="M87" s="6" t="n">
        <v>7806</v>
      </c>
    </row>
    <row r="88" customFormat="false" ht="15.75" hidden="false" customHeight="false" outlineLevel="0" collapsed="false">
      <c r="A88" s="0" t="s">
        <v>38</v>
      </c>
      <c r="B88" s="1" t="n">
        <v>43948</v>
      </c>
      <c r="C88" s="6" t="n">
        <v>13331</v>
      </c>
      <c r="D88" s="6" t="n">
        <v>473</v>
      </c>
      <c r="E88" s="6" t="n">
        <v>189</v>
      </c>
      <c r="F88" s="6" t="n">
        <v>8</v>
      </c>
      <c r="G88" s="6" t="n">
        <v>7024</v>
      </c>
      <c r="H88" s="6" t="n">
        <v>6118</v>
      </c>
      <c r="I88" s="6" t="n">
        <v>418</v>
      </c>
      <c r="J88" s="6" t="n">
        <v>697</v>
      </c>
      <c r="K88" s="6" t="n">
        <v>10</v>
      </c>
      <c r="L88" s="6" t="n">
        <v>155975</v>
      </c>
      <c r="M88" s="6" t="n">
        <v>8159</v>
      </c>
    </row>
    <row r="89" customFormat="false" ht="13.5" hidden="false" customHeight="false" outlineLevel="0" collapsed="false">
      <c r="A89" s="0" t="s">
        <v>38</v>
      </c>
      <c r="B89" s="1" t="n">
        <v>43949</v>
      </c>
      <c r="C89" s="2" t="n">
        <v>13813</v>
      </c>
      <c r="D89" s="2" t="n">
        <v>482</v>
      </c>
      <c r="E89" s="2" t="n">
        <v>198</v>
      </c>
      <c r="F89" s="2" t="n">
        <v>9</v>
      </c>
      <c r="G89" s="2" t="n">
        <v>7327</v>
      </c>
      <c r="H89" s="2" t="n">
        <v>6288</v>
      </c>
      <c r="I89" s="2" t="n">
        <v>426</v>
      </c>
      <c r="J89" s="2" t="n">
        <v>723</v>
      </c>
      <c r="K89" s="2" t="n">
        <v>10</v>
      </c>
      <c r="L89" s="2" t="n">
        <v>161235</v>
      </c>
      <c r="M89" s="2" t="n">
        <v>8434</v>
      </c>
    </row>
    <row r="90" customFormat="false" ht="13.5" hidden="false" customHeight="false" outlineLevel="0" collapsed="false">
      <c r="A90" s="0" t="s">
        <v>38</v>
      </c>
      <c r="B90" s="1" t="n">
        <v>43950</v>
      </c>
      <c r="C90" s="2" t="n">
        <v>14365</v>
      </c>
      <c r="D90" s="2" t="n">
        <v>552</v>
      </c>
      <c r="E90" s="2" t="n">
        <v>207</v>
      </c>
      <c r="F90" s="2" t="n">
        <v>9</v>
      </c>
      <c r="G90" s="2" t="n">
        <v>7710</v>
      </c>
      <c r="H90" s="2" t="n">
        <v>6448</v>
      </c>
      <c r="I90" s="2" t="n">
        <v>426</v>
      </c>
      <c r="J90" s="2" t="n">
        <v>751</v>
      </c>
      <c r="K90" s="2" t="n">
        <v>11</v>
      </c>
      <c r="L90" s="2" t="n">
        <v>166165</v>
      </c>
      <c r="M90" s="2" t="n">
        <v>8692</v>
      </c>
    </row>
    <row r="91" customFormat="false" ht="13.5" hidden="false" customHeight="false" outlineLevel="0" collapsed="false">
      <c r="A91" s="0" t="s">
        <v>38</v>
      </c>
      <c r="B91" s="1" t="n">
        <v>43951</v>
      </c>
      <c r="C91" s="2" t="n">
        <v>14885</v>
      </c>
      <c r="D91" s="2" t="n">
        <v>520</v>
      </c>
      <c r="E91" s="2" t="n">
        <v>216</v>
      </c>
      <c r="F91" s="2" t="n">
        <v>9</v>
      </c>
      <c r="G91" s="2" t="n">
        <v>8057</v>
      </c>
      <c r="H91" s="2" t="n">
        <v>6612</v>
      </c>
      <c r="I91" s="2" t="n">
        <v>377</v>
      </c>
      <c r="J91" s="2" t="n">
        <v>779</v>
      </c>
      <c r="K91" s="2" t="n">
        <v>11</v>
      </c>
      <c r="L91" s="2" t="n">
        <v>172619</v>
      </c>
      <c r="M91" s="2" t="n">
        <v>9030</v>
      </c>
    </row>
    <row r="92" customFormat="false" ht="14.25" hidden="false" customHeight="false" outlineLevel="0" collapsed="false">
      <c r="A92" s="0" t="s">
        <v>38</v>
      </c>
      <c r="B92" s="1" t="n">
        <v>43952</v>
      </c>
      <c r="C92" s="2" t="n">
        <v>16023</v>
      </c>
      <c r="D92" s="2" t="n">
        <v>1138</v>
      </c>
      <c r="E92" s="2" t="n">
        <v>227</v>
      </c>
      <c r="F92" s="2" t="n">
        <v>11</v>
      </c>
      <c r="G92" s="2" t="n">
        <v>8580</v>
      </c>
      <c r="H92" s="2" t="n">
        <v>7216</v>
      </c>
      <c r="I92" s="2" t="n">
        <v>392</v>
      </c>
      <c r="J92" s="2" t="n">
        <v>838</v>
      </c>
      <c r="K92" s="2" t="n">
        <v>12</v>
      </c>
      <c r="L92" s="2" t="n">
        <v>180517</v>
      </c>
      <c r="M92" s="2" t="n">
        <v>9443</v>
      </c>
    </row>
    <row r="93" customFormat="false" ht="15.75" hidden="false" customHeight="false" outlineLevel="0" collapsed="false">
      <c r="A93" s="0" t="s">
        <v>38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38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38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38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38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38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38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38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38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38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38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38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38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38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38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38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38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38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38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38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38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38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38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38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38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38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38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38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38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38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38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38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38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38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38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38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38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38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38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38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38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38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38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38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38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38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38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38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38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38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38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38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38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38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38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38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38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38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38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38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38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38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38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38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38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38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38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38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38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38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38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38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38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38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38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38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38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38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38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38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38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38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38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38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38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38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38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38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38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38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38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38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38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38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38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39</v>
      </c>
      <c r="B2" s="1" t="n">
        <v>43862</v>
      </c>
      <c r="C2" s="6" t="n">
        <v>17</v>
      </c>
      <c r="D2" s="6"/>
      <c r="E2" s="6" t="n">
        <v>0</v>
      </c>
      <c r="F2" s="6" t="n">
        <v>0</v>
      </c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39</v>
      </c>
      <c r="B3" s="1" t="n">
        <v>43863</v>
      </c>
      <c r="C3" s="6" t="n">
        <v>20</v>
      </c>
      <c r="D3" s="6" t="n">
        <v>3</v>
      </c>
      <c r="E3" s="6" t="n">
        <v>0</v>
      </c>
      <c r="F3" s="6" t="n">
        <v>0</v>
      </c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39</v>
      </c>
      <c r="B4" s="1" t="n">
        <v>43864</v>
      </c>
      <c r="C4" s="6" t="n">
        <v>20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39</v>
      </c>
      <c r="B5" s="1" t="n">
        <v>43865</v>
      </c>
      <c r="C5" s="6" t="n">
        <v>20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39</v>
      </c>
      <c r="B6" s="1" t="n">
        <v>43866</v>
      </c>
      <c r="C6" s="6" t="n">
        <v>33</v>
      </c>
      <c r="D6" s="6" t="n">
        <v>13</v>
      </c>
      <c r="E6" s="6" t="n">
        <v>0</v>
      </c>
      <c r="F6" s="6" t="n">
        <v>0</v>
      </c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39</v>
      </c>
      <c r="B7" s="1" t="n">
        <v>43867</v>
      </c>
      <c r="C7" s="6" t="n">
        <v>25</v>
      </c>
      <c r="D7" s="6" t="n">
        <v>-8</v>
      </c>
      <c r="E7" s="6" t="n">
        <v>0</v>
      </c>
      <c r="F7" s="6" t="n">
        <v>0</v>
      </c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39</v>
      </c>
      <c r="B8" s="1" t="n">
        <v>43868</v>
      </c>
      <c r="C8" s="6" t="n">
        <v>25</v>
      </c>
      <c r="D8" s="6" t="n">
        <v>0</v>
      </c>
      <c r="E8" s="6" t="n">
        <v>0</v>
      </c>
      <c r="F8" s="6" t="n">
        <v>0</v>
      </c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39</v>
      </c>
      <c r="B9" s="1" t="n">
        <v>43869</v>
      </c>
      <c r="C9" s="6" t="n">
        <v>25</v>
      </c>
      <c r="D9" s="6" t="n">
        <v>0</v>
      </c>
      <c r="E9" s="6" t="n">
        <v>0</v>
      </c>
      <c r="F9" s="6" t="n">
        <v>0</v>
      </c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39</v>
      </c>
      <c r="B10" s="1" t="n">
        <v>43870</v>
      </c>
      <c r="C10" s="6" t="n">
        <v>26</v>
      </c>
      <c r="D10" s="6" t="n">
        <v>1</v>
      </c>
      <c r="E10" s="6" t="n">
        <v>0</v>
      </c>
      <c r="F10" s="6" t="n">
        <v>0</v>
      </c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39</v>
      </c>
      <c r="B11" s="1" t="n">
        <v>43871</v>
      </c>
      <c r="C11" s="6" t="n">
        <v>26</v>
      </c>
      <c r="D11" s="6" t="n">
        <v>0</v>
      </c>
      <c r="E11" s="6" t="n">
        <v>0</v>
      </c>
      <c r="F11" s="6" t="n">
        <v>0</v>
      </c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39</v>
      </c>
      <c r="B12" s="1" t="n">
        <v>43872</v>
      </c>
      <c r="C12" s="6" t="n">
        <v>26</v>
      </c>
      <c r="D12" s="6" t="n">
        <v>0</v>
      </c>
      <c r="E12" s="6" t="n">
        <v>0</v>
      </c>
      <c r="F12" s="6" t="n">
        <v>0</v>
      </c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39</v>
      </c>
      <c r="B13" s="1" t="n">
        <v>43873</v>
      </c>
      <c r="C13" s="6" t="n">
        <v>28</v>
      </c>
      <c r="D13" s="6" t="n">
        <v>2</v>
      </c>
      <c r="E13" s="6" t="n">
        <v>0</v>
      </c>
      <c r="F13" s="6" t="n">
        <v>0</v>
      </c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39</v>
      </c>
      <c r="B14" s="1" t="n">
        <v>43874</v>
      </c>
      <c r="C14" s="6" t="n">
        <v>29</v>
      </c>
      <c r="D14" s="6" t="n">
        <v>1</v>
      </c>
      <c r="E14" s="6" t="n">
        <v>0</v>
      </c>
      <c r="F14" s="6" t="n">
        <v>0</v>
      </c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39</v>
      </c>
      <c r="B15" s="1" t="n">
        <v>43875</v>
      </c>
      <c r="C15" s="6" t="n">
        <v>33</v>
      </c>
      <c r="D15" s="6" t="n">
        <v>4</v>
      </c>
      <c r="E15" s="6" t="n">
        <v>1</v>
      </c>
      <c r="F15" s="6" t="n">
        <v>1</v>
      </c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39</v>
      </c>
      <c r="B16" s="1" t="n">
        <v>43876</v>
      </c>
      <c r="C16" s="6" t="n">
        <v>41</v>
      </c>
      <c r="D16" s="6" t="n">
        <v>8</v>
      </c>
      <c r="E16" s="6" t="n">
        <v>1</v>
      </c>
      <c r="F16" s="6" t="n">
        <v>0</v>
      </c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39</v>
      </c>
      <c r="B17" s="1" t="n">
        <v>43877</v>
      </c>
      <c r="C17" s="6" t="n">
        <v>53</v>
      </c>
      <c r="D17" s="6" t="n">
        <v>12</v>
      </c>
      <c r="E17" s="6" t="n">
        <v>1</v>
      </c>
      <c r="F17" s="6" t="n">
        <v>0</v>
      </c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39</v>
      </c>
      <c r="B18" s="1" t="n">
        <v>43878</v>
      </c>
      <c r="C18" s="6" t="n">
        <v>59</v>
      </c>
      <c r="D18" s="6" t="n">
        <v>6</v>
      </c>
      <c r="E18" s="6" t="n">
        <v>1</v>
      </c>
      <c r="F18" s="6" t="n">
        <v>0</v>
      </c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39</v>
      </c>
      <c r="B19" s="1" t="n">
        <v>43879</v>
      </c>
      <c r="C19" s="6" t="n">
        <v>65</v>
      </c>
      <c r="D19" s="6" t="n">
        <v>6</v>
      </c>
      <c r="E19" s="6" t="n">
        <v>1</v>
      </c>
      <c r="F19" s="6" t="n">
        <v>0</v>
      </c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39</v>
      </c>
      <c r="B20" s="1" t="n">
        <v>43880</v>
      </c>
      <c r="C20" s="6" t="n">
        <v>73</v>
      </c>
      <c r="D20" s="6" t="n">
        <v>8</v>
      </c>
      <c r="E20" s="6" t="n">
        <v>1</v>
      </c>
      <c r="F20" s="6" t="n">
        <v>0</v>
      </c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39</v>
      </c>
      <c r="B21" s="1" t="n">
        <v>43881</v>
      </c>
      <c r="C21" s="6" t="n">
        <v>85</v>
      </c>
      <c r="D21" s="6" t="n">
        <v>12</v>
      </c>
      <c r="E21" s="6" t="n">
        <v>1</v>
      </c>
      <c r="F21" s="6" t="n">
        <v>0</v>
      </c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39</v>
      </c>
      <c r="B22" s="1" t="n">
        <v>43882</v>
      </c>
      <c r="C22" s="6" t="n">
        <v>93</v>
      </c>
      <c r="D22" s="6" t="n">
        <v>8</v>
      </c>
      <c r="E22" s="6" t="n">
        <v>1</v>
      </c>
      <c r="F22" s="6" t="n">
        <v>0</v>
      </c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39</v>
      </c>
      <c r="B23" s="1" t="n">
        <v>43883</v>
      </c>
      <c r="C23" s="6" t="n">
        <v>105</v>
      </c>
      <c r="D23" s="6" t="n">
        <v>12</v>
      </c>
      <c r="E23" s="6" t="n">
        <v>1</v>
      </c>
      <c r="F23" s="6" t="n">
        <v>0</v>
      </c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39</v>
      </c>
      <c r="B24" s="1" t="n">
        <v>43884</v>
      </c>
      <c r="C24" s="6" t="n">
        <v>132</v>
      </c>
      <c r="D24" s="6" t="n">
        <v>27</v>
      </c>
      <c r="E24" s="6" t="n">
        <v>1</v>
      </c>
      <c r="F24" s="6" t="n">
        <v>0</v>
      </c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39</v>
      </c>
      <c r="B25" s="1" t="n">
        <v>43885</v>
      </c>
      <c r="C25" s="6" t="n">
        <v>144</v>
      </c>
      <c r="D25" s="6" t="n">
        <v>12</v>
      </c>
      <c r="E25" s="6" t="n">
        <v>1</v>
      </c>
      <c r="F25" s="6" t="n">
        <v>0</v>
      </c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39</v>
      </c>
      <c r="B26" s="1" t="n">
        <v>43886</v>
      </c>
      <c r="C26" s="6" t="n">
        <v>157</v>
      </c>
      <c r="D26" s="6" t="n">
        <v>13</v>
      </c>
      <c r="E26" s="6" t="n">
        <v>1</v>
      </c>
      <c r="F26" s="6" t="n">
        <v>0</v>
      </c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39</v>
      </c>
      <c r="B27" s="1" t="n">
        <v>43887</v>
      </c>
      <c r="C27" s="6" t="n">
        <v>164</v>
      </c>
      <c r="D27" s="6" t="n">
        <v>7</v>
      </c>
      <c r="E27" s="6" t="n">
        <v>1</v>
      </c>
      <c r="F27" s="6" t="n">
        <v>0</v>
      </c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39</v>
      </c>
      <c r="B28" s="1" t="n">
        <v>43888</v>
      </c>
      <c r="C28" s="6" t="n">
        <v>186</v>
      </c>
      <c r="D28" s="6" t="n">
        <v>22</v>
      </c>
      <c r="E28" s="6" t="n">
        <v>3</v>
      </c>
      <c r="F28" s="6" t="n">
        <v>2</v>
      </c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39</v>
      </c>
      <c r="B29" s="1" t="n">
        <v>43889</v>
      </c>
      <c r="C29" s="6" t="n">
        <v>210</v>
      </c>
      <c r="D29" s="6" t="n">
        <v>24</v>
      </c>
      <c r="E29" s="6" t="n">
        <v>4</v>
      </c>
      <c r="F29" s="6" t="n">
        <v>1</v>
      </c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39</v>
      </c>
      <c r="B30" s="1" t="n">
        <v>43890</v>
      </c>
      <c r="C30" s="6" t="n">
        <v>230</v>
      </c>
      <c r="D30" s="6" t="n">
        <v>20</v>
      </c>
      <c r="E30" s="6" t="n">
        <v>5</v>
      </c>
      <c r="F30" s="6" t="n">
        <v>1</v>
      </c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39</v>
      </c>
      <c r="B31" s="1" t="n">
        <v>43891</v>
      </c>
      <c r="C31" s="6" t="n">
        <v>239</v>
      </c>
      <c r="D31" s="6" t="n">
        <v>9</v>
      </c>
      <c r="E31" s="6" t="n">
        <v>5</v>
      </c>
      <c r="F31" s="6" t="n">
        <v>0</v>
      </c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39</v>
      </c>
      <c r="B32" s="1" t="n">
        <v>43892</v>
      </c>
      <c r="C32" s="6" t="n">
        <v>254</v>
      </c>
      <c r="D32" s="6" t="n">
        <v>15</v>
      </c>
      <c r="E32" s="6" t="n">
        <v>6</v>
      </c>
      <c r="F32" s="6" t="n">
        <v>1</v>
      </c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39</v>
      </c>
      <c r="B33" s="1" t="n">
        <v>43893</v>
      </c>
      <c r="C33" s="6" t="n">
        <v>268</v>
      </c>
      <c r="D33" s="6" t="n">
        <v>14</v>
      </c>
      <c r="E33" s="6" t="n">
        <v>6</v>
      </c>
      <c r="F33" s="6" t="n">
        <v>0</v>
      </c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39</v>
      </c>
      <c r="B34" s="1" t="n">
        <v>43894</v>
      </c>
      <c r="C34" s="6" t="n">
        <v>284</v>
      </c>
      <c r="D34" s="6" t="n">
        <v>16</v>
      </c>
      <c r="E34" s="6" t="n">
        <v>6</v>
      </c>
      <c r="F34" s="6" t="n">
        <v>0</v>
      </c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39</v>
      </c>
      <c r="B35" s="1" t="n">
        <v>43895</v>
      </c>
      <c r="C35" s="6" t="n">
        <v>317</v>
      </c>
      <c r="D35" s="6" t="n">
        <v>33</v>
      </c>
      <c r="E35" s="6" t="n">
        <v>6</v>
      </c>
      <c r="F35" s="6" t="n">
        <v>0</v>
      </c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39</v>
      </c>
      <c r="B36" s="1" t="n">
        <v>43896</v>
      </c>
      <c r="C36" s="6" t="n">
        <v>349</v>
      </c>
      <c r="D36" s="6" t="n">
        <v>32</v>
      </c>
      <c r="E36" s="6" t="n">
        <v>6</v>
      </c>
      <c r="F36" s="6" t="n">
        <v>0</v>
      </c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39</v>
      </c>
      <c r="B37" s="1" t="n">
        <v>43897</v>
      </c>
      <c r="C37" s="8" t="n">
        <v>420</v>
      </c>
      <c r="D37" s="8" t="n">
        <v>71</v>
      </c>
      <c r="E37" s="8" t="n">
        <v>6</v>
      </c>
      <c r="F37" s="8" t="n">
        <v>0</v>
      </c>
      <c r="G37" s="8" t="n">
        <v>46</v>
      </c>
      <c r="H37" s="8" t="n">
        <v>368</v>
      </c>
      <c r="I37" s="8" t="n">
        <v>34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39</v>
      </c>
      <c r="B38" s="1" t="n">
        <v>43898</v>
      </c>
      <c r="C38" s="6" t="n">
        <v>461</v>
      </c>
      <c r="D38" s="6" t="n">
        <v>41</v>
      </c>
      <c r="E38" s="6" t="n">
        <v>6</v>
      </c>
      <c r="F38" s="6" t="n">
        <v>0</v>
      </c>
      <c r="G38" s="6" t="n">
        <v>76</v>
      </c>
      <c r="H38" s="6" t="n">
        <v>379</v>
      </c>
      <c r="I38" s="6" t="n">
        <v>28</v>
      </c>
      <c r="J38" s="6" t="n">
        <v>3.6</v>
      </c>
      <c r="K38" s="6"/>
      <c r="L38" s="6"/>
      <c r="M38" s="6"/>
    </row>
    <row r="39" customFormat="false" ht="15.75" hidden="false" customHeight="false" outlineLevel="0" collapsed="false">
      <c r="A39" s="0" t="s">
        <v>39</v>
      </c>
      <c r="B39" s="1" t="n">
        <v>43899</v>
      </c>
      <c r="C39" s="6" t="n">
        <v>502</v>
      </c>
      <c r="D39" s="6" t="n">
        <v>41</v>
      </c>
      <c r="E39" s="6" t="n">
        <v>7</v>
      </c>
      <c r="F39" s="6" t="n">
        <v>1</v>
      </c>
      <c r="G39" s="6" t="n">
        <v>76</v>
      </c>
      <c r="H39" s="6" t="n">
        <v>419</v>
      </c>
      <c r="I39" s="6" t="n">
        <v>29</v>
      </c>
      <c r="J39" s="6" t="n">
        <v>4</v>
      </c>
      <c r="K39" s="6"/>
      <c r="L39" s="6"/>
      <c r="M39" s="6"/>
    </row>
    <row r="40" customFormat="false" ht="15.75" hidden="false" customHeight="false" outlineLevel="0" collapsed="false">
      <c r="A40" s="0" t="s">
        <v>39</v>
      </c>
      <c r="B40" s="1" t="n">
        <v>43900</v>
      </c>
      <c r="C40" s="6" t="n">
        <v>530</v>
      </c>
      <c r="D40" s="6" t="n">
        <v>28</v>
      </c>
      <c r="E40" s="6" t="n">
        <v>9</v>
      </c>
      <c r="F40" s="6" t="n">
        <v>2</v>
      </c>
      <c r="G40" s="6" t="n">
        <v>101</v>
      </c>
      <c r="H40" s="6" t="n">
        <v>420</v>
      </c>
      <c r="I40" s="6" t="n">
        <v>33</v>
      </c>
      <c r="J40" s="6" t="n">
        <v>4.2</v>
      </c>
      <c r="K40" s="6"/>
      <c r="L40" s="6"/>
      <c r="M40" s="6"/>
    </row>
    <row r="41" customFormat="false" ht="15.75" hidden="false" customHeight="false" outlineLevel="0" collapsed="false">
      <c r="A41" s="0" t="s">
        <v>39</v>
      </c>
      <c r="B41" s="1" t="n">
        <v>43901</v>
      </c>
      <c r="C41" s="6" t="n">
        <v>587</v>
      </c>
      <c r="D41" s="6" t="n">
        <v>57</v>
      </c>
      <c r="E41" s="6" t="n">
        <v>10</v>
      </c>
      <c r="F41" s="6" t="n">
        <v>1</v>
      </c>
      <c r="G41" s="6" t="n">
        <v>102</v>
      </c>
      <c r="H41" s="6" t="n">
        <v>475</v>
      </c>
      <c r="I41" s="6" t="n">
        <v>31</v>
      </c>
      <c r="J41" s="6" t="n">
        <v>4.6</v>
      </c>
      <c r="K41" s="6"/>
      <c r="L41" s="6"/>
      <c r="M41" s="6"/>
    </row>
    <row r="42" customFormat="false" ht="15.75" hidden="false" customHeight="false" outlineLevel="0" collapsed="false">
      <c r="A42" s="0" t="s">
        <v>39</v>
      </c>
      <c r="B42" s="1" t="n">
        <v>43902</v>
      </c>
      <c r="C42" s="6" t="n">
        <v>639</v>
      </c>
      <c r="D42" s="6" t="n">
        <v>52</v>
      </c>
      <c r="E42" s="6" t="n">
        <v>15</v>
      </c>
      <c r="F42" s="6" t="n">
        <v>5</v>
      </c>
      <c r="G42" s="6" t="n">
        <v>118</v>
      </c>
      <c r="H42" s="6" t="n">
        <v>506</v>
      </c>
      <c r="I42" s="6" t="n">
        <v>26</v>
      </c>
      <c r="J42" s="6" t="n">
        <v>5.1</v>
      </c>
      <c r="K42" s="6"/>
      <c r="L42" s="6"/>
      <c r="M42" s="6"/>
    </row>
    <row r="43" customFormat="false" ht="15.75" hidden="false" customHeight="false" outlineLevel="0" collapsed="false">
      <c r="A43" s="0" t="s">
        <v>39</v>
      </c>
      <c r="B43" s="1" t="n">
        <v>43903</v>
      </c>
      <c r="C43" s="6" t="n">
        <v>691</v>
      </c>
      <c r="D43" s="6" t="n">
        <v>52</v>
      </c>
      <c r="E43" s="6" t="n">
        <v>19</v>
      </c>
      <c r="F43" s="6" t="n">
        <v>4</v>
      </c>
      <c r="G43" s="6" t="n">
        <v>118</v>
      </c>
      <c r="H43" s="6" t="n">
        <v>554</v>
      </c>
      <c r="I43" s="6" t="n">
        <v>29</v>
      </c>
      <c r="J43" s="6" t="n">
        <v>5.5</v>
      </c>
      <c r="K43" s="6"/>
      <c r="L43" s="6"/>
      <c r="M43" s="6"/>
    </row>
    <row r="44" customFormat="false" ht="15.75" hidden="false" customHeight="false" outlineLevel="0" collapsed="false">
      <c r="A44" s="0" t="s">
        <v>39</v>
      </c>
      <c r="B44" s="1" t="n">
        <v>43904</v>
      </c>
      <c r="C44" s="6" t="n">
        <v>701</v>
      </c>
      <c r="D44" s="6" t="n">
        <v>10</v>
      </c>
      <c r="E44" s="6" t="n">
        <v>19</v>
      </c>
      <c r="F44" s="6" t="n">
        <v>0</v>
      </c>
      <c r="G44" s="6" t="n">
        <v>118</v>
      </c>
      <c r="H44" s="6" t="n">
        <v>564</v>
      </c>
      <c r="I44" s="6" t="n">
        <v>29</v>
      </c>
      <c r="J44" s="6" t="n">
        <v>5.5</v>
      </c>
      <c r="K44" s="6"/>
      <c r="L44" s="6"/>
      <c r="M44" s="6"/>
    </row>
    <row r="45" customFormat="false" ht="15.75" hidden="false" customHeight="false" outlineLevel="0" collapsed="false">
      <c r="A45" s="0" t="s">
        <v>39</v>
      </c>
      <c r="B45" s="1" t="n">
        <v>43905</v>
      </c>
      <c r="C45" s="6" t="n">
        <v>804</v>
      </c>
      <c r="D45" s="6" t="n">
        <v>103</v>
      </c>
      <c r="E45" s="6" t="n">
        <v>22</v>
      </c>
      <c r="F45" s="6" t="n">
        <v>3</v>
      </c>
      <c r="G45" s="6" t="n">
        <v>144</v>
      </c>
      <c r="H45" s="6" t="n">
        <v>638</v>
      </c>
      <c r="I45" s="6" t="n">
        <v>35</v>
      </c>
      <c r="J45" s="6" t="n">
        <v>6.4</v>
      </c>
      <c r="K45" s="6"/>
      <c r="L45" s="6"/>
      <c r="M45" s="6"/>
    </row>
    <row r="46" customFormat="false" ht="15.75" hidden="false" customHeight="false" outlineLevel="0" collapsed="false">
      <c r="A46" s="0" t="s">
        <v>39</v>
      </c>
      <c r="B46" s="1" t="n">
        <v>43906</v>
      </c>
      <c r="C46" s="6" t="n">
        <v>839</v>
      </c>
      <c r="D46" s="6" t="n">
        <v>35</v>
      </c>
      <c r="E46" s="6" t="n">
        <v>24</v>
      </c>
      <c r="F46" s="6" t="n">
        <v>2</v>
      </c>
      <c r="G46" s="6" t="n">
        <v>144</v>
      </c>
      <c r="H46" s="6" t="n">
        <v>671</v>
      </c>
      <c r="I46" s="6" t="n">
        <v>36</v>
      </c>
      <c r="J46" s="6" t="n">
        <v>6.6</v>
      </c>
      <c r="K46" s="6"/>
      <c r="L46" s="6"/>
      <c r="M46" s="6"/>
    </row>
    <row r="47" customFormat="false" ht="15.75" hidden="false" customHeight="false" outlineLevel="0" collapsed="false">
      <c r="A47" s="0" t="s">
        <v>39</v>
      </c>
      <c r="B47" s="1" t="n">
        <v>43907</v>
      </c>
      <c r="C47" s="6" t="n">
        <v>895</v>
      </c>
      <c r="D47" s="6" t="n">
        <v>56</v>
      </c>
      <c r="E47" s="6" t="n">
        <v>27</v>
      </c>
      <c r="F47" s="6" t="n">
        <v>3</v>
      </c>
      <c r="G47" s="6" t="n">
        <v>144</v>
      </c>
      <c r="H47" s="6" t="n">
        <v>724</v>
      </c>
      <c r="I47" s="6" t="n">
        <v>41</v>
      </c>
      <c r="J47" s="6" t="n">
        <v>7.1</v>
      </c>
      <c r="K47" s="6"/>
      <c r="L47" s="6"/>
      <c r="M47" s="6"/>
    </row>
    <row r="48" customFormat="false" ht="15.75" hidden="false" customHeight="false" outlineLevel="0" collapsed="false">
      <c r="A48" s="0" t="s">
        <v>39</v>
      </c>
      <c r="B48" s="1" t="n">
        <v>43908</v>
      </c>
      <c r="C48" s="6" t="n">
        <v>878</v>
      </c>
      <c r="D48" s="6" t="n">
        <v>-17</v>
      </c>
      <c r="E48" s="6" t="n">
        <v>29</v>
      </c>
      <c r="F48" s="6" t="n">
        <v>2</v>
      </c>
      <c r="G48" s="6" t="n">
        <v>144</v>
      </c>
      <c r="H48" s="6" t="n">
        <v>705</v>
      </c>
      <c r="I48" s="6" t="n">
        <v>41</v>
      </c>
      <c r="J48" s="6" t="n">
        <v>6.9</v>
      </c>
      <c r="K48" s="6"/>
      <c r="L48" s="6"/>
      <c r="M48" s="6"/>
    </row>
    <row r="49" customFormat="false" ht="15.75" hidden="false" customHeight="false" outlineLevel="0" collapsed="false">
      <c r="A49" s="0" t="s">
        <v>39</v>
      </c>
      <c r="B49" s="1" t="n">
        <v>43909</v>
      </c>
      <c r="C49" s="6" t="n">
        <v>899</v>
      </c>
      <c r="D49" s="6" t="n">
        <v>21</v>
      </c>
      <c r="E49" s="6" t="n">
        <v>29</v>
      </c>
      <c r="F49" s="6" t="n">
        <v>0</v>
      </c>
      <c r="G49" s="6" t="n">
        <v>144</v>
      </c>
      <c r="H49" s="6" t="n">
        <v>726</v>
      </c>
      <c r="I49" s="6" t="n">
        <v>41</v>
      </c>
      <c r="J49" s="6" t="n">
        <v>7</v>
      </c>
      <c r="K49" s="6"/>
      <c r="L49" s="6"/>
      <c r="M49" s="6"/>
    </row>
    <row r="50" customFormat="false" ht="15.75" hidden="false" customHeight="false" outlineLevel="0" collapsed="false">
      <c r="A50" s="0" t="s">
        <v>39</v>
      </c>
      <c r="B50" s="1" t="n">
        <v>43910</v>
      </c>
      <c r="C50" s="6" t="n">
        <v>943</v>
      </c>
      <c r="D50" s="6" t="n">
        <v>44</v>
      </c>
      <c r="E50" s="6" t="n">
        <v>33</v>
      </c>
      <c r="F50" s="6" t="n">
        <v>4</v>
      </c>
      <c r="G50" s="6" t="n">
        <v>191</v>
      </c>
      <c r="H50" s="6" t="n">
        <v>719</v>
      </c>
      <c r="I50" s="6" t="n">
        <v>46</v>
      </c>
      <c r="J50" s="6" t="n">
        <v>7</v>
      </c>
      <c r="K50" s="6"/>
      <c r="L50" s="6"/>
      <c r="M50" s="6"/>
    </row>
    <row r="51" customFormat="false" ht="15.75" hidden="false" customHeight="false" outlineLevel="0" collapsed="false">
      <c r="A51" s="0" t="s">
        <v>39</v>
      </c>
      <c r="B51" s="1" t="n">
        <v>43911</v>
      </c>
      <c r="C51" s="6" t="n">
        <v>963</v>
      </c>
      <c r="D51" s="6" t="n">
        <v>20</v>
      </c>
      <c r="E51" s="6" t="n">
        <v>35</v>
      </c>
      <c r="F51" s="6" t="n">
        <v>2</v>
      </c>
      <c r="G51" s="6" t="n">
        <v>215</v>
      </c>
      <c r="H51" s="6" t="n">
        <v>757</v>
      </c>
      <c r="I51" s="6" t="n">
        <v>50</v>
      </c>
      <c r="J51" s="6" t="n">
        <v>8</v>
      </c>
      <c r="K51" s="6"/>
      <c r="L51" s="6"/>
      <c r="M51" s="6"/>
    </row>
    <row r="52" customFormat="false" ht="15.75" hidden="false" customHeight="false" outlineLevel="0" collapsed="false">
      <c r="A52" s="0" t="s">
        <v>39</v>
      </c>
      <c r="B52" s="1" t="n">
        <v>43912</v>
      </c>
      <c r="C52" s="6" t="n">
        <v>1054</v>
      </c>
      <c r="D52" s="6" t="n">
        <v>91</v>
      </c>
      <c r="E52" s="6" t="n">
        <v>36</v>
      </c>
      <c r="F52" s="6" t="n">
        <v>1</v>
      </c>
      <c r="G52" s="6" t="n">
        <v>215</v>
      </c>
      <c r="H52" s="6" t="n">
        <v>803</v>
      </c>
      <c r="I52" s="6" t="n">
        <v>55</v>
      </c>
      <c r="J52" s="6" t="n">
        <v>8</v>
      </c>
      <c r="K52" s="6"/>
      <c r="L52" s="6"/>
      <c r="M52" s="6"/>
    </row>
    <row r="53" customFormat="false" ht="15.75" hidden="false" customHeight="false" outlineLevel="0" collapsed="false">
      <c r="A53" s="0" t="s">
        <v>39</v>
      </c>
      <c r="B53" s="1" t="n">
        <v>43913</v>
      </c>
      <c r="C53" s="6" t="n">
        <v>1086</v>
      </c>
      <c r="D53" s="6" t="n">
        <v>32</v>
      </c>
      <c r="E53" s="6" t="n">
        <v>36</v>
      </c>
      <c r="F53" s="6" t="n">
        <v>0</v>
      </c>
      <c r="G53" s="6" t="n">
        <v>235</v>
      </c>
      <c r="H53" s="6" t="n">
        <v>815</v>
      </c>
      <c r="I53" s="6" t="n">
        <v>57</v>
      </c>
      <c r="J53" s="6" t="n">
        <v>9</v>
      </c>
      <c r="K53" s="6"/>
      <c r="L53" s="6"/>
      <c r="M53" s="6"/>
    </row>
    <row r="54" customFormat="false" ht="15.75" hidden="false" customHeight="false" outlineLevel="0" collapsed="false">
      <c r="A54" s="0" t="s">
        <v>39</v>
      </c>
      <c r="B54" s="1" t="n">
        <v>43914</v>
      </c>
      <c r="C54" s="6" t="n">
        <v>1128</v>
      </c>
      <c r="D54" s="6" t="n">
        <v>42</v>
      </c>
      <c r="E54" s="6" t="n">
        <v>42</v>
      </c>
      <c r="F54" s="6" t="n">
        <v>6</v>
      </c>
      <c r="G54" s="6" t="n">
        <v>235</v>
      </c>
      <c r="H54" s="6" t="n">
        <v>851</v>
      </c>
      <c r="I54" s="6" t="n">
        <v>49</v>
      </c>
      <c r="J54" s="6" t="n">
        <v>9</v>
      </c>
      <c r="K54" s="6"/>
      <c r="L54" s="6"/>
      <c r="M54" s="6"/>
    </row>
    <row r="55" customFormat="false" ht="15.75" hidden="false" customHeight="false" outlineLevel="0" collapsed="false">
      <c r="A55" s="0" t="s">
        <v>39</v>
      </c>
      <c r="B55" s="1" t="n">
        <v>43915</v>
      </c>
      <c r="C55" s="7" t="n">
        <v>1193</v>
      </c>
      <c r="D55" s="7" t="n">
        <v>65</v>
      </c>
      <c r="E55" s="7" t="n">
        <v>43</v>
      </c>
      <c r="F55" s="7" t="n">
        <v>1</v>
      </c>
      <c r="G55" s="7" t="n">
        <v>285</v>
      </c>
      <c r="H55" s="7" t="n">
        <v>865</v>
      </c>
      <c r="I55" s="7" t="n">
        <v>54</v>
      </c>
      <c r="J55" s="7" t="n">
        <v>9</v>
      </c>
      <c r="K55" s="10" t="n">
        <v>0.3</v>
      </c>
      <c r="L55" s="7"/>
      <c r="M55" s="7"/>
    </row>
    <row r="56" customFormat="false" ht="15.75" hidden="false" customHeight="false" outlineLevel="0" collapsed="false">
      <c r="A56" s="0" t="s">
        <v>39</v>
      </c>
      <c r="B56" s="1" t="n">
        <v>43916</v>
      </c>
      <c r="C56" s="7" t="n">
        <v>1307</v>
      </c>
      <c r="D56" s="7" t="n">
        <v>114</v>
      </c>
      <c r="E56" s="7" t="n">
        <v>45</v>
      </c>
      <c r="F56" s="7" t="n">
        <v>2</v>
      </c>
      <c r="G56" s="7" t="n">
        <v>310</v>
      </c>
      <c r="H56" s="7" t="n">
        <v>952</v>
      </c>
      <c r="I56" s="7" t="n">
        <v>57</v>
      </c>
      <c r="J56" s="7" t="n">
        <v>10</v>
      </c>
      <c r="K56" s="10" t="n">
        <v>0.4</v>
      </c>
      <c r="L56" s="7"/>
      <c r="M56" s="7"/>
    </row>
    <row r="57" customFormat="false" ht="15.75" hidden="false" customHeight="false" outlineLevel="0" collapsed="false">
      <c r="A57" s="0" t="s">
        <v>39</v>
      </c>
      <c r="B57" s="1" t="n">
        <v>43917</v>
      </c>
      <c r="C57" s="7" t="n">
        <v>1399</v>
      </c>
      <c r="D57" s="7" t="n">
        <v>92</v>
      </c>
      <c r="E57" s="7" t="n">
        <v>47</v>
      </c>
      <c r="F57" s="7" t="n">
        <v>2</v>
      </c>
      <c r="G57" s="7" t="n">
        <v>359</v>
      </c>
      <c r="H57" s="7" t="n">
        <v>993</v>
      </c>
      <c r="I57" s="7" t="n">
        <v>57</v>
      </c>
      <c r="J57" s="7" t="n">
        <v>11</v>
      </c>
      <c r="K57" s="10" t="n">
        <v>0.4</v>
      </c>
      <c r="L57" s="7"/>
      <c r="M57" s="7"/>
    </row>
    <row r="58" customFormat="false" ht="15.75" hidden="false" customHeight="false" outlineLevel="0" collapsed="false">
      <c r="A58" s="0" t="s">
        <v>39</v>
      </c>
      <c r="B58" s="1" t="n">
        <v>43918</v>
      </c>
      <c r="C58" s="7" t="n">
        <v>1468</v>
      </c>
      <c r="D58" s="7" t="n">
        <v>69</v>
      </c>
      <c r="E58" s="7" t="n">
        <v>49</v>
      </c>
      <c r="F58" s="7" t="n">
        <v>2</v>
      </c>
      <c r="G58" s="7" t="n">
        <v>372</v>
      </c>
      <c r="H58" s="7" t="n">
        <v>1047</v>
      </c>
      <c r="I58" s="7" t="n">
        <v>56</v>
      </c>
      <c r="J58" s="7" t="n">
        <v>12</v>
      </c>
      <c r="K58" s="10" t="n">
        <v>0.4</v>
      </c>
      <c r="L58" s="7"/>
      <c r="M58" s="7"/>
    </row>
    <row r="59" customFormat="false" ht="15.75" hidden="false" customHeight="false" outlineLevel="0" collapsed="false">
      <c r="A59" s="0" t="s">
        <v>39</v>
      </c>
      <c r="B59" s="1" t="n">
        <v>43919</v>
      </c>
      <c r="C59" s="7" t="n">
        <v>1693</v>
      </c>
      <c r="D59" s="7" t="n">
        <v>225</v>
      </c>
      <c r="E59" s="7" t="n">
        <v>52</v>
      </c>
      <c r="F59" s="7" t="n">
        <v>3</v>
      </c>
      <c r="G59" s="7" t="n">
        <v>404</v>
      </c>
      <c r="H59" s="7" t="n">
        <v>1237</v>
      </c>
      <c r="I59" s="7" t="n">
        <v>56</v>
      </c>
      <c r="J59" s="7" t="n">
        <v>13</v>
      </c>
      <c r="K59" s="10" t="n">
        <v>0.4</v>
      </c>
      <c r="L59" s="7"/>
      <c r="M59" s="7"/>
    </row>
    <row r="60" customFormat="false" ht="15.75" hidden="false" customHeight="false" outlineLevel="0" collapsed="false">
      <c r="A60" s="0" t="s">
        <v>39</v>
      </c>
      <c r="B60" s="1" t="n">
        <v>43920</v>
      </c>
      <c r="C60" s="7" t="n">
        <v>1866</v>
      </c>
      <c r="D60" s="7" t="n">
        <v>173</v>
      </c>
      <c r="E60" s="7" t="n">
        <v>54</v>
      </c>
      <c r="F60" s="7" t="n">
        <v>2</v>
      </c>
      <c r="G60" s="7" t="n">
        <v>424</v>
      </c>
      <c r="H60" s="7" t="n">
        <v>1388</v>
      </c>
      <c r="I60" s="7" t="n">
        <v>56</v>
      </c>
      <c r="J60" s="7" t="n">
        <v>15</v>
      </c>
      <c r="K60" s="10" t="n">
        <v>0.4</v>
      </c>
      <c r="L60" s="7"/>
      <c r="M60" s="7"/>
    </row>
    <row r="61" customFormat="false" ht="15.75" hidden="false" customHeight="false" outlineLevel="0" collapsed="false">
      <c r="A61" s="0" t="s">
        <v>39</v>
      </c>
      <c r="B61" s="1" t="n">
        <v>43921</v>
      </c>
      <c r="C61" s="7" t="n">
        <v>1866</v>
      </c>
      <c r="D61" s="7" t="n">
        <v>0</v>
      </c>
      <c r="E61" s="7" t="n">
        <v>54</v>
      </c>
      <c r="F61" s="7" t="n">
        <v>0</v>
      </c>
      <c r="G61" s="7" t="n">
        <v>424</v>
      </c>
      <c r="H61" s="7" t="n">
        <v>1388</v>
      </c>
      <c r="I61" s="7" t="n">
        <v>56</v>
      </c>
      <c r="J61" s="7" t="n">
        <v>15</v>
      </c>
      <c r="K61" s="10" t="n">
        <v>0.4</v>
      </c>
      <c r="L61" s="7"/>
      <c r="M61" s="7"/>
    </row>
    <row r="62" customFormat="false" ht="15.75" hidden="false" customHeight="false" outlineLevel="0" collapsed="false">
      <c r="A62" s="0" t="s">
        <v>39</v>
      </c>
      <c r="B62" s="1" t="n">
        <v>43922</v>
      </c>
      <c r="C62" s="7" t="n">
        <v>1953</v>
      </c>
      <c r="D62" s="7" t="n">
        <v>87</v>
      </c>
      <c r="E62" s="7" t="n">
        <v>56</v>
      </c>
      <c r="F62" s="7" t="n">
        <v>2</v>
      </c>
      <c r="G62" s="7" t="n">
        <v>424</v>
      </c>
      <c r="H62" s="7" t="n">
        <v>1473</v>
      </c>
      <c r="I62" s="7" t="n">
        <v>56</v>
      </c>
      <c r="J62" s="7" t="n">
        <v>15</v>
      </c>
      <c r="K62" s="10" t="n">
        <v>0.4</v>
      </c>
      <c r="L62" s="7"/>
      <c r="M62" s="7"/>
    </row>
    <row r="63" customFormat="false" ht="15.75" hidden="false" customHeight="false" outlineLevel="0" collapsed="false">
      <c r="A63" s="0" t="s">
        <v>39</v>
      </c>
      <c r="B63" s="1" t="n">
        <v>43923</v>
      </c>
      <c r="C63" s="7" t="n">
        <v>2178</v>
      </c>
      <c r="D63" s="7" t="n">
        <v>225</v>
      </c>
      <c r="E63" s="7" t="n">
        <v>57</v>
      </c>
      <c r="F63" s="7" t="n">
        <v>1</v>
      </c>
      <c r="G63" s="7" t="n">
        <v>472</v>
      </c>
      <c r="H63" s="7" t="n">
        <v>1649</v>
      </c>
      <c r="I63" s="7" t="n">
        <v>69</v>
      </c>
      <c r="J63" s="7" t="n">
        <v>17</v>
      </c>
      <c r="K63" s="10" t="n">
        <v>0.5</v>
      </c>
      <c r="L63" s="7"/>
      <c r="M63" s="7"/>
    </row>
    <row r="64" customFormat="false" ht="15.75" hidden="false" customHeight="false" outlineLevel="0" collapsed="false">
      <c r="A64" s="0" t="s">
        <v>39</v>
      </c>
      <c r="B64" s="1" t="n">
        <v>43924</v>
      </c>
      <c r="C64" s="7" t="n">
        <v>2384</v>
      </c>
      <c r="D64" s="7" t="n">
        <v>206</v>
      </c>
      <c r="E64" s="7" t="n">
        <v>57</v>
      </c>
      <c r="F64" s="7" t="n">
        <v>0</v>
      </c>
      <c r="G64" s="7" t="n">
        <v>472</v>
      </c>
      <c r="H64" s="7" t="n">
        <v>1855</v>
      </c>
      <c r="I64" s="7" t="n">
        <v>69</v>
      </c>
      <c r="J64" s="7" t="n">
        <v>19</v>
      </c>
      <c r="K64" s="10" t="n">
        <v>0.5</v>
      </c>
      <c r="L64" s="7"/>
      <c r="M64" s="7"/>
    </row>
    <row r="65" customFormat="false" ht="15.75" hidden="false" customHeight="false" outlineLevel="0" collapsed="false">
      <c r="A65" s="0" t="s">
        <v>39</v>
      </c>
      <c r="B65" s="1" t="n">
        <v>43925</v>
      </c>
      <c r="C65" s="7" t="n">
        <v>2617</v>
      </c>
      <c r="D65" s="7" t="n">
        <v>233</v>
      </c>
      <c r="E65" s="7" t="n">
        <v>63</v>
      </c>
      <c r="F65" s="7" t="n">
        <v>6</v>
      </c>
      <c r="G65" s="7" t="n">
        <v>514</v>
      </c>
      <c r="H65" s="7" t="n">
        <v>2040</v>
      </c>
      <c r="I65" s="7" t="n">
        <v>60</v>
      </c>
      <c r="J65" s="7" t="n">
        <v>21</v>
      </c>
      <c r="K65" s="10" t="n">
        <v>0.5</v>
      </c>
      <c r="L65" s="7"/>
      <c r="M65" s="7"/>
    </row>
    <row r="66" customFormat="false" ht="15.75" hidden="false" customHeight="false" outlineLevel="0" collapsed="false">
      <c r="A66" s="0" t="s">
        <v>39</v>
      </c>
      <c r="B66" s="1" t="n">
        <v>43926</v>
      </c>
      <c r="C66" s="7" t="n">
        <v>2935</v>
      </c>
      <c r="D66" s="7" t="n">
        <v>318</v>
      </c>
      <c r="E66" s="7" t="n">
        <v>69</v>
      </c>
      <c r="F66" s="7" t="n">
        <v>6</v>
      </c>
      <c r="G66" s="7" t="n">
        <v>514</v>
      </c>
      <c r="H66" s="7" t="n">
        <v>2352</v>
      </c>
      <c r="I66" s="7" t="n">
        <v>60</v>
      </c>
      <c r="J66" s="7" t="n">
        <v>23</v>
      </c>
      <c r="K66" s="10" t="n">
        <v>0.5</v>
      </c>
      <c r="L66" s="7" t="n">
        <v>39446</v>
      </c>
      <c r="M66" s="7" t="n">
        <v>312</v>
      </c>
    </row>
    <row r="67" customFormat="false" ht="15.75" hidden="false" customHeight="false" outlineLevel="0" collapsed="false">
      <c r="A67" s="0" t="s">
        <v>39</v>
      </c>
      <c r="B67" s="1" t="n">
        <v>43927</v>
      </c>
      <c r="C67" s="7" t="n">
        <v>3139</v>
      </c>
      <c r="D67" s="7" t="n">
        <v>204</v>
      </c>
      <c r="E67" s="7" t="n">
        <v>77</v>
      </c>
      <c r="F67" s="7" t="n">
        <v>8</v>
      </c>
      <c r="G67" s="7" t="n">
        <v>514</v>
      </c>
      <c r="H67" s="7" t="n">
        <v>2548</v>
      </c>
      <c r="I67" s="7" t="n">
        <v>64</v>
      </c>
      <c r="J67" s="7" t="n">
        <v>25</v>
      </c>
      <c r="K67" s="10" t="n">
        <v>0.6</v>
      </c>
      <c r="L67" s="7" t="n">
        <v>44639</v>
      </c>
      <c r="M67" s="7" t="n">
        <v>353</v>
      </c>
    </row>
    <row r="68" customFormat="false" ht="15.75" hidden="false" customHeight="false" outlineLevel="0" collapsed="false">
      <c r="A68" s="0" t="s">
        <v>39</v>
      </c>
      <c r="B68" s="1" t="n">
        <v>43928</v>
      </c>
      <c r="C68" s="12" t="n">
        <v>3654</v>
      </c>
      <c r="D68" s="12" t="n">
        <v>515</v>
      </c>
      <c r="E68" s="12" t="n">
        <v>85</v>
      </c>
      <c r="F68" s="12" t="n">
        <v>8</v>
      </c>
      <c r="G68" s="12" t="n">
        <v>575</v>
      </c>
      <c r="H68" s="12" t="n">
        <v>2994</v>
      </c>
      <c r="I68" s="12" t="n">
        <v>69</v>
      </c>
      <c r="J68" s="12" t="n">
        <v>29</v>
      </c>
      <c r="K68" s="24" t="n">
        <v>0.7</v>
      </c>
      <c r="L68" s="12" t="n">
        <v>46172</v>
      </c>
      <c r="M68" s="12" t="n">
        <v>365</v>
      </c>
    </row>
    <row r="69" customFormat="false" ht="15.75" hidden="false" customHeight="false" outlineLevel="0" collapsed="false">
      <c r="A69" s="0" t="s">
        <v>39</v>
      </c>
      <c r="B69" s="1" t="n">
        <v>43929</v>
      </c>
      <c r="C69" s="14" t="n">
        <v>3906</v>
      </c>
      <c r="D69" s="14" t="n">
        <v>252</v>
      </c>
      <c r="E69" s="14" t="n">
        <v>92</v>
      </c>
      <c r="F69" s="14" t="n">
        <v>7</v>
      </c>
      <c r="G69" s="14" t="n">
        <v>592</v>
      </c>
      <c r="H69" s="14" t="n">
        <v>3222</v>
      </c>
      <c r="I69" s="14" t="n">
        <v>79</v>
      </c>
      <c r="J69" s="14" t="n">
        <v>31</v>
      </c>
      <c r="K69" s="14" t="n">
        <v>0.7</v>
      </c>
      <c r="L69" s="14" t="n">
        <v>55311</v>
      </c>
      <c r="M69" s="14" t="n">
        <v>437</v>
      </c>
    </row>
    <row r="70" customFormat="false" ht="15.75" hidden="false" customHeight="false" outlineLevel="0" collapsed="false">
      <c r="A70" s="0" t="s">
        <v>39</v>
      </c>
      <c r="B70" s="1" t="n">
        <v>43930</v>
      </c>
      <c r="C70" s="14" t="n">
        <v>4257</v>
      </c>
      <c r="D70" s="14" t="n">
        <v>351</v>
      </c>
      <c r="E70" s="14" t="n">
        <v>93</v>
      </c>
      <c r="F70" s="14" t="n">
        <v>1</v>
      </c>
      <c r="G70" s="14" t="n">
        <v>622</v>
      </c>
      <c r="H70" s="14" t="n">
        <f aca="false">C70-E70-G70</f>
        <v>3542</v>
      </c>
      <c r="I70" s="14" t="n">
        <v>80</v>
      </c>
      <c r="J70" s="14" t="n">
        <v>34</v>
      </c>
      <c r="K70" s="14" t="n">
        <v>0.7</v>
      </c>
      <c r="L70" s="14" t="n">
        <v>55311</v>
      </c>
      <c r="M70" s="14" t="n">
        <v>437</v>
      </c>
    </row>
    <row r="71" customFormat="false" ht="15.75" hidden="false" customHeight="false" outlineLevel="0" collapsed="false">
      <c r="A71" s="0" t="s">
        <v>39</v>
      </c>
      <c r="B71" s="1" t="n">
        <v>43931</v>
      </c>
      <c r="C71" s="14" t="n">
        <v>4667</v>
      </c>
      <c r="D71" s="14" t="n">
        <v>410</v>
      </c>
      <c r="E71" s="14" t="n">
        <v>94</v>
      </c>
      <c r="F71" s="14" t="n">
        <v>1</v>
      </c>
      <c r="G71" s="14" t="n">
        <v>632</v>
      </c>
      <c r="H71" s="14" t="n">
        <f aca="false">C71-E71-G71</f>
        <v>3941</v>
      </c>
      <c r="I71" s="14" t="n">
        <v>99</v>
      </c>
      <c r="J71" s="14" t="n">
        <v>37</v>
      </c>
      <c r="K71" s="14" t="n">
        <v>0.7</v>
      </c>
      <c r="L71" s="14" t="n">
        <v>61498</v>
      </c>
      <c r="M71" s="14" t="n">
        <v>486</v>
      </c>
    </row>
    <row r="72" customFormat="false" ht="15.75" hidden="false" customHeight="false" outlineLevel="0" collapsed="false">
      <c r="A72" s="0" t="s">
        <v>39</v>
      </c>
      <c r="B72" s="1" t="n">
        <v>43932</v>
      </c>
      <c r="C72" s="14" t="n">
        <v>5530</v>
      </c>
      <c r="D72" s="14" t="n">
        <v>863</v>
      </c>
      <c r="E72" s="14" t="n">
        <v>99</v>
      </c>
      <c r="F72" s="14" t="n">
        <v>5</v>
      </c>
      <c r="G72" s="14" t="n">
        <v>685</v>
      </c>
      <c r="H72" s="14" t="n">
        <f aca="false">C72-E72-G72</f>
        <v>4746</v>
      </c>
      <c r="I72" s="14" t="n">
        <v>109</v>
      </c>
      <c r="J72" s="14" t="n">
        <v>44</v>
      </c>
      <c r="K72" s="14" t="n">
        <v>0.8</v>
      </c>
      <c r="L72" s="14" t="n">
        <v>64387</v>
      </c>
      <c r="M72" s="14" t="n">
        <v>509</v>
      </c>
    </row>
    <row r="73" customFormat="false" ht="15.75" hidden="false" customHeight="false" outlineLevel="0" collapsed="false">
      <c r="A73" s="0" t="s">
        <v>39</v>
      </c>
      <c r="B73" s="1" t="n">
        <v>43933</v>
      </c>
      <c r="C73" s="14" t="n">
        <v>6005</v>
      </c>
      <c r="D73" s="14" t="n">
        <v>475</v>
      </c>
      <c r="E73" s="14" t="n">
        <v>99</v>
      </c>
      <c r="F73" s="14" t="n">
        <v>0</v>
      </c>
      <c r="G73" s="14" t="n">
        <v>762</v>
      </c>
      <c r="H73" s="14" t="n">
        <f aca="false">C73-E73-G73</f>
        <v>5144</v>
      </c>
      <c r="I73" s="14" t="n">
        <v>109</v>
      </c>
      <c r="J73" s="14" t="n">
        <v>47</v>
      </c>
      <c r="K73" s="14" t="n">
        <v>0.8</v>
      </c>
      <c r="L73" s="14" t="n">
        <v>64387</v>
      </c>
      <c r="M73" s="14" t="n">
        <v>509</v>
      </c>
    </row>
    <row r="74" customFormat="false" ht="15.75" hidden="false" customHeight="false" outlineLevel="0" collapsed="false">
      <c r="A74" s="0" t="s">
        <v>39</v>
      </c>
      <c r="B74" s="1" t="n">
        <v>43934</v>
      </c>
      <c r="C74" s="14" t="n">
        <v>6748</v>
      </c>
      <c r="D74" s="14" t="n">
        <v>743</v>
      </c>
      <c r="E74" s="14" t="n">
        <v>108</v>
      </c>
      <c r="F74" s="14" t="n">
        <v>9</v>
      </c>
      <c r="G74" s="14" t="n">
        <v>762</v>
      </c>
      <c r="H74" s="14" t="n">
        <f aca="false">C74-E74-G74</f>
        <v>5878</v>
      </c>
      <c r="I74" s="14" t="n">
        <v>117</v>
      </c>
      <c r="J74" s="14" t="n">
        <v>53</v>
      </c>
      <c r="K74" s="14" t="n">
        <v>0.9</v>
      </c>
      <c r="L74" s="14" t="n">
        <v>68771</v>
      </c>
      <c r="M74" s="14" t="n">
        <v>544</v>
      </c>
    </row>
    <row r="75" customFormat="false" ht="15.75" hidden="false" customHeight="false" outlineLevel="0" collapsed="false">
      <c r="A75" s="0" t="s">
        <v>39</v>
      </c>
      <c r="B75" s="1" t="n">
        <v>43935</v>
      </c>
      <c r="C75" s="14" t="n">
        <v>7370</v>
      </c>
      <c r="D75" s="14" t="n">
        <v>622</v>
      </c>
      <c r="E75" s="14" t="n">
        <v>123</v>
      </c>
      <c r="F75" s="14" t="n">
        <v>15</v>
      </c>
      <c r="G75" s="14" t="n">
        <v>784</v>
      </c>
      <c r="H75" s="14" t="n">
        <f aca="false">C75-E75-G75</f>
        <v>6463</v>
      </c>
      <c r="I75" s="14" t="n">
        <v>129</v>
      </c>
      <c r="J75" s="14" t="n">
        <v>58</v>
      </c>
      <c r="K75" s="14" t="n">
        <v>1</v>
      </c>
      <c r="L75" s="14" t="n">
        <v>77381</v>
      </c>
      <c r="M75" s="14" t="n">
        <v>612</v>
      </c>
    </row>
    <row r="76" customFormat="false" ht="15.75" hidden="false" customHeight="false" outlineLevel="0" collapsed="false">
      <c r="A76" s="0" t="s">
        <v>39</v>
      </c>
      <c r="B76" s="1" t="n">
        <v>43936</v>
      </c>
      <c r="C76" s="14" t="n">
        <v>7645</v>
      </c>
      <c r="D76" s="14" t="n">
        <v>275</v>
      </c>
      <c r="E76" s="14" t="n">
        <v>143</v>
      </c>
      <c r="F76" s="14" t="n">
        <v>20</v>
      </c>
      <c r="G76" s="14" t="n">
        <v>799</v>
      </c>
      <c r="H76" s="14" t="n">
        <f aca="false">C76-E76-G76</f>
        <v>6703</v>
      </c>
      <c r="I76" s="14" t="n">
        <v>135</v>
      </c>
      <c r="J76" s="14" t="n">
        <v>60</v>
      </c>
      <c r="K76" s="14" t="n">
        <v>1</v>
      </c>
      <c r="L76" s="14" t="n">
        <v>78702</v>
      </c>
      <c r="M76" s="14" t="n">
        <v>622</v>
      </c>
    </row>
    <row r="77" customFormat="false" ht="15.75" hidden="false" customHeight="false" outlineLevel="0" collapsed="false">
      <c r="A77" s="0" t="s">
        <v>39</v>
      </c>
      <c r="B77" s="1" t="n">
        <v>43937</v>
      </c>
      <c r="C77" s="14" t="n">
        <v>8100</v>
      </c>
      <c r="D77" s="14" t="n">
        <v>455</v>
      </c>
      <c r="E77" s="14" t="n">
        <v>146</v>
      </c>
      <c r="F77" s="14" t="n">
        <v>3</v>
      </c>
      <c r="G77" s="14" t="n">
        <v>853</v>
      </c>
      <c r="H77" s="14" t="n">
        <f aca="false">C77-E77-G77</f>
        <v>7101</v>
      </c>
      <c r="I77" s="14" t="n">
        <v>152</v>
      </c>
      <c r="J77" s="14" t="n">
        <v>64</v>
      </c>
      <c r="K77" s="14" t="n">
        <v>1</v>
      </c>
      <c r="L77" s="14" t="n">
        <v>89551</v>
      </c>
      <c r="M77" s="14" t="n">
        <v>708</v>
      </c>
    </row>
    <row r="78" customFormat="false" ht="15.75" hidden="false" customHeight="false" outlineLevel="0" collapsed="false">
      <c r="A78" s="0" t="s">
        <v>39</v>
      </c>
      <c r="B78" s="1" t="n">
        <v>43938</v>
      </c>
      <c r="C78" s="14" t="n">
        <v>8626</v>
      </c>
      <c r="D78" s="14" t="n">
        <v>526</v>
      </c>
      <c r="E78" s="14" t="n">
        <v>178</v>
      </c>
      <c r="F78" s="14" t="n">
        <v>32</v>
      </c>
      <c r="G78" s="14" t="n">
        <v>901</v>
      </c>
      <c r="H78" s="14" t="n">
        <f aca="false">C78-E78-G78</f>
        <v>7547</v>
      </c>
      <c r="I78" s="14" t="n">
        <v>168</v>
      </c>
      <c r="J78" s="14" t="n">
        <v>68</v>
      </c>
      <c r="K78" s="14" t="n">
        <v>1</v>
      </c>
      <c r="L78" s="14" t="n">
        <v>94236</v>
      </c>
      <c r="M78" s="14" t="n">
        <v>745</v>
      </c>
    </row>
    <row r="79" customFormat="false" ht="15.75" hidden="false" customHeight="false" outlineLevel="0" collapsed="false">
      <c r="A79" s="0" t="s">
        <v>39</v>
      </c>
      <c r="B79" s="1" t="n">
        <v>43939</v>
      </c>
      <c r="C79" s="14" t="n">
        <v>9167</v>
      </c>
      <c r="D79" s="14" t="n">
        <v>541</v>
      </c>
      <c r="E79" s="14" t="n">
        <v>190</v>
      </c>
      <c r="F79" s="14" t="n">
        <v>12</v>
      </c>
      <c r="G79" s="14" t="n">
        <v>935</v>
      </c>
      <c r="H79" s="14" t="n">
        <f aca="false">C79-E79-G79</f>
        <v>8042</v>
      </c>
      <c r="I79" s="14" t="n">
        <v>193</v>
      </c>
      <c r="J79" s="14" t="n">
        <v>77</v>
      </c>
      <c r="K79" s="14" t="n">
        <v>2</v>
      </c>
      <c r="L79" s="14" t="n">
        <v>100703</v>
      </c>
      <c r="M79" s="14" t="n">
        <v>796</v>
      </c>
    </row>
    <row r="80" customFormat="false" ht="15.75" hidden="false" customHeight="false" outlineLevel="0" collapsed="false">
      <c r="A80" s="0" t="s">
        <v>39</v>
      </c>
      <c r="B80" s="1" t="n">
        <v>43940</v>
      </c>
      <c r="C80" s="14" t="n">
        <v>9795</v>
      </c>
      <c r="D80" s="14" t="n">
        <v>628</v>
      </c>
      <c r="E80" s="14" t="n">
        <v>222</v>
      </c>
      <c r="F80" s="14" t="n">
        <v>32</v>
      </c>
      <c r="G80" s="14" t="n">
        <v>1069</v>
      </c>
      <c r="H80" s="14" t="n">
        <f aca="false">C80-E80-G80</f>
        <v>8504</v>
      </c>
      <c r="I80" s="14" t="n">
        <v>221</v>
      </c>
      <c r="J80" s="14" t="n">
        <v>81</v>
      </c>
      <c r="K80" s="14" t="n">
        <v>2</v>
      </c>
      <c r="L80" s="14" t="n">
        <v>111325</v>
      </c>
      <c r="M80" s="14" t="n">
        <v>880</v>
      </c>
    </row>
    <row r="81" customFormat="false" ht="15.75" hidden="false" customHeight="false" outlineLevel="0" collapsed="false">
      <c r="A81" s="0" t="s">
        <v>39</v>
      </c>
      <c r="B81" s="1" t="n">
        <v>43941</v>
      </c>
      <c r="C81" s="14" t="n">
        <v>10219</v>
      </c>
      <c r="D81" s="14" t="n">
        <v>424</v>
      </c>
      <c r="E81" s="14" t="n">
        <v>236</v>
      </c>
      <c r="F81" s="14" t="n">
        <v>14</v>
      </c>
      <c r="G81" s="14" t="n">
        <v>1159</v>
      </c>
      <c r="H81" s="14" t="n">
        <f aca="false">C81-E81-G81</f>
        <v>8824</v>
      </c>
      <c r="I81" s="14" t="n">
        <v>217</v>
      </c>
      <c r="J81" s="14" t="n">
        <v>85</v>
      </c>
      <c r="K81" s="14" t="n">
        <v>2</v>
      </c>
      <c r="L81" s="14" t="n">
        <v>112816</v>
      </c>
      <c r="M81" s="14" t="n">
        <v>892</v>
      </c>
    </row>
    <row r="82" customFormat="false" ht="15.75" hidden="false" customHeight="false" outlineLevel="0" collapsed="false">
      <c r="A82" s="0" t="s">
        <v>39</v>
      </c>
      <c r="B82" s="1" t="n">
        <v>43942</v>
      </c>
      <c r="C82" s="6" t="n">
        <v>10751</v>
      </c>
      <c r="D82" s="6" t="n">
        <v>532</v>
      </c>
      <c r="E82" s="6" t="n">
        <v>253</v>
      </c>
      <c r="F82" s="6" t="n">
        <v>17</v>
      </c>
      <c r="G82" s="6" t="n">
        <v>1239</v>
      </c>
      <c r="H82" s="6" t="n">
        <v>9259</v>
      </c>
      <c r="I82" s="6" t="n">
        <v>217</v>
      </c>
      <c r="J82" s="6" t="n">
        <v>88</v>
      </c>
      <c r="K82" s="6" t="n">
        <v>2</v>
      </c>
      <c r="L82" s="6" t="n">
        <v>116725</v>
      </c>
      <c r="M82" s="6" t="n">
        <v>923</v>
      </c>
    </row>
    <row r="83" customFormat="false" ht="15.75" hidden="false" customHeight="false" outlineLevel="0" collapsed="false">
      <c r="A83" s="0" t="s">
        <v>39</v>
      </c>
      <c r="B83" s="1" t="n">
        <v>43943</v>
      </c>
      <c r="C83" s="6" t="n">
        <v>11119</v>
      </c>
      <c r="D83" s="6" t="n">
        <v>368</v>
      </c>
      <c r="E83" s="6" t="n">
        <v>263</v>
      </c>
      <c r="F83" s="6" t="n">
        <v>10</v>
      </c>
      <c r="G83" s="6" t="n">
        <v>1239</v>
      </c>
      <c r="H83" s="6" t="n">
        <v>9617</v>
      </c>
      <c r="I83" s="6" t="n">
        <v>217</v>
      </c>
      <c r="J83" s="6" t="n">
        <v>88</v>
      </c>
      <c r="K83" s="6" t="n">
        <v>2</v>
      </c>
      <c r="L83" s="6" t="n">
        <v>116725</v>
      </c>
      <c r="M83" s="6" t="n">
        <v>923</v>
      </c>
    </row>
    <row r="84" customFormat="false" ht="15.75" hidden="false" customHeight="false" outlineLevel="0" collapsed="false">
      <c r="A84" s="0" t="s">
        <v>39</v>
      </c>
      <c r="B84" s="1" t="n">
        <v>43944</v>
      </c>
      <c r="C84" s="6" t="n">
        <v>11512</v>
      </c>
      <c r="D84" s="6" t="n">
        <v>393</v>
      </c>
      <c r="E84" s="6" t="n">
        <v>281</v>
      </c>
      <c r="F84" s="6" t="n">
        <v>18</v>
      </c>
      <c r="G84" s="6" t="n">
        <v>1356</v>
      </c>
      <c r="H84" s="6" t="n">
        <v>9875</v>
      </c>
      <c r="I84" s="6" t="n">
        <v>232</v>
      </c>
      <c r="J84" s="6" t="n">
        <v>91</v>
      </c>
      <c r="K84" s="6" t="n">
        <v>2</v>
      </c>
      <c r="L84" s="6" t="n">
        <v>124550</v>
      </c>
      <c r="M84" s="6" t="n">
        <v>985</v>
      </c>
    </row>
    <row r="85" customFormat="false" ht="15.75" hidden="false" customHeight="false" outlineLevel="0" collapsed="false">
      <c r="A85" s="0" t="s">
        <v>39</v>
      </c>
      <c r="B85" s="1" t="n">
        <v>43945</v>
      </c>
      <c r="C85" s="6" t="n">
        <v>11950</v>
      </c>
      <c r="D85" s="6" t="n">
        <v>438</v>
      </c>
      <c r="E85" s="6" t="n">
        <v>299</v>
      </c>
      <c r="F85" s="6" t="n">
        <v>18</v>
      </c>
      <c r="G85" s="6" t="n">
        <v>1424</v>
      </c>
      <c r="H85" s="6" t="n">
        <v>10227</v>
      </c>
      <c r="I85" s="6" t="n">
        <v>241</v>
      </c>
      <c r="J85" s="6" t="n">
        <v>94</v>
      </c>
      <c r="K85" s="6" t="n">
        <v>2</v>
      </c>
      <c r="L85" s="6" t="n">
        <v>130587</v>
      </c>
      <c r="M85" s="6" t="n">
        <v>1033</v>
      </c>
    </row>
    <row r="86" customFormat="false" ht="15.75" hidden="false" customHeight="false" outlineLevel="0" collapsed="false">
      <c r="A86" s="0" t="s">
        <v>39</v>
      </c>
      <c r="B86" s="1" t="n">
        <v>43946</v>
      </c>
      <c r="C86" s="6" t="n">
        <v>12368</v>
      </c>
      <c r="D86" s="6" t="n">
        <v>418</v>
      </c>
      <c r="E86" s="6" t="n">
        <v>328</v>
      </c>
      <c r="F86" s="6" t="n">
        <v>29</v>
      </c>
      <c r="G86" s="6" t="n">
        <v>1494</v>
      </c>
      <c r="H86" s="6" t="n">
        <v>10546</v>
      </c>
      <c r="I86" s="6" t="n">
        <v>259</v>
      </c>
      <c r="J86" s="6" t="n">
        <v>98</v>
      </c>
      <c r="K86" s="6" t="n">
        <v>3</v>
      </c>
      <c r="L86" s="6" t="n">
        <v>135983</v>
      </c>
      <c r="M86" s="6" t="n">
        <v>1075</v>
      </c>
    </row>
    <row r="87" customFormat="false" ht="15.75" hidden="false" customHeight="false" outlineLevel="0" collapsed="false">
      <c r="A87" s="0" t="s">
        <v>39</v>
      </c>
      <c r="B87" s="1" t="n">
        <v>43947</v>
      </c>
      <c r="C87" s="6" t="n">
        <v>12829</v>
      </c>
      <c r="D87" s="6" t="n">
        <v>461</v>
      </c>
      <c r="E87" s="6" t="n">
        <v>345</v>
      </c>
      <c r="F87" s="6" t="n">
        <v>17</v>
      </c>
      <c r="G87" s="6" t="n">
        <v>1530</v>
      </c>
      <c r="H87" s="6" t="n">
        <v>10954</v>
      </c>
      <c r="I87" s="6" t="n">
        <v>263</v>
      </c>
      <c r="J87" s="6" t="n">
        <v>101</v>
      </c>
      <c r="K87" s="6" t="n">
        <v>3</v>
      </c>
      <c r="L87" s="6" t="n">
        <v>141600</v>
      </c>
      <c r="M87" s="6" t="n">
        <v>1120</v>
      </c>
    </row>
    <row r="88" customFormat="false" ht="15.75" hidden="false" customHeight="false" outlineLevel="0" collapsed="false">
      <c r="A88" s="0" t="s">
        <v>39</v>
      </c>
      <c r="B88" s="1" t="n">
        <v>43948</v>
      </c>
      <c r="C88" s="6" t="n">
        <v>13231</v>
      </c>
      <c r="D88" s="6" t="n">
        <v>402</v>
      </c>
      <c r="E88" s="6" t="n">
        <v>360</v>
      </c>
      <c r="F88" s="6" t="n">
        <v>15</v>
      </c>
      <c r="G88" s="6" t="n">
        <v>1656</v>
      </c>
      <c r="H88" s="6" t="n">
        <v>11215</v>
      </c>
      <c r="I88" s="6" t="n">
        <v>287</v>
      </c>
      <c r="J88" s="6" t="n">
        <v>105</v>
      </c>
      <c r="K88" s="6" t="n">
        <v>3</v>
      </c>
      <c r="L88" s="6" t="n">
        <v>147454</v>
      </c>
      <c r="M88" s="6" t="n">
        <v>1166</v>
      </c>
    </row>
    <row r="89" customFormat="false" ht="13.5" hidden="false" customHeight="false" outlineLevel="0" collapsed="false">
      <c r="A89" s="0" t="s">
        <v>39</v>
      </c>
      <c r="B89" s="1" t="n">
        <v>43949</v>
      </c>
      <c r="C89" s="2" t="n">
        <v>13441</v>
      </c>
      <c r="D89" s="2" t="n">
        <v>210</v>
      </c>
      <c r="E89" s="2" t="n">
        <v>372</v>
      </c>
      <c r="F89" s="2" t="n">
        <v>12</v>
      </c>
      <c r="G89" s="2" t="n">
        <v>1809</v>
      </c>
      <c r="H89" s="2" t="n">
        <v>11260</v>
      </c>
      <c r="I89" s="2" t="n">
        <v>296</v>
      </c>
      <c r="J89" s="2" t="n">
        <v>106</v>
      </c>
      <c r="K89" s="2" t="n">
        <v>3</v>
      </c>
      <c r="L89" s="2" t="n">
        <v>149074</v>
      </c>
      <c r="M89" s="2" t="n">
        <v>1179</v>
      </c>
    </row>
    <row r="90" customFormat="false" ht="13.5" hidden="false" customHeight="false" outlineLevel="0" collapsed="false">
      <c r="A90" s="0" t="s">
        <v>39</v>
      </c>
      <c r="B90" s="1" t="n">
        <v>43950</v>
      </c>
      <c r="C90" s="2" t="n">
        <v>13614</v>
      </c>
      <c r="D90" s="2" t="n">
        <v>173</v>
      </c>
      <c r="E90" s="2" t="n">
        <v>385</v>
      </c>
      <c r="F90" s="2" t="n">
        <v>13</v>
      </c>
      <c r="G90" s="2" t="n">
        <v>1899</v>
      </c>
      <c r="H90" s="2" t="n">
        <v>11330</v>
      </c>
      <c r="I90" s="2" t="n">
        <v>300</v>
      </c>
      <c r="J90" s="2" t="n">
        <v>108</v>
      </c>
      <c r="K90" s="2" t="n">
        <v>3</v>
      </c>
      <c r="L90" s="2" t="n">
        <v>150692</v>
      </c>
      <c r="M90" s="2" t="n">
        <v>1191</v>
      </c>
    </row>
    <row r="91" customFormat="false" ht="13.5" hidden="false" customHeight="false" outlineLevel="0" collapsed="false">
      <c r="A91" s="0" t="s">
        <v>39</v>
      </c>
      <c r="B91" s="1" t="n">
        <v>43951</v>
      </c>
      <c r="C91" s="2" t="n">
        <v>13736</v>
      </c>
      <c r="D91" s="2" t="n">
        <v>122</v>
      </c>
      <c r="E91" s="2" t="n">
        <v>394</v>
      </c>
      <c r="F91" s="2" t="n">
        <v>9</v>
      </c>
      <c r="G91" s="2" t="n">
        <v>1899</v>
      </c>
      <c r="H91" s="2" t="n">
        <v>11443</v>
      </c>
      <c r="I91" s="2" t="n">
        <v>300</v>
      </c>
      <c r="J91" s="2" t="n">
        <v>109</v>
      </c>
      <c r="K91" s="2" t="n">
        <v>3</v>
      </c>
      <c r="L91" s="2" t="n">
        <v>160546</v>
      </c>
      <c r="M91" s="2" t="n">
        <v>1269</v>
      </c>
    </row>
    <row r="92" customFormat="false" ht="14.25" hidden="false" customHeight="false" outlineLevel="0" collapsed="false">
      <c r="A92" s="0" t="s">
        <v>39</v>
      </c>
      <c r="B92" s="1" t="n">
        <v>43952</v>
      </c>
      <c r="C92" s="2" t="n">
        <v>13965</v>
      </c>
      <c r="D92" s="2" t="n">
        <v>229</v>
      </c>
      <c r="E92" s="2" t="n">
        <v>425</v>
      </c>
      <c r="F92" s="2" t="n">
        <v>31</v>
      </c>
      <c r="G92" s="2" t="n">
        <v>2368</v>
      </c>
      <c r="H92" s="2" t="n">
        <v>11172</v>
      </c>
      <c r="I92" s="2" t="n">
        <v>306</v>
      </c>
      <c r="J92" s="2" t="n">
        <v>110</v>
      </c>
      <c r="K92" s="2" t="n">
        <v>3</v>
      </c>
      <c r="L92" s="2" t="n">
        <v>164255</v>
      </c>
      <c r="M92" s="2" t="n">
        <v>1299</v>
      </c>
    </row>
    <row r="93" customFormat="false" ht="15.75" hidden="false" customHeight="false" outlineLevel="0" collapsed="false">
      <c r="A93" s="0" t="s">
        <v>39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39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39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39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39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39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39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39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39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39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39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39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39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39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39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39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39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39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39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39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39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39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39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39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39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39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39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39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39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39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39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39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39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39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39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39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39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39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39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39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39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39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39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39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39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39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39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39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39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39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39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39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39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39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39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39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39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39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39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39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39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39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39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39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39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39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39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39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39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39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39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39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39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39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39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39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39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39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39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39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39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39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39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39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39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39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39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39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39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39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39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39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39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39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39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40</v>
      </c>
      <c r="B37" s="1" t="n">
        <v>43897</v>
      </c>
      <c r="C37" s="8" t="n">
        <v>13</v>
      </c>
      <c r="D37" s="8"/>
      <c r="E37" s="8"/>
      <c r="F37" s="8"/>
      <c r="G37" s="8"/>
      <c r="H37" s="8" t="n">
        <v>13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40</v>
      </c>
      <c r="B38" s="1" t="n">
        <v>43898</v>
      </c>
      <c r="C38" s="6" t="n">
        <v>14</v>
      </c>
      <c r="D38" s="6" t="n">
        <v>1</v>
      </c>
      <c r="E38" s="6"/>
      <c r="F38" s="6"/>
      <c r="G38" s="6"/>
      <c r="H38" s="6" t="n">
        <v>14</v>
      </c>
      <c r="I38" s="6" t="n">
        <v>1</v>
      </c>
      <c r="J38" s="6" t="n">
        <v>0.8</v>
      </c>
      <c r="K38" s="6"/>
      <c r="L38" s="6"/>
      <c r="M38" s="6"/>
    </row>
    <row r="39" customFormat="false" ht="15.75" hidden="false" customHeight="false" outlineLevel="0" collapsed="false">
      <c r="A39" s="0" t="s">
        <v>40</v>
      </c>
      <c r="B39" s="1" t="n">
        <v>43899</v>
      </c>
      <c r="C39" s="6" t="n">
        <v>14</v>
      </c>
      <c r="D39" s="6" t="n">
        <v>0</v>
      </c>
      <c r="E39" s="6"/>
      <c r="F39" s="6"/>
      <c r="G39" s="6"/>
      <c r="H39" s="6" t="n">
        <v>14</v>
      </c>
      <c r="I39" s="6" t="n">
        <v>1</v>
      </c>
      <c r="J39" s="6" t="n">
        <v>0.8</v>
      </c>
      <c r="K39" s="6"/>
      <c r="L39" s="6"/>
      <c r="M39" s="6"/>
    </row>
    <row r="40" customFormat="false" ht="15.75" hidden="false" customHeight="false" outlineLevel="0" collapsed="false">
      <c r="A40" s="0" t="s">
        <v>40</v>
      </c>
      <c r="B40" s="1" t="n">
        <v>43900</v>
      </c>
      <c r="C40" s="6" t="n">
        <v>15</v>
      </c>
      <c r="D40" s="6" t="n">
        <v>1</v>
      </c>
      <c r="E40" s="6"/>
      <c r="F40" s="6"/>
      <c r="G40" s="6"/>
      <c r="H40" s="6" t="n">
        <v>15</v>
      </c>
      <c r="I40" s="6" t="n">
        <v>1</v>
      </c>
      <c r="J40" s="6" t="n">
        <v>0.9</v>
      </c>
      <c r="K40" s="6"/>
      <c r="L40" s="6"/>
      <c r="M40" s="6"/>
    </row>
    <row r="41" customFormat="false" ht="15.75" hidden="false" customHeight="false" outlineLevel="0" collapsed="false">
      <c r="A41" s="0" t="s">
        <v>40</v>
      </c>
      <c r="B41" s="1" t="n">
        <v>43901</v>
      </c>
      <c r="C41" s="6" t="n">
        <v>15</v>
      </c>
      <c r="D41" s="6" t="n">
        <v>0</v>
      </c>
      <c r="E41" s="6"/>
      <c r="F41" s="6"/>
      <c r="G41" s="6"/>
      <c r="H41" s="6" t="n">
        <v>15</v>
      </c>
      <c r="I41" s="6" t="n">
        <v>1</v>
      </c>
      <c r="J41" s="6" t="n">
        <v>0.9</v>
      </c>
      <c r="K41" s="6"/>
      <c r="L41" s="6"/>
      <c r="M41" s="6"/>
    </row>
    <row r="42" customFormat="false" ht="15.75" hidden="false" customHeight="false" outlineLevel="0" collapsed="false">
      <c r="A42" s="0" t="s">
        <v>40</v>
      </c>
      <c r="B42" s="1" t="n">
        <v>43902</v>
      </c>
      <c r="C42" s="6" t="n">
        <v>17</v>
      </c>
      <c r="D42" s="6" t="n">
        <v>2</v>
      </c>
      <c r="E42" s="6"/>
      <c r="F42" s="6"/>
      <c r="G42" s="6"/>
      <c r="H42" s="6" t="n">
        <v>17</v>
      </c>
      <c r="I42" s="6" t="n">
        <v>1</v>
      </c>
      <c r="J42" s="6" t="n">
        <v>1</v>
      </c>
      <c r="K42" s="6"/>
      <c r="L42" s="6"/>
      <c r="M42" s="6"/>
    </row>
    <row r="43" customFormat="false" ht="15.75" hidden="false" customHeight="false" outlineLevel="0" collapsed="false">
      <c r="A43" s="0" t="s">
        <v>40</v>
      </c>
      <c r="B43" s="1" t="n">
        <v>43903</v>
      </c>
      <c r="C43" s="6" t="n">
        <v>17</v>
      </c>
      <c r="D43" s="6" t="n">
        <v>0</v>
      </c>
      <c r="E43" s="6"/>
      <c r="F43" s="6"/>
      <c r="G43" s="6"/>
      <c r="H43" s="6" t="n">
        <v>17</v>
      </c>
      <c r="I43" s="6" t="n">
        <v>1</v>
      </c>
      <c r="J43" s="6" t="n">
        <v>1</v>
      </c>
      <c r="K43" s="6"/>
      <c r="L43" s="6"/>
      <c r="M43" s="6"/>
    </row>
    <row r="44" customFormat="false" ht="15.75" hidden="false" customHeight="false" outlineLevel="0" collapsed="false">
      <c r="A44" s="0" t="s">
        <v>40</v>
      </c>
      <c r="B44" s="1" t="n">
        <v>43904</v>
      </c>
      <c r="C44" s="6" t="n">
        <v>19</v>
      </c>
      <c r="D44" s="6" t="n">
        <v>2</v>
      </c>
      <c r="E44" s="6"/>
      <c r="F44" s="6"/>
      <c r="G44" s="6"/>
      <c r="H44" s="6" t="n">
        <v>19</v>
      </c>
      <c r="I44" s="6" t="n">
        <v>1</v>
      </c>
      <c r="J44" s="6" t="n">
        <v>1.1</v>
      </c>
      <c r="K44" s="6"/>
      <c r="L44" s="6"/>
      <c r="M44" s="6"/>
    </row>
    <row r="45" customFormat="false" ht="15.75" hidden="false" customHeight="false" outlineLevel="0" collapsed="false">
      <c r="A45" s="0" t="s">
        <v>40</v>
      </c>
      <c r="B45" s="1" t="n">
        <v>43905</v>
      </c>
      <c r="C45" s="6" t="n">
        <v>28</v>
      </c>
      <c r="D45" s="6" t="n">
        <v>9</v>
      </c>
      <c r="E45" s="6" t="n">
        <v>1</v>
      </c>
      <c r="F45" s="6"/>
      <c r="G45" s="6"/>
      <c r="H45" s="6" t="n">
        <v>27</v>
      </c>
      <c r="I45" s="6" t="n">
        <v>1</v>
      </c>
      <c r="J45" s="6" t="n">
        <v>1.6</v>
      </c>
      <c r="K45" s="6"/>
      <c r="L45" s="6"/>
      <c r="M45" s="6"/>
    </row>
    <row r="46" customFormat="false" ht="15.75" hidden="false" customHeight="false" outlineLevel="0" collapsed="false">
      <c r="A46" s="0" t="s">
        <v>40</v>
      </c>
      <c r="B46" s="1" t="n">
        <v>43906</v>
      </c>
      <c r="C46" s="6" t="n">
        <v>37</v>
      </c>
      <c r="D46" s="6" t="n">
        <v>9</v>
      </c>
      <c r="E46" s="6" t="n">
        <v>2</v>
      </c>
      <c r="F46" s="6" t="n">
        <v>1</v>
      </c>
      <c r="G46" s="6"/>
      <c r="H46" s="6" t="n">
        <v>35</v>
      </c>
      <c r="I46" s="6" t="n">
        <v>1</v>
      </c>
      <c r="J46" s="6" t="n">
        <v>2.1</v>
      </c>
      <c r="K46" s="6"/>
      <c r="L46" s="6"/>
      <c r="M46" s="6"/>
    </row>
    <row r="47" customFormat="false" ht="15.75" hidden="false" customHeight="false" outlineLevel="0" collapsed="false">
      <c r="A47" s="0" t="s">
        <v>40</v>
      </c>
      <c r="B47" s="1" t="n">
        <v>43907</v>
      </c>
      <c r="C47" s="6" t="n">
        <v>58</v>
      </c>
      <c r="D47" s="6" t="n">
        <v>21</v>
      </c>
      <c r="E47" s="6" t="n">
        <v>2</v>
      </c>
      <c r="F47" s="6" t="n">
        <v>0</v>
      </c>
      <c r="G47" s="6"/>
      <c r="H47" s="6" t="n">
        <v>56</v>
      </c>
      <c r="I47" s="6" t="n">
        <v>2</v>
      </c>
      <c r="J47" s="6" t="n">
        <v>3.3</v>
      </c>
      <c r="K47" s="6"/>
      <c r="L47" s="6"/>
      <c r="M47" s="6"/>
    </row>
    <row r="48" customFormat="false" ht="15.75" hidden="false" customHeight="false" outlineLevel="0" collapsed="false">
      <c r="A48" s="0" t="s">
        <v>40</v>
      </c>
      <c r="B48" s="1" t="n">
        <v>43908</v>
      </c>
      <c r="C48" s="6" t="n">
        <v>111</v>
      </c>
      <c r="D48" s="6" t="n">
        <v>53</v>
      </c>
      <c r="E48" s="6" t="n">
        <v>2</v>
      </c>
      <c r="F48" s="6" t="n">
        <v>0</v>
      </c>
      <c r="G48" s="6"/>
      <c r="H48" s="6" t="n">
        <v>109</v>
      </c>
      <c r="I48" s="6" t="n">
        <v>2</v>
      </c>
      <c r="J48" s="6" t="n">
        <v>6.3</v>
      </c>
      <c r="K48" s="6"/>
      <c r="L48" s="6"/>
      <c r="M48" s="6"/>
    </row>
    <row r="49" customFormat="false" ht="15.75" hidden="false" customHeight="false" outlineLevel="0" collapsed="false">
      <c r="A49" s="0" t="s">
        <v>40</v>
      </c>
      <c r="B49" s="1" t="n">
        <v>43909</v>
      </c>
      <c r="C49" s="6" t="n">
        <v>168</v>
      </c>
      <c r="D49" s="6" t="n">
        <v>57</v>
      </c>
      <c r="E49" s="6" t="n">
        <v>3</v>
      </c>
      <c r="F49" s="6" t="n">
        <v>1</v>
      </c>
      <c r="G49" s="6"/>
      <c r="H49" s="6" t="n">
        <v>165</v>
      </c>
      <c r="I49" s="6" t="n">
        <v>2</v>
      </c>
      <c r="J49" s="6" t="n">
        <v>10</v>
      </c>
      <c r="K49" s="6"/>
      <c r="L49" s="6"/>
      <c r="M49" s="6"/>
    </row>
    <row r="50" customFormat="false" ht="15.75" hidden="false" customHeight="false" outlineLevel="0" collapsed="false">
      <c r="A50" s="0" t="s">
        <v>40</v>
      </c>
      <c r="B50" s="1" t="n">
        <v>43910</v>
      </c>
      <c r="C50" s="6" t="n">
        <v>260</v>
      </c>
      <c r="D50" s="6" t="n">
        <v>92</v>
      </c>
      <c r="E50" s="6" t="n">
        <v>3</v>
      </c>
      <c r="F50" s="6" t="n">
        <v>0</v>
      </c>
      <c r="G50" s="6" t="n">
        <v>1</v>
      </c>
      <c r="H50" s="6" t="n">
        <v>256</v>
      </c>
      <c r="I50" s="6" t="n">
        <v>2</v>
      </c>
      <c r="J50" s="6" t="n">
        <v>15</v>
      </c>
      <c r="K50" s="6"/>
      <c r="L50" s="6"/>
      <c r="M50" s="6"/>
    </row>
    <row r="51" customFormat="false" ht="15.75" hidden="false" customHeight="false" outlineLevel="0" collapsed="false">
      <c r="A51" s="0" t="s">
        <v>40</v>
      </c>
      <c r="B51" s="1" t="n">
        <v>43911</v>
      </c>
      <c r="C51" s="6" t="n">
        <v>426</v>
      </c>
      <c r="D51" s="6" t="n">
        <v>166</v>
      </c>
      <c r="E51" s="6" t="n">
        <v>7</v>
      </c>
      <c r="F51" s="6" t="n">
        <v>4</v>
      </c>
      <c r="G51" s="6" t="n">
        <v>3</v>
      </c>
      <c r="H51" s="6" t="n">
        <v>416</v>
      </c>
      <c r="I51" s="6" t="n">
        <v>2</v>
      </c>
      <c r="J51" s="6" t="n">
        <v>24</v>
      </c>
      <c r="K51" s="6"/>
      <c r="L51" s="6"/>
      <c r="M51" s="6"/>
    </row>
    <row r="52" customFormat="false" ht="15.75" hidden="false" customHeight="false" outlineLevel="0" collapsed="false">
      <c r="A52" s="0" t="s">
        <v>40</v>
      </c>
      <c r="B52" s="1" t="n">
        <v>43912</v>
      </c>
      <c r="C52" s="6" t="n">
        <v>532</v>
      </c>
      <c r="D52" s="6" t="n">
        <v>106</v>
      </c>
      <c r="E52" s="6" t="n">
        <v>7</v>
      </c>
      <c r="F52" s="6" t="n">
        <v>0</v>
      </c>
      <c r="G52" s="6" t="n">
        <v>3</v>
      </c>
      <c r="H52" s="6" t="n">
        <v>522</v>
      </c>
      <c r="I52" s="6" t="n">
        <v>2</v>
      </c>
      <c r="J52" s="6" t="n">
        <v>30</v>
      </c>
      <c r="K52" s="6"/>
      <c r="L52" s="6"/>
      <c r="M52" s="6"/>
    </row>
    <row r="53" customFormat="false" ht="15.75" hidden="false" customHeight="false" outlineLevel="0" collapsed="false">
      <c r="A53" s="0" t="s">
        <v>40</v>
      </c>
      <c r="B53" s="1" t="n">
        <v>43913</v>
      </c>
      <c r="C53" s="6" t="n">
        <v>789</v>
      </c>
      <c r="D53" s="6" t="n">
        <v>257</v>
      </c>
      <c r="E53" s="6" t="n">
        <v>14</v>
      </c>
      <c r="F53" s="6" t="n">
        <v>7</v>
      </c>
      <c r="G53" s="6" t="n">
        <v>3</v>
      </c>
      <c r="H53" s="6" t="n">
        <v>772</v>
      </c>
      <c r="I53" s="6" t="n">
        <v>2</v>
      </c>
      <c r="J53" s="6" t="n">
        <v>45</v>
      </c>
      <c r="K53" s="6"/>
      <c r="L53" s="6"/>
      <c r="M53" s="6"/>
    </row>
    <row r="54" customFormat="false" ht="15.75" hidden="false" customHeight="false" outlineLevel="0" collapsed="false">
      <c r="A54" s="0" t="s">
        <v>40</v>
      </c>
      <c r="B54" s="1" t="n">
        <v>43914</v>
      </c>
      <c r="C54" s="6" t="n">
        <v>981</v>
      </c>
      <c r="D54" s="6" t="n">
        <v>192</v>
      </c>
      <c r="E54" s="6" t="n">
        <v>18</v>
      </c>
      <c r="F54" s="6" t="n">
        <v>4</v>
      </c>
      <c r="G54" s="6" t="n">
        <v>3</v>
      </c>
      <c r="H54" s="6" t="n">
        <v>960</v>
      </c>
      <c r="I54" s="6" t="n">
        <v>2</v>
      </c>
      <c r="J54" s="6" t="n">
        <v>56</v>
      </c>
      <c r="K54" s="6"/>
      <c r="L54" s="6"/>
      <c r="M54" s="6"/>
    </row>
    <row r="55" customFormat="false" ht="15.75" hidden="false" customHeight="false" outlineLevel="0" collapsed="false">
      <c r="A55" s="0" t="s">
        <v>40</v>
      </c>
      <c r="B55" s="1" t="n">
        <v>43915</v>
      </c>
      <c r="C55" s="7" t="n">
        <v>1082</v>
      </c>
      <c r="D55" s="7" t="n">
        <v>101</v>
      </c>
      <c r="E55" s="7" t="n">
        <v>27</v>
      </c>
      <c r="F55" s="7" t="n">
        <v>9</v>
      </c>
      <c r="G55" s="7" t="n">
        <v>3</v>
      </c>
      <c r="H55" s="7" t="n">
        <v>1052</v>
      </c>
      <c r="I55" s="7" t="n">
        <v>2</v>
      </c>
      <c r="J55" s="7" t="n">
        <v>61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40</v>
      </c>
      <c r="B56" s="1" t="n">
        <v>43916</v>
      </c>
      <c r="C56" s="7" t="n">
        <v>1173</v>
      </c>
      <c r="D56" s="7" t="n">
        <v>91</v>
      </c>
      <c r="E56" s="7" t="n">
        <v>28</v>
      </c>
      <c r="F56" s="7" t="n">
        <v>1</v>
      </c>
      <c r="G56" s="7" t="n">
        <v>3</v>
      </c>
      <c r="H56" s="7" t="n">
        <v>1142</v>
      </c>
      <c r="I56" s="7" t="n">
        <v>2</v>
      </c>
      <c r="J56" s="7" t="n">
        <v>66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40</v>
      </c>
      <c r="B57" s="1" t="n">
        <v>43917</v>
      </c>
      <c r="C57" s="7" t="n">
        <v>1382</v>
      </c>
      <c r="D57" s="7" t="n">
        <v>209</v>
      </c>
      <c r="E57" s="7" t="n">
        <v>34</v>
      </c>
      <c r="F57" s="7" t="n">
        <v>6</v>
      </c>
      <c r="G57" s="7" t="n">
        <v>3</v>
      </c>
      <c r="H57" s="7" t="n">
        <v>1345</v>
      </c>
      <c r="I57" s="7" t="n">
        <v>58</v>
      </c>
      <c r="J57" s="7" t="n">
        <v>78</v>
      </c>
      <c r="K57" s="7" t="n">
        <v>2</v>
      </c>
      <c r="L57" s="7"/>
      <c r="M57" s="7"/>
    </row>
    <row r="58" customFormat="false" ht="15.75" hidden="false" customHeight="false" outlineLevel="0" collapsed="false">
      <c r="A58" s="0" t="s">
        <v>40</v>
      </c>
      <c r="B58" s="1" t="n">
        <v>43918</v>
      </c>
      <c r="C58" s="7" t="n">
        <v>1595</v>
      </c>
      <c r="D58" s="7" t="n">
        <v>213</v>
      </c>
      <c r="E58" s="7" t="n">
        <v>36</v>
      </c>
      <c r="F58" s="7" t="n">
        <v>2</v>
      </c>
      <c r="G58" s="7" t="n">
        <v>3</v>
      </c>
      <c r="H58" s="7" t="n">
        <v>1556</v>
      </c>
      <c r="I58" s="7" t="n">
        <v>58</v>
      </c>
      <c r="J58" s="7" t="n">
        <v>90</v>
      </c>
      <c r="K58" s="7" t="n">
        <v>2</v>
      </c>
      <c r="L58" s="7"/>
      <c r="M58" s="7"/>
    </row>
    <row r="59" customFormat="false" ht="15.75" hidden="false" customHeight="false" outlineLevel="0" collapsed="false">
      <c r="A59" s="0" t="s">
        <v>40</v>
      </c>
      <c r="B59" s="1" t="n">
        <v>43919</v>
      </c>
      <c r="C59" s="7" t="n">
        <v>1823</v>
      </c>
      <c r="D59" s="7" t="n">
        <v>228</v>
      </c>
      <c r="E59" s="7" t="n">
        <v>48</v>
      </c>
      <c r="F59" s="7" t="n">
        <v>12</v>
      </c>
      <c r="G59" s="7" t="n">
        <v>3</v>
      </c>
      <c r="H59" s="7" t="n">
        <v>1772</v>
      </c>
      <c r="I59" s="7" t="n">
        <v>58</v>
      </c>
      <c r="J59" s="7" t="n">
        <v>103</v>
      </c>
      <c r="K59" s="7" t="n">
        <v>3</v>
      </c>
      <c r="L59" s="7"/>
      <c r="M59" s="7"/>
    </row>
    <row r="60" customFormat="false" ht="15.75" hidden="false" customHeight="false" outlineLevel="0" collapsed="false">
      <c r="A60" s="0" t="s">
        <v>40</v>
      </c>
      <c r="B60" s="1" t="n">
        <v>43920</v>
      </c>
      <c r="C60" s="7" t="n">
        <v>1890</v>
      </c>
      <c r="D60" s="7" t="n">
        <v>67</v>
      </c>
      <c r="E60" s="7" t="n">
        <v>57</v>
      </c>
      <c r="F60" s="7" t="n">
        <v>9</v>
      </c>
      <c r="G60" s="7" t="n">
        <v>3</v>
      </c>
      <c r="H60" s="7" t="n">
        <v>1830</v>
      </c>
      <c r="I60" s="7" t="n">
        <v>58</v>
      </c>
      <c r="J60" s="7" t="n">
        <v>107</v>
      </c>
      <c r="K60" s="7" t="n">
        <v>3</v>
      </c>
      <c r="L60" s="7"/>
      <c r="M60" s="7"/>
    </row>
    <row r="61" customFormat="false" ht="15.75" hidden="false" customHeight="false" outlineLevel="0" collapsed="false">
      <c r="A61" s="0" t="s">
        <v>40</v>
      </c>
      <c r="B61" s="1" t="n">
        <v>43921</v>
      </c>
      <c r="C61" s="7" t="n">
        <v>1962</v>
      </c>
      <c r="D61" s="7" t="n">
        <v>72</v>
      </c>
      <c r="E61" s="7" t="n">
        <v>60</v>
      </c>
      <c r="F61" s="7" t="n">
        <v>3</v>
      </c>
      <c r="G61" s="7" t="n">
        <v>3</v>
      </c>
      <c r="H61" s="7" t="n">
        <v>1899</v>
      </c>
      <c r="I61" s="7" t="n">
        <v>58</v>
      </c>
      <c r="J61" s="7" t="n">
        <v>111</v>
      </c>
      <c r="K61" s="7" t="n">
        <v>3</v>
      </c>
      <c r="L61" s="7"/>
      <c r="M61" s="7"/>
    </row>
    <row r="62" customFormat="false" ht="15.75" hidden="false" customHeight="false" outlineLevel="0" collapsed="false">
      <c r="A62" s="0" t="s">
        <v>40</v>
      </c>
      <c r="B62" s="1" t="n">
        <v>43922</v>
      </c>
      <c r="C62" s="7" t="n">
        <v>2240</v>
      </c>
      <c r="D62" s="7" t="n">
        <v>278</v>
      </c>
      <c r="E62" s="7" t="n">
        <v>75</v>
      </c>
      <c r="F62" s="7" t="n">
        <v>15</v>
      </c>
      <c r="G62" s="7" t="n">
        <v>54</v>
      </c>
      <c r="H62" s="7" t="n">
        <v>2111</v>
      </c>
      <c r="I62" s="7" t="n">
        <v>100</v>
      </c>
      <c r="J62" s="7" t="n">
        <v>127</v>
      </c>
      <c r="K62" s="7" t="n">
        <v>4</v>
      </c>
      <c r="L62" s="7"/>
      <c r="M62" s="7"/>
    </row>
    <row r="63" customFormat="false" ht="15.75" hidden="false" customHeight="false" outlineLevel="0" collapsed="false">
      <c r="A63" s="0" t="s">
        <v>40</v>
      </c>
      <c r="B63" s="1" t="n">
        <v>43923</v>
      </c>
      <c r="C63" s="7" t="n">
        <v>2748</v>
      </c>
      <c r="D63" s="7" t="n">
        <v>508</v>
      </c>
      <c r="E63" s="7" t="n">
        <v>93</v>
      </c>
      <c r="F63" s="7" t="n">
        <v>18</v>
      </c>
      <c r="G63" s="7" t="n">
        <v>58</v>
      </c>
      <c r="H63" s="7" t="n">
        <v>2597</v>
      </c>
      <c r="I63" s="7" t="n">
        <v>100</v>
      </c>
      <c r="J63" s="7" t="n">
        <v>156</v>
      </c>
      <c r="K63" s="7" t="n">
        <v>5</v>
      </c>
      <c r="L63" s="7"/>
      <c r="M63" s="7"/>
    </row>
    <row r="64" customFormat="false" ht="15.75" hidden="false" customHeight="false" outlineLevel="0" collapsed="false">
      <c r="A64" s="0" t="s">
        <v>40</v>
      </c>
      <c r="B64" s="1" t="n">
        <v>43924</v>
      </c>
      <c r="C64" s="7" t="n">
        <v>3163</v>
      </c>
      <c r="D64" s="7" t="n">
        <v>415</v>
      </c>
      <c r="E64" s="7" t="n">
        <v>120</v>
      </c>
      <c r="F64" s="7" t="n">
        <v>27</v>
      </c>
      <c r="G64" s="7" t="n">
        <v>65</v>
      </c>
      <c r="H64" s="7" t="n">
        <v>2978</v>
      </c>
      <c r="I64" s="7" t="n">
        <v>100</v>
      </c>
      <c r="J64" s="7" t="n">
        <v>179</v>
      </c>
      <c r="K64" s="7" t="n">
        <v>7</v>
      </c>
      <c r="L64" s="7"/>
      <c r="M64" s="7"/>
    </row>
    <row r="65" customFormat="false" ht="15.75" hidden="false" customHeight="false" outlineLevel="0" collapsed="false">
      <c r="A65" s="0" t="s">
        <v>40</v>
      </c>
      <c r="B65" s="1" t="n">
        <v>43925</v>
      </c>
      <c r="C65" s="7" t="n">
        <v>3368</v>
      </c>
      <c r="D65" s="7" t="n">
        <v>205</v>
      </c>
      <c r="E65" s="7" t="n">
        <v>145</v>
      </c>
      <c r="F65" s="7" t="n">
        <v>25</v>
      </c>
      <c r="G65" s="7" t="n">
        <v>65</v>
      </c>
      <c r="H65" s="7" t="n">
        <v>3158</v>
      </c>
      <c r="I65" s="7" t="n">
        <v>100</v>
      </c>
      <c r="J65" s="7" t="n">
        <v>191</v>
      </c>
      <c r="K65" s="7" t="n">
        <v>8</v>
      </c>
      <c r="L65" s="7"/>
      <c r="M65" s="7"/>
    </row>
    <row r="66" customFormat="false" ht="15.75" hidden="false" customHeight="false" outlineLevel="0" collapsed="false">
      <c r="A66" s="0" t="s">
        <v>40</v>
      </c>
      <c r="B66" s="1" t="n">
        <v>43926</v>
      </c>
      <c r="C66" s="7" t="n">
        <v>3465</v>
      </c>
      <c r="D66" s="7" t="n">
        <v>97</v>
      </c>
      <c r="E66" s="7" t="n">
        <v>172</v>
      </c>
      <c r="F66" s="7" t="n">
        <v>27</v>
      </c>
      <c r="G66" s="7" t="n">
        <v>100</v>
      </c>
      <c r="H66" s="7" t="n">
        <v>3193</v>
      </c>
      <c r="I66" s="7" t="n">
        <v>100</v>
      </c>
      <c r="J66" s="7" t="n">
        <v>196</v>
      </c>
      <c r="K66" s="7" t="n">
        <v>10</v>
      </c>
      <c r="L66" s="7" t="n">
        <v>10317</v>
      </c>
      <c r="M66" s="7" t="n">
        <v>585</v>
      </c>
    </row>
    <row r="67" customFormat="false" ht="15.75" hidden="false" customHeight="false" outlineLevel="0" collapsed="false">
      <c r="A67" s="0" t="s">
        <v>40</v>
      </c>
      <c r="B67" s="1" t="n">
        <v>43927</v>
      </c>
      <c r="C67" s="7" t="n">
        <v>3646</v>
      </c>
      <c r="D67" s="7" t="n">
        <v>181</v>
      </c>
      <c r="E67" s="7" t="n">
        <v>180</v>
      </c>
      <c r="F67" s="7" t="n">
        <v>8</v>
      </c>
      <c r="G67" s="7" t="n">
        <v>100</v>
      </c>
      <c r="H67" s="7" t="n">
        <v>3366</v>
      </c>
      <c r="I67" s="7" t="n">
        <v>100</v>
      </c>
      <c r="J67" s="7" t="n">
        <v>207</v>
      </c>
      <c r="K67" s="7" t="n">
        <v>10</v>
      </c>
      <c r="L67" s="7" t="n">
        <v>12386</v>
      </c>
      <c r="M67" s="7" t="n">
        <v>702</v>
      </c>
    </row>
    <row r="68" customFormat="false" ht="15.75" hidden="false" customHeight="false" outlineLevel="0" collapsed="false">
      <c r="A68" s="0" t="s">
        <v>40</v>
      </c>
      <c r="B68" s="1" t="n">
        <v>43928</v>
      </c>
      <c r="C68" s="12" t="n">
        <v>3747</v>
      </c>
      <c r="D68" s="12" t="n">
        <v>101</v>
      </c>
      <c r="E68" s="12" t="n">
        <v>191</v>
      </c>
      <c r="F68" s="12" t="n">
        <v>11</v>
      </c>
      <c r="G68" s="12" t="n">
        <v>100</v>
      </c>
      <c r="H68" s="12" t="n">
        <v>3456</v>
      </c>
      <c r="I68" s="12" t="n">
        <v>156</v>
      </c>
      <c r="J68" s="12" t="n">
        <v>212</v>
      </c>
      <c r="K68" s="12" t="n">
        <v>11</v>
      </c>
      <c r="L68" s="12" t="n">
        <v>13039</v>
      </c>
      <c r="M68" s="12" t="n">
        <v>739</v>
      </c>
    </row>
    <row r="69" customFormat="false" ht="15.75" hidden="false" customHeight="false" outlineLevel="0" collapsed="false">
      <c r="A69" s="0" t="s">
        <v>40</v>
      </c>
      <c r="B69" s="1" t="n">
        <v>43929</v>
      </c>
      <c r="C69" s="14" t="n">
        <v>3747</v>
      </c>
      <c r="D69" s="14" t="n">
        <v>0</v>
      </c>
      <c r="E69" s="14" t="n">
        <v>191</v>
      </c>
      <c r="F69" s="14" t="n">
        <v>0</v>
      </c>
      <c r="G69" s="14" t="n">
        <v>100</v>
      </c>
      <c r="H69" s="14" t="n">
        <v>3456</v>
      </c>
      <c r="I69" s="14" t="n">
        <v>156</v>
      </c>
      <c r="J69" s="14" t="n">
        <v>212</v>
      </c>
      <c r="K69" s="14" t="n">
        <v>11</v>
      </c>
      <c r="L69" s="14" t="n">
        <v>13039</v>
      </c>
      <c r="M69" s="14" t="n">
        <v>739</v>
      </c>
    </row>
    <row r="70" customFormat="false" ht="15.75" hidden="false" customHeight="false" outlineLevel="0" collapsed="false">
      <c r="A70" s="0" t="s">
        <v>40</v>
      </c>
      <c r="B70" s="1" t="n">
        <v>43930</v>
      </c>
      <c r="C70" s="14" t="n">
        <v>4450</v>
      </c>
      <c r="D70" s="14" t="n">
        <v>703</v>
      </c>
      <c r="E70" s="14" t="n">
        <v>242</v>
      </c>
      <c r="F70" s="14" t="n">
        <v>51</v>
      </c>
      <c r="G70" s="14" t="n">
        <v>140</v>
      </c>
      <c r="H70" s="14" t="n">
        <v>4068</v>
      </c>
      <c r="I70" s="14" t="n">
        <v>146</v>
      </c>
      <c r="J70" s="14" t="n">
        <v>252</v>
      </c>
      <c r="K70" s="14" t="n">
        <v>14</v>
      </c>
      <c r="L70" s="14" t="n">
        <v>14406</v>
      </c>
      <c r="M70" s="14" t="n">
        <v>817</v>
      </c>
    </row>
    <row r="71" customFormat="false" ht="15.75" hidden="false" customHeight="false" outlineLevel="0" collapsed="false">
      <c r="A71" s="0" t="s">
        <v>40</v>
      </c>
      <c r="B71" s="1" t="n">
        <v>43931</v>
      </c>
      <c r="C71" s="14" t="n">
        <v>4965</v>
      </c>
      <c r="D71" s="14" t="n">
        <v>515</v>
      </c>
      <c r="E71" s="14" t="n">
        <v>272</v>
      </c>
      <c r="F71" s="14" t="n">
        <v>30</v>
      </c>
      <c r="G71" s="14" t="n">
        <v>339</v>
      </c>
      <c r="H71" s="14" t="n">
        <v>4354</v>
      </c>
      <c r="I71" s="14" t="n">
        <v>139</v>
      </c>
      <c r="J71" s="14" t="n">
        <v>281</v>
      </c>
      <c r="K71" s="14" t="n">
        <v>15</v>
      </c>
      <c r="L71" s="14" t="n">
        <v>19102</v>
      </c>
      <c r="M71" s="14" t="n">
        <v>1083</v>
      </c>
    </row>
    <row r="72" customFormat="false" ht="15.75" hidden="false" customHeight="false" outlineLevel="0" collapsed="false">
      <c r="A72" s="0" t="s">
        <v>40</v>
      </c>
      <c r="B72" s="1" t="n">
        <v>43932</v>
      </c>
      <c r="C72" s="14" t="n">
        <v>7161</v>
      </c>
      <c r="D72" s="14" t="n">
        <v>2196</v>
      </c>
      <c r="E72" s="14" t="n">
        <v>297</v>
      </c>
      <c r="F72" s="14" t="n">
        <v>25</v>
      </c>
      <c r="G72" s="14" t="n">
        <v>368</v>
      </c>
      <c r="H72" s="14" t="n">
        <v>6496</v>
      </c>
      <c r="I72" s="14" t="n">
        <v>171</v>
      </c>
      <c r="J72" s="14" t="n">
        <v>406</v>
      </c>
      <c r="K72" s="14" t="n">
        <v>17</v>
      </c>
      <c r="L72" s="14" t="n">
        <v>21568</v>
      </c>
      <c r="M72" s="14" t="n">
        <v>1222</v>
      </c>
    </row>
    <row r="73" customFormat="false" ht="15.75" hidden="false" customHeight="false" outlineLevel="0" collapsed="false">
      <c r="A73" s="0" t="s">
        <v>40</v>
      </c>
      <c r="B73" s="1" t="n">
        <v>43933</v>
      </c>
      <c r="C73" s="14" t="n">
        <v>7257</v>
      </c>
      <c r="D73" s="14" t="n">
        <v>96</v>
      </c>
      <c r="E73" s="14" t="n">
        <v>315</v>
      </c>
      <c r="F73" s="14" t="n">
        <v>18</v>
      </c>
      <c r="G73" s="14" t="n">
        <v>411</v>
      </c>
      <c r="H73" s="14" t="n">
        <v>6531</v>
      </c>
      <c r="I73" s="14" t="n">
        <v>184</v>
      </c>
      <c r="J73" s="14" t="n">
        <v>411</v>
      </c>
      <c r="K73" s="14" t="n">
        <v>18</v>
      </c>
      <c r="L73" s="14" t="n">
        <v>21568</v>
      </c>
      <c r="M73" s="14" t="n">
        <v>1222</v>
      </c>
    </row>
    <row r="74" customFormat="false" ht="15.75" hidden="false" customHeight="false" outlineLevel="0" collapsed="false">
      <c r="A74" s="0" t="s">
        <v>40</v>
      </c>
      <c r="B74" s="1" t="n">
        <v>43934</v>
      </c>
      <c r="C74" s="14" t="n">
        <v>7466</v>
      </c>
      <c r="D74" s="14" t="n">
        <v>209</v>
      </c>
      <c r="E74" s="14" t="n">
        <v>333</v>
      </c>
      <c r="F74" s="14" t="n">
        <v>18</v>
      </c>
      <c r="G74" s="14" t="n">
        <v>501</v>
      </c>
      <c r="H74" s="14" t="n">
        <v>6632</v>
      </c>
      <c r="I74" s="14" t="n">
        <v>184</v>
      </c>
      <c r="J74" s="14" t="n">
        <v>423</v>
      </c>
      <c r="K74" s="14" t="n">
        <v>19</v>
      </c>
      <c r="L74" s="14" t="n">
        <v>23635</v>
      </c>
      <c r="M74" s="14" t="n">
        <v>1340</v>
      </c>
    </row>
    <row r="75" customFormat="false" ht="15.75" hidden="false" customHeight="false" outlineLevel="0" collapsed="false">
      <c r="A75" s="0" t="s">
        <v>40</v>
      </c>
      <c r="B75" s="1" t="n">
        <v>43935</v>
      </c>
      <c r="C75" s="14" t="n">
        <v>7529</v>
      </c>
      <c r="D75" s="14" t="n">
        <v>63</v>
      </c>
      <c r="E75" s="14" t="n">
        <v>355</v>
      </c>
      <c r="F75" s="14" t="n">
        <v>22</v>
      </c>
      <c r="G75" s="14" t="n">
        <v>597</v>
      </c>
      <c r="H75" s="14" t="n">
        <v>6577</v>
      </c>
      <c r="I75" s="14" t="n">
        <v>121</v>
      </c>
      <c r="J75" s="14" t="n">
        <v>427</v>
      </c>
      <c r="K75" s="14" t="n">
        <v>20</v>
      </c>
      <c r="L75" s="14" t="n">
        <v>24553</v>
      </c>
      <c r="M75" s="14" t="n">
        <v>1392</v>
      </c>
    </row>
    <row r="76" customFormat="false" ht="15.75" hidden="false" customHeight="false" outlineLevel="0" collapsed="false">
      <c r="A76" s="0" t="s">
        <v>40</v>
      </c>
      <c r="B76" s="1" t="n">
        <v>43936</v>
      </c>
      <c r="C76" s="14" t="n">
        <v>7603</v>
      </c>
      <c r="D76" s="14" t="n">
        <v>74</v>
      </c>
      <c r="E76" s="14" t="n">
        <v>369</v>
      </c>
      <c r="F76" s="14" t="n">
        <v>14</v>
      </c>
      <c r="G76" s="14" t="n">
        <v>696</v>
      </c>
      <c r="H76" s="14" t="n">
        <v>6538</v>
      </c>
      <c r="I76" s="14" t="n">
        <v>129</v>
      </c>
      <c r="J76" s="14" t="n">
        <v>431</v>
      </c>
      <c r="K76" s="14" t="n">
        <v>21</v>
      </c>
      <c r="L76" s="14" t="n">
        <v>25347</v>
      </c>
      <c r="M76" s="14" t="n">
        <v>1437</v>
      </c>
    </row>
    <row r="77" customFormat="false" ht="15.75" hidden="false" customHeight="false" outlineLevel="0" collapsed="false">
      <c r="A77" s="0" t="s">
        <v>40</v>
      </c>
      <c r="B77" s="1" t="n">
        <v>43937</v>
      </c>
      <c r="C77" s="14" t="n">
        <v>7858</v>
      </c>
      <c r="D77" s="14" t="n">
        <v>255</v>
      </c>
      <c r="E77" s="14" t="n">
        <v>388</v>
      </c>
      <c r="F77" s="14" t="n">
        <v>19</v>
      </c>
      <c r="G77" s="14" t="n">
        <v>780</v>
      </c>
      <c r="H77" s="14" t="n">
        <v>6690</v>
      </c>
      <c r="I77" s="14" t="n">
        <v>135</v>
      </c>
      <c r="J77" s="14" t="n">
        <v>445</v>
      </c>
      <c r="K77" s="14" t="n">
        <v>22</v>
      </c>
      <c r="L77" s="14" t="n">
        <v>26093</v>
      </c>
      <c r="M77" s="14" t="n">
        <v>1479</v>
      </c>
    </row>
    <row r="78" customFormat="false" ht="15.75" hidden="false" customHeight="false" outlineLevel="0" collapsed="false">
      <c r="A78" s="0" t="s">
        <v>40</v>
      </c>
      <c r="B78" s="1" t="n">
        <v>43938</v>
      </c>
      <c r="C78" s="14" t="n">
        <v>8225</v>
      </c>
      <c r="D78" s="14" t="n">
        <v>367</v>
      </c>
      <c r="E78" s="14" t="n">
        <v>403</v>
      </c>
      <c r="F78" s="14" t="n">
        <v>15</v>
      </c>
      <c r="G78" s="14" t="n">
        <v>838</v>
      </c>
      <c r="H78" s="14" t="n">
        <v>6984</v>
      </c>
      <c r="I78" s="14" t="n">
        <v>168</v>
      </c>
      <c r="J78" s="14" t="n">
        <v>466</v>
      </c>
      <c r="K78" s="14" t="n">
        <v>23</v>
      </c>
      <c r="L78" s="14" t="n">
        <v>27868</v>
      </c>
      <c r="M78" s="14" t="n">
        <v>1580</v>
      </c>
    </row>
    <row r="79" customFormat="false" ht="15.75" hidden="false" customHeight="false" outlineLevel="0" collapsed="false">
      <c r="A79" s="0" t="s">
        <v>40</v>
      </c>
      <c r="B79" s="1" t="n">
        <v>43939</v>
      </c>
      <c r="C79" s="14" t="n">
        <v>8450</v>
      </c>
      <c r="D79" s="14" t="n">
        <v>225</v>
      </c>
      <c r="E79" s="14" t="n">
        <v>421</v>
      </c>
      <c r="F79" s="14" t="n">
        <v>18</v>
      </c>
      <c r="G79" s="14" t="n">
        <v>838</v>
      </c>
      <c r="H79" s="14" t="n">
        <v>7191</v>
      </c>
      <c r="I79" s="14" t="n">
        <v>168</v>
      </c>
      <c r="J79" s="14" t="n">
        <v>479</v>
      </c>
      <c r="K79" s="14" t="n">
        <v>24</v>
      </c>
      <c r="L79" s="14" t="n">
        <v>27868</v>
      </c>
      <c r="M79" s="14" t="n">
        <v>1580</v>
      </c>
    </row>
    <row r="80" customFormat="false" ht="15.75" hidden="false" customHeight="false" outlineLevel="0" collapsed="false">
      <c r="A80" s="0" t="s">
        <v>40</v>
      </c>
      <c r="B80" s="1" t="n">
        <v>43940</v>
      </c>
      <c r="C80" s="14" t="n">
        <v>9022</v>
      </c>
      <c r="D80" s="14" t="n">
        <v>572</v>
      </c>
      <c r="E80" s="14" t="n">
        <v>456</v>
      </c>
      <c r="F80" s="14" t="n">
        <v>35</v>
      </c>
      <c r="G80" s="14" t="n">
        <v>1008</v>
      </c>
      <c r="H80" s="14" t="n">
        <v>7558</v>
      </c>
      <c r="I80" s="14" t="n">
        <v>168</v>
      </c>
      <c r="J80" s="14" t="n">
        <v>511</v>
      </c>
      <c r="K80" s="14" t="n">
        <v>26</v>
      </c>
      <c r="L80" s="14" t="n">
        <v>30922</v>
      </c>
      <c r="M80" s="14" t="n">
        <v>1753</v>
      </c>
    </row>
    <row r="81" customFormat="false" ht="15.75" hidden="false" customHeight="false" outlineLevel="0" collapsed="false">
      <c r="A81" s="0" t="s">
        <v>40</v>
      </c>
      <c r="B81" s="1" t="n">
        <v>43941</v>
      </c>
      <c r="C81" s="14" t="n">
        <v>9468</v>
      </c>
      <c r="D81" s="14" t="n">
        <v>446</v>
      </c>
      <c r="E81" s="14" t="n">
        <v>474</v>
      </c>
      <c r="F81" s="14" t="n">
        <v>18</v>
      </c>
      <c r="G81" s="14" t="n">
        <v>1061</v>
      </c>
      <c r="H81" s="14" t="n">
        <v>7933</v>
      </c>
      <c r="I81" s="14" t="n">
        <v>124</v>
      </c>
      <c r="J81" s="14" t="n">
        <v>537</v>
      </c>
      <c r="K81" s="14" t="n">
        <v>27</v>
      </c>
      <c r="L81" s="14" t="n">
        <v>31809</v>
      </c>
      <c r="M81" s="14" t="n">
        <v>1803</v>
      </c>
    </row>
    <row r="82" customFormat="false" ht="15.75" hidden="false" customHeight="false" outlineLevel="0" collapsed="false">
      <c r="A82" s="0" t="s">
        <v>40</v>
      </c>
      <c r="B82" s="1" t="n">
        <v>43942</v>
      </c>
      <c r="C82" s="6" t="n">
        <v>10128</v>
      </c>
      <c r="D82" s="6" t="n">
        <v>660</v>
      </c>
      <c r="E82" s="6" t="n">
        <v>507</v>
      </c>
      <c r="F82" s="6" t="n">
        <v>33</v>
      </c>
      <c r="G82" s="6" t="n">
        <v>1150</v>
      </c>
      <c r="H82" s="6" t="n">
        <v>8471</v>
      </c>
      <c r="I82" s="6" t="n">
        <v>124</v>
      </c>
      <c r="J82" s="6" t="n">
        <v>574</v>
      </c>
      <c r="K82" s="6" t="n">
        <v>29</v>
      </c>
      <c r="L82" s="6" t="n">
        <v>32453</v>
      </c>
      <c r="M82" s="6" t="n">
        <v>1839</v>
      </c>
    </row>
    <row r="83" customFormat="false" ht="15.75" hidden="false" customHeight="false" outlineLevel="0" collapsed="false">
      <c r="A83" s="0" t="s">
        <v>40</v>
      </c>
      <c r="B83" s="1" t="n">
        <v>43943</v>
      </c>
      <c r="C83" s="6" t="n">
        <v>10398</v>
      </c>
      <c r="D83" s="6" t="n">
        <v>270</v>
      </c>
      <c r="E83" s="6" t="n">
        <v>520</v>
      </c>
      <c r="F83" s="6" t="n">
        <v>13</v>
      </c>
      <c r="G83" s="6" t="n">
        <v>1207</v>
      </c>
      <c r="H83" s="6" t="n">
        <v>8671</v>
      </c>
      <c r="I83" s="6" t="n">
        <v>137</v>
      </c>
      <c r="J83" s="6" t="n">
        <v>589</v>
      </c>
      <c r="K83" s="6" t="n">
        <v>29</v>
      </c>
      <c r="L83" s="6" t="n">
        <v>33389</v>
      </c>
      <c r="M83" s="6" t="n">
        <v>1892</v>
      </c>
    </row>
    <row r="84" customFormat="false" ht="15.75" hidden="false" customHeight="false" outlineLevel="0" collapsed="false">
      <c r="A84" s="0" t="s">
        <v>40</v>
      </c>
      <c r="B84" s="1" t="n">
        <v>43944</v>
      </c>
      <c r="C84" s="6" t="n">
        <v>10850</v>
      </c>
      <c r="D84" s="6" t="n">
        <v>452</v>
      </c>
      <c r="E84" s="6" t="n">
        <v>537</v>
      </c>
      <c r="F84" s="6" t="n">
        <v>17</v>
      </c>
      <c r="G84" s="6" t="n">
        <v>1262</v>
      </c>
      <c r="H84" s="6" t="n">
        <v>9051</v>
      </c>
      <c r="I84" s="6" t="n">
        <v>141</v>
      </c>
      <c r="J84" s="6" t="n">
        <v>615</v>
      </c>
      <c r="K84" s="6" t="n">
        <v>30</v>
      </c>
      <c r="L84" s="6" t="n">
        <v>33389</v>
      </c>
      <c r="M84" s="6" t="n">
        <v>1892</v>
      </c>
    </row>
    <row r="85" customFormat="false" ht="15.75" hidden="false" customHeight="false" outlineLevel="0" collapsed="false">
      <c r="A85" s="0" t="s">
        <v>40</v>
      </c>
      <c r="B85" s="1" t="n">
        <v>43945</v>
      </c>
      <c r="C85" s="6" t="n">
        <v>11183</v>
      </c>
      <c r="D85" s="6" t="n">
        <v>333</v>
      </c>
      <c r="E85" s="6" t="n">
        <v>560</v>
      </c>
      <c r="F85" s="6" t="n">
        <v>23</v>
      </c>
      <c r="G85" s="6" t="n">
        <v>1328</v>
      </c>
      <c r="H85" s="6" t="n">
        <v>9295</v>
      </c>
      <c r="I85" s="6" t="n">
        <v>141</v>
      </c>
      <c r="J85" s="6" t="n">
        <v>634</v>
      </c>
      <c r="K85" s="6" t="n">
        <v>32</v>
      </c>
      <c r="L85" s="6" t="n">
        <v>34840</v>
      </c>
      <c r="M85" s="6" t="n">
        <v>1975</v>
      </c>
    </row>
    <row r="86" customFormat="false" ht="15.75" hidden="false" customHeight="false" outlineLevel="0" collapsed="false">
      <c r="A86" s="0" t="s">
        <v>40</v>
      </c>
      <c r="B86" s="1" t="n">
        <v>43946</v>
      </c>
      <c r="C86" s="6" t="n">
        <v>18778</v>
      </c>
      <c r="D86" s="6" t="n">
        <v>7595</v>
      </c>
      <c r="E86" s="6" t="n">
        <v>576</v>
      </c>
      <c r="F86" s="6" t="n">
        <v>16</v>
      </c>
      <c r="G86" s="6" t="n">
        <v>1366</v>
      </c>
      <c r="H86" s="6" t="n">
        <v>20777</v>
      </c>
      <c r="I86" s="6" t="n">
        <v>127</v>
      </c>
      <c r="J86" s="6" t="n">
        <v>1288</v>
      </c>
      <c r="K86" s="6" t="n">
        <v>33</v>
      </c>
      <c r="L86" s="6" t="n">
        <v>56513</v>
      </c>
      <c r="M86" s="6" t="n">
        <v>3203</v>
      </c>
    </row>
    <row r="87" customFormat="false" ht="15.75" hidden="false" customHeight="false" outlineLevel="0" collapsed="false">
      <c r="A87" s="0" t="s">
        <v>40</v>
      </c>
      <c r="B87" s="1" t="n">
        <v>43947</v>
      </c>
      <c r="C87" s="6" t="n">
        <v>18778</v>
      </c>
      <c r="D87" s="6" t="n">
        <v>0</v>
      </c>
      <c r="E87" s="6" t="n">
        <v>576</v>
      </c>
      <c r="F87" s="6" t="n">
        <v>0</v>
      </c>
      <c r="G87" s="6" t="n">
        <v>1366</v>
      </c>
      <c r="H87" s="6" t="n">
        <v>20777</v>
      </c>
      <c r="I87" s="6" t="n">
        <v>127</v>
      </c>
      <c r="J87" s="6" t="n">
        <v>1288</v>
      </c>
      <c r="K87" s="6" t="n">
        <v>33</v>
      </c>
      <c r="L87" s="6" t="n">
        <v>56513</v>
      </c>
      <c r="M87" s="6" t="n">
        <v>3203</v>
      </c>
    </row>
    <row r="88" customFormat="false" ht="15.75" hidden="false" customHeight="false" outlineLevel="0" collapsed="false">
      <c r="A88" s="0" t="s">
        <v>40</v>
      </c>
      <c r="B88" s="1" t="n">
        <v>43948</v>
      </c>
      <c r="C88" s="6" t="n">
        <v>18778</v>
      </c>
      <c r="D88" s="6" t="n">
        <v>0</v>
      </c>
      <c r="E88" s="6" t="n">
        <v>576</v>
      </c>
      <c r="F88" s="6" t="n">
        <v>0</v>
      </c>
      <c r="G88" s="6" t="n">
        <v>1366</v>
      </c>
      <c r="H88" s="6" t="n">
        <v>20777</v>
      </c>
      <c r="I88" s="6" t="n">
        <v>127</v>
      </c>
      <c r="J88" s="6" t="n">
        <v>1288</v>
      </c>
      <c r="K88" s="6" t="n">
        <v>33</v>
      </c>
      <c r="L88" s="6" t="n">
        <v>56513</v>
      </c>
      <c r="M88" s="6" t="n">
        <v>3203</v>
      </c>
    </row>
    <row r="89" customFormat="false" ht="15.75" hidden="false" customHeight="false" outlineLevel="0" collapsed="false">
      <c r="A89" s="0" t="s">
        <v>40</v>
      </c>
      <c r="B89" s="1" t="n">
        <v>43949</v>
      </c>
      <c r="C89" s="6" t="n">
        <v>19299</v>
      </c>
      <c r="D89" s="6" t="n">
        <v>521</v>
      </c>
      <c r="E89" s="6" t="n">
        <v>663</v>
      </c>
      <c r="F89" s="6" t="n">
        <v>87</v>
      </c>
      <c r="G89" s="6" t="n">
        <v>1557</v>
      </c>
      <c r="H89" s="6" t="n">
        <v>21020</v>
      </c>
      <c r="I89" s="6" t="n">
        <v>146</v>
      </c>
      <c r="J89" s="6" t="n">
        <v>1317</v>
      </c>
      <c r="K89" s="6" t="n">
        <v>38</v>
      </c>
      <c r="L89" s="6" t="n">
        <v>61529</v>
      </c>
      <c r="M89" s="6" t="n">
        <v>3487</v>
      </c>
    </row>
    <row r="90" customFormat="false" ht="15.75" hidden="false" customHeight="false" outlineLevel="0" collapsed="false">
      <c r="A90" s="0" t="s">
        <v>40</v>
      </c>
      <c r="B90" s="1" t="n">
        <v>43950</v>
      </c>
      <c r="C90" s="6" t="n">
        <v>20317</v>
      </c>
      <c r="D90" s="6" t="n">
        <v>1018</v>
      </c>
      <c r="E90" s="6" t="n">
        <v>871</v>
      </c>
      <c r="F90" s="6" t="n">
        <v>208</v>
      </c>
      <c r="G90" s="6" t="n">
        <v>1557</v>
      </c>
      <c r="H90" s="6" t="n">
        <v>21830</v>
      </c>
      <c r="I90" s="6" t="n">
        <v>146</v>
      </c>
      <c r="J90" s="6" t="n">
        <v>1375</v>
      </c>
      <c r="K90" s="6" t="n">
        <v>49</v>
      </c>
      <c r="L90" s="6" t="n">
        <v>61529</v>
      </c>
      <c r="M90" s="6" t="n">
        <v>3487</v>
      </c>
    </row>
    <row r="91" customFormat="false" ht="15.75" hidden="false" customHeight="false" outlineLevel="0" collapsed="false">
      <c r="A91" s="0" t="s">
        <v>40</v>
      </c>
      <c r="B91" s="1" t="n">
        <v>43951</v>
      </c>
      <c r="C91" s="6" t="n">
        <v>20734</v>
      </c>
      <c r="D91" s="6" t="n">
        <v>417</v>
      </c>
      <c r="E91" s="6" t="n">
        <v>871</v>
      </c>
      <c r="F91" s="6" t="n">
        <v>0</v>
      </c>
      <c r="G91" s="6" t="n">
        <v>1557</v>
      </c>
      <c r="H91" s="6" t="n">
        <v>21830</v>
      </c>
      <c r="I91" s="6" t="n">
        <v>146</v>
      </c>
      <c r="J91" s="6" t="n">
        <v>1375</v>
      </c>
      <c r="K91" s="6" t="n">
        <v>49</v>
      </c>
      <c r="L91" s="6" t="n">
        <v>61529</v>
      </c>
      <c r="M91" s="6" t="n">
        <v>3487</v>
      </c>
    </row>
    <row r="92" customFormat="false" ht="15.75" hidden="false" customHeight="false" outlineLevel="0" collapsed="false">
      <c r="A92" s="0" t="s">
        <v>40</v>
      </c>
      <c r="B92" s="1" t="n">
        <v>43952</v>
      </c>
      <c r="C92" s="6" t="n">
        <v>20993</v>
      </c>
      <c r="D92" s="6" t="n">
        <v>259</v>
      </c>
      <c r="E92" s="6" t="n">
        <v>900</v>
      </c>
      <c r="F92" s="6" t="n">
        <v>29</v>
      </c>
      <c r="G92" s="6" t="n">
        <v>1558</v>
      </c>
      <c r="H92" s="6" t="n">
        <v>22476</v>
      </c>
      <c r="I92" s="6" t="n">
        <v>146</v>
      </c>
      <c r="J92" s="6" t="n">
        <v>1413</v>
      </c>
      <c r="K92" s="6" t="n">
        <v>51</v>
      </c>
      <c r="L92" s="6" t="n">
        <v>69054</v>
      </c>
      <c r="M92" s="6" t="n">
        <v>3914</v>
      </c>
    </row>
    <row r="93" customFormat="false" ht="15.75" hidden="false" customHeight="false" outlineLevel="0" collapsed="false">
      <c r="A93" s="0" t="s">
        <v>40</v>
      </c>
      <c r="B93" s="1" t="n">
        <v>43953</v>
      </c>
      <c r="C93" s="6" t="n">
        <v>22395</v>
      </c>
      <c r="D93" s="6" t="n">
        <v>1402</v>
      </c>
      <c r="E93" s="6" t="n">
        <v>1063</v>
      </c>
      <c r="F93" s="6" t="n">
        <v>163</v>
      </c>
      <c r="G93" s="6" t="n">
        <v>1913</v>
      </c>
      <c r="H93" s="6" t="n">
        <v>23360</v>
      </c>
      <c r="I93" s="6" t="n">
        <v>149</v>
      </c>
      <c r="J93" s="6" t="n">
        <v>1493</v>
      </c>
      <c r="K93" s="6" t="n">
        <v>60</v>
      </c>
      <c r="L93" s="6" t="n">
        <v>71950</v>
      </c>
      <c r="M93" s="6" t="n">
        <v>4078</v>
      </c>
    </row>
    <row r="94" customFormat="false" ht="15.75" hidden="false" customHeight="false" outlineLevel="0" collapsed="false">
      <c r="A94" s="0" t="s">
        <v>40</v>
      </c>
      <c r="B94" s="1" t="n">
        <v>43954</v>
      </c>
      <c r="C94" s="6" t="n">
        <v>23523</v>
      </c>
      <c r="D94" s="6" t="n">
        <v>1128</v>
      </c>
      <c r="E94" s="6" t="n">
        <v>1371</v>
      </c>
      <c r="F94" s="6" t="n">
        <v>308</v>
      </c>
      <c r="G94" s="6" t="n">
        <v>2132</v>
      </c>
      <c r="H94" s="6" t="n">
        <v>23961</v>
      </c>
      <c r="I94" s="6" t="n">
        <v>149</v>
      </c>
      <c r="J94" s="6" t="n">
        <v>1557</v>
      </c>
      <c r="K94" s="6" t="n">
        <v>78</v>
      </c>
      <c r="L94" s="6" t="n">
        <v>73929</v>
      </c>
      <c r="M94" s="6" t="n">
        <v>4190</v>
      </c>
    </row>
    <row r="95" customFormat="false" ht="15.75" hidden="false" customHeight="false" outlineLevel="0" collapsed="false">
      <c r="A95" s="0" t="s">
        <v>40</v>
      </c>
      <c r="B95" s="1" t="n">
        <v>43955</v>
      </c>
      <c r="C95" s="6" t="n">
        <v>25597</v>
      </c>
      <c r="D95" s="6" t="n">
        <v>2074</v>
      </c>
      <c r="E95" s="6" t="n">
        <v>1564</v>
      </c>
      <c r="F95" s="6" t="n">
        <v>193</v>
      </c>
      <c r="G95" s="6" t="n">
        <v>3300</v>
      </c>
      <c r="H95" s="6" t="n">
        <v>24674</v>
      </c>
      <c r="I95" s="6" t="n">
        <v>149</v>
      </c>
      <c r="J95" s="6" t="n">
        <v>1674</v>
      </c>
      <c r="K95" s="6" t="n">
        <v>89</v>
      </c>
      <c r="L95" s="6" t="n">
        <v>78659</v>
      </c>
      <c r="M95" s="6" t="n">
        <v>4458</v>
      </c>
    </row>
    <row r="96" customFormat="false" ht="15.75" hidden="false" customHeight="false" outlineLevel="0" collapsed="false">
      <c r="A96" s="0" t="s">
        <v>40</v>
      </c>
      <c r="B96" s="1" t="n">
        <v>43956</v>
      </c>
      <c r="C96" s="6" t="n">
        <v>27940</v>
      </c>
      <c r="D96" s="6" t="n">
        <v>2343</v>
      </c>
      <c r="E96" s="6" t="n">
        <v>1569</v>
      </c>
      <c r="F96" s="6" t="n">
        <v>5</v>
      </c>
      <c r="G96" s="6" t="n">
        <v>3433</v>
      </c>
      <c r="H96" s="6" t="n">
        <v>26879</v>
      </c>
      <c r="I96" s="6" t="n">
        <v>159</v>
      </c>
      <c r="J96" s="6" t="n">
        <v>1807</v>
      </c>
      <c r="K96" s="6" t="n">
        <v>89</v>
      </c>
      <c r="L96" s="6" t="n">
        <v>80171</v>
      </c>
      <c r="M96" s="6" t="n">
        <v>4544</v>
      </c>
    </row>
    <row r="97" customFormat="false" ht="15.75" hidden="false" customHeight="false" outlineLevel="0" collapsed="false">
      <c r="A97" s="0" t="s">
        <v>40</v>
      </c>
      <c r="B97" s="1" t="n">
        <v>43957</v>
      </c>
      <c r="C97" s="6" t="n">
        <v>27940</v>
      </c>
      <c r="D97" s="6" t="n">
        <v>0</v>
      </c>
      <c r="E97" s="6" t="n">
        <v>1569</v>
      </c>
      <c r="F97" s="6" t="n">
        <v>0</v>
      </c>
      <c r="G97" s="6" t="n">
        <v>3433</v>
      </c>
      <c r="H97" s="6" t="n">
        <v>26879</v>
      </c>
      <c r="I97" s="6" t="n">
        <v>159</v>
      </c>
      <c r="J97" s="6" t="n">
        <v>1807</v>
      </c>
      <c r="K97" s="6" t="n">
        <v>89</v>
      </c>
      <c r="L97" s="6" t="n">
        <v>80171</v>
      </c>
      <c r="M97" s="6" t="n">
        <v>4544</v>
      </c>
    </row>
    <row r="98" customFormat="false" ht="15.75" hidden="false" customHeight="false" outlineLevel="0" collapsed="false">
      <c r="A98" s="0" t="s">
        <v>40</v>
      </c>
      <c r="B98" s="1" t="n">
        <v>43958</v>
      </c>
      <c r="C98" s="6" t="n">
        <v>27940</v>
      </c>
      <c r="D98" s="6" t="n">
        <v>0</v>
      </c>
      <c r="E98" s="6" t="n">
        <v>1618</v>
      </c>
      <c r="F98" s="6" t="n">
        <v>49</v>
      </c>
      <c r="G98" s="6" t="n">
        <v>3433</v>
      </c>
      <c r="H98" s="6" t="n">
        <v>26830</v>
      </c>
      <c r="I98" s="6" t="n">
        <v>156</v>
      </c>
      <c r="J98" s="6" t="n">
        <v>1807</v>
      </c>
      <c r="K98" s="6" t="n">
        <v>92</v>
      </c>
      <c r="L98" s="6" t="n">
        <v>81392</v>
      </c>
      <c r="M98" s="6" t="n">
        <v>4613</v>
      </c>
    </row>
    <row r="99" customFormat="false" ht="15.75" hidden="false" customHeight="false" outlineLevel="0" collapsed="false">
      <c r="A99" s="0" t="s">
        <v>40</v>
      </c>
      <c r="B99" s="1" t="n">
        <v>43959</v>
      </c>
      <c r="C99" s="6" t="n">
        <v>28818</v>
      </c>
      <c r="D99" s="6" t="n">
        <v>878</v>
      </c>
      <c r="E99" s="6" t="n">
        <v>1654</v>
      </c>
      <c r="F99" s="6" t="n">
        <v>36</v>
      </c>
      <c r="G99" s="6" t="n">
        <v>3433</v>
      </c>
      <c r="H99" s="6" t="n">
        <v>25211</v>
      </c>
      <c r="I99" s="6" t="n">
        <v>156</v>
      </c>
      <c r="J99" s="6" t="n">
        <v>1717</v>
      </c>
      <c r="K99" s="6" t="n">
        <v>94</v>
      </c>
      <c r="L99" s="6" t="n">
        <v>83218</v>
      </c>
      <c r="M99" s="6" t="n">
        <v>4717</v>
      </c>
    </row>
    <row r="100" customFormat="false" ht="15.75" hidden="false" customHeight="false" outlineLevel="0" collapsed="false">
      <c r="A100" s="0" t="s">
        <v>40</v>
      </c>
      <c r="B100" s="1" t="n">
        <v>43960</v>
      </c>
      <c r="C100" s="6" t="n">
        <v>28818</v>
      </c>
      <c r="D100" s="6" t="n">
        <v>0</v>
      </c>
      <c r="E100" s="6" t="n">
        <v>1654</v>
      </c>
      <c r="F100" s="6" t="n">
        <v>0</v>
      </c>
      <c r="G100" s="6" t="n">
        <v>3433</v>
      </c>
      <c r="H100" s="6" t="n">
        <v>25211</v>
      </c>
      <c r="I100" s="6" t="n">
        <v>156</v>
      </c>
      <c r="J100" s="6" t="n">
        <v>1717</v>
      </c>
      <c r="K100" s="6" t="n">
        <v>94</v>
      </c>
      <c r="L100" s="6" t="n">
        <v>83218</v>
      </c>
      <c r="M100" s="6" t="n">
        <v>4717</v>
      </c>
    </row>
    <row r="101" customFormat="false" ht="15.75" hidden="false" customHeight="false" outlineLevel="0" collapsed="false">
      <c r="A101" s="0" t="s">
        <v>40</v>
      </c>
      <c r="B101" s="1" t="n">
        <v>43961</v>
      </c>
      <c r="C101" s="6" t="n">
        <v>29071</v>
      </c>
      <c r="D101" s="6" t="n">
        <v>253</v>
      </c>
      <c r="E101" s="6" t="n">
        <v>1717</v>
      </c>
      <c r="F101" s="6" t="n">
        <v>63</v>
      </c>
      <c r="G101" s="6" t="n">
        <v>3433</v>
      </c>
      <c r="H101" s="6" t="n">
        <v>23921</v>
      </c>
      <c r="I101" s="6" t="n">
        <v>181</v>
      </c>
      <c r="J101" s="6" t="n">
        <v>1648</v>
      </c>
      <c r="K101" s="6" t="n">
        <v>97</v>
      </c>
      <c r="L101" s="6" t="n">
        <v>83657</v>
      </c>
      <c r="M101" s="6" t="n">
        <v>4742</v>
      </c>
    </row>
    <row r="102" customFormat="false" ht="15.75" hidden="false" customHeight="false" outlineLevel="0" collapsed="false">
      <c r="A102" s="0" t="s">
        <v>40</v>
      </c>
      <c r="B102" s="1" t="n">
        <v>43962</v>
      </c>
      <c r="C102" s="6" t="n">
        <v>29509</v>
      </c>
      <c r="D102" s="6" t="n">
        <v>438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40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40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40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40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40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40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40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40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40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40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40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40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40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40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40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40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40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40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40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40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40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40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40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40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40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40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40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40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40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40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40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40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40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40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40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40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40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40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40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40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40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40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40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40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40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40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40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40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40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40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40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40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40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40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40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40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40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40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40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40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40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40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40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40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40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40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40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40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40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40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40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40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40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40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40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40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40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40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40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40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40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40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40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40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40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41</v>
      </c>
      <c r="B37" s="1" t="n">
        <v>43897</v>
      </c>
      <c r="C37" s="8" t="n">
        <v>5</v>
      </c>
      <c r="D37" s="8" t="n">
        <v>4</v>
      </c>
      <c r="E37" s="8"/>
      <c r="F37" s="8"/>
      <c r="G37" s="8"/>
      <c r="H37" s="8" t="n">
        <v>5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41</v>
      </c>
      <c r="B38" s="1" t="n">
        <v>43898</v>
      </c>
      <c r="C38" s="6" t="n">
        <v>6</v>
      </c>
      <c r="D38" s="6" t="n">
        <v>1</v>
      </c>
      <c r="E38" s="6"/>
      <c r="F38" s="6"/>
      <c r="G38" s="6"/>
      <c r="H38" s="6" t="n">
        <v>6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41</v>
      </c>
      <c r="B39" s="1" t="n">
        <v>43899</v>
      </c>
      <c r="C39" s="6" t="n">
        <v>11</v>
      </c>
      <c r="D39" s="6" t="n">
        <v>5</v>
      </c>
      <c r="E39" s="6"/>
      <c r="F39" s="6"/>
      <c r="G39" s="6"/>
      <c r="H39" s="6" t="n">
        <v>11</v>
      </c>
      <c r="I39" s="6" t="n">
        <v>1</v>
      </c>
      <c r="J39" s="6" t="n">
        <v>0.3</v>
      </c>
      <c r="K39" s="6"/>
      <c r="L39" s="6"/>
      <c r="M39" s="6"/>
    </row>
    <row r="40" customFormat="false" ht="15.75" hidden="false" customHeight="false" outlineLevel="0" collapsed="false">
      <c r="A40" s="0" t="s">
        <v>41</v>
      </c>
      <c r="B40" s="1" t="n">
        <v>43900</v>
      </c>
      <c r="C40" s="6" t="n">
        <v>17</v>
      </c>
      <c r="D40" s="6" t="n">
        <v>6</v>
      </c>
      <c r="E40" s="6"/>
      <c r="F40" s="6"/>
      <c r="G40" s="6"/>
      <c r="H40" s="6" t="n">
        <v>17</v>
      </c>
      <c r="I40" s="6" t="n">
        <v>2</v>
      </c>
      <c r="J40" s="6" t="n">
        <v>0.4</v>
      </c>
      <c r="K40" s="6"/>
      <c r="L40" s="6"/>
      <c r="M40" s="6"/>
    </row>
    <row r="41" customFormat="false" ht="15.75" hidden="false" customHeight="false" outlineLevel="0" collapsed="false">
      <c r="A41" s="0" t="s">
        <v>41</v>
      </c>
      <c r="B41" s="1" t="n">
        <v>43901</v>
      </c>
      <c r="C41" s="6" t="n">
        <v>22</v>
      </c>
      <c r="D41" s="6" t="n">
        <v>5</v>
      </c>
      <c r="E41" s="6"/>
      <c r="F41" s="6"/>
      <c r="G41" s="6"/>
      <c r="H41" s="6" t="n">
        <v>22</v>
      </c>
      <c r="I41" s="6" t="n">
        <v>2</v>
      </c>
      <c r="J41" s="6" t="n">
        <v>0.6</v>
      </c>
      <c r="K41" s="6"/>
      <c r="L41" s="6"/>
      <c r="M41" s="6"/>
    </row>
    <row r="42" customFormat="false" ht="15.75" hidden="false" customHeight="false" outlineLevel="0" collapsed="false">
      <c r="A42" s="0" t="s">
        <v>41</v>
      </c>
      <c r="B42" s="1" t="n">
        <v>43902</v>
      </c>
      <c r="C42" s="6" t="n">
        <v>31</v>
      </c>
      <c r="D42" s="6" t="n">
        <v>9</v>
      </c>
      <c r="E42" s="6"/>
      <c r="F42" s="6"/>
      <c r="G42" s="6"/>
      <c r="H42" s="6" t="n">
        <v>31</v>
      </c>
      <c r="I42" s="6" t="n">
        <v>3</v>
      </c>
      <c r="J42" s="6" t="n">
        <v>0.8</v>
      </c>
      <c r="K42" s="6"/>
      <c r="L42" s="6"/>
      <c r="M42" s="6"/>
    </row>
    <row r="43" customFormat="false" ht="15.75" hidden="false" customHeight="false" outlineLevel="0" collapsed="false">
      <c r="A43" s="0" t="s">
        <v>41</v>
      </c>
      <c r="B43" s="1" t="n">
        <v>43903</v>
      </c>
      <c r="C43" s="6" t="n">
        <v>51</v>
      </c>
      <c r="D43" s="6" t="n">
        <v>20</v>
      </c>
      <c r="E43" s="6" t="n">
        <v>1</v>
      </c>
      <c r="F43" s="6" t="n">
        <v>1</v>
      </c>
      <c r="G43" s="6"/>
      <c r="H43" s="6" t="n">
        <v>50</v>
      </c>
      <c r="I43" s="6" t="n">
        <v>3</v>
      </c>
      <c r="J43" s="6" t="n">
        <v>1.3</v>
      </c>
      <c r="K43" s="6"/>
      <c r="L43" s="6"/>
      <c r="M43" s="6"/>
    </row>
    <row r="44" customFormat="false" ht="15.75" hidden="false" customHeight="false" outlineLevel="0" collapsed="false">
      <c r="A44" s="0" t="s">
        <v>41</v>
      </c>
      <c r="B44" s="1" t="n">
        <v>43904</v>
      </c>
      <c r="C44" s="6" t="n">
        <v>68</v>
      </c>
      <c r="D44" s="6" t="n">
        <v>17</v>
      </c>
      <c r="E44" s="6" t="n">
        <v>2</v>
      </c>
      <c r="F44" s="6" t="n">
        <v>1</v>
      </c>
      <c r="G44" s="6"/>
      <c r="H44" s="6" t="n">
        <v>66</v>
      </c>
      <c r="I44" s="6" t="n">
        <v>3</v>
      </c>
      <c r="J44" s="6" t="n">
        <v>1.8</v>
      </c>
      <c r="K44" s="6"/>
      <c r="L44" s="6"/>
      <c r="M44" s="6"/>
    </row>
    <row r="45" customFormat="false" ht="15.75" hidden="false" customHeight="false" outlineLevel="0" collapsed="false">
      <c r="A45" s="0" t="s">
        <v>41</v>
      </c>
      <c r="B45" s="1" t="n">
        <v>43905</v>
      </c>
      <c r="C45" s="6" t="n">
        <v>103</v>
      </c>
      <c r="D45" s="6" t="n">
        <v>35</v>
      </c>
      <c r="E45" s="6" t="n">
        <v>3</v>
      </c>
      <c r="F45" s="6" t="n">
        <v>1</v>
      </c>
      <c r="G45" s="6" t="n">
        <v>13</v>
      </c>
      <c r="H45" s="6" t="n">
        <v>87</v>
      </c>
      <c r="I45" s="6" t="n">
        <v>3</v>
      </c>
      <c r="J45" s="6" t="n">
        <v>2.7</v>
      </c>
      <c r="K45" s="6"/>
      <c r="L45" s="6"/>
      <c r="M45" s="6"/>
    </row>
    <row r="46" customFormat="false" ht="15.75" hidden="false" customHeight="false" outlineLevel="0" collapsed="false">
      <c r="A46" s="0" t="s">
        <v>41</v>
      </c>
      <c r="B46" s="1" t="n">
        <v>43906</v>
      </c>
      <c r="C46" s="6" t="n">
        <v>125</v>
      </c>
      <c r="D46" s="6" t="n">
        <v>22</v>
      </c>
      <c r="E46" s="6" t="n">
        <v>3</v>
      </c>
      <c r="F46" s="6" t="n">
        <v>0</v>
      </c>
      <c r="G46" s="6" t="n">
        <v>13</v>
      </c>
      <c r="H46" s="6" t="n">
        <v>109</v>
      </c>
      <c r="I46" s="6" t="n">
        <v>3</v>
      </c>
      <c r="J46" s="6" t="n">
        <v>3.3</v>
      </c>
      <c r="K46" s="6"/>
      <c r="L46" s="6"/>
      <c r="M46" s="6"/>
    </row>
    <row r="47" customFormat="false" ht="15.75" hidden="false" customHeight="false" outlineLevel="0" collapsed="false">
      <c r="A47" s="0" t="s">
        <v>41</v>
      </c>
      <c r="B47" s="1" t="n">
        <v>43907</v>
      </c>
      <c r="C47" s="6" t="n">
        <v>177</v>
      </c>
      <c r="D47" s="6" t="n">
        <v>52</v>
      </c>
      <c r="E47" s="6" t="n">
        <v>4</v>
      </c>
      <c r="F47" s="6" t="n">
        <v>1</v>
      </c>
      <c r="G47" s="6"/>
      <c r="H47" s="6" t="n">
        <v>173</v>
      </c>
      <c r="I47" s="6" t="n">
        <v>3</v>
      </c>
      <c r="J47" s="6" t="n">
        <v>4.7</v>
      </c>
      <c r="K47" s="6"/>
      <c r="L47" s="6"/>
      <c r="M47" s="6"/>
    </row>
    <row r="48" customFormat="false" ht="15.75" hidden="false" customHeight="false" outlineLevel="0" collapsed="false">
      <c r="A48" s="0" t="s">
        <v>41</v>
      </c>
      <c r="B48" s="1" t="n">
        <v>43908</v>
      </c>
      <c r="C48" s="6" t="n">
        <v>238</v>
      </c>
      <c r="D48" s="6" t="n">
        <v>61</v>
      </c>
      <c r="E48" s="6" t="n">
        <v>5</v>
      </c>
      <c r="F48" s="6" t="n">
        <v>1</v>
      </c>
      <c r="G48" s="6" t="n">
        <v>1</v>
      </c>
      <c r="H48" s="6" t="n">
        <v>232</v>
      </c>
      <c r="I48" s="6" t="n">
        <v>3</v>
      </c>
      <c r="J48" s="6" t="n">
        <v>6.3</v>
      </c>
      <c r="K48" s="6"/>
      <c r="L48" s="6"/>
      <c r="M48" s="6"/>
    </row>
    <row r="49" customFormat="false" ht="15.75" hidden="false" customHeight="false" outlineLevel="0" collapsed="false">
      <c r="A49" s="0" t="s">
        <v>41</v>
      </c>
      <c r="B49" s="1" t="n">
        <v>43909</v>
      </c>
      <c r="C49" s="6" t="n">
        <v>287</v>
      </c>
      <c r="D49" s="6" t="n">
        <v>49</v>
      </c>
      <c r="E49" s="6" t="n">
        <v>5</v>
      </c>
      <c r="F49" s="6" t="n">
        <v>0</v>
      </c>
      <c r="G49" s="6" t="n">
        <v>1</v>
      </c>
      <c r="H49" s="6" t="n">
        <v>281</v>
      </c>
      <c r="I49" s="6" t="n">
        <v>3</v>
      </c>
      <c r="J49" s="6" t="n">
        <v>8</v>
      </c>
      <c r="K49" s="6"/>
      <c r="L49" s="6"/>
      <c r="M49" s="6"/>
    </row>
    <row r="50" customFormat="false" ht="15.75" hidden="false" customHeight="false" outlineLevel="0" collapsed="false">
      <c r="A50" s="0" t="s">
        <v>41</v>
      </c>
      <c r="B50" s="1" t="n">
        <v>43910</v>
      </c>
      <c r="C50" s="6" t="n">
        <v>355</v>
      </c>
      <c r="D50" s="6" t="n">
        <v>68</v>
      </c>
      <c r="E50" s="6" t="n">
        <v>5</v>
      </c>
      <c r="F50" s="6" t="n">
        <v>0</v>
      </c>
      <c r="G50" s="6" t="n">
        <v>13</v>
      </c>
      <c r="H50" s="6" t="n">
        <v>337</v>
      </c>
      <c r="I50" s="6" t="n">
        <v>3</v>
      </c>
      <c r="J50" s="6" t="n">
        <v>9</v>
      </c>
      <c r="K50" s="6"/>
      <c r="L50" s="6"/>
      <c r="M50" s="6"/>
    </row>
    <row r="51" customFormat="false" ht="15.75" hidden="false" customHeight="false" outlineLevel="0" collapsed="false">
      <c r="A51" s="0" t="s">
        <v>41</v>
      </c>
      <c r="B51" s="1" t="n">
        <v>43911</v>
      </c>
      <c r="C51" s="6" t="n">
        <v>439</v>
      </c>
      <c r="D51" s="6" t="n">
        <v>84</v>
      </c>
      <c r="E51" s="6" t="n">
        <v>5</v>
      </c>
      <c r="F51" s="6" t="n">
        <v>0</v>
      </c>
      <c r="G51" s="6" t="n">
        <v>13</v>
      </c>
      <c r="H51" s="6" t="n">
        <v>421</v>
      </c>
      <c r="I51" s="6" t="n">
        <v>3</v>
      </c>
      <c r="J51" s="6" t="n">
        <v>12</v>
      </c>
      <c r="K51" s="6"/>
      <c r="L51" s="6"/>
      <c r="M51" s="6"/>
    </row>
    <row r="52" customFormat="false" ht="15.75" hidden="false" customHeight="false" outlineLevel="0" collapsed="false">
      <c r="A52" s="0" t="s">
        <v>41</v>
      </c>
      <c r="B52" s="1" t="n">
        <v>43912</v>
      </c>
      <c r="C52" s="6" t="n">
        <v>536</v>
      </c>
      <c r="D52" s="6" t="n">
        <v>97</v>
      </c>
      <c r="E52" s="6" t="n">
        <v>5</v>
      </c>
      <c r="F52" s="6" t="n">
        <v>0</v>
      </c>
      <c r="G52" s="6" t="n">
        <v>13</v>
      </c>
      <c r="H52" s="6" t="n">
        <v>518</v>
      </c>
      <c r="I52" s="6" t="n">
        <v>3</v>
      </c>
      <c r="J52" s="6" t="n">
        <v>14</v>
      </c>
      <c r="K52" s="6"/>
      <c r="L52" s="6"/>
      <c r="M52" s="6"/>
    </row>
    <row r="53" customFormat="false" ht="15.75" hidden="false" customHeight="false" outlineLevel="0" collapsed="false">
      <c r="A53" s="0" t="s">
        <v>41</v>
      </c>
      <c r="B53" s="1" t="n">
        <v>43913</v>
      </c>
      <c r="C53" s="6" t="n">
        <v>634</v>
      </c>
      <c r="D53" s="6" t="n">
        <v>98</v>
      </c>
      <c r="E53" s="6" t="n">
        <v>7</v>
      </c>
      <c r="F53" s="6" t="n">
        <v>2</v>
      </c>
      <c r="G53" s="6" t="n">
        <v>13</v>
      </c>
      <c r="H53" s="6" t="n">
        <v>614</v>
      </c>
      <c r="I53" s="6" t="n">
        <v>3</v>
      </c>
      <c r="J53" s="6" t="n">
        <v>17</v>
      </c>
      <c r="K53" s="6"/>
      <c r="L53" s="6"/>
      <c r="M53" s="6"/>
    </row>
    <row r="54" customFormat="false" ht="15.75" hidden="false" customHeight="false" outlineLevel="0" collapsed="false">
      <c r="A54" s="0" t="s">
        <v>41</v>
      </c>
      <c r="B54" s="1" t="n">
        <v>43914</v>
      </c>
      <c r="C54" s="6" t="n">
        <v>749</v>
      </c>
      <c r="D54" s="6" t="n">
        <v>115</v>
      </c>
      <c r="E54" s="6" t="n">
        <v>8</v>
      </c>
      <c r="F54" s="6" t="n">
        <v>1</v>
      </c>
      <c r="G54" s="6" t="n">
        <v>13</v>
      </c>
      <c r="H54" s="6" t="n">
        <v>728</v>
      </c>
      <c r="I54" s="6" t="n">
        <v>3</v>
      </c>
      <c r="J54" s="6" t="n">
        <v>20</v>
      </c>
      <c r="K54" s="6"/>
      <c r="L54" s="6"/>
      <c r="M54" s="6"/>
    </row>
    <row r="55" customFormat="false" ht="15.75" hidden="false" customHeight="false" outlineLevel="0" collapsed="false">
      <c r="A55" s="0" t="s">
        <v>41</v>
      </c>
      <c r="B55" s="1" t="n">
        <v>43915</v>
      </c>
      <c r="C55" s="7" t="n">
        <v>901</v>
      </c>
      <c r="D55" s="7" t="n">
        <v>152</v>
      </c>
      <c r="E55" s="7" t="n">
        <v>10</v>
      </c>
      <c r="F55" s="7" t="n">
        <v>2</v>
      </c>
      <c r="G55" s="7" t="n">
        <v>1</v>
      </c>
      <c r="H55" s="7" t="n">
        <v>890</v>
      </c>
      <c r="I55" s="7" t="n">
        <v>3</v>
      </c>
      <c r="J55" s="7" t="n">
        <v>24</v>
      </c>
      <c r="K55" s="22" t="n">
        <v>0.3</v>
      </c>
      <c r="L55" s="7"/>
      <c r="M55" s="7"/>
    </row>
    <row r="56" customFormat="false" ht="15.75" hidden="false" customHeight="false" outlineLevel="0" collapsed="false">
      <c r="A56" s="0" t="s">
        <v>41</v>
      </c>
      <c r="B56" s="1" t="n">
        <v>43916</v>
      </c>
      <c r="C56" s="7" t="n">
        <v>1051</v>
      </c>
      <c r="D56" s="7" t="n">
        <v>150</v>
      </c>
      <c r="E56" s="7" t="n">
        <v>14</v>
      </c>
      <c r="F56" s="7" t="n">
        <v>4</v>
      </c>
      <c r="G56" s="7" t="n">
        <v>7</v>
      </c>
      <c r="H56" s="7" t="n">
        <v>1030</v>
      </c>
      <c r="I56" s="7" t="n">
        <v>3</v>
      </c>
      <c r="J56" s="7" t="n">
        <v>28</v>
      </c>
      <c r="K56" s="22" t="n">
        <v>0.4</v>
      </c>
      <c r="L56" s="7"/>
      <c r="M56" s="7"/>
    </row>
    <row r="57" customFormat="false" ht="15.75" hidden="false" customHeight="false" outlineLevel="0" collapsed="false">
      <c r="A57" s="0" t="s">
        <v>41</v>
      </c>
      <c r="B57" s="1" t="n">
        <v>43917</v>
      </c>
      <c r="C57" s="7" t="n">
        <v>1221</v>
      </c>
      <c r="D57" s="7" t="n">
        <v>170</v>
      </c>
      <c r="E57" s="7" t="n">
        <v>16</v>
      </c>
      <c r="F57" s="7" t="n">
        <v>2</v>
      </c>
      <c r="G57" s="7" t="n">
        <v>7</v>
      </c>
      <c r="H57" s="7" t="n">
        <v>1198</v>
      </c>
      <c r="I57" s="7" t="n">
        <v>3</v>
      </c>
      <c r="J57" s="7" t="n">
        <v>32</v>
      </c>
      <c r="K57" s="22" t="n">
        <v>0.4</v>
      </c>
      <c r="L57" s="7"/>
      <c r="M57" s="7"/>
    </row>
    <row r="58" customFormat="false" ht="15.75" hidden="false" customHeight="false" outlineLevel="0" collapsed="false">
      <c r="A58" s="0" t="s">
        <v>41</v>
      </c>
      <c r="B58" s="1" t="n">
        <v>43918</v>
      </c>
      <c r="C58" s="7" t="n">
        <v>1389</v>
      </c>
      <c r="D58" s="7" t="n">
        <v>168</v>
      </c>
      <c r="E58" s="7" t="n">
        <v>16</v>
      </c>
      <c r="F58" s="7" t="n">
        <v>0</v>
      </c>
      <c r="G58" s="7" t="n">
        <v>7</v>
      </c>
      <c r="H58" s="7" t="n">
        <v>1366</v>
      </c>
      <c r="I58" s="7" t="n">
        <v>3</v>
      </c>
      <c r="J58" s="7" t="n">
        <v>37</v>
      </c>
      <c r="K58" s="22" t="n">
        <v>0.4</v>
      </c>
      <c r="L58" s="7"/>
      <c r="M58" s="7"/>
    </row>
    <row r="59" customFormat="false" ht="15.75" hidden="false" customHeight="false" outlineLevel="0" collapsed="false">
      <c r="A59" s="0" t="s">
        <v>41</v>
      </c>
      <c r="B59" s="1" t="n">
        <v>43919</v>
      </c>
      <c r="C59" s="7" t="n">
        <v>1638</v>
      </c>
      <c r="D59" s="7" t="n">
        <v>249</v>
      </c>
      <c r="E59" s="7" t="n">
        <v>18</v>
      </c>
      <c r="F59" s="7" t="n">
        <v>2</v>
      </c>
      <c r="G59" s="7" t="n">
        <v>7</v>
      </c>
      <c r="H59" s="7" t="n">
        <v>1613</v>
      </c>
      <c r="I59" s="7" t="n">
        <v>3</v>
      </c>
      <c r="J59" s="7" t="n">
        <v>43</v>
      </c>
      <c r="K59" s="22" t="n">
        <v>0.5</v>
      </c>
      <c r="L59" s="7"/>
      <c r="M59" s="7"/>
    </row>
    <row r="60" customFormat="false" ht="15.75" hidden="false" customHeight="false" outlineLevel="0" collapsed="false">
      <c r="A60" s="0" t="s">
        <v>41</v>
      </c>
      <c r="B60" s="1" t="n">
        <v>43920</v>
      </c>
      <c r="C60" s="7" t="n">
        <v>1862</v>
      </c>
      <c r="D60" s="7" t="n">
        <v>224</v>
      </c>
      <c r="E60" s="7" t="n">
        <v>22</v>
      </c>
      <c r="F60" s="7" t="n">
        <v>4</v>
      </c>
      <c r="G60" s="7" t="n">
        <v>7</v>
      </c>
      <c r="H60" s="7" t="n">
        <v>1833</v>
      </c>
      <c r="I60" s="7" t="n">
        <v>3</v>
      </c>
      <c r="J60" s="7" t="n">
        <v>49</v>
      </c>
      <c r="K60" s="22" t="n">
        <v>0.6</v>
      </c>
      <c r="L60" s="7"/>
      <c r="M60" s="7"/>
    </row>
    <row r="61" customFormat="false" ht="15.75" hidden="false" customHeight="false" outlineLevel="0" collapsed="false">
      <c r="A61" s="0" t="s">
        <v>41</v>
      </c>
      <c r="B61" s="1" t="n">
        <v>43921</v>
      </c>
      <c r="C61" s="7" t="n">
        <v>2055</v>
      </c>
      <c r="D61" s="7" t="n">
        <v>193</v>
      </c>
      <c r="E61" s="7" t="n">
        <v>31</v>
      </c>
      <c r="F61" s="7" t="n">
        <v>9</v>
      </c>
      <c r="G61" s="7" t="n">
        <v>7</v>
      </c>
      <c r="H61" s="7" t="n">
        <v>2017</v>
      </c>
      <c r="I61" s="7" t="n">
        <v>3</v>
      </c>
      <c r="J61" s="7" t="n">
        <v>54</v>
      </c>
      <c r="K61" s="22" t="n">
        <v>0.8</v>
      </c>
      <c r="L61" s="7"/>
      <c r="M61" s="7"/>
    </row>
    <row r="62" customFormat="false" ht="15.75" hidden="false" customHeight="false" outlineLevel="0" collapsed="false">
      <c r="A62" s="0" t="s">
        <v>41</v>
      </c>
      <c r="B62" s="1" t="n">
        <v>43922</v>
      </c>
      <c r="C62" s="7" t="n">
        <v>2311</v>
      </c>
      <c r="D62" s="7" t="n">
        <v>256</v>
      </c>
      <c r="E62" s="7" t="n">
        <v>33</v>
      </c>
      <c r="F62" s="7" t="n">
        <v>2</v>
      </c>
      <c r="G62" s="7" t="n">
        <v>7</v>
      </c>
      <c r="H62" s="7" t="n">
        <v>2271</v>
      </c>
      <c r="I62" s="7" t="n">
        <v>50</v>
      </c>
      <c r="J62" s="7" t="n">
        <v>61</v>
      </c>
      <c r="K62" s="22" t="n">
        <v>0.9</v>
      </c>
      <c r="L62" s="7"/>
      <c r="M62" s="7"/>
    </row>
    <row r="63" customFormat="false" ht="15.75" hidden="false" customHeight="false" outlineLevel="0" collapsed="false">
      <c r="A63" s="0" t="s">
        <v>41</v>
      </c>
      <c r="B63" s="1" t="n">
        <v>43923</v>
      </c>
      <c r="C63" s="7" t="n">
        <v>2554</v>
      </c>
      <c r="D63" s="7" t="n">
        <v>243</v>
      </c>
      <c r="E63" s="7" t="n">
        <v>43</v>
      </c>
      <c r="F63" s="7" t="n">
        <v>10</v>
      </c>
      <c r="G63" s="7" t="n">
        <v>47</v>
      </c>
      <c r="H63" s="7" t="n">
        <v>2464</v>
      </c>
      <c r="I63" s="7" t="n">
        <v>50</v>
      </c>
      <c r="J63" s="7" t="n">
        <v>67</v>
      </c>
      <c r="K63" s="7" t="n">
        <v>1</v>
      </c>
      <c r="L63" s="7"/>
      <c r="M63" s="7"/>
    </row>
    <row r="64" customFormat="false" ht="15.75" hidden="false" customHeight="false" outlineLevel="0" collapsed="false">
      <c r="A64" s="0" t="s">
        <v>41</v>
      </c>
      <c r="B64" s="1" t="n">
        <v>43924</v>
      </c>
      <c r="C64" s="7" t="n">
        <v>2946</v>
      </c>
      <c r="D64" s="7" t="n">
        <v>392</v>
      </c>
      <c r="E64" s="7" t="n">
        <v>57</v>
      </c>
      <c r="F64" s="7" t="n">
        <v>14</v>
      </c>
      <c r="G64" s="7" t="n">
        <v>56</v>
      </c>
      <c r="H64" s="7" t="n">
        <v>2833</v>
      </c>
      <c r="I64" s="7" t="n">
        <v>50</v>
      </c>
      <c r="J64" s="7" t="n">
        <v>78</v>
      </c>
      <c r="K64" s="7" t="n">
        <v>2</v>
      </c>
      <c r="L64" s="7"/>
      <c r="M64" s="7"/>
    </row>
    <row r="65" customFormat="false" ht="15.75" hidden="false" customHeight="false" outlineLevel="0" collapsed="false">
      <c r="A65" s="0" t="s">
        <v>41</v>
      </c>
      <c r="B65" s="1" t="n">
        <v>43925</v>
      </c>
      <c r="C65" s="7" t="n">
        <v>3383</v>
      </c>
      <c r="D65" s="7" t="n">
        <v>437</v>
      </c>
      <c r="E65" s="7" t="n">
        <v>71</v>
      </c>
      <c r="F65" s="7" t="n">
        <v>14</v>
      </c>
      <c r="G65" s="7" t="n">
        <v>56</v>
      </c>
      <c r="H65" s="7" t="n">
        <v>3256</v>
      </c>
      <c r="I65" s="7" t="n">
        <v>50</v>
      </c>
      <c r="J65" s="7" t="n">
        <v>89</v>
      </c>
      <c r="K65" s="7" t="n">
        <v>2</v>
      </c>
      <c r="L65" s="7"/>
      <c r="M65" s="7"/>
    </row>
    <row r="66" customFormat="false" ht="15.75" hidden="false" customHeight="false" outlineLevel="0" collapsed="false">
      <c r="A66" s="0" t="s">
        <v>41</v>
      </c>
      <c r="B66" s="1" t="n">
        <v>43926</v>
      </c>
      <c r="C66" s="7" t="n">
        <v>3627</v>
      </c>
      <c r="D66" s="7" t="n">
        <v>244</v>
      </c>
      <c r="E66" s="7" t="n">
        <v>79</v>
      </c>
      <c r="F66" s="7" t="n">
        <v>8</v>
      </c>
      <c r="G66" s="7" t="n">
        <v>116</v>
      </c>
      <c r="H66" s="7" t="n">
        <v>3432</v>
      </c>
      <c r="I66" s="7" t="n">
        <v>50</v>
      </c>
      <c r="J66" s="7" t="n">
        <v>96</v>
      </c>
      <c r="K66" s="7" t="n">
        <v>2</v>
      </c>
      <c r="L66" s="7" t="n">
        <v>72901</v>
      </c>
      <c r="M66" s="7" t="n">
        <v>1926</v>
      </c>
    </row>
    <row r="67" customFormat="false" ht="15.75" hidden="false" customHeight="false" outlineLevel="0" collapsed="false">
      <c r="A67" s="0" t="s">
        <v>41</v>
      </c>
      <c r="B67" s="1" t="n">
        <v>43927</v>
      </c>
      <c r="C67" s="7" t="n">
        <v>4102</v>
      </c>
      <c r="D67" s="7" t="n">
        <v>475</v>
      </c>
      <c r="E67" s="7" t="n">
        <v>94</v>
      </c>
      <c r="F67" s="7" t="n">
        <v>15</v>
      </c>
      <c r="G67" s="7" t="n">
        <v>134</v>
      </c>
      <c r="H67" s="7" t="n">
        <v>3874</v>
      </c>
      <c r="I67" s="7" t="n">
        <v>50</v>
      </c>
      <c r="J67" s="7" t="n">
        <v>108</v>
      </c>
      <c r="K67" s="7" t="n">
        <v>2</v>
      </c>
      <c r="L67" s="7" t="n">
        <v>80757</v>
      </c>
      <c r="M67" s="7" t="n">
        <v>2134</v>
      </c>
    </row>
    <row r="68" customFormat="false" ht="15.75" hidden="false" customHeight="false" outlineLevel="0" collapsed="false">
      <c r="A68" s="0" t="s">
        <v>41</v>
      </c>
      <c r="B68" s="1" t="n">
        <v>43928</v>
      </c>
      <c r="C68" s="12" t="n">
        <v>4413</v>
      </c>
      <c r="D68" s="12" t="n">
        <v>311</v>
      </c>
      <c r="E68" s="12" t="n">
        <v>107</v>
      </c>
      <c r="F68" s="12" t="n">
        <v>13</v>
      </c>
      <c r="G68" s="12" t="n">
        <v>162</v>
      </c>
      <c r="H68" s="12" t="n">
        <v>4144</v>
      </c>
      <c r="I68" s="12" t="n">
        <v>50</v>
      </c>
      <c r="J68" s="12" t="n">
        <v>117</v>
      </c>
      <c r="K68" s="12" t="n">
        <v>3</v>
      </c>
      <c r="L68" s="12" t="n">
        <v>85467</v>
      </c>
      <c r="M68" s="12" t="n">
        <v>2258</v>
      </c>
    </row>
    <row r="69" customFormat="false" ht="15.75" hidden="false" customHeight="false" outlineLevel="0" collapsed="false">
      <c r="A69" s="0" t="s">
        <v>41</v>
      </c>
      <c r="B69" s="1" t="n">
        <v>43929</v>
      </c>
      <c r="C69" s="14" t="n">
        <v>4848</v>
      </c>
      <c r="D69" s="14" t="n">
        <v>435</v>
      </c>
      <c r="E69" s="14" t="n">
        <v>129</v>
      </c>
      <c r="F69" s="14" t="n">
        <v>22</v>
      </c>
      <c r="G69" s="14" t="n">
        <v>191</v>
      </c>
      <c r="H69" s="14" t="n">
        <v>4528</v>
      </c>
      <c r="I69" s="14" t="n">
        <v>50</v>
      </c>
      <c r="J69" s="14" t="n">
        <v>128</v>
      </c>
      <c r="K69" s="14" t="n">
        <v>3</v>
      </c>
      <c r="L69" s="14" t="n">
        <v>92215</v>
      </c>
      <c r="M69" s="14" t="n">
        <v>2437</v>
      </c>
    </row>
    <row r="70" customFormat="false" ht="15.75" hidden="false" customHeight="false" outlineLevel="0" collapsed="false">
      <c r="A70" s="0" t="s">
        <v>41</v>
      </c>
      <c r="B70" s="1" t="n">
        <v>43930</v>
      </c>
      <c r="C70" s="14" t="n">
        <v>5205</v>
      </c>
      <c r="D70" s="14" t="n">
        <v>357</v>
      </c>
      <c r="E70" s="14" t="n">
        <v>159</v>
      </c>
      <c r="F70" s="14" t="n">
        <v>30</v>
      </c>
      <c r="G70" s="14" t="n">
        <v>222</v>
      </c>
      <c r="H70" s="14" t="n">
        <v>4824</v>
      </c>
      <c r="I70" s="14" t="n">
        <v>160</v>
      </c>
      <c r="J70" s="14" t="n">
        <v>138</v>
      </c>
      <c r="K70" s="14" t="n">
        <v>4</v>
      </c>
      <c r="L70" s="14" t="n">
        <v>99284</v>
      </c>
      <c r="M70" s="14" t="n">
        <v>2623</v>
      </c>
    </row>
    <row r="71" customFormat="false" ht="15.75" hidden="false" customHeight="false" outlineLevel="0" collapsed="false">
      <c r="A71" s="0" t="s">
        <v>41</v>
      </c>
      <c r="B71" s="1" t="n">
        <v>43931</v>
      </c>
      <c r="C71" s="14" t="n">
        <v>5575</v>
      </c>
      <c r="D71" s="14" t="n">
        <v>370</v>
      </c>
      <c r="E71" s="14" t="n">
        <v>174</v>
      </c>
      <c r="F71" s="14" t="n">
        <v>15</v>
      </c>
      <c r="G71" s="14" t="n">
        <v>284</v>
      </c>
      <c r="H71" s="14" t="n">
        <v>5117</v>
      </c>
      <c r="I71" s="14" t="n">
        <v>160</v>
      </c>
      <c r="J71" s="14" t="n">
        <v>147</v>
      </c>
      <c r="K71" s="14" t="n">
        <v>5</v>
      </c>
      <c r="L71" s="14" t="n">
        <v>107597</v>
      </c>
      <c r="M71" s="14" t="n">
        <v>2843</v>
      </c>
    </row>
    <row r="72" customFormat="false" ht="15.75" hidden="false" customHeight="false" outlineLevel="0" collapsed="false">
      <c r="A72" s="0" t="s">
        <v>41</v>
      </c>
      <c r="B72" s="1" t="n">
        <v>43932</v>
      </c>
      <c r="C72" s="14" t="n">
        <v>5955</v>
      </c>
      <c r="D72" s="14" t="n">
        <v>380</v>
      </c>
      <c r="E72" s="14" t="n">
        <v>181</v>
      </c>
      <c r="F72" s="14" t="n">
        <v>7</v>
      </c>
      <c r="G72" s="14" t="n">
        <v>318</v>
      </c>
      <c r="H72" s="14" t="n">
        <v>5456</v>
      </c>
      <c r="I72" s="14" t="n">
        <v>160</v>
      </c>
      <c r="J72" s="14" t="n">
        <v>157</v>
      </c>
      <c r="K72" s="14" t="n">
        <v>5</v>
      </c>
      <c r="L72" s="14" t="n">
        <v>118295</v>
      </c>
      <c r="M72" s="14" t="n">
        <v>3126</v>
      </c>
    </row>
    <row r="73" customFormat="false" ht="15.75" hidden="false" customHeight="false" outlineLevel="0" collapsed="false">
      <c r="A73" s="0" t="s">
        <v>41</v>
      </c>
      <c r="B73" s="1" t="n">
        <v>43933</v>
      </c>
      <c r="C73" s="14" t="n">
        <v>6356</v>
      </c>
      <c r="D73" s="14" t="n">
        <v>401</v>
      </c>
      <c r="E73" s="14" t="n">
        <v>208</v>
      </c>
      <c r="F73" s="14" t="n">
        <v>27</v>
      </c>
      <c r="G73" s="14" t="n">
        <v>375</v>
      </c>
      <c r="H73" s="14" t="n">
        <v>5773</v>
      </c>
      <c r="I73" s="14" t="n">
        <v>160</v>
      </c>
      <c r="J73" s="14" t="n">
        <v>168</v>
      </c>
      <c r="K73" s="14" t="n">
        <v>5</v>
      </c>
      <c r="L73" s="14" t="n">
        <v>129560</v>
      </c>
      <c r="M73" s="14" t="n">
        <v>3423</v>
      </c>
    </row>
    <row r="74" customFormat="false" ht="15.75" hidden="false" customHeight="false" outlineLevel="0" collapsed="false">
      <c r="A74" s="0" t="s">
        <v>41</v>
      </c>
      <c r="B74" s="1" t="n">
        <v>43934</v>
      </c>
      <c r="C74" s="14" t="n">
        <v>6674</v>
      </c>
      <c r="D74" s="14" t="n">
        <v>318</v>
      </c>
      <c r="E74" s="14" t="n">
        <v>232</v>
      </c>
      <c r="F74" s="14" t="n">
        <v>24</v>
      </c>
      <c r="G74" s="14" t="n">
        <v>439</v>
      </c>
      <c r="H74" s="14" t="n">
        <v>6003</v>
      </c>
      <c r="I74" s="14" t="n">
        <v>160</v>
      </c>
      <c r="J74" s="14" t="n">
        <v>176</v>
      </c>
      <c r="K74" s="14" t="n">
        <v>6</v>
      </c>
      <c r="L74" s="14" t="n">
        <v>138007</v>
      </c>
      <c r="M74" s="14" t="n">
        <v>3646</v>
      </c>
    </row>
    <row r="75" customFormat="false" ht="15.75" hidden="false" customHeight="false" outlineLevel="0" collapsed="false">
      <c r="A75" s="0" t="s">
        <v>41</v>
      </c>
      <c r="B75" s="1" t="n">
        <v>43935</v>
      </c>
      <c r="C75" s="14" t="n">
        <v>6934</v>
      </c>
      <c r="D75" s="14" t="n">
        <v>260</v>
      </c>
      <c r="E75" s="14" t="n">
        <v>245</v>
      </c>
      <c r="F75" s="14" t="n">
        <v>13</v>
      </c>
      <c r="G75" s="14" t="n">
        <v>487</v>
      </c>
      <c r="H75" s="14" t="n">
        <v>6202</v>
      </c>
      <c r="I75" s="14" t="n">
        <v>160</v>
      </c>
      <c r="J75" s="14" t="n">
        <v>183</v>
      </c>
      <c r="K75" s="14" t="n">
        <v>6</v>
      </c>
      <c r="L75" s="14" t="n">
        <v>143630</v>
      </c>
      <c r="M75" s="14" t="n">
        <v>3795</v>
      </c>
    </row>
    <row r="76" customFormat="false" ht="15.75" hidden="false" customHeight="false" outlineLevel="0" collapsed="false">
      <c r="A76" s="0" t="s">
        <v>41</v>
      </c>
      <c r="B76" s="1" t="n">
        <v>43936</v>
      </c>
      <c r="C76" s="14" t="n">
        <v>7202</v>
      </c>
      <c r="D76" s="14" t="n">
        <v>268</v>
      </c>
      <c r="E76" s="14" t="n">
        <v>263</v>
      </c>
      <c r="F76" s="14" t="n">
        <v>18</v>
      </c>
      <c r="G76" s="14" t="n">
        <v>618</v>
      </c>
      <c r="H76" s="14" t="n">
        <v>6321</v>
      </c>
      <c r="I76" s="14" t="n">
        <v>160</v>
      </c>
      <c r="J76" s="14" t="n">
        <v>190</v>
      </c>
      <c r="K76" s="14" t="n">
        <v>7</v>
      </c>
      <c r="L76" s="14" t="n">
        <v>148321</v>
      </c>
      <c r="M76" s="14" t="n">
        <v>3919</v>
      </c>
    </row>
    <row r="77" customFormat="false" ht="15.75" hidden="false" customHeight="false" outlineLevel="0" collapsed="false">
      <c r="A77" s="0" t="s">
        <v>41</v>
      </c>
      <c r="B77" s="1" t="n">
        <v>43937</v>
      </c>
      <c r="C77" s="14" t="n">
        <v>7582</v>
      </c>
      <c r="D77" s="14" t="n">
        <v>380</v>
      </c>
      <c r="E77" s="14" t="n">
        <v>286</v>
      </c>
      <c r="F77" s="14" t="n">
        <v>23</v>
      </c>
      <c r="G77" s="14" t="n">
        <v>668</v>
      </c>
      <c r="H77" s="14" t="n">
        <v>6628</v>
      </c>
      <c r="I77" s="14" t="n">
        <v>160</v>
      </c>
      <c r="J77" s="14" t="n">
        <v>200</v>
      </c>
      <c r="K77" s="14" t="n">
        <v>8</v>
      </c>
      <c r="L77" s="14" t="n">
        <v>156493</v>
      </c>
      <c r="M77" s="14" t="n">
        <v>4135</v>
      </c>
    </row>
    <row r="78" customFormat="false" ht="15.75" hidden="false" customHeight="false" outlineLevel="0" collapsed="false">
      <c r="A78" s="0" t="s">
        <v>41</v>
      </c>
      <c r="B78" s="1" t="n">
        <v>43938</v>
      </c>
      <c r="C78" s="14" t="n">
        <v>7918</v>
      </c>
      <c r="D78" s="14" t="n">
        <v>336</v>
      </c>
      <c r="E78" s="14" t="n">
        <v>314</v>
      </c>
      <c r="F78" s="14" t="n">
        <v>28</v>
      </c>
      <c r="G78" s="14" t="n">
        <v>774</v>
      </c>
      <c r="H78" s="14" t="n">
        <v>6830</v>
      </c>
      <c r="I78" s="14" t="n">
        <v>160</v>
      </c>
      <c r="J78" s="14" t="n">
        <v>209</v>
      </c>
      <c r="K78" s="14" t="n">
        <v>8</v>
      </c>
      <c r="L78" s="14" t="n">
        <v>169071</v>
      </c>
      <c r="M78" s="14" t="n">
        <v>4467</v>
      </c>
    </row>
    <row r="79" customFormat="false" ht="15.75" hidden="false" customHeight="false" outlineLevel="0" collapsed="false">
      <c r="A79" s="0" t="s">
        <v>41</v>
      </c>
      <c r="B79" s="1" t="n">
        <v>43939</v>
      </c>
      <c r="C79" s="14" t="n">
        <v>8379</v>
      </c>
      <c r="D79" s="14" t="n">
        <v>461</v>
      </c>
      <c r="E79" s="14" t="n">
        <v>332</v>
      </c>
      <c r="F79" s="14" t="n">
        <v>18</v>
      </c>
      <c r="G79" s="14" t="n">
        <v>866</v>
      </c>
      <c r="H79" s="14" t="n">
        <v>7181</v>
      </c>
      <c r="I79" s="14" t="n">
        <v>160</v>
      </c>
      <c r="J79" s="14" t="n">
        <v>221</v>
      </c>
      <c r="K79" s="14" t="n">
        <v>9</v>
      </c>
      <c r="L79" s="14" t="n">
        <v>179654</v>
      </c>
      <c r="M79" s="14" t="n">
        <v>4747</v>
      </c>
    </row>
    <row r="80" customFormat="false" ht="15.75" hidden="false" customHeight="false" outlineLevel="0" collapsed="false">
      <c r="A80" s="0" t="s">
        <v>41</v>
      </c>
      <c r="B80" s="1" t="n">
        <v>43940</v>
      </c>
      <c r="C80" s="14" t="n">
        <v>8742</v>
      </c>
      <c r="D80" s="14" t="n">
        <v>363</v>
      </c>
      <c r="E80" s="14" t="n">
        <v>347</v>
      </c>
      <c r="F80" s="14" t="n">
        <v>15</v>
      </c>
      <c r="G80" s="14" t="n">
        <v>981</v>
      </c>
      <c r="H80" s="14" t="n">
        <v>7414</v>
      </c>
      <c r="I80" s="14" t="n">
        <v>160</v>
      </c>
      <c r="J80" s="14" t="n">
        <v>231</v>
      </c>
      <c r="K80" s="14" t="n">
        <v>9</v>
      </c>
      <c r="L80" s="14" t="n">
        <v>192960</v>
      </c>
      <c r="M80" s="14" t="n">
        <v>5098</v>
      </c>
    </row>
    <row r="81" customFormat="false" ht="15.75" hidden="false" customHeight="false" outlineLevel="0" collapsed="false">
      <c r="A81" s="0" t="s">
        <v>41</v>
      </c>
      <c r="B81" s="1" t="n">
        <v>43941</v>
      </c>
      <c r="C81" s="14" t="n">
        <v>9287</v>
      </c>
      <c r="D81" s="14" t="n">
        <v>545</v>
      </c>
      <c r="E81" s="14" t="n">
        <v>360</v>
      </c>
      <c r="F81" s="14" t="n">
        <v>13</v>
      </c>
      <c r="G81" s="14" t="n">
        <v>1040</v>
      </c>
      <c r="H81" s="14" t="n">
        <v>7887</v>
      </c>
      <c r="I81" s="14" t="n">
        <v>160</v>
      </c>
      <c r="J81" s="14" t="n">
        <v>245</v>
      </c>
      <c r="K81" s="14" t="n">
        <v>10</v>
      </c>
      <c r="L81" s="14" t="n">
        <v>204246</v>
      </c>
      <c r="M81" s="14" t="n">
        <v>5397</v>
      </c>
    </row>
    <row r="82" customFormat="false" ht="15.75" hidden="false" customHeight="false" outlineLevel="0" collapsed="false">
      <c r="A82" s="0" t="s">
        <v>41</v>
      </c>
      <c r="B82" s="1" t="n">
        <v>43942</v>
      </c>
      <c r="C82" s="6" t="n">
        <v>9593</v>
      </c>
      <c r="D82" s="6" t="n">
        <v>306</v>
      </c>
      <c r="E82" s="6" t="n">
        <v>380</v>
      </c>
      <c r="F82" s="6" t="n">
        <v>20</v>
      </c>
      <c r="G82" s="6" t="n">
        <v>1133</v>
      </c>
      <c r="H82" s="6" t="n">
        <v>8080</v>
      </c>
      <c r="I82" s="6" t="n">
        <v>160</v>
      </c>
      <c r="J82" s="6" t="n">
        <v>253</v>
      </c>
      <c r="K82" s="6" t="n">
        <v>10</v>
      </c>
      <c r="L82" s="6" t="n">
        <v>214236</v>
      </c>
      <c r="M82" s="6" t="n">
        <v>5661</v>
      </c>
    </row>
    <row r="83" customFormat="false" ht="15.75" hidden="false" customHeight="false" outlineLevel="0" collapsed="false">
      <c r="A83" s="0" t="s">
        <v>41</v>
      </c>
      <c r="B83" s="1" t="n">
        <v>43943</v>
      </c>
      <c r="C83" s="6" t="n">
        <v>9856</v>
      </c>
      <c r="D83" s="6" t="n">
        <v>263</v>
      </c>
      <c r="E83" s="6" t="n">
        <v>401</v>
      </c>
      <c r="F83" s="6" t="n">
        <v>21</v>
      </c>
      <c r="G83" s="6" t="n">
        <v>1297</v>
      </c>
      <c r="H83" s="6" t="n">
        <v>8158</v>
      </c>
      <c r="I83" s="6" t="n">
        <v>160</v>
      </c>
      <c r="J83" s="6" t="n">
        <v>260</v>
      </c>
      <c r="K83" s="6" t="n">
        <v>11</v>
      </c>
      <c r="L83" s="6" t="n">
        <v>224355</v>
      </c>
      <c r="M83" s="6" t="n">
        <v>5928</v>
      </c>
    </row>
    <row r="84" customFormat="false" ht="15.75" hidden="false" customHeight="false" outlineLevel="0" collapsed="false">
      <c r="A84" s="0" t="s">
        <v>41</v>
      </c>
      <c r="B84" s="1" t="n">
        <v>43944</v>
      </c>
      <c r="C84" s="6" t="n">
        <v>10169</v>
      </c>
      <c r="D84" s="6" t="n">
        <v>313</v>
      </c>
      <c r="E84" s="6" t="n">
        <v>426</v>
      </c>
      <c r="F84" s="6" t="n">
        <v>25</v>
      </c>
      <c r="G84" s="6" t="n">
        <v>1513</v>
      </c>
      <c r="H84" s="6" t="n">
        <v>8230</v>
      </c>
      <c r="I84" s="6" t="n">
        <v>160</v>
      </c>
      <c r="J84" s="6" t="n">
        <v>269</v>
      </c>
      <c r="K84" s="6" t="n">
        <v>11</v>
      </c>
      <c r="L84" s="6" t="n">
        <v>238799</v>
      </c>
      <c r="M84" s="6" t="n">
        <v>6310</v>
      </c>
    </row>
    <row r="85" customFormat="false" ht="15.75" hidden="false" customHeight="false" outlineLevel="0" collapsed="false">
      <c r="A85" s="0" t="s">
        <v>41</v>
      </c>
      <c r="B85" s="1" t="n">
        <v>43945</v>
      </c>
      <c r="C85" s="6" t="n">
        <v>10511</v>
      </c>
      <c r="D85" s="6" t="n">
        <v>342</v>
      </c>
      <c r="E85" s="6" t="n">
        <v>454</v>
      </c>
      <c r="F85" s="6" t="n">
        <v>28</v>
      </c>
      <c r="G85" s="6" t="n">
        <v>1740</v>
      </c>
      <c r="H85" s="6" t="n">
        <v>8317</v>
      </c>
      <c r="I85" s="6" t="n">
        <v>160</v>
      </c>
      <c r="J85" s="6" t="n">
        <v>278</v>
      </c>
      <c r="K85" s="6" t="n">
        <v>12</v>
      </c>
      <c r="L85" s="6" t="n">
        <v>250719</v>
      </c>
      <c r="M85" s="6" t="n">
        <v>6625</v>
      </c>
    </row>
    <row r="86" customFormat="false" ht="15.75" hidden="false" customHeight="false" outlineLevel="0" collapsed="false">
      <c r="A86" s="0" t="s">
        <v>41</v>
      </c>
      <c r="B86" s="1" t="n">
        <v>43946</v>
      </c>
      <c r="C86" s="6" t="n">
        <v>10892</v>
      </c>
      <c r="D86" s="6" t="n">
        <v>381</v>
      </c>
      <c r="E86" s="6" t="n">
        <v>494</v>
      </c>
      <c r="F86" s="6" t="n">
        <v>40</v>
      </c>
      <c r="G86" s="6" t="n">
        <v>1944</v>
      </c>
      <c r="H86" s="6" t="n">
        <v>8454</v>
      </c>
      <c r="I86" s="6" t="n">
        <v>160</v>
      </c>
      <c r="J86" s="6" t="n">
        <v>288</v>
      </c>
      <c r="K86" s="6" t="n">
        <v>13</v>
      </c>
      <c r="L86" s="6" t="n">
        <v>265201</v>
      </c>
      <c r="M86" s="6" t="n">
        <v>7007</v>
      </c>
    </row>
    <row r="87" customFormat="false" ht="15.75" hidden="false" customHeight="false" outlineLevel="0" collapsed="false">
      <c r="A87" s="0" t="s">
        <v>41</v>
      </c>
      <c r="B87" s="1" t="n">
        <v>43947</v>
      </c>
      <c r="C87" s="6" t="n">
        <v>11273</v>
      </c>
      <c r="D87" s="6" t="n">
        <v>381</v>
      </c>
      <c r="E87" s="6" t="n">
        <v>524</v>
      </c>
      <c r="F87" s="6" t="n">
        <v>30</v>
      </c>
      <c r="G87" s="6" t="n">
        <v>2126</v>
      </c>
      <c r="H87" s="6" t="n">
        <v>8623</v>
      </c>
      <c r="I87" s="6" t="n">
        <v>160</v>
      </c>
      <c r="J87" s="6" t="n">
        <v>298</v>
      </c>
      <c r="K87" s="6" t="n">
        <v>14</v>
      </c>
      <c r="L87" s="6" t="n">
        <v>278994</v>
      </c>
      <c r="M87" s="6" t="n">
        <v>7372</v>
      </c>
    </row>
    <row r="88" customFormat="false" ht="15.75" hidden="false" customHeight="false" outlineLevel="0" collapsed="false">
      <c r="A88" s="0" t="s">
        <v>41</v>
      </c>
      <c r="B88" s="1" t="n">
        <v>43948</v>
      </c>
      <c r="C88" s="6" t="n">
        <v>11617</v>
      </c>
      <c r="D88" s="6" t="n">
        <v>344</v>
      </c>
      <c r="E88" s="6" t="n">
        <v>535</v>
      </c>
      <c r="F88" s="6" t="n">
        <v>11</v>
      </c>
      <c r="G88" s="6" t="n">
        <v>2265</v>
      </c>
      <c r="H88" s="6" t="n">
        <v>8817</v>
      </c>
      <c r="I88" s="6" t="n">
        <v>160</v>
      </c>
      <c r="J88" s="6" t="n">
        <v>307</v>
      </c>
      <c r="K88" s="6" t="n">
        <v>14</v>
      </c>
      <c r="L88" s="6" t="n">
        <v>290633</v>
      </c>
      <c r="M88" s="6" t="n">
        <v>7679</v>
      </c>
    </row>
    <row r="89" customFormat="false" ht="13.5" hidden="false" customHeight="false" outlineLevel="0" collapsed="false">
      <c r="A89" s="0" t="s">
        <v>41</v>
      </c>
      <c r="B89" s="1" t="n">
        <v>43949</v>
      </c>
      <c r="C89" s="2" t="n">
        <v>11902</v>
      </c>
      <c r="D89" s="2" t="n">
        <v>285</v>
      </c>
      <c r="E89" s="2" t="n">
        <v>562</v>
      </c>
      <c r="F89" s="2" t="n">
        <v>27</v>
      </c>
      <c r="G89" s="2" t="n">
        <v>2466</v>
      </c>
      <c r="H89" s="2" t="n">
        <v>8874</v>
      </c>
      <c r="I89" s="2" t="n">
        <v>160</v>
      </c>
      <c r="J89" s="2" t="n">
        <v>314</v>
      </c>
      <c r="K89" s="2" t="n">
        <v>15</v>
      </c>
      <c r="L89" s="2" t="n">
        <v>297859</v>
      </c>
      <c r="M89" s="2" t="n">
        <v>7870</v>
      </c>
    </row>
    <row r="90" customFormat="false" ht="13.5" hidden="false" customHeight="false" outlineLevel="0" collapsed="false">
      <c r="A90" s="0" t="s">
        <v>41</v>
      </c>
      <c r="B90" s="1" t="n">
        <v>43950</v>
      </c>
      <c r="C90" s="2" t="n">
        <v>12218</v>
      </c>
      <c r="D90" s="2" t="n">
        <v>316</v>
      </c>
      <c r="E90" s="2" t="n">
        <v>596</v>
      </c>
      <c r="F90" s="2" t="n">
        <v>34</v>
      </c>
      <c r="G90" s="2" t="n">
        <v>2655</v>
      </c>
      <c r="H90" s="2" t="n">
        <v>8967</v>
      </c>
      <c r="I90" s="2" t="n">
        <v>160</v>
      </c>
      <c r="J90" s="2" t="n">
        <v>323</v>
      </c>
      <c r="K90" s="2" t="n">
        <v>16</v>
      </c>
      <c r="L90" s="2" t="n">
        <v>310744</v>
      </c>
      <c r="M90" s="2" t="n">
        <v>8211</v>
      </c>
    </row>
    <row r="91" customFormat="false" ht="13.5" hidden="false" customHeight="false" outlineLevel="0" collapsed="false">
      <c r="A91" s="0" t="s">
        <v>41</v>
      </c>
      <c r="B91" s="1" t="n">
        <v>43951</v>
      </c>
      <c r="C91" s="2" t="n">
        <v>12640</v>
      </c>
      <c r="D91" s="2" t="n">
        <v>422</v>
      </c>
      <c r="E91" s="2" t="n">
        <v>624</v>
      </c>
      <c r="F91" s="2" t="n">
        <v>28</v>
      </c>
      <c r="G91" s="2" t="n">
        <v>3025</v>
      </c>
      <c r="H91" s="2" t="n">
        <v>8991</v>
      </c>
      <c r="I91" s="2" t="n">
        <v>160</v>
      </c>
      <c r="J91" s="2" t="n">
        <v>334</v>
      </c>
      <c r="K91" s="2" t="n">
        <v>16</v>
      </c>
      <c r="L91" s="2" t="n">
        <v>324527</v>
      </c>
      <c r="M91" s="2" t="n">
        <v>8575</v>
      </c>
    </row>
    <row r="92" customFormat="false" ht="14.25" hidden="false" customHeight="false" outlineLevel="0" collapsed="false">
      <c r="A92" s="0" t="s">
        <v>41</v>
      </c>
      <c r="B92" s="1" t="n">
        <v>43952</v>
      </c>
      <c r="C92" s="2" t="n">
        <v>12877</v>
      </c>
      <c r="D92" s="2" t="n">
        <v>237</v>
      </c>
      <c r="E92" s="2" t="n">
        <v>644</v>
      </c>
      <c r="F92" s="2" t="n">
        <v>20</v>
      </c>
      <c r="G92" s="2" t="n">
        <v>3236</v>
      </c>
      <c r="H92" s="2" t="n">
        <v>8997</v>
      </c>
      <c r="I92" s="2" t="n">
        <v>160</v>
      </c>
      <c r="J92" s="2" t="n">
        <v>340</v>
      </c>
      <c r="K92" s="2" t="n">
        <v>17</v>
      </c>
      <c r="L92" s="2" t="n">
        <v>338027</v>
      </c>
      <c r="M92" s="2" t="n">
        <v>8931</v>
      </c>
    </row>
    <row r="93" customFormat="false" ht="15.75" hidden="false" customHeight="false" outlineLevel="0" collapsed="false">
      <c r="A93" s="0" t="s">
        <v>41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41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41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41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41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41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41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41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41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41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41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41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41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41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41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41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41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41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41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41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41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41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41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41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41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41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41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41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41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41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41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41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41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41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41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41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41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41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41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41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41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41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41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41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41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41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41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41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41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41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41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41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41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41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41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41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41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41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41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41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41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41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41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41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41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41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41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41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41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41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41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41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41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41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41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41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41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41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41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41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41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41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41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41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41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41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41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41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41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41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41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41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41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41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41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P172" activeCellId="0" sqref="P172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42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42</v>
      </c>
      <c r="B37" s="1" t="n">
        <v>43897</v>
      </c>
      <c r="C37" s="8" t="n">
        <v>9</v>
      </c>
      <c r="D37" s="8" t="n">
        <v>3</v>
      </c>
      <c r="E37" s="8"/>
      <c r="F37" s="8"/>
      <c r="G37" s="8" t="n">
        <v>3</v>
      </c>
      <c r="H37" s="8" t="n">
        <v>6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42</v>
      </c>
      <c r="B38" s="1" t="n">
        <v>43898</v>
      </c>
      <c r="C38" s="6" t="n">
        <v>13</v>
      </c>
      <c r="D38" s="6" t="n">
        <v>4</v>
      </c>
      <c r="E38" s="6"/>
      <c r="F38" s="6"/>
      <c r="G38" s="6" t="n">
        <v>3</v>
      </c>
      <c r="H38" s="6" t="n">
        <v>10</v>
      </c>
      <c r="I38" s="6"/>
      <c r="J38" s="6" t="n">
        <v>0.7</v>
      </c>
      <c r="K38" s="6"/>
      <c r="L38" s="6"/>
      <c r="M38" s="6"/>
    </row>
    <row r="39" customFormat="false" ht="15.75" hidden="false" customHeight="false" outlineLevel="0" collapsed="false">
      <c r="A39" s="0" t="s">
        <v>42</v>
      </c>
      <c r="B39" s="1" t="n">
        <v>43899</v>
      </c>
      <c r="C39" s="6" t="n">
        <v>15</v>
      </c>
      <c r="D39" s="6" t="n">
        <v>2</v>
      </c>
      <c r="E39" s="6"/>
      <c r="F39" s="6"/>
      <c r="G39" s="6" t="n">
        <v>5</v>
      </c>
      <c r="H39" s="6" t="n">
        <v>10</v>
      </c>
      <c r="I39" s="6"/>
      <c r="J39" s="6" t="n">
        <v>0.8</v>
      </c>
      <c r="K39" s="6"/>
      <c r="L39" s="6"/>
      <c r="M39" s="6"/>
    </row>
    <row r="40" customFormat="false" ht="15.75" hidden="false" customHeight="false" outlineLevel="0" collapsed="false">
      <c r="A40" s="0" t="s">
        <v>42</v>
      </c>
      <c r="B40" s="1" t="n">
        <v>43900</v>
      </c>
      <c r="C40" s="6" t="n">
        <v>17</v>
      </c>
      <c r="D40" s="6" t="n">
        <v>2</v>
      </c>
      <c r="E40" s="6"/>
      <c r="F40" s="6"/>
      <c r="G40" s="6" t="n">
        <v>5</v>
      </c>
      <c r="H40" s="6" t="n">
        <v>12</v>
      </c>
      <c r="I40" s="6"/>
      <c r="J40" s="6" t="n">
        <v>0.9</v>
      </c>
      <c r="K40" s="6"/>
      <c r="L40" s="6"/>
      <c r="M40" s="6"/>
    </row>
    <row r="41" customFormat="false" ht="15.75" hidden="false" customHeight="false" outlineLevel="0" collapsed="false">
      <c r="A41" s="0" t="s">
        <v>42</v>
      </c>
      <c r="B41" s="1" t="n">
        <v>43901</v>
      </c>
      <c r="C41" s="6" t="n">
        <v>29</v>
      </c>
      <c r="D41" s="6" t="n">
        <v>12</v>
      </c>
      <c r="E41" s="6"/>
      <c r="F41" s="6"/>
      <c r="G41" s="6" t="n">
        <v>5</v>
      </c>
      <c r="H41" s="6" t="n">
        <v>24</v>
      </c>
      <c r="I41" s="6"/>
      <c r="J41" s="6" t="n">
        <v>1.5</v>
      </c>
      <c r="K41" s="6"/>
      <c r="L41" s="6"/>
      <c r="M41" s="6"/>
    </row>
    <row r="42" customFormat="false" ht="15.75" hidden="false" customHeight="false" outlineLevel="0" collapsed="false">
      <c r="A42" s="0" t="s">
        <v>42</v>
      </c>
      <c r="B42" s="1" t="n">
        <v>43902</v>
      </c>
      <c r="C42" s="6" t="n">
        <v>47</v>
      </c>
      <c r="D42" s="6" t="n">
        <v>18</v>
      </c>
      <c r="E42" s="6"/>
      <c r="F42" s="6"/>
      <c r="G42" s="6" t="n">
        <v>6</v>
      </c>
      <c r="H42" s="6" t="n">
        <v>41</v>
      </c>
      <c r="I42" s="6"/>
      <c r="J42" s="6" t="n">
        <v>2.4</v>
      </c>
      <c r="K42" s="6"/>
      <c r="L42" s="6"/>
      <c r="M42" s="6"/>
    </row>
    <row r="43" customFormat="false" ht="15.75" hidden="false" customHeight="false" outlineLevel="0" collapsed="false">
      <c r="A43" s="0" t="s">
        <v>42</v>
      </c>
      <c r="B43" s="1" t="n">
        <v>43903</v>
      </c>
      <c r="C43" s="6" t="n">
        <v>59</v>
      </c>
      <c r="D43" s="6" t="n">
        <v>12</v>
      </c>
      <c r="E43" s="6"/>
      <c r="F43" s="6"/>
      <c r="G43" s="6" t="n">
        <v>6</v>
      </c>
      <c r="H43" s="6" t="n">
        <v>53</v>
      </c>
      <c r="I43" s="6" t="n">
        <v>1</v>
      </c>
      <c r="J43" s="6" t="n">
        <v>3.1</v>
      </c>
      <c r="K43" s="6"/>
      <c r="L43" s="6"/>
      <c r="M43" s="6"/>
    </row>
    <row r="44" customFormat="false" ht="15.75" hidden="false" customHeight="false" outlineLevel="0" collapsed="false">
      <c r="A44" s="0" t="s">
        <v>42</v>
      </c>
      <c r="B44" s="1" t="n">
        <v>43904</v>
      </c>
      <c r="C44" s="6" t="n">
        <v>89</v>
      </c>
      <c r="D44" s="6" t="n">
        <v>30</v>
      </c>
      <c r="E44" s="6"/>
      <c r="F44" s="6"/>
      <c r="G44" s="6" t="n">
        <v>7</v>
      </c>
      <c r="H44" s="6" t="n">
        <v>82</v>
      </c>
      <c r="I44" s="6" t="n">
        <v>1</v>
      </c>
      <c r="J44" s="6" t="n">
        <v>4.6</v>
      </c>
      <c r="K44" s="6"/>
      <c r="L44" s="6"/>
      <c r="M44" s="6"/>
    </row>
    <row r="45" customFormat="false" ht="15.75" hidden="false" customHeight="false" outlineLevel="0" collapsed="false">
      <c r="A45" s="0" t="s">
        <v>42</v>
      </c>
      <c r="B45" s="1" t="n">
        <v>43905</v>
      </c>
      <c r="C45" s="6" t="n">
        <v>123</v>
      </c>
      <c r="D45" s="6" t="n">
        <v>34</v>
      </c>
      <c r="E45" s="6"/>
      <c r="F45" s="6"/>
      <c r="G45" s="6" t="n">
        <v>9</v>
      </c>
      <c r="H45" s="6" t="n">
        <v>114</v>
      </c>
      <c r="I45" s="6" t="n">
        <v>1</v>
      </c>
      <c r="J45" s="6" t="n">
        <v>6.4</v>
      </c>
      <c r="K45" s="6"/>
      <c r="L45" s="6"/>
      <c r="M45" s="6"/>
    </row>
    <row r="46" customFormat="false" ht="15.75" hidden="false" customHeight="false" outlineLevel="0" collapsed="false">
      <c r="A46" s="0" t="s">
        <v>42</v>
      </c>
      <c r="B46" s="1" t="n">
        <v>43906</v>
      </c>
      <c r="C46" s="6" t="n">
        <v>139</v>
      </c>
      <c r="D46" s="6" t="n">
        <v>16</v>
      </c>
      <c r="E46" s="6"/>
      <c r="F46" s="6"/>
      <c r="G46" s="6" t="n">
        <v>9</v>
      </c>
      <c r="H46" s="6" t="n">
        <v>130</v>
      </c>
      <c r="I46" s="6" t="n">
        <v>1</v>
      </c>
      <c r="J46" s="6" t="n">
        <v>7.2</v>
      </c>
      <c r="K46" s="6"/>
      <c r="L46" s="6"/>
      <c r="M46" s="6"/>
    </row>
    <row r="47" customFormat="false" ht="15.75" hidden="false" customHeight="false" outlineLevel="0" collapsed="false">
      <c r="A47" s="0" t="s">
        <v>42</v>
      </c>
      <c r="B47" s="1" t="n">
        <v>43907</v>
      </c>
      <c r="C47" s="6" t="n">
        <v>168</v>
      </c>
      <c r="D47" s="6" t="n">
        <v>29</v>
      </c>
      <c r="E47" s="6"/>
      <c r="F47" s="6"/>
      <c r="G47" s="6" t="n">
        <v>9</v>
      </c>
      <c r="H47" s="6" t="n">
        <v>159</v>
      </c>
      <c r="I47" s="6" t="n">
        <v>2</v>
      </c>
      <c r="J47" s="6" t="n">
        <v>8.7</v>
      </c>
      <c r="K47" s="6"/>
      <c r="L47" s="6"/>
      <c r="M47" s="6"/>
    </row>
    <row r="48" customFormat="false" ht="15.75" hidden="false" customHeight="false" outlineLevel="0" collapsed="false">
      <c r="A48" s="0" t="s">
        <v>42</v>
      </c>
      <c r="B48" s="1" t="n">
        <v>43908</v>
      </c>
      <c r="C48" s="6" t="n">
        <v>217</v>
      </c>
      <c r="D48" s="6" t="n">
        <v>49</v>
      </c>
      <c r="E48" s="6"/>
      <c r="F48" s="6"/>
      <c r="G48" s="6" t="n">
        <v>19</v>
      </c>
      <c r="H48" s="6" t="n">
        <v>198</v>
      </c>
      <c r="I48" s="6" t="n">
        <v>5</v>
      </c>
      <c r="J48" s="6" t="n">
        <v>11.3</v>
      </c>
      <c r="K48" s="6"/>
      <c r="L48" s="6"/>
      <c r="M48" s="6"/>
    </row>
    <row r="49" customFormat="false" ht="15.75" hidden="false" customHeight="false" outlineLevel="0" collapsed="false">
      <c r="A49" s="0" t="s">
        <v>42</v>
      </c>
      <c r="B49" s="1" t="n">
        <v>43909</v>
      </c>
      <c r="C49" s="6" t="n">
        <v>260</v>
      </c>
      <c r="D49" s="6" t="n">
        <v>43</v>
      </c>
      <c r="E49" s="6"/>
      <c r="F49" s="6"/>
      <c r="G49" s="6" t="n">
        <v>19</v>
      </c>
      <c r="H49" s="6" t="n">
        <v>241</v>
      </c>
      <c r="I49" s="6" t="n">
        <v>5</v>
      </c>
      <c r="J49" s="6" t="n">
        <v>14</v>
      </c>
      <c r="K49" s="6"/>
      <c r="L49" s="6"/>
      <c r="M49" s="6"/>
    </row>
    <row r="50" customFormat="false" ht="15.75" hidden="false" customHeight="false" outlineLevel="0" collapsed="false">
      <c r="A50" s="0" t="s">
        <v>42</v>
      </c>
      <c r="B50" s="1" t="n">
        <v>43910</v>
      </c>
      <c r="C50" s="6" t="n">
        <v>277</v>
      </c>
      <c r="D50" s="6" t="n">
        <v>17</v>
      </c>
      <c r="E50" s="6"/>
      <c r="F50" s="6"/>
      <c r="G50" s="6" t="n">
        <v>25</v>
      </c>
      <c r="H50" s="6" t="n">
        <v>252</v>
      </c>
      <c r="I50" s="6" t="n">
        <v>5</v>
      </c>
      <c r="J50" s="6" t="n">
        <v>14</v>
      </c>
      <c r="K50" s="6"/>
      <c r="L50" s="6"/>
      <c r="M50" s="6"/>
    </row>
    <row r="51" customFormat="false" ht="15.75" hidden="false" customHeight="false" outlineLevel="0" collapsed="false">
      <c r="A51" s="0" t="s">
        <v>42</v>
      </c>
      <c r="B51" s="1" t="n">
        <v>43911</v>
      </c>
      <c r="C51" s="6" t="n">
        <v>308</v>
      </c>
      <c r="D51" s="6" t="n">
        <v>31</v>
      </c>
      <c r="E51" s="6"/>
      <c r="F51" s="6"/>
      <c r="G51" s="6" t="n">
        <v>31</v>
      </c>
      <c r="H51" s="6" t="n">
        <v>277</v>
      </c>
      <c r="I51" s="6" t="n">
        <v>11</v>
      </c>
      <c r="J51" s="6" t="n">
        <v>16</v>
      </c>
      <c r="K51" s="6"/>
      <c r="L51" s="6"/>
      <c r="M51" s="6"/>
    </row>
    <row r="52" customFormat="false" ht="15.75" hidden="false" customHeight="false" outlineLevel="0" collapsed="false">
      <c r="A52" s="0" t="s">
        <v>42</v>
      </c>
      <c r="B52" s="1" t="n">
        <v>43912</v>
      </c>
      <c r="C52" s="6" t="n">
        <v>367</v>
      </c>
      <c r="D52" s="6" t="n">
        <v>59</v>
      </c>
      <c r="E52" s="6"/>
      <c r="F52" s="6"/>
      <c r="G52" s="6" t="n">
        <v>52</v>
      </c>
      <c r="H52" s="6" t="n">
        <v>315</v>
      </c>
      <c r="I52" s="6" t="n">
        <v>14</v>
      </c>
      <c r="J52" s="6" t="n">
        <v>19</v>
      </c>
      <c r="K52" s="6"/>
      <c r="L52" s="6"/>
      <c r="M52" s="6"/>
    </row>
    <row r="53" customFormat="false" ht="15.75" hidden="false" customHeight="false" outlineLevel="0" collapsed="false">
      <c r="A53" s="0" t="s">
        <v>42</v>
      </c>
      <c r="B53" s="1" t="n">
        <v>43913</v>
      </c>
      <c r="C53" s="6" t="n">
        <v>433</v>
      </c>
      <c r="D53" s="6" t="n">
        <v>66</v>
      </c>
      <c r="E53" s="6" t="n">
        <v>3</v>
      </c>
      <c r="F53" s="6" t="n">
        <v>3</v>
      </c>
      <c r="G53" s="6" t="n">
        <v>64</v>
      </c>
      <c r="H53" s="6" t="n">
        <v>366</v>
      </c>
      <c r="I53" s="6" t="n">
        <v>14</v>
      </c>
      <c r="J53" s="6" t="n">
        <v>23</v>
      </c>
      <c r="K53" s="6"/>
      <c r="L53" s="6"/>
      <c r="M53" s="6"/>
    </row>
    <row r="54" customFormat="false" ht="15.75" hidden="false" customHeight="false" outlineLevel="0" collapsed="false">
      <c r="A54" s="0" t="s">
        <v>42</v>
      </c>
      <c r="B54" s="1" t="n">
        <v>43914</v>
      </c>
      <c r="C54" s="6" t="n">
        <v>576</v>
      </c>
      <c r="D54" s="6" t="n">
        <v>143</v>
      </c>
      <c r="E54" s="6" t="n">
        <v>7</v>
      </c>
      <c r="F54" s="6" t="n">
        <v>4</v>
      </c>
      <c r="G54" s="6" t="n">
        <v>73</v>
      </c>
      <c r="H54" s="6" t="n">
        <v>496</v>
      </c>
      <c r="I54" s="6" t="n">
        <v>15</v>
      </c>
      <c r="J54" s="6" t="n">
        <v>30</v>
      </c>
      <c r="K54" s="6"/>
      <c r="L54" s="6"/>
      <c r="M54" s="6"/>
    </row>
    <row r="55" customFormat="false" ht="15.75" hidden="false" customHeight="false" outlineLevel="0" collapsed="false">
      <c r="A55" s="0" t="s">
        <v>42</v>
      </c>
      <c r="B55" s="1" t="n">
        <v>43915</v>
      </c>
      <c r="C55" s="7" t="n">
        <v>794</v>
      </c>
      <c r="D55" s="7" t="n">
        <v>218</v>
      </c>
      <c r="E55" s="7" t="n">
        <v>11</v>
      </c>
      <c r="F55" s="7" t="n">
        <v>4</v>
      </c>
      <c r="G55" s="7" t="n">
        <v>79</v>
      </c>
      <c r="H55" s="7" t="n">
        <v>704</v>
      </c>
      <c r="I55" s="7" t="n">
        <v>15</v>
      </c>
      <c r="J55" s="7" t="n">
        <v>41</v>
      </c>
      <c r="K55" s="10" t="n">
        <v>0.6</v>
      </c>
      <c r="L55" s="7"/>
      <c r="M55" s="7"/>
    </row>
    <row r="56" customFormat="false" ht="15.75" hidden="false" customHeight="false" outlineLevel="0" collapsed="false">
      <c r="A56" s="0" t="s">
        <v>42</v>
      </c>
      <c r="B56" s="1" t="n">
        <v>43916</v>
      </c>
      <c r="C56" s="7" t="n">
        <v>906</v>
      </c>
      <c r="D56" s="7" t="n">
        <v>112</v>
      </c>
      <c r="E56" s="7" t="n">
        <v>17</v>
      </c>
      <c r="F56" s="7" t="n">
        <v>6</v>
      </c>
      <c r="G56" s="7" t="n">
        <v>86</v>
      </c>
      <c r="H56" s="7" t="n">
        <v>803</v>
      </c>
      <c r="I56" s="7" t="n">
        <v>18</v>
      </c>
      <c r="J56" s="7" t="n">
        <v>47</v>
      </c>
      <c r="K56" s="10" t="n">
        <v>0.9</v>
      </c>
      <c r="L56" s="7"/>
      <c r="M56" s="7"/>
    </row>
    <row r="57" customFormat="false" ht="15.75" hidden="false" customHeight="false" outlineLevel="0" collapsed="false">
      <c r="A57" s="0" t="s">
        <v>42</v>
      </c>
      <c r="B57" s="1" t="n">
        <v>43917</v>
      </c>
      <c r="C57" s="7" t="n">
        <v>1029</v>
      </c>
      <c r="D57" s="7" t="n">
        <v>123</v>
      </c>
      <c r="E57" s="7" t="n">
        <v>23</v>
      </c>
      <c r="F57" s="7" t="n">
        <v>6</v>
      </c>
      <c r="G57" s="7" t="n">
        <v>94</v>
      </c>
      <c r="H57" s="7" t="n">
        <v>912</v>
      </c>
      <c r="I57" s="7" t="n">
        <v>29</v>
      </c>
      <c r="J57" s="7" t="n">
        <v>53</v>
      </c>
      <c r="K57" s="7" t="n">
        <v>1</v>
      </c>
      <c r="L57" s="7"/>
      <c r="M57" s="7"/>
    </row>
    <row r="58" customFormat="false" ht="15.75" hidden="false" customHeight="false" outlineLevel="0" collapsed="false">
      <c r="A58" s="0" t="s">
        <v>42</v>
      </c>
      <c r="B58" s="1" t="n">
        <v>43918</v>
      </c>
      <c r="C58" s="7" t="n">
        <v>1292</v>
      </c>
      <c r="D58" s="7" t="n">
        <v>263</v>
      </c>
      <c r="E58" s="7" t="n">
        <v>26</v>
      </c>
      <c r="F58" s="7" t="n">
        <v>3</v>
      </c>
      <c r="G58" s="7" t="n">
        <v>115</v>
      </c>
      <c r="H58" s="7" t="n">
        <v>1151</v>
      </c>
      <c r="I58" s="7" t="n">
        <v>32</v>
      </c>
      <c r="J58" s="7" t="n">
        <v>67</v>
      </c>
      <c r="K58" s="7" t="n">
        <v>1</v>
      </c>
      <c r="L58" s="7"/>
      <c r="M58" s="7"/>
    </row>
    <row r="59" customFormat="false" ht="15.75" hidden="false" customHeight="false" outlineLevel="0" collapsed="false">
      <c r="A59" s="0" t="s">
        <v>42</v>
      </c>
      <c r="B59" s="1" t="n">
        <v>43919</v>
      </c>
      <c r="C59" s="7" t="n">
        <v>1452</v>
      </c>
      <c r="D59" s="7" t="n">
        <v>160</v>
      </c>
      <c r="E59" s="7" t="n">
        <v>34</v>
      </c>
      <c r="F59" s="7" t="n">
        <v>8</v>
      </c>
      <c r="G59" s="7" t="n">
        <v>139</v>
      </c>
      <c r="H59" s="7" t="n">
        <v>1279</v>
      </c>
      <c r="I59" s="7" t="n">
        <v>34</v>
      </c>
      <c r="J59" s="7" t="n">
        <v>75</v>
      </c>
      <c r="K59" s="7" t="n">
        <v>2</v>
      </c>
      <c r="L59" s="7"/>
      <c r="M59" s="7"/>
    </row>
    <row r="60" customFormat="false" ht="15.75" hidden="false" customHeight="false" outlineLevel="0" collapsed="false">
      <c r="A60" s="0" t="s">
        <v>42</v>
      </c>
      <c r="B60" s="1" t="n">
        <v>43920</v>
      </c>
      <c r="C60" s="7" t="n">
        <v>1815</v>
      </c>
      <c r="D60" s="7" t="n">
        <v>363</v>
      </c>
      <c r="E60" s="7" t="n">
        <v>43</v>
      </c>
      <c r="F60" s="7" t="n">
        <v>9</v>
      </c>
      <c r="G60" s="7" t="n">
        <v>206</v>
      </c>
      <c r="H60" s="7" t="n">
        <v>1566</v>
      </c>
      <c r="I60" s="7" t="n">
        <v>31</v>
      </c>
      <c r="J60" s="7" t="n">
        <v>94</v>
      </c>
      <c r="K60" s="7" t="n">
        <v>2</v>
      </c>
      <c r="L60" s="7"/>
      <c r="M60" s="7"/>
    </row>
    <row r="61" customFormat="false" ht="15.75" hidden="false" customHeight="false" outlineLevel="0" collapsed="false">
      <c r="A61" s="0" t="s">
        <v>42</v>
      </c>
      <c r="B61" s="1" t="n">
        <v>43921</v>
      </c>
      <c r="C61" s="7" t="n">
        <v>2109</v>
      </c>
      <c r="D61" s="7" t="n">
        <v>294</v>
      </c>
      <c r="E61" s="7" t="n">
        <v>65</v>
      </c>
      <c r="F61" s="7" t="n">
        <v>22</v>
      </c>
      <c r="G61" s="7" t="n">
        <v>209</v>
      </c>
      <c r="H61" s="7" t="n">
        <v>1835</v>
      </c>
      <c r="I61" s="7" t="n">
        <v>33</v>
      </c>
      <c r="J61" s="7" t="n">
        <v>110</v>
      </c>
      <c r="K61" s="7" t="n">
        <v>3</v>
      </c>
      <c r="L61" s="7"/>
      <c r="M61" s="7"/>
    </row>
    <row r="62" customFormat="false" ht="15.75" hidden="false" customHeight="false" outlineLevel="0" collapsed="false">
      <c r="A62" s="0" t="s">
        <v>42</v>
      </c>
      <c r="B62" s="1" t="n">
        <v>43922</v>
      </c>
      <c r="C62" s="7" t="n">
        <v>2245</v>
      </c>
      <c r="D62" s="7" t="n">
        <v>136</v>
      </c>
      <c r="E62" s="7" t="n">
        <v>82</v>
      </c>
      <c r="F62" s="7" t="n">
        <v>17</v>
      </c>
      <c r="G62" s="7" t="n">
        <v>220</v>
      </c>
      <c r="H62" s="7" t="n">
        <v>1943</v>
      </c>
      <c r="I62" s="7" t="n">
        <v>62</v>
      </c>
      <c r="J62" s="7" t="n">
        <v>117</v>
      </c>
      <c r="K62" s="7" t="n">
        <v>4</v>
      </c>
      <c r="L62" s="7"/>
      <c r="M62" s="7"/>
    </row>
    <row r="63" customFormat="false" ht="15.75" hidden="false" customHeight="false" outlineLevel="0" collapsed="false">
      <c r="A63" s="0" t="s">
        <v>42</v>
      </c>
      <c r="B63" s="1" t="n">
        <v>43923</v>
      </c>
      <c r="C63" s="7" t="n">
        <v>2460</v>
      </c>
      <c r="D63" s="7" t="n">
        <v>215</v>
      </c>
      <c r="E63" s="7" t="n">
        <v>92</v>
      </c>
      <c r="F63" s="7" t="n">
        <v>10</v>
      </c>
      <c r="G63" s="7" t="n">
        <v>252</v>
      </c>
      <c r="H63" s="7" t="n">
        <v>2116</v>
      </c>
      <c r="I63" s="7" t="n">
        <v>57</v>
      </c>
      <c r="J63" s="7" t="n">
        <v>128</v>
      </c>
      <c r="K63" s="7" t="n">
        <v>5</v>
      </c>
      <c r="L63" s="7"/>
      <c r="M63" s="7"/>
    </row>
    <row r="64" customFormat="false" ht="15.75" hidden="false" customHeight="false" outlineLevel="0" collapsed="false">
      <c r="A64" s="0" t="s">
        <v>42</v>
      </c>
      <c r="B64" s="1" t="n">
        <v>43924</v>
      </c>
      <c r="C64" s="7" t="n">
        <v>2738</v>
      </c>
      <c r="D64" s="7" t="n">
        <v>278</v>
      </c>
      <c r="E64" s="7" t="n">
        <v>115</v>
      </c>
      <c r="F64" s="7" t="n">
        <v>23</v>
      </c>
      <c r="G64" s="7" t="n">
        <v>267</v>
      </c>
      <c r="H64" s="7" t="n">
        <v>2356</v>
      </c>
      <c r="I64" s="7" t="n">
        <v>78</v>
      </c>
      <c r="J64" s="7" t="n">
        <v>142</v>
      </c>
      <c r="K64" s="7" t="n">
        <v>6</v>
      </c>
      <c r="L64" s="7"/>
      <c r="M64" s="7"/>
    </row>
    <row r="65" customFormat="false" ht="15.75" hidden="false" customHeight="false" outlineLevel="0" collapsed="false">
      <c r="A65" s="0" t="s">
        <v>42</v>
      </c>
      <c r="B65" s="1" t="n">
        <v>43925</v>
      </c>
      <c r="C65" s="7" t="n">
        <v>3183</v>
      </c>
      <c r="D65" s="7" t="n">
        <v>445</v>
      </c>
      <c r="E65" s="7" t="n">
        <v>133</v>
      </c>
      <c r="F65" s="7" t="n">
        <v>18</v>
      </c>
      <c r="G65" s="7" t="n">
        <v>283</v>
      </c>
      <c r="H65" s="7" t="n">
        <v>2767</v>
      </c>
      <c r="I65" s="7" t="n">
        <v>83</v>
      </c>
      <c r="J65" s="7" t="n">
        <v>165</v>
      </c>
      <c r="K65" s="7" t="n">
        <v>7</v>
      </c>
      <c r="L65" s="7"/>
      <c r="M65" s="7"/>
    </row>
    <row r="66" customFormat="false" ht="15.75" hidden="false" customHeight="false" outlineLevel="0" collapsed="false">
      <c r="A66" s="0" t="s">
        <v>42</v>
      </c>
      <c r="B66" s="1" t="n">
        <v>43926</v>
      </c>
      <c r="C66" s="7" t="n">
        <v>3613</v>
      </c>
      <c r="D66" s="7" t="n">
        <v>430</v>
      </c>
      <c r="E66" s="7" t="n">
        <v>146</v>
      </c>
      <c r="F66" s="7" t="n">
        <v>13</v>
      </c>
      <c r="G66" s="7" t="n">
        <v>329</v>
      </c>
      <c r="H66" s="7" t="n">
        <v>3138</v>
      </c>
      <c r="I66" s="7" t="n">
        <v>119</v>
      </c>
      <c r="J66" s="7" t="n">
        <v>188</v>
      </c>
      <c r="K66" s="7" t="n">
        <v>8</v>
      </c>
      <c r="L66" s="7" t="n">
        <v>36092</v>
      </c>
      <c r="M66" s="7" t="n">
        <v>1876</v>
      </c>
    </row>
    <row r="67" customFormat="false" ht="15.75" hidden="false" customHeight="false" outlineLevel="0" collapsed="false">
      <c r="A67" s="0" t="s">
        <v>42</v>
      </c>
      <c r="B67" s="1" t="n">
        <v>43927</v>
      </c>
      <c r="C67" s="7" t="n">
        <v>3864</v>
      </c>
      <c r="D67" s="7" t="n">
        <v>251</v>
      </c>
      <c r="E67" s="7" t="n">
        <v>151</v>
      </c>
      <c r="F67" s="7" t="n">
        <v>5</v>
      </c>
      <c r="G67" s="7" t="n">
        <v>374</v>
      </c>
      <c r="H67" s="7" t="n">
        <v>3339</v>
      </c>
      <c r="I67" s="7" t="n">
        <v>141</v>
      </c>
      <c r="J67" s="7" t="n">
        <v>201</v>
      </c>
      <c r="K67" s="7" t="n">
        <v>8</v>
      </c>
      <c r="L67" s="7" t="n">
        <v>38623</v>
      </c>
      <c r="M67" s="7" t="n">
        <v>2008</v>
      </c>
    </row>
    <row r="68" customFormat="false" ht="15.75" hidden="false" customHeight="false" outlineLevel="0" collapsed="false">
      <c r="A68" s="0" t="s">
        <v>42</v>
      </c>
      <c r="B68" s="1" t="n">
        <v>43928</v>
      </c>
      <c r="C68" s="12" t="n">
        <v>4057</v>
      </c>
      <c r="D68" s="12" t="n">
        <v>193</v>
      </c>
      <c r="E68" s="12" t="n">
        <v>176</v>
      </c>
      <c r="F68" s="12" t="n">
        <v>25</v>
      </c>
      <c r="G68" s="12" t="n">
        <v>406</v>
      </c>
      <c r="H68" s="12" t="n">
        <v>3475</v>
      </c>
      <c r="I68" s="12" t="n">
        <v>179</v>
      </c>
      <c r="J68" s="12" t="n">
        <v>211</v>
      </c>
      <c r="K68" s="12" t="n">
        <v>9</v>
      </c>
      <c r="L68" s="12" t="n">
        <v>40987</v>
      </c>
      <c r="M68" s="12" t="n">
        <v>2131</v>
      </c>
    </row>
    <row r="69" customFormat="false" ht="15.75" hidden="false" customHeight="false" outlineLevel="0" collapsed="false">
      <c r="A69" s="0" t="s">
        <v>42</v>
      </c>
      <c r="B69" s="1" t="n">
        <v>43929</v>
      </c>
      <c r="C69" s="14" t="n">
        <v>4417</v>
      </c>
      <c r="D69" s="14" t="n">
        <v>360</v>
      </c>
      <c r="E69" s="14" t="n">
        <v>197</v>
      </c>
      <c r="F69" s="14" t="n">
        <v>21</v>
      </c>
      <c r="G69" s="14" t="n">
        <v>460</v>
      </c>
      <c r="H69" s="14" t="n">
        <v>3760</v>
      </c>
      <c r="I69" s="14" t="n">
        <v>274</v>
      </c>
      <c r="J69" s="14" t="n">
        <v>230</v>
      </c>
      <c r="K69" s="14" t="n">
        <v>10</v>
      </c>
      <c r="L69" s="14" t="n">
        <v>43578</v>
      </c>
      <c r="M69" s="14" t="n">
        <v>2265</v>
      </c>
    </row>
    <row r="70" customFormat="false" ht="15.75" hidden="false" customHeight="false" outlineLevel="0" collapsed="false">
      <c r="A70" s="0" t="s">
        <v>42</v>
      </c>
      <c r="B70" s="1" t="n">
        <v>43930</v>
      </c>
      <c r="C70" s="14" t="n">
        <v>4761</v>
      </c>
      <c r="D70" s="14" t="n">
        <v>344</v>
      </c>
      <c r="E70" s="14" t="n">
        <v>220</v>
      </c>
      <c r="F70" s="14" t="n">
        <v>23</v>
      </c>
      <c r="G70" s="14" t="n">
        <v>528</v>
      </c>
      <c r="H70" s="14" t="n">
        <v>4013</v>
      </c>
      <c r="I70" s="14" t="n">
        <v>162</v>
      </c>
      <c r="J70" s="14" t="n">
        <v>247</v>
      </c>
      <c r="K70" s="14" t="n">
        <v>11</v>
      </c>
      <c r="L70" s="14" t="n">
        <v>47207</v>
      </c>
      <c r="M70" s="14" t="n">
        <v>2454</v>
      </c>
    </row>
    <row r="71" customFormat="false" ht="15.75" hidden="false" customHeight="false" outlineLevel="0" collapsed="false">
      <c r="A71" s="0" t="s">
        <v>42</v>
      </c>
      <c r="B71" s="1" t="n">
        <v>43931</v>
      </c>
      <c r="C71" s="14" t="n">
        <v>5202</v>
      </c>
      <c r="D71" s="14" t="n">
        <v>441</v>
      </c>
      <c r="E71" s="14" t="n">
        <v>248</v>
      </c>
      <c r="F71" s="14" t="n">
        <v>28</v>
      </c>
      <c r="G71" s="14" t="n">
        <v>647</v>
      </c>
      <c r="H71" s="14" t="n">
        <v>4307</v>
      </c>
      <c r="I71" s="14" t="n">
        <v>178</v>
      </c>
      <c r="J71" s="14" t="n">
        <v>270</v>
      </c>
      <c r="K71" s="14" t="n">
        <v>13</v>
      </c>
      <c r="L71" s="14" t="n">
        <v>51802</v>
      </c>
      <c r="M71" s="14" t="n">
        <v>2693</v>
      </c>
    </row>
    <row r="72" customFormat="false" ht="15.75" hidden="false" customHeight="false" outlineLevel="0" collapsed="false">
      <c r="A72" s="0" t="s">
        <v>42</v>
      </c>
      <c r="B72" s="1" t="n">
        <v>43932</v>
      </c>
      <c r="C72" s="14" t="n">
        <v>5467</v>
      </c>
      <c r="D72" s="14" t="n">
        <v>265</v>
      </c>
      <c r="E72" s="14" t="n">
        <v>270</v>
      </c>
      <c r="F72" s="14" t="n">
        <v>22</v>
      </c>
      <c r="G72" s="14" t="n">
        <v>729</v>
      </c>
      <c r="H72" s="14" t="n">
        <v>4468</v>
      </c>
      <c r="I72" s="14" t="n">
        <v>183</v>
      </c>
      <c r="J72" s="14" t="n">
        <v>284</v>
      </c>
      <c r="K72" s="14" t="n">
        <v>14</v>
      </c>
      <c r="L72" s="14" t="n">
        <v>55430</v>
      </c>
      <c r="M72" s="14" t="n">
        <v>2881</v>
      </c>
    </row>
    <row r="73" customFormat="false" ht="15.75" hidden="false" customHeight="false" outlineLevel="0" collapsed="false">
      <c r="A73" s="0" t="s">
        <v>42</v>
      </c>
      <c r="B73" s="1" t="n">
        <v>43933</v>
      </c>
      <c r="C73" s="14" t="n">
        <v>5990</v>
      </c>
      <c r="D73" s="14" t="n">
        <v>523</v>
      </c>
      <c r="E73" s="14" t="n">
        <v>291</v>
      </c>
      <c r="F73" s="14" t="n">
        <v>21</v>
      </c>
      <c r="G73" s="14" t="n">
        <v>758</v>
      </c>
      <c r="H73" s="14" t="n">
        <v>4941</v>
      </c>
      <c r="I73" s="14" t="n">
        <v>208</v>
      </c>
      <c r="J73" s="14" t="n">
        <v>311</v>
      </c>
      <c r="K73" s="14" t="n">
        <v>15</v>
      </c>
      <c r="L73" s="14" t="n">
        <v>59272</v>
      </c>
      <c r="M73" s="14" t="n">
        <v>3081</v>
      </c>
    </row>
    <row r="74" customFormat="false" ht="15.75" hidden="false" customHeight="false" outlineLevel="0" collapsed="false">
      <c r="A74" s="0" t="s">
        <v>42</v>
      </c>
      <c r="B74" s="1" t="n">
        <v>43934</v>
      </c>
      <c r="C74" s="14" t="n">
        <v>6300</v>
      </c>
      <c r="D74" s="14" t="n">
        <v>310</v>
      </c>
      <c r="E74" s="14" t="n">
        <v>316</v>
      </c>
      <c r="F74" s="14" t="n">
        <v>25</v>
      </c>
      <c r="G74" s="14" t="n">
        <v>852</v>
      </c>
      <c r="H74" s="14" t="n">
        <v>5132</v>
      </c>
      <c r="I74" s="14" t="n">
        <v>204</v>
      </c>
      <c r="J74" s="14" t="n">
        <v>327</v>
      </c>
      <c r="K74" s="14" t="n">
        <v>16</v>
      </c>
      <c r="L74" s="14" t="n">
        <v>62328</v>
      </c>
      <c r="M74" s="14" t="n">
        <v>3240</v>
      </c>
    </row>
    <row r="75" customFormat="false" ht="15.75" hidden="false" customHeight="false" outlineLevel="0" collapsed="false">
      <c r="A75" s="0" t="s">
        <v>42</v>
      </c>
      <c r="B75" s="1" t="n">
        <v>43935</v>
      </c>
      <c r="C75" s="14" t="n">
        <v>6633</v>
      </c>
      <c r="D75" s="14" t="n">
        <v>333</v>
      </c>
      <c r="E75" s="14" t="n">
        <v>331</v>
      </c>
      <c r="F75" s="14" t="n">
        <v>15</v>
      </c>
      <c r="G75" s="14" t="n">
        <v>914</v>
      </c>
      <c r="H75" s="14" t="n">
        <v>5388</v>
      </c>
      <c r="I75" s="14" t="n">
        <v>231</v>
      </c>
      <c r="J75" s="14" t="n">
        <v>345</v>
      </c>
      <c r="K75" s="14" t="n">
        <v>17</v>
      </c>
      <c r="L75" s="14" t="n">
        <v>67204</v>
      </c>
      <c r="M75" s="14" t="n">
        <v>3493</v>
      </c>
    </row>
    <row r="76" customFormat="false" ht="15.75" hidden="false" customHeight="false" outlineLevel="0" collapsed="false">
      <c r="A76" s="0" t="s">
        <v>42</v>
      </c>
      <c r="B76" s="1" t="n">
        <v>43936</v>
      </c>
      <c r="C76" s="14" t="n">
        <v>6879</v>
      </c>
      <c r="D76" s="14" t="n">
        <v>246</v>
      </c>
      <c r="E76" s="14" t="n">
        <v>351</v>
      </c>
      <c r="F76" s="14" t="n">
        <v>20</v>
      </c>
      <c r="G76" s="14" t="n">
        <v>1051</v>
      </c>
      <c r="H76" s="14" t="n">
        <v>5477</v>
      </c>
      <c r="I76" s="14" t="n">
        <v>241</v>
      </c>
      <c r="J76" s="14" t="n">
        <v>358</v>
      </c>
      <c r="K76" s="14" t="n">
        <v>18</v>
      </c>
      <c r="L76" s="14" t="n">
        <v>70097</v>
      </c>
      <c r="M76" s="14" t="n">
        <v>3644</v>
      </c>
    </row>
    <row r="77" customFormat="false" ht="15.75" hidden="false" customHeight="false" outlineLevel="0" collapsed="false">
      <c r="A77" s="0" t="s">
        <v>42</v>
      </c>
      <c r="B77" s="1" t="n">
        <v>43937</v>
      </c>
      <c r="C77" s="14" t="n">
        <v>7216</v>
      </c>
      <c r="D77" s="14" t="n">
        <v>337</v>
      </c>
      <c r="E77" s="14" t="n">
        <v>372</v>
      </c>
      <c r="F77" s="14" t="n">
        <v>21</v>
      </c>
      <c r="G77" s="14" t="n">
        <v>1217</v>
      </c>
      <c r="H77" s="14" t="n">
        <v>5627</v>
      </c>
      <c r="I77" s="14" t="n">
        <v>245</v>
      </c>
      <c r="J77" s="14" t="n">
        <v>375</v>
      </c>
      <c r="K77" s="14" t="n">
        <v>19</v>
      </c>
      <c r="L77" s="14" t="n">
        <v>74827</v>
      </c>
      <c r="M77" s="14" t="n">
        <v>3890</v>
      </c>
    </row>
    <row r="78" customFormat="false" ht="15.75" hidden="false" customHeight="false" outlineLevel="0" collapsed="false">
      <c r="A78" s="0" t="s">
        <v>42</v>
      </c>
      <c r="B78" s="1" t="n">
        <v>43938</v>
      </c>
      <c r="C78" s="14" t="n">
        <v>7707</v>
      </c>
      <c r="D78" s="14" t="n">
        <v>491</v>
      </c>
      <c r="E78" s="14" t="n">
        <v>392</v>
      </c>
      <c r="F78" s="14" t="n">
        <v>20</v>
      </c>
      <c r="G78" s="14" t="n">
        <v>1357</v>
      </c>
      <c r="H78" s="14" t="n">
        <v>5958</v>
      </c>
      <c r="I78" s="14" t="n">
        <v>243</v>
      </c>
      <c r="J78" s="14" t="n">
        <v>401</v>
      </c>
      <c r="K78" s="14" t="n">
        <v>20</v>
      </c>
      <c r="L78" s="14" t="n">
        <v>79629</v>
      </c>
      <c r="M78" s="14" t="n">
        <v>4139</v>
      </c>
    </row>
    <row r="79" customFormat="false" ht="15.75" hidden="false" customHeight="false" outlineLevel="0" collapsed="false">
      <c r="A79" s="0" t="s">
        <v>42</v>
      </c>
      <c r="B79" s="1" t="n">
        <v>43939</v>
      </c>
      <c r="C79" s="14" t="n">
        <v>8067</v>
      </c>
      <c r="D79" s="14" t="n">
        <v>360</v>
      </c>
      <c r="E79" s="14" t="n">
        <v>411</v>
      </c>
      <c r="F79" s="14" t="n">
        <v>19</v>
      </c>
      <c r="G79" s="14" t="n">
        <v>1508</v>
      </c>
      <c r="H79" s="14" t="n">
        <v>6148</v>
      </c>
      <c r="I79" s="14" t="n">
        <v>258</v>
      </c>
      <c r="J79" s="14" t="n">
        <v>419</v>
      </c>
      <c r="K79" s="14" t="n">
        <v>21</v>
      </c>
      <c r="L79" s="14" t="n">
        <v>85805</v>
      </c>
      <c r="M79" s="14" t="n">
        <v>4460</v>
      </c>
    </row>
    <row r="80" customFormat="false" ht="15.75" hidden="false" customHeight="false" outlineLevel="0" collapsed="false">
      <c r="A80" s="0" t="s">
        <v>42</v>
      </c>
      <c r="B80" s="1" t="n">
        <v>43940</v>
      </c>
      <c r="C80" s="14" t="n">
        <v>8418</v>
      </c>
      <c r="D80" s="14" t="n">
        <v>351</v>
      </c>
      <c r="E80" s="14" t="n">
        <v>421</v>
      </c>
      <c r="F80" s="14" t="n">
        <v>10</v>
      </c>
      <c r="G80" s="14" t="n">
        <v>1730</v>
      </c>
      <c r="H80" s="14" t="n">
        <v>6267</v>
      </c>
      <c r="I80" s="14" t="n">
        <v>248</v>
      </c>
      <c r="J80" s="14" t="n">
        <v>438</v>
      </c>
      <c r="K80" s="14" t="n">
        <v>22</v>
      </c>
      <c r="L80" s="14" t="n">
        <v>90991</v>
      </c>
      <c r="M80" s="14" t="n">
        <v>4730</v>
      </c>
    </row>
    <row r="81" customFormat="false" ht="15.75" hidden="false" customHeight="false" outlineLevel="0" collapsed="false">
      <c r="A81" s="0" t="s">
        <v>42</v>
      </c>
      <c r="B81" s="1" t="n">
        <v>43941</v>
      </c>
      <c r="C81" s="14" t="n">
        <v>8746</v>
      </c>
      <c r="D81" s="14" t="n">
        <v>328</v>
      </c>
      <c r="E81" s="14" t="n">
        <v>451</v>
      </c>
      <c r="F81" s="14" t="n">
        <v>30</v>
      </c>
      <c r="G81" s="14" t="n">
        <v>1892</v>
      </c>
      <c r="H81" s="14" t="n">
        <v>6403</v>
      </c>
      <c r="I81" s="14" t="n">
        <v>256</v>
      </c>
      <c r="J81" s="14" t="n">
        <v>455</v>
      </c>
      <c r="K81" s="14" t="n">
        <v>23</v>
      </c>
      <c r="L81" s="14" t="n">
        <v>93611</v>
      </c>
      <c r="M81" s="14" t="n">
        <v>4866</v>
      </c>
    </row>
    <row r="82" customFormat="false" ht="15.75" hidden="false" customHeight="false" outlineLevel="0" collapsed="false">
      <c r="A82" s="0" t="s">
        <v>42</v>
      </c>
      <c r="B82" s="1" t="n">
        <v>43942</v>
      </c>
      <c r="C82" s="6" t="n">
        <v>8936</v>
      </c>
      <c r="D82" s="6" t="n">
        <v>190</v>
      </c>
      <c r="E82" s="6" t="n">
        <v>478</v>
      </c>
      <c r="F82" s="6" t="n">
        <v>27</v>
      </c>
      <c r="G82" s="6" t="n">
        <v>2017</v>
      </c>
      <c r="H82" s="6" t="n">
        <v>6441</v>
      </c>
      <c r="I82" s="6" t="n">
        <v>261</v>
      </c>
      <c r="J82" s="6" t="n">
        <v>465</v>
      </c>
      <c r="K82" s="6" t="n">
        <v>25</v>
      </c>
      <c r="L82" s="6" t="n">
        <v>98491</v>
      </c>
      <c r="M82" s="6" t="n">
        <v>5120</v>
      </c>
    </row>
    <row r="83" customFormat="false" ht="15.75" hidden="false" customHeight="false" outlineLevel="0" collapsed="false">
      <c r="A83" s="0" t="s">
        <v>42</v>
      </c>
      <c r="B83" s="1" t="n">
        <v>43943</v>
      </c>
      <c r="C83" s="6" t="n">
        <v>9242</v>
      </c>
      <c r="D83" s="6" t="n">
        <v>306</v>
      </c>
      <c r="E83" s="6" t="n">
        <v>498</v>
      </c>
      <c r="F83" s="6" t="n">
        <v>20</v>
      </c>
      <c r="G83" s="6" t="n">
        <v>2153</v>
      </c>
      <c r="H83" s="6" t="n">
        <v>6591</v>
      </c>
      <c r="I83" s="6" t="n">
        <v>245</v>
      </c>
      <c r="J83" s="6" t="n">
        <v>480</v>
      </c>
      <c r="K83" s="6" t="n">
        <v>26</v>
      </c>
      <c r="L83" s="6" t="n">
        <v>101552</v>
      </c>
      <c r="M83" s="6" t="n">
        <v>5279</v>
      </c>
    </row>
    <row r="84" customFormat="false" ht="15.75" hidden="false" customHeight="false" outlineLevel="0" collapsed="false">
      <c r="A84" s="0" t="s">
        <v>42</v>
      </c>
      <c r="B84" s="1" t="n">
        <v>43944</v>
      </c>
      <c r="C84" s="6" t="n">
        <v>9710</v>
      </c>
      <c r="D84" s="6" t="n">
        <v>468</v>
      </c>
      <c r="E84" s="6" t="n">
        <v>524</v>
      </c>
      <c r="F84" s="6" t="n">
        <v>26</v>
      </c>
      <c r="G84" s="6" t="n">
        <v>2406</v>
      </c>
      <c r="H84" s="6" t="n">
        <v>6780</v>
      </c>
      <c r="I84" s="6" t="n">
        <v>288</v>
      </c>
      <c r="J84" s="6" t="n">
        <v>505</v>
      </c>
      <c r="K84" s="6" t="n">
        <v>27</v>
      </c>
      <c r="L84" s="6" t="n">
        <v>106357</v>
      </c>
      <c r="M84" s="6" t="n">
        <v>5529</v>
      </c>
    </row>
    <row r="85" customFormat="false" ht="15.75" hidden="false" customHeight="false" outlineLevel="0" collapsed="false">
      <c r="A85" s="0" t="s">
        <v>42</v>
      </c>
      <c r="B85" s="1" t="n">
        <v>43945</v>
      </c>
      <c r="C85" s="6" t="n">
        <v>10096</v>
      </c>
      <c r="D85" s="6" t="n">
        <v>386</v>
      </c>
      <c r="E85" s="6" t="n">
        <v>545</v>
      </c>
      <c r="F85" s="6" t="n">
        <v>21</v>
      </c>
      <c r="G85" s="6" t="n">
        <v>2478</v>
      </c>
      <c r="H85" s="6" t="n">
        <v>7073</v>
      </c>
      <c r="I85" s="6" t="n">
        <v>236</v>
      </c>
      <c r="J85" s="6" t="n">
        <v>525</v>
      </c>
      <c r="K85" s="6" t="n">
        <v>28</v>
      </c>
      <c r="L85" s="6" t="n">
        <v>113336</v>
      </c>
      <c r="M85" s="6" t="n">
        <v>5891</v>
      </c>
    </row>
    <row r="86" customFormat="false" ht="15.75" hidden="false" customHeight="false" outlineLevel="0" collapsed="false">
      <c r="A86" s="0" t="s">
        <v>42</v>
      </c>
      <c r="B86" s="1" t="n">
        <v>43946</v>
      </c>
      <c r="C86" s="6" t="n">
        <v>10417</v>
      </c>
      <c r="D86" s="6" t="n">
        <v>321</v>
      </c>
      <c r="E86" s="6" t="n">
        <v>567</v>
      </c>
      <c r="F86" s="6" t="n">
        <v>22</v>
      </c>
      <c r="G86" s="6" t="n">
        <v>2817</v>
      </c>
      <c r="H86" s="6" t="n">
        <v>7033</v>
      </c>
      <c r="I86" s="6" t="n">
        <v>241</v>
      </c>
      <c r="J86" s="6" t="n">
        <v>541</v>
      </c>
      <c r="K86" s="6" t="n">
        <v>29</v>
      </c>
      <c r="L86" s="6" t="n">
        <v>121602</v>
      </c>
      <c r="M86" s="6" t="n">
        <v>6321</v>
      </c>
    </row>
    <row r="87" customFormat="false" ht="15.75" hidden="false" customHeight="false" outlineLevel="0" collapsed="false">
      <c r="A87" s="0" t="s">
        <v>42</v>
      </c>
      <c r="B87" s="1" t="n">
        <v>43947</v>
      </c>
      <c r="C87" s="6" t="n">
        <v>10635</v>
      </c>
      <c r="D87" s="6" t="n">
        <v>218</v>
      </c>
      <c r="E87" s="6" t="n">
        <v>601</v>
      </c>
      <c r="F87" s="6" t="n">
        <v>34</v>
      </c>
      <c r="G87" s="6" t="n">
        <v>2890</v>
      </c>
      <c r="H87" s="6" t="n">
        <v>7144</v>
      </c>
      <c r="I87" s="6" t="n">
        <v>235</v>
      </c>
      <c r="J87" s="6" t="n">
        <v>553</v>
      </c>
      <c r="K87" s="6" t="n">
        <v>31</v>
      </c>
      <c r="L87" s="6" t="n">
        <v>126645</v>
      </c>
      <c r="M87" s="6" t="n">
        <v>6583</v>
      </c>
    </row>
    <row r="88" customFormat="false" ht="15.75" hidden="false" customHeight="false" outlineLevel="0" collapsed="false">
      <c r="A88" s="0" t="s">
        <v>42</v>
      </c>
      <c r="B88" s="1" t="n">
        <v>43948</v>
      </c>
      <c r="C88" s="6" t="n">
        <v>11036</v>
      </c>
      <c r="D88" s="6" t="n">
        <v>401</v>
      </c>
      <c r="E88" s="6" t="n">
        <v>619</v>
      </c>
      <c r="F88" s="6" t="n">
        <v>18</v>
      </c>
      <c r="G88" s="6" t="n">
        <v>3054</v>
      </c>
      <c r="H88" s="6" t="n">
        <v>7363</v>
      </c>
      <c r="I88" s="6" t="n">
        <v>236</v>
      </c>
      <c r="J88" s="6" t="n">
        <v>574</v>
      </c>
      <c r="K88" s="6" t="n">
        <v>32</v>
      </c>
      <c r="L88" s="6" t="n">
        <v>136518</v>
      </c>
      <c r="M88" s="6" t="n">
        <v>7096</v>
      </c>
    </row>
    <row r="89" customFormat="false" ht="13.5" hidden="false" customHeight="false" outlineLevel="0" collapsed="false">
      <c r="A89" s="0" t="s">
        <v>42</v>
      </c>
      <c r="B89" s="1" t="n">
        <v>43949</v>
      </c>
      <c r="C89" s="2" t="n">
        <v>11339</v>
      </c>
      <c r="D89" s="2" t="n">
        <v>303</v>
      </c>
      <c r="E89" s="2" t="n">
        <v>641</v>
      </c>
      <c r="F89" s="2" t="n">
        <v>22</v>
      </c>
      <c r="G89" s="2" t="n">
        <v>3141</v>
      </c>
      <c r="H89" s="2" t="n">
        <v>7557</v>
      </c>
      <c r="I89" s="2" t="n">
        <v>227</v>
      </c>
      <c r="J89" s="2" t="n">
        <v>589</v>
      </c>
      <c r="K89" s="2" t="n">
        <v>33</v>
      </c>
      <c r="L89" s="2" t="n">
        <v>143834</v>
      </c>
      <c r="M89" s="2" t="n">
        <v>7477</v>
      </c>
    </row>
    <row r="90" customFormat="false" ht="13.5" hidden="false" customHeight="false" outlineLevel="0" collapsed="false">
      <c r="A90" s="0" t="s">
        <v>42</v>
      </c>
      <c r="B90" s="1" t="n">
        <v>43950</v>
      </c>
      <c r="C90" s="2" t="n">
        <v>11616</v>
      </c>
      <c r="D90" s="2" t="n">
        <v>277</v>
      </c>
      <c r="E90" s="2" t="n">
        <v>663</v>
      </c>
      <c r="F90" s="2" t="n">
        <v>22</v>
      </c>
      <c r="G90" s="2" t="n">
        <v>3404</v>
      </c>
      <c r="H90" s="2" t="n">
        <v>7549</v>
      </c>
      <c r="I90" s="2" t="n">
        <v>243</v>
      </c>
      <c r="J90" s="2" t="n">
        <v>604</v>
      </c>
      <c r="K90" s="2" t="n">
        <v>34</v>
      </c>
      <c r="L90" s="2" t="n">
        <v>150309</v>
      </c>
      <c r="M90" s="2" t="n">
        <v>7813</v>
      </c>
    </row>
    <row r="91" customFormat="false" ht="13.5" hidden="false" customHeight="false" outlineLevel="0" collapsed="false">
      <c r="A91" s="0" t="s">
        <v>42</v>
      </c>
      <c r="B91" s="1" t="n">
        <v>43951</v>
      </c>
      <c r="C91" s="2" t="n">
        <v>11978</v>
      </c>
      <c r="D91" s="2" t="n">
        <v>362</v>
      </c>
      <c r="E91" s="2" t="n">
        <v>688</v>
      </c>
      <c r="F91" s="2" t="n">
        <v>25</v>
      </c>
      <c r="G91" s="2" t="n">
        <v>3569</v>
      </c>
      <c r="H91" s="2" t="n">
        <v>7721</v>
      </c>
      <c r="I91" s="2" t="n">
        <v>247</v>
      </c>
      <c r="J91" s="2" t="n">
        <v>623</v>
      </c>
      <c r="K91" s="2" t="n">
        <v>36</v>
      </c>
      <c r="L91" s="2" t="n">
        <v>166993</v>
      </c>
      <c r="M91" s="2" t="n">
        <v>8681</v>
      </c>
    </row>
    <row r="92" customFormat="false" ht="14.25" hidden="false" customHeight="false" outlineLevel="0" collapsed="false">
      <c r="A92" s="0" t="s">
        <v>42</v>
      </c>
      <c r="B92" s="1" t="n">
        <v>43952</v>
      </c>
      <c r="C92" s="2" t="n">
        <v>12240</v>
      </c>
      <c r="D92" s="2" t="n">
        <v>262</v>
      </c>
      <c r="E92" s="2" t="n">
        <v>717</v>
      </c>
      <c r="F92" s="2" t="n">
        <v>29</v>
      </c>
      <c r="G92" s="2" t="n">
        <v>4017</v>
      </c>
      <c r="H92" s="2" t="n">
        <v>7506</v>
      </c>
      <c r="I92" s="2" t="n">
        <v>221</v>
      </c>
      <c r="J92" s="2" t="n">
        <v>636</v>
      </c>
      <c r="K92" s="2" t="n">
        <v>37</v>
      </c>
      <c r="L92" s="2" t="n">
        <v>175374</v>
      </c>
      <c r="M92" s="2" t="n">
        <v>9116</v>
      </c>
    </row>
    <row r="93" customFormat="false" ht="15.75" hidden="false" customHeight="false" outlineLevel="0" collapsed="false">
      <c r="A93" s="0" t="s">
        <v>42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42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42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42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42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42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42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42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42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42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42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42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42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42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42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42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42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42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42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42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42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42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42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42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42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42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42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42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42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42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42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42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42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42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42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42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42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42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42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42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42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42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42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42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42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42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42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42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42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42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42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42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42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42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42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42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42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42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42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42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42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42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42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42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42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42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42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42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42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42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42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42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42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42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42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42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42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42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42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42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42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42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42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42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42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42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42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42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42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42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42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42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42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42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42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6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43</v>
      </c>
      <c r="B37" s="1" t="n">
        <v>43897</v>
      </c>
      <c r="C37" s="8" t="n">
        <v>127</v>
      </c>
      <c r="D37" s="8" t="n">
        <v>33</v>
      </c>
      <c r="E37" s="8" t="n">
        <v>0</v>
      </c>
      <c r="F37" s="8" t="n">
        <v>0</v>
      </c>
      <c r="G37" s="8" t="n">
        <v>1</v>
      </c>
      <c r="H37" s="8" t="n">
        <v>126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43</v>
      </c>
      <c r="B38" s="1" t="n">
        <v>43898</v>
      </c>
      <c r="C38" s="6" t="n">
        <v>156</v>
      </c>
      <c r="D38" s="6" t="n">
        <v>29</v>
      </c>
      <c r="E38" s="6" t="n">
        <v>0</v>
      </c>
      <c r="F38" s="6" t="n">
        <v>0</v>
      </c>
      <c r="G38" s="6" t="n">
        <v>0</v>
      </c>
      <c r="H38" s="6" t="n">
        <v>156</v>
      </c>
      <c r="I38" s="6" t="n">
        <v>0</v>
      </c>
      <c r="J38" s="6" t="n">
        <v>28.8</v>
      </c>
      <c r="K38" s="6"/>
      <c r="L38" s="6"/>
      <c r="M38" s="6"/>
    </row>
    <row r="39" customFormat="false" ht="15.75" hidden="false" customHeight="false" outlineLevel="0" collapsed="false">
      <c r="A39" s="0" t="s">
        <v>43</v>
      </c>
      <c r="B39" s="1" t="n">
        <v>43899</v>
      </c>
      <c r="C39" s="6" t="n">
        <v>176</v>
      </c>
      <c r="D39" s="6" t="n">
        <v>20</v>
      </c>
      <c r="E39" s="6" t="n">
        <v>0</v>
      </c>
      <c r="F39" s="6" t="n">
        <v>0</v>
      </c>
      <c r="G39" s="6" t="n">
        <v>1</v>
      </c>
      <c r="H39" s="6" t="n">
        <v>175</v>
      </c>
      <c r="I39" s="6" t="n">
        <v>0</v>
      </c>
      <c r="J39" s="6" t="n">
        <v>32.5</v>
      </c>
      <c r="K39" s="6"/>
      <c r="L39" s="6"/>
      <c r="M39" s="6"/>
    </row>
    <row r="40" customFormat="false" ht="15.75" hidden="false" customHeight="false" outlineLevel="0" collapsed="false">
      <c r="A40" s="0" t="s">
        <v>43</v>
      </c>
      <c r="B40" s="1" t="n">
        <v>43900</v>
      </c>
      <c r="C40" s="6" t="n">
        <v>227</v>
      </c>
      <c r="D40" s="6" t="n">
        <v>51</v>
      </c>
      <c r="E40" s="6" t="n">
        <v>0</v>
      </c>
      <c r="F40" s="6" t="n">
        <v>0</v>
      </c>
      <c r="G40" s="6" t="n">
        <v>1</v>
      </c>
      <c r="H40" s="6" t="n">
        <v>226</v>
      </c>
      <c r="I40" s="6" t="n">
        <v>0</v>
      </c>
      <c r="J40" s="6" t="n">
        <v>41.9</v>
      </c>
      <c r="K40" s="6"/>
      <c r="L40" s="6"/>
      <c r="M40" s="6"/>
    </row>
    <row r="41" customFormat="false" ht="15.75" hidden="false" customHeight="false" outlineLevel="0" collapsed="false">
      <c r="A41" s="0" t="s">
        <v>43</v>
      </c>
      <c r="B41" s="1" t="n">
        <v>43901</v>
      </c>
      <c r="C41" s="6" t="n">
        <v>400</v>
      </c>
      <c r="D41" s="6" t="n">
        <v>173</v>
      </c>
      <c r="E41" s="6" t="n">
        <v>0</v>
      </c>
      <c r="F41" s="6" t="n">
        <v>0</v>
      </c>
      <c r="G41" s="6" t="n">
        <v>1</v>
      </c>
      <c r="H41" s="6" t="n">
        <v>399</v>
      </c>
      <c r="I41" s="6" t="n">
        <v>0</v>
      </c>
      <c r="J41" s="6" t="n">
        <v>73.8</v>
      </c>
      <c r="K41" s="6"/>
      <c r="L41" s="6"/>
      <c r="M41" s="6"/>
    </row>
    <row r="42" customFormat="false" ht="15.75" hidden="false" customHeight="false" outlineLevel="0" collapsed="false">
      <c r="A42" s="0" t="s">
        <v>43</v>
      </c>
      <c r="B42" s="1" t="n">
        <v>43902</v>
      </c>
      <c r="C42" s="6" t="n">
        <v>629</v>
      </c>
      <c r="D42" s="6" t="n">
        <v>229</v>
      </c>
      <c r="E42" s="6" t="n">
        <v>0</v>
      </c>
      <c r="F42" s="6" t="n">
        <v>0</v>
      </c>
      <c r="G42" s="6" t="n">
        <v>1</v>
      </c>
      <c r="H42" s="6" t="n">
        <v>628</v>
      </c>
      <c r="I42" s="6" t="n">
        <v>0</v>
      </c>
      <c r="J42" s="6" t="n">
        <v>116</v>
      </c>
      <c r="K42" s="6"/>
      <c r="L42" s="6"/>
      <c r="M42" s="6"/>
    </row>
    <row r="43" customFormat="false" ht="15.75" hidden="false" customHeight="false" outlineLevel="0" collapsed="false">
      <c r="A43" s="0" t="s">
        <v>43</v>
      </c>
      <c r="B43" s="1" t="n">
        <v>43903</v>
      </c>
      <c r="C43" s="6" t="n">
        <v>800</v>
      </c>
      <c r="D43" s="6" t="n">
        <v>171</v>
      </c>
      <c r="E43" s="6" t="n">
        <v>1</v>
      </c>
      <c r="F43" s="6" t="n">
        <v>1</v>
      </c>
      <c r="G43" s="6" t="n">
        <v>1</v>
      </c>
      <c r="H43" s="6" t="n">
        <v>798</v>
      </c>
      <c r="I43" s="6" t="n">
        <v>0</v>
      </c>
      <c r="J43" s="6" t="n">
        <v>147.6</v>
      </c>
      <c r="K43" s="6"/>
      <c r="L43" s="6"/>
      <c r="M43" s="6"/>
    </row>
    <row r="44" customFormat="false" ht="15.75" hidden="false" customHeight="false" outlineLevel="0" collapsed="false">
      <c r="A44" s="0" t="s">
        <v>43</v>
      </c>
      <c r="B44" s="1" t="n">
        <v>43904</v>
      </c>
      <c r="C44" s="6" t="n">
        <v>996</v>
      </c>
      <c r="D44" s="6" t="n">
        <v>196</v>
      </c>
      <c r="E44" s="6" t="n">
        <v>1</v>
      </c>
      <c r="F44" s="6" t="n">
        <v>0</v>
      </c>
      <c r="G44" s="6" t="n">
        <v>1</v>
      </c>
      <c r="H44" s="6" t="n">
        <v>994</v>
      </c>
      <c r="I44" s="6" t="n">
        <v>27</v>
      </c>
      <c r="J44" s="6" t="n">
        <v>183.7</v>
      </c>
      <c r="K44" s="6"/>
      <c r="L44" s="6"/>
      <c r="M44" s="6"/>
    </row>
    <row r="45" customFormat="false" ht="15.75" hidden="false" customHeight="false" outlineLevel="0" collapsed="false">
      <c r="A45" s="0" t="s">
        <v>43</v>
      </c>
      <c r="B45" s="1" t="n">
        <v>43905</v>
      </c>
      <c r="C45" s="6" t="n">
        <v>1108</v>
      </c>
      <c r="D45" s="6" t="n">
        <v>112</v>
      </c>
      <c r="E45" s="6" t="n">
        <v>3</v>
      </c>
      <c r="F45" s="6" t="n">
        <v>2</v>
      </c>
      <c r="G45" s="6" t="n">
        <v>1</v>
      </c>
      <c r="H45" s="6" t="n">
        <v>1104</v>
      </c>
      <c r="I45" s="6" t="n">
        <v>27</v>
      </c>
      <c r="J45" s="6" t="n">
        <v>204.4</v>
      </c>
      <c r="K45" s="6"/>
      <c r="L45" s="6"/>
      <c r="M45" s="6"/>
    </row>
    <row r="46" customFormat="false" ht="15.75" hidden="false" customHeight="false" outlineLevel="0" collapsed="false">
      <c r="A46" s="0" t="s">
        <v>43</v>
      </c>
      <c r="B46" s="1" t="n">
        <v>43906</v>
      </c>
      <c r="C46" s="6" t="n">
        <v>1254</v>
      </c>
      <c r="D46" s="6" t="n">
        <v>146</v>
      </c>
      <c r="E46" s="6" t="n">
        <v>3</v>
      </c>
      <c r="F46" s="6" t="n">
        <v>0</v>
      </c>
      <c r="G46" s="6" t="n">
        <v>1</v>
      </c>
      <c r="H46" s="6" t="n">
        <v>1250</v>
      </c>
      <c r="I46" s="6" t="n">
        <v>27</v>
      </c>
      <c r="J46" s="6" t="n">
        <v>231.3</v>
      </c>
      <c r="K46" s="6"/>
      <c r="L46" s="6"/>
      <c r="M46" s="6"/>
    </row>
    <row r="47" customFormat="false" ht="15.75" hidden="false" customHeight="false" outlineLevel="0" collapsed="false">
      <c r="A47" s="0" t="s">
        <v>43</v>
      </c>
      <c r="B47" s="1" t="n">
        <v>43907</v>
      </c>
      <c r="C47" s="6" t="n">
        <v>1337</v>
      </c>
      <c r="D47" s="6" t="n">
        <v>83</v>
      </c>
      <c r="E47" s="6" t="n">
        <v>3</v>
      </c>
      <c r="F47" s="6" t="n">
        <v>0</v>
      </c>
      <c r="G47" s="6" t="n">
        <v>1</v>
      </c>
      <c r="H47" s="6" t="n">
        <v>1333</v>
      </c>
      <c r="I47" s="6" t="n">
        <v>27</v>
      </c>
      <c r="J47" s="6" t="n">
        <v>246.6</v>
      </c>
      <c r="K47" s="6"/>
      <c r="L47" s="6"/>
      <c r="M47" s="6"/>
    </row>
    <row r="48" customFormat="false" ht="15.75" hidden="false" customHeight="false" outlineLevel="0" collapsed="false">
      <c r="A48" s="0" t="s">
        <v>43</v>
      </c>
      <c r="B48" s="1" t="n">
        <v>43908</v>
      </c>
      <c r="C48" s="6" t="n">
        <v>1470</v>
      </c>
      <c r="D48" s="6" t="n">
        <v>133</v>
      </c>
      <c r="E48" s="6" t="n">
        <v>3</v>
      </c>
      <c r="F48" s="6" t="n">
        <v>0</v>
      </c>
      <c r="G48" s="6" t="n">
        <v>1</v>
      </c>
      <c r="H48" s="6" t="n">
        <v>1466</v>
      </c>
      <c r="I48" s="6" t="n">
        <v>27</v>
      </c>
      <c r="J48" s="6" t="n">
        <v>271.2</v>
      </c>
      <c r="K48" s="6"/>
      <c r="L48" s="6"/>
      <c r="M48" s="6"/>
    </row>
    <row r="49" customFormat="false" ht="15.75" hidden="false" customHeight="false" outlineLevel="0" collapsed="false">
      <c r="A49" s="0" t="s">
        <v>43</v>
      </c>
      <c r="B49" s="1" t="n">
        <v>43909</v>
      </c>
      <c r="C49" s="6" t="n">
        <v>1590</v>
      </c>
      <c r="D49" s="6" t="n">
        <v>120</v>
      </c>
      <c r="E49" s="6" t="n">
        <v>6</v>
      </c>
      <c r="F49" s="6" t="n">
        <v>3</v>
      </c>
      <c r="G49" s="6" t="n">
        <v>1</v>
      </c>
      <c r="H49" s="6" t="n">
        <v>1583</v>
      </c>
      <c r="I49" s="6" t="n">
        <v>27</v>
      </c>
      <c r="J49" s="6" t="n">
        <v>293</v>
      </c>
      <c r="K49" s="6"/>
      <c r="L49" s="6"/>
      <c r="M49" s="6"/>
    </row>
    <row r="50" customFormat="false" ht="15.75" hidden="false" customHeight="false" outlineLevel="0" collapsed="false">
      <c r="A50" s="0" t="s">
        <v>43</v>
      </c>
      <c r="B50" s="1" t="n">
        <v>43910</v>
      </c>
      <c r="C50" s="6" t="n">
        <v>1790</v>
      </c>
      <c r="D50" s="6" t="n">
        <v>200</v>
      </c>
      <c r="E50" s="6" t="n">
        <v>7</v>
      </c>
      <c r="F50" s="6" t="n">
        <v>1</v>
      </c>
      <c r="G50" s="6" t="n">
        <v>1</v>
      </c>
      <c r="H50" s="6" t="n">
        <v>1782</v>
      </c>
      <c r="I50" s="6" t="n">
        <v>27</v>
      </c>
      <c r="J50" s="6" t="n">
        <v>330</v>
      </c>
      <c r="K50" s="6"/>
      <c r="L50" s="6"/>
      <c r="M50" s="6"/>
    </row>
    <row r="51" customFormat="false" ht="15.75" hidden="false" customHeight="false" outlineLevel="0" collapsed="false">
      <c r="A51" s="0" t="s">
        <v>43</v>
      </c>
      <c r="B51" s="1" t="n">
        <v>43911</v>
      </c>
      <c r="C51" s="6" t="n">
        <v>1995</v>
      </c>
      <c r="D51" s="6" t="n">
        <v>205</v>
      </c>
      <c r="E51" s="6" t="n">
        <v>7</v>
      </c>
      <c r="F51" s="6" t="n">
        <v>0</v>
      </c>
      <c r="G51" s="6" t="n">
        <v>1</v>
      </c>
      <c r="H51" s="6" t="n">
        <v>1987</v>
      </c>
      <c r="I51" s="6" t="n">
        <v>27</v>
      </c>
      <c r="J51" s="6" t="n">
        <v>368</v>
      </c>
      <c r="K51" s="6"/>
      <c r="L51" s="6"/>
      <c r="M51" s="6"/>
    </row>
    <row r="52" customFormat="false" ht="15.75" hidden="false" customHeight="false" outlineLevel="0" collapsed="false">
      <c r="A52" s="0" t="s">
        <v>43</v>
      </c>
      <c r="B52" s="1" t="n">
        <v>43912</v>
      </c>
      <c r="C52" s="6" t="n">
        <v>2164</v>
      </c>
      <c r="D52" s="6" t="n">
        <v>169</v>
      </c>
      <c r="E52" s="6" t="n">
        <v>7</v>
      </c>
      <c r="F52" s="6" t="n">
        <v>0</v>
      </c>
      <c r="G52" s="6" t="n">
        <v>6</v>
      </c>
      <c r="H52" s="6" t="n">
        <v>2151</v>
      </c>
      <c r="I52" s="6" t="n">
        <v>28</v>
      </c>
      <c r="J52" s="6" t="n">
        <v>399</v>
      </c>
      <c r="K52" s="6"/>
      <c r="L52" s="6"/>
      <c r="M52" s="6"/>
    </row>
    <row r="53" customFormat="false" ht="15.75" hidden="false" customHeight="false" outlineLevel="0" collapsed="false">
      <c r="A53" s="0" t="s">
        <v>43</v>
      </c>
      <c r="B53" s="1" t="n">
        <v>43913</v>
      </c>
      <c r="C53" s="6" t="n">
        <v>2263</v>
      </c>
      <c r="D53" s="6" t="n">
        <v>99</v>
      </c>
      <c r="E53" s="6" t="n">
        <v>7</v>
      </c>
      <c r="F53" s="6" t="n">
        <v>0</v>
      </c>
      <c r="G53" s="6" t="n">
        <v>6</v>
      </c>
      <c r="H53" s="6" t="n">
        <v>2250</v>
      </c>
      <c r="I53" s="6" t="n">
        <v>28</v>
      </c>
      <c r="J53" s="6" t="n">
        <v>417</v>
      </c>
      <c r="K53" s="6"/>
      <c r="L53" s="6"/>
      <c r="M53" s="6"/>
    </row>
    <row r="54" customFormat="false" ht="15.75" hidden="false" customHeight="false" outlineLevel="0" collapsed="false">
      <c r="A54" s="0" t="s">
        <v>43</v>
      </c>
      <c r="B54" s="1" t="n">
        <v>43914</v>
      </c>
      <c r="C54" s="6" t="n">
        <v>2621</v>
      </c>
      <c r="D54" s="6" t="n">
        <v>358</v>
      </c>
      <c r="E54" s="6" t="n">
        <v>10</v>
      </c>
      <c r="F54" s="6" t="n">
        <v>3</v>
      </c>
      <c r="G54" s="6" t="n">
        <v>6</v>
      </c>
      <c r="H54" s="6" t="n">
        <v>2605</v>
      </c>
      <c r="I54" s="6" t="n">
        <v>41</v>
      </c>
      <c r="J54" s="6" t="n">
        <v>483</v>
      </c>
      <c r="K54" s="6"/>
      <c r="L54" s="6"/>
      <c r="M54" s="6"/>
    </row>
    <row r="55" customFormat="false" ht="15.75" hidden="false" customHeight="false" outlineLevel="0" collapsed="false">
      <c r="A55" s="0" t="s">
        <v>43</v>
      </c>
      <c r="B55" s="1" t="n">
        <v>43915</v>
      </c>
      <c r="C55" s="7" t="n">
        <v>2863</v>
      </c>
      <c r="D55" s="7" t="n">
        <v>242</v>
      </c>
      <c r="E55" s="7" t="n">
        <v>12</v>
      </c>
      <c r="F55" s="7" t="n">
        <v>2</v>
      </c>
      <c r="G55" s="7" t="n">
        <v>6</v>
      </c>
      <c r="H55" s="7" t="n">
        <v>2845</v>
      </c>
      <c r="I55" s="7" t="n">
        <v>44</v>
      </c>
      <c r="J55" s="7" t="n">
        <v>528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43</v>
      </c>
      <c r="B56" s="1" t="n">
        <v>43916</v>
      </c>
      <c r="C56" s="7" t="n">
        <v>3066</v>
      </c>
      <c r="D56" s="7" t="n">
        <v>203</v>
      </c>
      <c r="E56" s="7" t="n">
        <v>14</v>
      </c>
      <c r="F56" s="7" t="n">
        <v>2</v>
      </c>
      <c r="G56" s="7" t="n">
        <v>6</v>
      </c>
      <c r="H56" s="7" t="n">
        <v>3046</v>
      </c>
      <c r="I56" s="7" t="n">
        <v>57</v>
      </c>
      <c r="J56" s="7" t="n">
        <v>566</v>
      </c>
      <c r="K56" s="7" t="n">
        <v>3</v>
      </c>
      <c r="L56" s="7"/>
      <c r="M56" s="7"/>
    </row>
    <row r="57" customFormat="false" ht="15.75" hidden="false" customHeight="false" outlineLevel="0" collapsed="false">
      <c r="A57" s="0" t="s">
        <v>43</v>
      </c>
      <c r="B57" s="1" t="n">
        <v>43917</v>
      </c>
      <c r="C57" s="7" t="n">
        <v>3346</v>
      </c>
      <c r="D57" s="7" t="n">
        <v>280</v>
      </c>
      <c r="E57" s="7" t="n">
        <v>14</v>
      </c>
      <c r="F57" s="7" t="n">
        <v>0</v>
      </c>
      <c r="G57" s="7" t="n">
        <v>6</v>
      </c>
      <c r="H57" s="7" t="n">
        <v>3326</v>
      </c>
      <c r="I57" s="7" t="n">
        <v>70</v>
      </c>
      <c r="J57" s="7" t="n">
        <v>617</v>
      </c>
      <c r="K57" s="7" t="n">
        <v>3</v>
      </c>
      <c r="L57" s="7"/>
      <c r="M57" s="7"/>
    </row>
    <row r="58" customFormat="false" ht="15.75" hidden="false" customHeight="false" outlineLevel="0" collapsed="false">
      <c r="A58" s="0" t="s">
        <v>43</v>
      </c>
      <c r="B58" s="1" t="n">
        <v>43918</v>
      </c>
      <c r="C58" s="7" t="n">
        <v>3755</v>
      </c>
      <c r="D58" s="7" t="n">
        <v>409</v>
      </c>
      <c r="E58" s="7" t="n">
        <v>19</v>
      </c>
      <c r="F58" s="7" t="n">
        <v>5</v>
      </c>
      <c r="G58" s="7" t="n">
        <v>6</v>
      </c>
      <c r="H58" s="7" t="n">
        <v>3730</v>
      </c>
      <c r="I58" s="7" t="n">
        <v>70</v>
      </c>
      <c r="J58" s="7" t="n">
        <v>693</v>
      </c>
      <c r="K58" s="7" t="n">
        <v>4</v>
      </c>
      <c r="L58" s="7"/>
      <c r="M58" s="7"/>
    </row>
    <row r="59" customFormat="false" ht="15.75" hidden="false" customHeight="false" outlineLevel="0" collapsed="false">
      <c r="A59" s="0" t="s">
        <v>43</v>
      </c>
      <c r="B59" s="1" t="n">
        <v>43919</v>
      </c>
      <c r="C59" s="7" t="n">
        <v>4013</v>
      </c>
      <c r="D59" s="7" t="n">
        <v>258</v>
      </c>
      <c r="E59" s="7" t="n">
        <v>23</v>
      </c>
      <c r="F59" s="7" t="n">
        <v>4</v>
      </c>
      <c r="G59" s="7" t="n">
        <v>7</v>
      </c>
      <c r="H59" s="7" t="n">
        <v>3983</v>
      </c>
      <c r="I59" s="7" t="n">
        <v>84</v>
      </c>
      <c r="J59" s="7" t="n">
        <v>740</v>
      </c>
      <c r="K59" s="7" t="n">
        <v>4</v>
      </c>
      <c r="L59" s="7"/>
      <c r="M59" s="7"/>
    </row>
    <row r="60" customFormat="false" ht="15.75" hidden="false" customHeight="false" outlineLevel="0" collapsed="false">
      <c r="A60" s="0" t="s">
        <v>43</v>
      </c>
      <c r="B60" s="1" t="n">
        <v>43920</v>
      </c>
      <c r="C60" s="7" t="n">
        <v>4271</v>
      </c>
      <c r="D60" s="7" t="n">
        <v>258</v>
      </c>
      <c r="E60" s="7" t="n">
        <v>25</v>
      </c>
      <c r="F60" s="7" t="n">
        <v>2</v>
      </c>
      <c r="G60" s="7" t="n">
        <v>7</v>
      </c>
      <c r="H60" s="7" t="n">
        <v>4239</v>
      </c>
      <c r="I60" s="7" t="n">
        <v>91</v>
      </c>
      <c r="J60" s="7" t="n">
        <v>788</v>
      </c>
      <c r="K60" s="7" t="n">
        <v>5</v>
      </c>
      <c r="L60" s="7"/>
      <c r="M60" s="7"/>
    </row>
    <row r="61" customFormat="false" ht="15.75" hidden="false" customHeight="false" outlineLevel="0" collapsed="false">
      <c r="A61" s="0" t="s">
        <v>43</v>
      </c>
      <c r="B61" s="1" t="n">
        <v>43921</v>
      </c>
      <c r="C61" s="7" t="n">
        <v>4445</v>
      </c>
      <c r="D61" s="7" t="n">
        <v>174</v>
      </c>
      <c r="E61" s="7" t="n">
        <v>32</v>
      </c>
      <c r="F61" s="7" t="n">
        <v>7</v>
      </c>
      <c r="G61" s="7" t="n">
        <v>12</v>
      </c>
      <c r="H61" s="7" t="n">
        <v>4401</v>
      </c>
      <c r="I61" s="7" t="n">
        <v>97</v>
      </c>
      <c r="J61" s="7" t="n">
        <v>820</v>
      </c>
      <c r="K61" s="7" t="n">
        <v>6</v>
      </c>
      <c r="L61" s="7"/>
      <c r="M61" s="7"/>
    </row>
    <row r="62" customFormat="false" ht="15.75" hidden="false" customHeight="false" outlineLevel="0" collapsed="false">
      <c r="A62" s="0" t="s">
        <v>43</v>
      </c>
      <c r="B62" s="1" t="n">
        <v>43922</v>
      </c>
      <c r="C62" s="7" t="n">
        <v>4641</v>
      </c>
      <c r="D62" s="7" t="n">
        <v>196</v>
      </c>
      <c r="E62" s="7" t="n">
        <v>39</v>
      </c>
      <c r="F62" s="7" t="n">
        <v>7</v>
      </c>
      <c r="G62" s="7" t="n">
        <v>13</v>
      </c>
      <c r="H62" s="7" t="n">
        <v>4589</v>
      </c>
      <c r="I62" s="7" t="n">
        <v>97</v>
      </c>
      <c r="J62" s="7" t="n">
        <v>856</v>
      </c>
      <c r="K62" s="7" t="n">
        <v>7</v>
      </c>
      <c r="L62" s="7"/>
      <c r="M62" s="7"/>
    </row>
    <row r="63" customFormat="false" ht="15.75" hidden="false" customHeight="false" outlineLevel="0" collapsed="false">
      <c r="A63" s="0" t="s">
        <v>43</v>
      </c>
      <c r="B63" s="1" t="n">
        <v>43923</v>
      </c>
      <c r="C63" s="7" t="n">
        <v>4877</v>
      </c>
      <c r="D63" s="7" t="n">
        <v>236</v>
      </c>
      <c r="E63" s="7" t="n">
        <v>44</v>
      </c>
      <c r="F63" s="7" t="n">
        <v>5</v>
      </c>
      <c r="G63" s="7" t="n">
        <v>13</v>
      </c>
      <c r="H63" s="7" t="n">
        <v>4820</v>
      </c>
      <c r="I63" s="7" t="n">
        <v>105</v>
      </c>
      <c r="J63" s="7" t="n">
        <v>900</v>
      </c>
      <c r="K63" s="7" t="n">
        <v>8</v>
      </c>
      <c r="L63" s="7"/>
      <c r="M63" s="7"/>
    </row>
    <row r="64" customFormat="false" ht="15.75" hidden="false" customHeight="false" outlineLevel="0" collapsed="false">
      <c r="A64" s="0" t="s">
        <v>43</v>
      </c>
      <c r="B64" s="1" t="n">
        <v>43924</v>
      </c>
      <c r="C64" s="7" t="n">
        <v>5144</v>
      </c>
      <c r="D64" s="7" t="n">
        <v>267</v>
      </c>
      <c r="E64" s="7" t="n">
        <v>50</v>
      </c>
      <c r="F64" s="7" t="n">
        <v>6</v>
      </c>
      <c r="G64" s="7" t="n">
        <v>32</v>
      </c>
      <c r="H64" s="7" t="n">
        <v>5062</v>
      </c>
      <c r="I64" s="7" t="n">
        <v>96</v>
      </c>
      <c r="J64" s="7" t="n">
        <v>949</v>
      </c>
      <c r="K64" s="7" t="n">
        <v>9</v>
      </c>
      <c r="L64" s="7"/>
      <c r="M64" s="7"/>
    </row>
    <row r="65" customFormat="false" ht="15.75" hidden="false" customHeight="false" outlineLevel="0" collapsed="false">
      <c r="A65" s="0" t="s">
        <v>43</v>
      </c>
      <c r="B65" s="1" t="n">
        <v>43925</v>
      </c>
      <c r="C65" s="7" t="n">
        <v>5370</v>
      </c>
      <c r="D65" s="7" t="n">
        <v>226</v>
      </c>
      <c r="E65" s="7" t="n">
        <v>59</v>
      </c>
      <c r="F65" s="7" t="n">
        <v>9</v>
      </c>
      <c r="G65" s="7" t="n">
        <v>32</v>
      </c>
      <c r="H65" s="7" t="n">
        <v>5279</v>
      </c>
      <c r="I65" s="7" t="n">
        <v>96</v>
      </c>
      <c r="J65" s="7" t="n">
        <v>991</v>
      </c>
      <c r="K65" s="7" t="n">
        <v>11</v>
      </c>
      <c r="L65" s="7"/>
      <c r="M65" s="7"/>
    </row>
    <row r="66" customFormat="false" ht="15.75" hidden="false" customHeight="false" outlineLevel="0" collapsed="false">
      <c r="A66" s="0" t="s">
        <v>43</v>
      </c>
      <c r="B66" s="1" t="n">
        <v>43926</v>
      </c>
      <c r="C66" s="7" t="n">
        <v>5550</v>
      </c>
      <c r="D66" s="7" t="n">
        <v>180</v>
      </c>
      <c r="E66" s="7" t="n">
        <v>62</v>
      </c>
      <c r="F66" s="7" t="n">
        <v>3</v>
      </c>
      <c r="G66" s="7" t="n">
        <v>32</v>
      </c>
      <c r="H66" s="7" t="n">
        <v>5456</v>
      </c>
      <c r="I66" s="7" t="n">
        <v>98</v>
      </c>
      <c r="J66" s="7" t="n">
        <v>1024</v>
      </c>
      <c r="K66" s="7" t="n">
        <v>11</v>
      </c>
      <c r="L66" s="7" t="n">
        <v>105865</v>
      </c>
      <c r="M66" s="7" t="n">
        <v>19528</v>
      </c>
    </row>
    <row r="67" customFormat="false" ht="15.75" hidden="false" customHeight="false" outlineLevel="0" collapsed="false">
      <c r="A67" s="0" t="s">
        <v>43</v>
      </c>
      <c r="B67" s="1" t="n">
        <v>43927</v>
      </c>
      <c r="C67" s="7" t="n">
        <v>5687</v>
      </c>
      <c r="D67" s="7" t="n">
        <v>137</v>
      </c>
      <c r="E67" s="7" t="n">
        <v>71</v>
      </c>
      <c r="F67" s="7" t="n">
        <v>9</v>
      </c>
      <c r="G67" s="7" t="n">
        <v>32</v>
      </c>
      <c r="H67" s="7" t="n">
        <v>5584</v>
      </c>
      <c r="I67" s="7" t="n">
        <v>89</v>
      </c>
      <c r="J67" s="7" t="n">
        <v>1049</v>
      </c>
      <c r="K67" s="7" t="n">
        <v>13</v>
      </c>
      <c r="L67" s="7" t="n">
        <v>105865</v>
      </c>
      <c r="M67" s="7" t="n">
        <v>19528</v>
      </c>
    </row>
    <row r="68" customFormat="false" ht="15.75" hidden="false" customHeight="false" outlineLevel="0" collapsed="false">
      <c r="A68" s="0" t="s">
        <v>43</v>
      </c>
      <c r="B68" s="1" t="n">
        <v>43928</v>
      </c>
      <c r="C68" s="12" t="n">
        <v>5763</v>
      </c>
      <c r="D68" s="12" t="n">
        <v>76</v>
      </c>
      <c r="E68" s="12" t="n">
        <v>76</v>
      </c>
      <c r="F68" s="12" t="n">
        <v>5</v>
      </c>
      <c r="G68" s="12" t="n">
        <v>32</v>
      </c>
      <c r="H68" s="12" t="n">
        <v>5655</v>
      </c>
      <c r="I68" s="12" t="n">
        <v>83</v>
      </c>
      <c r="J68" s="12" t="n">
        <v>1063</v>
      </c>
      <c r="K68" s="12" t="n">
        <v>14</v>
      </c>
      <c r="L68" s="12" t="n">
        <v>111299</v>
      </c>
      <c r="M68" s="12" t="n">
        <v>20530</v>
      </c>
    </row>
    <row r="69" customFormat="false" ht="15.75" hidden="false" customHeight="false" outlineLevel="0" collapsed="false">
      <c r="A69" s="0" t="s">
        <v>43</v>
      </c>
      <c r="B69" s="1" t="n">
        <v>43929</v>
      </c>
      <c r="C69" s="14" t="n">
        <v>5953</v>
      </c>
      <c r="D69" s="14" t="n">
        <v>190</v>
      </c>
      <c r="E69" s="14" t="n">
        <v>89</v>
      </c>
      <c r="F69" s="14" t="n">
        <v>13</v>
      </c>
      <c r="G69" s="14" t="n">
        <v>32</v>
      </c>
      <c r="H69" s="14" t="n">
        <v>5832</v>
      </c>
      <c r="I69" s="14" t="n">
        <v>78</v>
      </c>
      <c r="J69" s="14" t="n">
        <v>1098</v>
      </c>
      <c r="K69" s="14" t="n">
        <v>16</v>
      </c>
      <c r="L69" s="14" t="n">
        <v>113896</v>
      </c>
      <c r="M69" s="14" t="n">
        <v>21009</v>
      </c>
    </row>
    <row r="70" customFormat="false" ht="15.75" hidden="false" customHeight="false" outlineLevel="0" collapsed="false">
      <c r="A70" s="0" t="s">
        <v>43</v>
      </c>
      <c r="B70" s="1" t="n">
        <v>43930</v>
      </c>
      <c r="C70" s="14" t="n">
        <v>6086</v>
      </c>
      <c r="D70" s="14" t="n">
        <v>133</v>
      </c>
      <c r="E70" s="14" t="n">
        <v>101</v>
      </c>
      <c r="F70" s="14" t="n">
        <v>12</v>
      </c>
      <c r="G70" s="14" t="n">
        <v>32</v>
      </c>
      <c r="H70" s="14" t="n">
        <v>5953</v>
      </c>
      <c r="I70" s="14" t="n">
        <v>78</v>
      </c>
      <c r="J70" s="14" t="n">
        <v>1123</v>
      </c>
      <c r="K70" s="14" t="n">
        <v>19</v>
      </c>
      <c r="L70" s="14" t="n">
        <v>113896</v>
      </c>
      <c r="M70" s="14" t="n">
        <v>21009</v>
      </c>
    </row>
    <row r="71" customFormat="false" ht="15.75" hidden="false" customHeight="false" outlineLevel="0" collapsed="false">
      <c r="A71" s="0" t="s">
        <v>43</v>
      </c>
      <c r="B71" s="1" t="n">
        <v>43931</v>
      </c>
      <c r="C71" s="14" t="n">
        <v>6162</v>
      </c>
      <c r="D71" s="14" t="n">
        <v>76</v>
      </c>
      <c r="E71" s="14" t="n">
        <v>108</v>
      </c>
      <c r="F71" s="14" t="n">
        <v>7</v>
      </c>
      <c r="G71" s="14" t="n">
        <v>32</v>
      </c>
      <c r="H71" s="14" t="n">
        <v>6022</v>
      </c>
      <c r="I71" s="14" t="n">
        <v>78</v>
      </c>
      <c r="J71" s="14" t="n">
        <v>1137</v>
      </c>
      <c r="K71" s="14" t="n">
        <v>20</v>
      </c>
      <c r="L71" s="14" t="n">
        <v>121034</v>
      </c>
      <c r="M71" s="14" t="n">
        <v>22326</v>
      </c>
    </row>
    <row r="72" customFormat="false" ht="15.75" hidden="false" customHeight="false" outlineLevel="0" collapsed="false">
      <c r="A72" s="0" t="s">
        <v>43</v>
      </c>
      <c r="B72" s="1" t="n">
        <v>43932</v>
      </c>
      <c r="C72" s="14" t="n">
        <v>6314</v>
      </c>
      <c r="D72" s="14" t="n">
        <v>152</v>
      </c>
      <c r="E72" s="14" t="n">
        <v>113</v>
      </c>
      <c r="F72" s="14" t="n">
        <v>5</v>
      </c>
      <c r="G72" s="14" t="n">
        <v>32</v>
      </c>
      <c r="H72" s="14" t="n">
        <v>6169</v>
      </c>
      <c r="I72" s="14" t="n">
        <v>70</v>
      </c>
      <c r="J72" s="14" t="n">
        <v>1165</v>
      </c>
      <c r="K72" s="14" t="n">
        <v>21</v>
      </c>
      <c r="L72" s="14" t="n">
        <v>123170</v>
      </c>
      <c r="M72" s="14" t="n">
        <v>22720</v>
      </c>
    </row>
    <row r="73" customFormat="false" ht="15.75" hidden="false" customHeight="false" outlineLevel="0" collapsed="false">
      <c r="A73" s="0" t="s">
        <v>43</v>
      </c>
      <c r="B73" s="1" t="n">
        <v>43933</v>
      </c>
      <c r="C73" s="14" t="n">
        <v>6409</v>
      </c>
      <c r="D73" s="14" t="n">
        <v>95</v>
      </c>
      <c r="E73" s="14" t="n">
        <v>119</v>
      </c>
      <c r="F73" s="14" t="n">
        <v>6</v>
      </c>
      <c r="G73" s="14" t="n">
        <v>32</v>
      </c>
      <c r="H73" s="14" t="n">
        <v>6258</v>
      </c>
      <c r="I73" s="14" t="n">
        <v>67</v>
      </c>
      <c r="J73" s="14" t="n">
        <v>1182</v>
      </c>
      <c r="K73" s="14" t="n">
        <v>22</v>
      </c>
      <c r="L73" s="14" t="n">
        <v>124279</v>
      </c>
      <c r="M73" s="14" t="n">
        <v>22924</v>
      </c>
    </row>
    <row r="74" customFormat="false" ht="15.75" hidden="false" customHeight="false" outlineLevel="0" collapsed="false">
      <c r="A74" s="0" t="s">
        <v>43</v>
      </c>
      <c r="B74" s="1" t="n">
        <v>43934</v>
      </c>
      <c r="C74" s="14" t="n">
        <v>6485</v>
      </c>
      <c r="D74" s="14" t="n">
        <v>76</v>
      </c>
      <c r="E74" s="14" t="n">
        <v>128</v>
      </c>
      <c r="F74" s="14" t="n">
        <v>9</v>
      </c>
      <c r="G74" s="14" t="n">
        <v>32</v>
      </c>
      <c r="H74" s="14" t="n">
        <v>6325</v>
      </c>
      <c r="I74" s="14" t="n">
        <v>59</v>
      </c>
      <c r="J74" s="14" t="n">
        <v>1196</v>
      </c>
      <c r="K74" s="14" t="n">
        <v>24</v>
      </c>
      <c r="L74" s="14" t="n">
        <v>126486</v>
      </c>
      <c r="M74" s="14" t="n">
        <v>23332</v>
      </c>
    </row>
    <row r="75" customFormat="false" ht="15.75" hidden="false" customHeight="false" outlineLevel="0" collapsed="false">
      <c r="A75" s="0" t="s">
        <v>43</v>
      </c>
      <c r="B75" s="1" t="n">
        <v>43935</v>
      </c>
      <c r="C75" s="14" t="n">
        <v>6565</v>
      </c>
      <c r="D75" s="14" t="n">
        <v>80</v>
      </c>
      <c r="E75" s="14" t="n">
        <v>134</v>
      </c>
      <c r="F75" s="14" t="n">
        <v>6</v>
      </c>
      <c r="G75" s="14" t="n">
        <v>32</v>
      </c>
      <c r="H75" s="14" t="n">
        <v>6399</v>
      </c>
      <c r="I75" s="14" t="n">
        <v>59</v>
      </c>
      <c r="J75" s="14" t="n">
        <v>1211</v>
      </c>
      <c r="K75" s="14" t="n">
        <v>25</v>
      </c>
      <c r="L75" s="14" t="n">
        <v>127305</v>
      </c>
      <c r="M75" s="14" t="n">
        <v>23483</v>
      </c>
    </row>
    <row r="76" customFormat="false" ht="15.75" hidden="false" customHeight="false" outlineLevel="0" collapsed="false">
      <c r="A76" s="0" t="s">
        <v>43</v>
      </c>
      <c r="B76" s="1" t="n">
        <v>43936</v>
      </c>
      <c r="C76" s="14" t="n">
        <v>6623</v>
      </c>
      <c r="D76" s="14" t="n">
        <v>58</v>
      </c>
      <c r="E76" s="14" t="n">
        <v>139</v>
      </c>
      <c r="F76" s="14" t="n">
        <v>5</v>
      </c>
      <c r="G76" s="14" t="n">
        <v>32</v>
      </c>
      <c r="H76" s="14" t="n">
        <v>6452</v>
      </c>
      <c r="I76" s="14" t="n">
        <v>59</v>
      </c>
      <c r="J76" s="14" t="n">
        <v>1222</v>
      </c>
      <c r="K76" s="14" t="n">
        <v>26</v>
      </c>
      <c r="L76" s="14" t="n">
        <v>128569</v>
      </c>
      <c r="M76" s="14" t="n">
        <v>23716</v>
      </c>
    </row>
    <row r="77" customFormat="false" ht="15.75" hidden="false" customHeight="false" outlineLevel="0" collapsed="false">
      <c r="A77" s="0" t="s">
        <v>43</v>
      </c>
      <c r="B77" s="1" t="n">
        <v>43937</v>
      </c>
      <c r="C77" s="14" t="n">
        <v>6740</v>
      </c>
      <c r="D77" s="14" t="n">
        <v>117</v>
      </c>
      <c r="E77" s="14" t="n">
        <v>150</v>
      </c>
      <c r="F77" s="14" t="n">
        <v>11</v>
      </c>
      <c r="G77" s="14" t="n">
        <v>32</v>
      </c>
      <c r="H77" s="14" t="n">
        <v>6558</v>
      </c>
      <c r="I77" s="14" t="n">
        <v>64</v>
      </c>
      <c r="J77" s="14" t="n">
        <v>1243</v>
      </c>
      <c r="K77" s="14" t="n">
        <v>28</v>
      </c>
      <c r="L77" s="14" t="n">
        <v>130216</v>
      </c>
      <c r="M77" s="14" t="n">
        <v>24020</v>
      </c>
    </row>
    <row r="78" customFormat="false" ht="15.75" hidden="false" customHeight="false" outlineLevel="0" collapsed="false">
      <c r="A78" s="0" t="s">
        <v>43</v>
      </c>
      <c r="B78" s="1" t="n">
        <v>43938</v>
      </c>
      <c r="C78" s="14" t="n">
        <v>6896</v>
      </c>
      <c r="D78" s="14" t="n">
        <v>156</v>
      </c>
      <c r="E78" s="14" t="n">
        <v>152</v>
      </c>
      <c r="F78" s="14" t="n">
        <v>2</v>
      </c>
      <c r="G78" s="14" t="n">
        <v>32</v>
      </c>
      <c r="H78" s="14" t="n">
        <v>6712</v>
      </c>
      <c r="I78" s="14" t="n">
        <v>64</v>
      </c>
      <c r="J78" s="14" t="n">
        <v>1272</v>
      </c>
      <c r="K78" s="14" t="n">
        <v>28</v>
      </c>
      <c r="L78" s="14" t="n">
        <v>133707</v>
      </c>
      <c r="M78" s="14" t="n">
        <v>24664</v>
      </c>
    </row>
    <row r="79" customFormat="false" ht="15.75" hidden="false" customHeight="false" outlineLevel="0" collapsed="false">
      <c r="A79" s="0" t="s">
        <v>43</v>
      </c>
      <c r="B79" s="1" t="n">
        <v>43939</v>
      </c>
      <c r="C79" s="14" t="n">
        <v>6937</v>
      </c>
      <c r="D79" s="14" t="n">
        <v>41</v>
      </c>
      <c r="E79" s="14" t="n">
        <v>161</v>
      </c>
      <c r="F79" s="14" t="n">
        <v>9</v>
      </c>
      <c r="G79" s="14" t="n">
        <v>32</v>
      </c>
      <c r="H79" s="14" t="n">
        <v>6744</v>
      </c>
      <c r="I79" s="14" t="n">
        <v>63</v>
      </c>
      <c r="J79" s="14" t="n">
        <v>1280</v>
      </c>
      <c r="K79" s="14" t="n">
        <v>30</v>
      </c>
      <c r="L79" s="14" t="n">
        <v>136236</v>
      </c>
      <c r="M79" s="14" t="n">
        <v>25130</v>
      </c>
    </row>
    <row r="80" customFormat="false" ht="15.75" hidden="false" customHeight="false" outlineLevel="0" collapsed="false">
      <c r="A80" s="0" t="s">
        <v>43</v>
      </c>
      <c r="B80" s="1" t="n">
        <v>43940</v>
      </c>
      <c r="C80" s="14" t="n">
        <v>7036</v>
      </c>
      <c r="D80" s="14" t="n">
        <v>99</v>
      </c>
      <c r="E80" s="14" t="n">
        <v>164</v>
      </c>
      <c r="F80" s="14" t="n">
        <v>3</v>
      </c>
      <c r="G80" s="14" t="n">
        <v>32</v>
      </c>
      <c r="H80" s="14" t="n">
        <v>6840</v>
      </c>
      <c r="I80" s="14" t="n">
        <v>63</v>
      </c>
      <c r="J80" s="14" t="n">
        <v>1298</v>
      </c>
      <c r="K80" s="14" t="n">
        <v>30</v>
      </c>
      <c r="L80" s="14" t="n">
        <v>139668</v>
      </c>
      <c r="M80" s="14" t="n">
        <v>25763</v>
      </c>
    </row>
    <row r="81" customFormat="false" ht="15.75" hidden="false" customHeight="false" outlineLevel="0" collapsed="false">
      <c r="A81" s="0" t="s">
        <v>43</v>
      </c>
      <c r="B81" s="1" t="n">
        <v>43941</v>
      </c>
      <c r="C81" s="14" t="n">
        <v>7078</v>
      </c>
      <c r="D81" s="14" t="n">
        <v>42</v>
      </c>
      <c r="E81" s="14" t="n">
        <v>165</v>
      </c>
      <c r="F81" s="14" t="n">
        <v>1</v>
      </c>
      <c r="G81" s="14" t="n">
        <v>32</v>
      </c>
      <c r="H81" s="14" t="n">
        <v>6881</v>
      </c>
      <c r="I81" s="14" t="n">
        <v>58</v>
      </c>
      <c r="J81" s="14" t="n">
        <v>1306</v>
      </c>
      <c r="K81" s="14" t="n">
        <v>30</v>
      </c>
      <c r="L81" s="14" t="n">
        <v>142166</v>
      </c>
      <c r="M81" s="14" t="n">
        <v>26224</v>
      </c>
    </row>
    <row r="82" customFormat="false" ht="15.75" hidden="false" customHeight="false" outlineLevel="0" collapsed="false">
      <c r="A82" s="0" t="s">
        <v>43</v>
      </c>
      <c r="B82" s="1" t="n">
        <v>43942</v>
      </c>
      <c r="C82" s="6" t="n">
        <v>7127</v>
      </c>
      <c r="D82" s="6" t="n">
        <v>49</v>
      </c>
      <c r="E82" s="6" t="n">
        <v>181</v>
      </c>
      <c r="F82" s="6" t="n">
        <v>16</v>
      </c>
      <c r="G82" s="6" t="n">
        <v>32</v>
      </c>
      <c r="H82" s="6" t="n">
        <v>6914</v>
      </c>
      <c r="I82" s="6" t="n">
        <v>58</v>
      </c>
      <c r="J82" s="6" t="n">
        <v>1315</v>
      </c>
      <c r="K82" s="6" t="n">
        <v>33</v>
      </c>
      <c r="L82" s="6" t="n">
        <v>143255</v>
      </c>
      <c r="M82" s="6" t="n">
        <v>26425</v>
      </c>
    </row>
    <row r="83" customFormat="false" ht="15.75" hidden="false" customHeight="false" outlineLevel="0" collapsed="false">
      <c r="A83" s="0" t="s">
        <v>43</v>
      </c>
      <c r="B83" s="1" t="n">
        <v>43943</v>
      </c>
      <c r="C83" s="6" t="n">
        <v>7191</v>
      </c>
      <c r="D83" s="6" t="n">
        <v>64</v>
      </c>
      <c r="E83" s="6" t="n">
        <v>182</v>
      </c>
      <c r="F83" s="6" t="n">
        <v>1</v>
      </c>
      <c r="G83" s="6" t="n">
        <v>32</v>
      </c>
      <c r="H83" s="6" t="n">
        <v>6977</v>
      </c>
      <c r="I83" s="6" t="n">
        <v>58</v>
      </c>
      <c r="J83" s="6" t="n">
        <v>1326</v>
      </c>
      <c r="K83" s="6" t="n">
        <v>34</v>
      </c>
      <c r="L83" s="6" t="n">
        <v>145279</v>
      </c>
      <c r="M83" s="6" t="n">
        <v>26798</v>
      </c>
    </row>
    <row r="84" customFormat="false" ht="15.75" hidden="false" customHeight="false" outlineLevel="0" collapsed="false">
      <c r="A84" s="0" t="s">
        <v>43</v>
      </c>
      <c r="B84" s="1" t="n">
        <v>43944</v>
      </c>
      <c r="C84" s="6" t="n">
        <v>7275</v>
      </c>
      <c r="D84" s="6" t="n">
        <v>84</v>
      </c>
      <c r="E84" s="6" t="n">
        <v>187</v>
      </c>
      <c r="F84" s="6" t="n">
        <v>5</v>
      </c>
      <c r="G84" s="6" t="n">
        <v>32</v>
      </c>
      <c r="H84" s="6" t="n">
        <v>7056</v>
      </c>
      <c r="I84" s="6" t="n">
        <v>54</v>
      </c>
      <c r="J84" s="6" t="n">
        <v>1342</v>
      </c>
      <c r="K84" s="6" t="n">
        <v>34</v>
      </c>
      <c r="L84" s="6" t="n">
        <v>148656</v>
      </c>
      <c r="M84" s="6" t="n">
        <v>27421</v>
      </c>
    </row>
    <row r="85" customFormat="false" ht="15.75" hidden="false" customHeight="false" outlineLevel="0" collapsed="false">
      <c r="A85" s="0" t="s">
        <v>43</v>
      </c>
      <c r="B85" s="1" t="n">
        <v>43945</v>
      </c>
      <c r="C85" s="6" t="n">
        <v>7361</v>
      </c>
      <c r="D85" s="6" t="n">
        <v>86</v>
      </c>
      <c r="E85" s="6" t="n">
        <v>193</v>
      </c>
      <c r="F85" s="6" t="n">
        <v>6</v>
      </c>
      <c r="G85" s="6" t="n">
        <v>32</v>
      </c>
      <c r="H85" s="6" t="n">
        <v>7136</v>
      </c>
      <c r="I85" s="6" t="n">
        <v>50</v>
      </c>
      <c r="J85" s="6" t="n">
        <v>1358</v>
      </c>
      <c r="K85" s="6" t="n">
        <v>36</v>
      </c>
      <c r="L85" s="6" t="n">
        <v>152095</v>
      </c>
      <c r="M85" s="6" t="n">
        <v>28055</v>
      </c>
    </row>
    <row r="86" customFormat="false" ht="15.75" hidden="false" customHeight="false" outlineLevel="0" collapsed="false">
      <c r="A86" s="0" t="s">
        <v>43</v>
      </c>
      <c r="B86" s="1" t="n">
        <v>43946</v>
      </c>
      <c r="C86" s="6" t="n">
        <v>7444</v>
      </c>
      <c r="D86" s="6" t="n">
        <v>83</v>
      </c>
      <c r="E86" s="6" t="n">
        <v>199</v>
      </c>
      <c r="F86" s="6" t="n">
        <v>6</v>
      </c>
      <c r="G86" s="6" t="n">
        <v>32</v>
      </c>
      <c r="H86" s="6" t="n">
        <v>7213</v>
      </c>
      <c r="I86" s="6" t="n">
        <v>53</v>
      </c>
      <c r="J86" s="6" t="n">
        <v>1373</v>
      </c>
      <c r="K86" s="6" t="n">
        <v>37</v>
      </c>
      <c r="L86" s="6" t="n">
        <v>155125</v>
      </c>
      <c r="M86" s="6" t="n">
        <v>28614</v>
      </c>
    </row>
    <row r="87" customFormat="false" ht="15.75" hidden="false" customHeight="false" outlineLevel="0" collapsed="false">
      <c r="A87" s="0" t="s">
        <v>43</v>
      </c>
      <c r="B87" s="1" t="n">
        <v>43947</v>
      </c>
      <c r="C87" s="6" t="n">
        <v>7493</v>
      </c>
      <c r="D87" s="6" t="n">
        <v>49</v>
      </c>
      <c r="E87" s="6" t="n">
        <v>201</v>
      </c>
      <c r="F87" s="6" t="n">
        <v>2</v>
      </c>
      <c r="G87" s="6" t="n">
        <v>32</v>
      </c>
      <c r="H87" s="6" t="n">
        <v>7260</v>
      </c>
      <c r="I87" s="6" t="n">
        <v>50</v>
      </c>
      <c r="J87" s="6" t="n">
        <v>1382</v>
      </c>
      <c r="K87" s="6" t="n">
        <v>37</v>
      </c>
      <c r="L87" s="6" t="n">
        <v>155125</v>
      </c>
      <c r="M87" s="6" t="n">
        <v>28614</v>
      </c>
    </row>
    <row r="88" customFormat="false" ht="15.75" hidden="false" customHeight="false" outlineLevel="0" collapsed="false">
      <c r="A88" s="0" t="s">
        <v>43</v>
      </c>
      <c r="B88" s="1" t="n">
        <v>43948</v>
      </c>
      <c r="C88" s="6" t="n">
        <v>7511</v>
      </c>
      <c r="D88" s="6" t="n">
        <v>18</v>
      </c>
      <c r="E88" s="6" t="n">
        <v>201</v>
      </c>
      <c r="F88" s="6" t="n">
        <v>0</v>
      </c>
      <c r="G88" s="6" t="n">
        <v>32</v>
      </c>
      <c r="H88" s="6" t="n">
        <v>7278</v>
      </c>
      <c r="I88" s="6" t="n">
        <v>49</v>
      </c>
      <c r="J88" s="6" t="n">
        <v>1385</v>
      </c>
      <c r="K88" s="6" t="n">
        <v>37</v>
      </c>
      <c r="L88" s="6" t="n">
        <v>155125</v>
      </c>
      <c r="M88" s="6" t="n">
        <v>28614</v>
      </c>
    </row>
    <row r="89" customFormat="false" ht="13.5" hidden="false" customHeight="false" outlineLevel="0" collapsed="false">
      <c r="A89" s="0" t="s">
        <v>43</v>
      </c>
      <c r="B89" s="1" t="n">
        <v>43949</v>
      </c>
      <c r="C89" s="2" t="n">
        <v>7554</v>
      </c>
      <c r="D89" s="2" t="n">
        <v>43</v>
      </c>
      <c r="E89" s="2" t="n">
        <v>205</v>
      </c>
      <c r="F89" s="2" t="n">
        <v>4</v>
      </c>
      <c r="G89" s="2" t="n">
        <v>32</v>
      </c>
      <c r="H89" s="2" t="n">
        <v>7317</v>
      </c>
      <c r="I89" s="2" t="n">
        <v>52</v>
      </c>
      <c r="J89" s="2" t="n">
        <v>1393</v>
      </c>
      <c r="K89" s="2" t="n">
        <v>38</v>
      </c>
      <c r="L89" s="2" t="n">
        <v>164316</v>
      </c>
      <c r="M89" s="2" t="n">
        <v>30310</v>
      </c>
    </row>
    <row r="90" customFormat="false" ht="13.5" hidden="false" customHeight="false" outlineLevel="0" collapsed="false">
      <c r="A90" s="0" t="s">
        <v>43</v>
      </c>
      <c r="B90" s="1" t="n">
        <v>43950</v>
      </c>
      <c r="C90" s="2" t="n">
        <v>7619</v>
      </c>
      <c r="D90" s="2" t="n">
        <v>65</v>
      </c>
      <c r="E90" s="2" t="n">
        <v>206</v>
      </c>
      <c r="F90" s="2" t="n">
        <v>1</v>
      </c>
      <c r="G90" s="2" t="n">
        <v>32</v>
      </c>
      <c r="H90" s="2" t="n">
        <v>7381</v>
      </c>
      <c r="I90" s="2" t="n">
        <v>44</v>
      </c>
      <c r="J90" s="2" t="n">
        <v>1405</v>
      </c>
      <c r="K90" s="2" t="n">
        <v>38</v>
      </c>
      <c r="L90" s="2" t="n">
        <v>165951</v>
      </c>
      <c r="M90" s="2" t="n">
        <v>30611</v>
      </c>
    </row>
    <row r="91" customFormat="false" ht="13.5" hidden="false" customHeight="false" outlineLevel="0" collapsed="false">
      <c r="A91" s="0" t="s">
        <v>43</v>
      </c>
      <c r="B91" s="1" t="n">
        <v>43951</v>
      </c>
      <c r="C91" s="2" t="n">
        <v>7680</v>
      </c>
      <c r="D91" s="2" t="n">
        <v>61</v>
      </c>
      <c r="E91" s="2" t="n">
        <v>207</v>
      </c>
      <c r="F91" s="2" t="n">
        <v>1</v>
      </c>
      <c r="G91" s="2" t="n">
        <v>32</v>
      </c>
      <c r="H91" s="2" t="n">
        <v>7441</v>
      </c>
      <c r="I91" s="2" t="n">
        <v>40</v>
      </c>
      <c r="J91" s="2" t="n">
        <v>1417</v>
      </c>
      <c r="K91" s="2" t="n">
        <v>38</v>
      </c>
      <c r="L91" s="2" t="n">
        <v>169124</v>
      </c>
      <c r="M91" s="2" t="n">
        <v>31197</v>
      </c>
    </row>
    <row r="92" customFormat="false" ht="14.25" hidden="false" customHeight="false" outlineLevel="0" collapsed="false">
      <c r="A92" s="0" t="s">
        <v>43</v>
      </c>
      <c r="B92" s="1" t="n">
        <v>43952</v>
      </c>
      <c r="C92" s="2" t="n">
        <v>7738</v>
      </c>
      <c r="D92" s="2" t="n">
        <v>58</v>
      </c>
      <c r="E92" s="2" t="n">
        <v>210</v>
      </c>
      <c r="F92" s="2" t="n">
        <v>3</v>
      </c>
      <c r="G92" s="2" t="n">
        <v>32</v>
      </c>
      <c r="H92" s="2" t="n">
        <v>7496</v>
      </c>
      <c r="I92" s="2" t="n">
        <v>37</v>
      </c>
      <c r="J92" s="2" t="n">
        <v>1427</v>
      </c>
      <c r="K92" s="2" t="n">
        <v>39</v>
      </c>
      <c r="L92" s="2" t="n">
        <v>172586</v>
      </c>
      <c r="M92" s="2" t="n">
        <v>31835</v>
      </c>
    </row>
    <row r="93" customFormat="false" ht="15.75" hidden="false" customHeight="false" outlineLevel="0" collapsed="false">
      <c r="A93" s="0" t="s">
        <v>43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43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43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43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43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43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43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43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43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43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43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43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43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43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43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43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43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43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43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43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43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43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43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43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43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43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43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43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43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43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43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43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43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43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43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43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43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43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43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43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43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43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43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43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43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43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43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43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43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43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43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43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43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43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43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43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43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43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43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43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43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43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43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43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43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43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43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43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43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43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43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43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43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43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43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43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43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43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43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43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43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43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43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43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43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43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43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43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43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43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43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43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43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43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43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44</v>
      </c>
      <c r="B37" s="1" t="n">
        <v>43897</v>
      </c>
      <c r="C37" s="8" t="n">
        <v>63</v>
      </c>
      <c r="D37" s="8" t="n">
        <v>3</v>
      </c>
      <c r="E37" s="8" t="n">
        <v>2</v>
      </c>
      <c r="F37" s="8"/>
      <c r="G37" s="8" t="n">
        <v>22</v>
      </c>
      <c r="H37" s="8" t="n">
        <v>39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44</v>
      </c>
      <c r="B38" s="1" t="n">
        <v>43898</v>
      </c>
      <c r="C38" s="6" t="n">
        <v>74</v>
      </c>
      <c r="D38" s="6" t="n">
        <v>11</v>
      </c>
      <c r="E38" s="6" t="n">
        <v>3</v>
      </c>
      <c r="F38" s="6" t="n">
        <v>1</v>
      </c>
      <c r="G38" s="6" t="n">
        <v>22</v>
      </c>
      <c r="H38" s="6" t="n">
        <v>49</v>
      </c>
      <c r="I38" s="6" t="n">
        <v>1</v>
      </c>
      <c r="J38" s="6" t="n">
        <v>2.9</v>
      </c>
      <c r="K38" s="6"/>
      <c r="L38" s="6"/>
      <c r="M38" s="6"/>
    </row>
    <row r="39" customFormat="false" ht="15.75" hidden="false" customHeight="false" outlineLevel="0" collapsed="false">
      <c r="A39" s="0" t="s">
        <v>44</v>
      </c>
      <c r="B39" s="1" t="n">
        <v>43899</v>
      </c>
      <c r="C39" s="6" t="n">
        <v>80</v>
      </c>
      <c r="D39" s="6" t="n">
        <v>6</v>
      </c>
      <c r="E39" s="6" t="n">
        <v>3</v>
      </c>
      <c r="F39" s="6" t="n">
        <v>0</v>
      </c>
      <c r="G39" s="6" t="n">
        <v>22</v>
      </c>
      <c r="H39" s="6" t="n">
        <v>55</v>
      </c>
      <c r="I39" s="6" t="n">
        <v>1</v>
      </c>
      <c r="J39" s="6" t="n">
        <v>3.1</v>
      </c>
      <c r="K39" s="6"/>
      <c r="L39" s="6"/>
      <c r="M39" s="6"/>
    </row>
    <row r="40" customFormat="false" ht="15.75" hidden="false" customHeight="false" outlineLevel="0" collapsed="false">
      <c r="A40" s="0" t="s">
        <v>44</v>
      </c>
      <c r="B40" s="1" t="n">
        <v>43900</v>
      </c>
      <c r="C40" s="6" t="n">
        <v>93</v>
      </c>
      <c r="D40" s="6" t="n">
        <v>13</v>
      </c>
      <c r="E40" s="6" t="n">
        <v>3</v>
      </c>
      <c r="F40" s="6" t="n">
        <v>0</v>
      </c>
      <c r="G40" s="6" t="n">
        <v>22</v>
      </c>
      <c r="H40" s="6" t="n">
        <v>68</v>
      </c>
      <c r="I40" s="6" t="n">
        <v>1</v>
      </c>
      <c r="J40" s="6" t="n">
        <v>3.6</v>
      </c>
      <c r="K40" s="6"/>
      <c r="L40" s="6"/>
      <c r="M40" s="6"/>
    </row>
    <row r="41" customFormat="false" ht="15.75" hidden="false" customHeight="false" outlineLevel="0" collapsed="false">
      <c r="A41" s="0" t="s">
        <v>44</v>
      </c>
      <c r="B41" s="1" t="n">
        <v>43901</v>
      </c>
      <c r="C41" s="6" t="n">
        <v>116</v>
      </c>
      <c r="D41" s="6" t="n">
        <v>23</v>
      </c>
      <c r="E41" s="6" t="n">
        <v>3</v>
      </c>
      <c r="F41" s="6" t="n">
        <v>0</v>
      </c>
      <c r="G41" s="6" t="n">
        <v>22</v>
      </c>
      <c r="H41" s="6" t="n">
        <v>91</v>
      </c>
      <c r="I41" s="6" t="n">
        <v>1</v>
      </c>
      <c r="J41" s="6" t="n">
        <v>4.5</v>
      </c>
      <c r="K41" s="6"/>
      <c r="L41" s="6"/>
      <c r="M41" s="6"/>
    </row>
    <row r="42" customFormat="false" ht="15.75" hidden="false" customHeight="false" outlineLevel="0" collapsed="false">
      <c r="A42" s="0" t="s">
        <v>44</v>
      </c>
      <c r="B42" s="1" t="n">
        <v>43902</v>
      </c>
      <c r="C42" s="6" t="n">
        <v>127</v>
      </c>
      <c r="D42" s="6" t="n">
        <v>11</v>
      </c>
      <c r="E42" s="6" t="n">
        <v>3</v>
      </c>
      <c r="F42" s="6" t="n">
        <v>0</v>
      </c>
      <c r="G42" s="6" t="n">
        <v>24</v>
      </c>
      <c r="H42" s="6" t="n">
        <v>100</v>
      </c>
      <c r="I42" s="6" t="n">
        <v>1</v>
      </c>
      <c r="J42" s="6" t="n">
        <v>5</v>
      </c>
      <c r="K42" s="6"/>
      <c r="L42" s="6"/>
      <c r="M42" s="6"/>
    </row>
    <row r="43" customFormat="false" ht="15.75" hidden="false" customHeight="false" outlineLevel="0" collapsed="false">
      <c r="A43" s="0" t="s">
        <v>44</v>
      </c>
      <c r="B43" s="1" t="n">
        <v>43903</v>
      </c>
      <c r="C43" s="6" t="n">
        <v>156</v>
      </c>
      <c r="D43" s="6" t="n">
        <v>29</v>
      </c>
      <c r="E43" s="6" t="n">
        <v>3</v>
      </c>
      <c r="F43" s="6" t="n">
        <v>0</v>
      </c>
      <c r="G43" s="6" t="n">
        <v>26</v>
      </c>
      <c r="H43" s="6" t="n">
        <v>127</v>
      </c>
      <c r="I43" s="6" t="n">
        <v>1</v>
      </c>
      <c r="J43" s="6" t="n">
        <v>6.1</v>
      </c>
      <c r="K43" s="6"/>
      <c r="L43" s="6"/>
      <c r="M43" s="6"/>
    </row>
    <row r="44" customFormat="false" ht="15.75" hidden="false" customHeight="false" outlineLevel="0" collapsed="false">
      <c r="A44" s="0" t="s">
        <v>44</v>
      </c>
      <c r="B44" s="1" t="n">
        <v>43904</v>
      </c>
      <c r="C44" s="6" t="n">
        <v>199</v>
      </c>
      <c r="D44" s="6" t="n">
        <v>43</v>
      </c>
      <c r="E44" s="6" t="n">
        <v>3</v>
      </c>
      <c r="F44" s="6" t="n">
        <v>0</v>
      </c>
      <c r="G44" s="6" t="n">
        <v>26</v>
      </c>
      <c r="H44" s="6" t="n">
        <v>170</v>
      </c>
      <c r="I44" s="6" t="n">
        <v>1</v>
      </c>
      <c r="J44" s="6" t="n">
        <v>7.8</v>
      </c>
      <c r="K44" s="6"/>
      <c r="L44" s="6"/>
      <c r="M44" s="6"/>
    </row>
    <row r="45" customFormat="false" ht="15.75" hidden="false" customHeight="false" outlineLevel="0" collapsed="false">
      <c r="A45" s="0" t="s">
        <v>44</v>
      </c>
      <c r="B45" s="1" t="n">
        <v>43905</v>
      </c>
      <c r="C45" s="6" t="n">
        <v>248</v>
      </c>
      <c r="D45" s="6" t="n">
        <v>49</v>
      </c>
      <c r="E45" s="6" t="n">
        <v>3</v>
      </c>
      <c r="F45" s="6" t="n">
        <v>0</v>
      </c>
      <c r="G45" s="6" t="n">
        <v>27</v>
      </c>
      <c r="H45" s="6" t="n">
        <v>218</v>
      </c>
      <c r="I45" s="6" t="n">
        <v>1</v>
      </c>
      <c r="J45" s="6" t="n">
        <v>9.7</v>
      </c>
      <c r="K45" s="6"/>
      <c r="L45" s="6"/>
      <c r="M45" s="6"/>
    </row>
    <row r="46" customFormat="false" ht="15.75" hidden="false" customHeight="false" outlineLevel="0" collapsed="false">
      <c r="A46" s="0" t="s">
        <v>44</v>
      </c>
      <c r="B46" s="1" t="n">
        <v>43906</v>
      </c>
      <c r="C46" s="6" t="n">
        <v>300</v>
      </c>
      <c r="D46" s="6" t="n">
        <v>52</v>
      </c>
      <c r="E46" s="6" t="n">
        <v>5</v>
      </c>
      <c r="F46" s="6" t="n">
        <v>2</v>
      </c>
      <c r="G46" s="6" t="n">
        <v>27</v>
      </c>
      <c r="H46" s="6" t="n">
        <v>268</v>
      </c>
      <c r="I46" s="6" t="n">
        <v>1</v>
      </c>
      <c r="J46" s="6" t="n">
        <v>11.8</v>
      </c>
      <c r="K46" s="6"/>
      <c r="L46" s="6"/>
      <c r="M46" s="6"/>
    </row>
    <row r="47" customFormat="false" ht="15.75" hidden="false" customHeight="false" outlineLevel="0" collapsed="false">
      <c r="A47" s="0" t="s">
        <v>44</v>
      </c>
      <c r="B47" s="1" t="n">
        <v>43907</v>
      </c>
      <c r="C47" s="6" t="n">
        <v>375</v>
      </c>
      <c r="D47" s="6" t="n">
        <v>75</v>
      </c>
      <c r="E47" s="6" t="n">
        <v>5</v>
      </c>
      <c r="F47" s="6" t="n">
        <v>0</v>
      </c>
      <c r="G47" s="6" t="n">
        <v>27</v>
      </c>
      <c r="H47" s="6" t="n">
        <v>343</v>
      </c>
      <c r="I47" s="6" t="n">
        <v>1</v>
      </c>
      <c r="J47" s="6" t="n">
        <v>14.7</v>
      </c>
      <c r="K47" s="6"/>
      <c r="L47" s="6"/>
      <c r="M47" s="6"/>
    </row>
    <row r="48" customFormat="false" ht="15.75" hidden="false" customHeight="false" outlineLevel="0" collapsed="false">
      <c r="A48" s="0" t="s">
        <v>44</v>
      </c>
      <c r="B48" s="1" t="n">
        <v>43908</v>
      </c>
      <c r="C48" s="6" t="n">
        <v>452</v>
      </c>
      <c r="D48" s="6" t="n">
        <v>77</v>
      </c>
      <c r="E48" s="6" t="n">
        <v>5</v>
      </c>
      <c r="F48" s="6" t="n">
        <v>0</v>
      </c>
      <c r="G48" s="6" t="n">
        <v>27</v>
      </c>
      <c r="H48" s="6" t="n">
        <v>420</v>
      </c>
      <c r="I48" s="6" t="n">
        <v>1</v>
      </c>
      <c r="J48" s="6" t="n">
        <v>17.7</v>
      </c>
      <c r="K48" s="6"/>
      <c r="L48" s="6"/>
      <c r="M48" s="6"/>
    </row>
    <row r="49" customFormat="false" ht="15.75" hidden="false" customHeight="false" outlineLevel="0" collapsed="false">
      <c r="A49" s="0" t="s">
        <v>44</v>
      </c>
      <c r="B49" s="1" t="n">
        <v>43909</v>
      </c>
      <c r="C49" s="6" t="n">
        <v>596</v>
      </c>
      <c r="D49" s="6" t="n">
        <v>144</v>
      </c>
      <c r="E49" s="6" t="n">
        <v>6</v>
      </c>
      <c r="F49" s="6" t="n">
        <v>1</v>
      </c>
      <c r="G49" s="6" t="n">
        <v>43</v>
      </c>
      <c r="H49" s="6" t="n">
        <v>547</v>
      </c>
      <c r="I49" s="6" t="n">
        <v>1</v>
      </c>
      <c r="J49" s="6" t="n">
        <v>23</v>
      </c>
      <c r="K49" s="6"/>
      <c r="L49" s="6"/>
      <c r="M49" s="6"/>
    </row>
    <row r="50" customFormat="false" ht="15.75" hidden="false" customHeight="false" outlineLevel="0" collapsed="false">
      <c r="A50" s="0" t="s">
        <v>44</v>
      </c>
      <c r="B50" s="1" t="n">
        <v>43910</v>
      </c>
      <c r="C50" s="6" t="n">
        <v>756</v>
      </c>
      <c r="D50" s="6" t="n">
        <v>160</v>
      </c>
      <c r="E50" s="6" t="n">
        <v>7</v>
      </c>
      <c r="F50" s="6" t="n">
        <v>1</v>
      </c>
      <c r="G50" s="6" t="n">
        <v>46</v>
      </c>
      <c r="H50" s="6" t="n">
        <v>703</v>
      </c>
      <c r="I50" s="6" t="n">
        <v>1</v>
      </c>
      <c r="J50" s="6" t="n">
        <v>30</v>
      </c>
      <c r="K50" s="6"/>
      <c r="L50" s="6"/>
      <c r="M50" s="6"/>
    </row>
    <row r="51" customFormat="false" ht="15.75" hidden="false" customHeight="false" outlineLevel="0" collapsed="false">
      <c r="A51" s="0" t="s">
        <v>44</v>
      </c>
      <c r="B51" s="1" t="n">
        <v>43911</v>
      </c>
      <c r="C51" s="6" t="n">
        <v>1068</v>
      </c>
      <c r="D51" s="6" t="n">
        <v>312</v>
      </c>
      <c r="E51" s="6" t="n">
        <v>7</v>
      </c>
      <c r="F51" s="6" t="n">
        <v>0</v>
      </c>
      <c r="G51" s="6" t="n">
        <v>46</v>
      </c>
      <c r="H51" s="6" t="n">
        <v>1015</v>
      </c>
      <c r="I51" s="6" t="n">
        <v>2</v>
      </c>
      <c r="J51" s="6" t="n">
        <v>42</v>
      </c>
      <c r="K51" s="6"/>
      <c r="L51" s="6"/>
      <c r="M51" s="6"/>
    </row>
    <row r="52" customFormat="false" ht="15.75" hidden="false" customHeight="false" outlineLevel="0" collapsed="false">
      <c r="A52" s="0" t="s">
        <v>44</v>
      </c>
      <c r="B52" s="1" t="n">
        <v>43912</v>
      </c>
      <c r="C52" s="6" t="n">
        <v>1072</v>
      </c>
      <c r="D52" s="6" t="n">
        <v>4</v>
      </c>
      <c r="E52" s="6" t="n">
        <v>7</v>
      </c>
      <c r="F52" s="6" t="n">
        <v>0</v>
      </c>
      <c r="G52" s="6" t="n">
        <v>46</v>
      </c>
      <c r="H52" s="6" t="n">
        <v>1019</v>
      </c>
      <c r="I52" s="6" t="n">
        <v>2</v>
      </c>
      <c r="J52" s="6" t="n">
        <v>42</v>
      </c>
      <c r="K52" s="6"/>
      <c r="L52" s="6"/>
      <c r="M52" s="6"/>
    </row>
    <row r="53" customFormat="false" ht="15.75" hidden="false" customHeight="false" outlineLevel="0" collapsed="false">
      <c r="A53" s="0" t="s">
        <v>44</v>
      </c>
      <c r="B53" s="1" t="n">
        <v>43913</v>
      </c>
      <c r="C53" s="6" t="n">
        <v>1353</v>
      </c>
      <c r="D53" s="6" t="n">
        <v>281</v>
      </c>
      <c r="E53" s="6" t="n">
        <v>7</v>
      </c>
      <c r="F53" s="6" t="n">
        <v>0</v>
      </c>
      <c r="G53" s="6" t="n">
        <v>88</v>
      </c>
      <c r="H53" s="6" t="n">
        <v>1258</v>
      </c>
      <c r="I53" s="6" t="n">
        <v>2</v>
      </c>
      <c r="J53" s="6" t="n">
        <v>53</v>
      </c>
      <c r="K53" s="6"/>
      <c r="L53" s="6"/>
      <c r="M53" s="6"/>
    </row>
    <row r="54" customFormat="false" ht="15.75" hidden="false" customHeight="false" outlineLevel="0" collapsed="false">
      <c r="A54" s="0" t="s">
        <v>44</v>
      </c>
      <c r="B54" s="1" t="n">
        <v>43914</v>
      </c>
      <c r="C54" s="6" t="n">
        <v>1887</v>
      </c>
      <c r="D54" s="6" t="n">
        <v>534</v>
      </c>
      <c r="E54" s="6" t="n">
        <v>7</v>
      </c>
      <c r="F54" s="6" t="n">
        <v>0</v>
      </c>
      <c r="G54" s="6" t="n">
        <v>118</v>
      </c>
      <c r="H54" s="6" t="n">
        <v>1762</v>
      </c>
      <c r="I54" s="6" t="n">
        <v>11</v>
      </c>
      <c r="J54" s="6" t="n">
        <v>74</v>
      </c>
      <c r="K54" s="6"/>
      <c r="L54" s="6"/>
      <c r="M54" s="6"/>
    </row>
    <row r="55" customFormat="false" ht="15.75" hidden="false" customHeight="false" outlineLevel="0" collapsed="false">
      <c r="A55" s="0" t="s">
        <v>44</v>
      </c>
      <c r="B55" s="1" t="n">
        <v>43915</v>
      </c>
      <c r="C55" s="7" t="n">
        <v>2144</v>
      </c>
      <c r="D55" s="7" t="n">
        <v>257</v>
      </c>
      <c r="E55" s="7" t="n">
        <v>8</v>
      </c>
      <c r="F55" s="7" t="n">
        <v>1</v>
      </c>
      <c r="G55" s="7" t="n">
        <v>118</v>
      </c>
      <c r="H55" s="7" t="n">
        <v>2018</v>
      </c>
      <c r="I55" s="7" t="n">
        <v>11</v>
      </c>
      <c r="J55" s="7" t="n">
        <v>84</v>
      </c>
      <c r="K55" s="10" t="n">
        <v>0.3</v>
      </c>
      <c r="L55" s="7"/>
      <c r="M55" s="7"/>
    </row>
    <row r="56" customFormat="false" ht="15.75" hidden="false" customHeight="false" outlineLevel="0" collapsed="false">
      <c r="A56" s="0" t="s">
        <v>44</v>
      </c>
      <c r="B56" s="1" t="n">
        <v>43916</v>
      </c>
      <c r="C56" s="7" t="n">
        <v>2431</v>
      </c>
      <c r="D56" s="7" t="n">
        <v>287</v>
      </c>
      <c r="E56" s="7" t="n">
        <v>9</v>
      </c>
      <c r="F56" s="7" t="n">
        <v>1</v>
      </c>
      <c r="G56" s="7" t="n">
        <v>118</v>
      </c>
      <c r="H56" s="7" t="n">
        <v>2304</v>
      </c>
      <c r="I56" s="7" t="n">
        <v>11</v>
      </c>
      <c r="J56" s="7" t="n">
        <v>95</v>
      </c>
      <c r="K56" s="10" t="n">
        <v>0.4</v>
      </c>
      <c r="L56" s="7"/>
      <c r="M56" s="7"/>
    </row>
    <row r="57" customFormat="false" ht="15.75" hidden="false" customHeight="false" outlineLevel="0" collapsed="false">
      <c r="A57" s="0" t="s">
        <v>44</v>
      </c>
      <c r="B57" s="1" t="n">
        <v>43917</v>
      </c>
      <c r="C57" s="7" t="n">
        <v>2985</v>
      </c>
      <c r="D57" s="7" t="n">
        <v>554</v>
      </c>
      <c r="E57" s="7" t="n">
        <v>13</v>
      </c>
      <c r="F57" s="7" t="n">
        <v>4</v>
      </c>
      <c r="G57" s="7" t="n">
        <v>170</v>
      </c>
      <c r="H57" s="7" t="n">
        <v>2802</v>
      </c>
      <c r="I57" s="7" t="n">
        <v>11</v>
      </c>
      <c r="J57" s="7" t="n">
        <v>117</v>
      </c>
      <c r="K57" s="10" t="n">
        <v>0.5</v>
      </c>
      <c r="L57" s="7"/>
      <c r="M57" s="7"/>
    </row>
    <row r="58" customFormat="false" ht="15.75" hidden="false" customHeight="false" outlineLevel="0" collapsed="false">
      <c r="A58" s="0" t="s">
        <v>44</v>
      </c>
      <c r="B58" s="1" t="n">
        <v>43918</v>
      </c>
      <c r="C58" s="7" t="n">
        <v>3180</v>
      </c>
      <c r="D58" s="7" t="n">
        <v>195</v>
      </c>
      <c r="E58" s="7" t="n">
        <v>13</v>
      </c>
      <c r="F58" s="7" t="n">
        <v>0</v>
      </c>
      <c r="G58" s="7" t="n">
        <v>170</v>
      </c>
      <c r="H58" s="7" t="n">
        <v>2997</v>
      </c>
      <c r="I58" s="7" t="n">
        <v>23</v>
      </c>
      <c r="J58" s="7" t="n">
        <v>125</v>
      </c>
      <c r="K58" s="10" t="n">
        <v>0.5</v>
      </c>
      <c r="M58" s="7"/>
    </row>
    <row r="59" customFormat="false" ht="15.75" hidden="false" customHeight="false" outlineLevel="0" collapsed="false">
      <c r="A59" s="0" t="s">
        <v>44</v>
      </c>
      <c r="B59" s="1" t="n">
        <v>43919</v>
      </c>
      <c r="C59" s="7" t="n">
        <v>3635</v>
      </c>
      <c r="D59" s="7" t="n">
        <v>455</v>
      </c>
      <c r="E59" s="7" t="n">
        <v>14</v>
      </c>
      <c r="F59" s="7" t="n">
        <v>1</v>
      </c>
      <c r="G59" s="7" t="n">
        <v>170</v>
      </c>
      <c r="H59" s="7" t="n">
        <v>3451</v>
      </c>
      <c r="I59" s="7" t="n">
        <v>23</v>
      </c>
      <c r="J59" s="7" t="n">
        <v>143</v>
      </c>
      <c r="K59" s="10" t="n">
        <v>0.5</v>
      </c>
      <c r="M59" s="7"/>
    </row>
    <row r="60" customFormat="false" ht="15.75" hidden="false" customHeight="false" outlineLevel="0" collapsed="false">
      <c r="A60" s="0" t="s">
        <v>44</v>
      </c>
      <c r="B60" s="1" t="n">
        <v>43920</v>
      </c>
      <c r="C60" s="7" t="n">
        <v>3980</v>
      </c>
      <c r="D60" s="7" t="n">
        <v>345</v>
      </c>
      <c r="E60" s="7" t="n">
        <v>16</v>
      </c>
      <c r="F60" s="7" t="n">
        <v>2</v>
      </c>
      <c r="G60" s="7" t="n">
        <v>226</v>
      </c>
      <c r="H60" s="7" t="n">
        <v>3738</v>
      </c>
      <c r="I60" s="7" t="n">
        <v>23</v>
      </c>
      <c r="J60" s="7" t="n">
        <v>156</v>
      </c>
      <c r="K60" s="10" t="n">
        <v>0.6</v>
      </c>
      <c r="M60" s="7"/>
    </row>
    <row r="61" customFormat="false" ht="15.75" hidden="false" customHeight="false" outlineLevel="0" collapsed="false">
      <c r="A61" s="0" t="s">
        <v>44</v>
      </c>
      <c r="B61" s="1" t="n">
        <v>43921</v>
      </c>
      <c r="C61" s="7" t="n">
        <v>4359</v>
      </c>
      <c r="D61" s="7" t="n">
        <v>379</v>
      </c>
      <c r="E61" s="7" t="n">
        <v>18</v>
      </c>
      <c r="F61" s="7" t="n">
        <v>2</v>
      </c>
      <c r="G61" s="7" t="n">
        <v>244</v>
      </c>
      <c r="H61" s="7" t="n">
        <v>4097</v>
      </c>
      <c r="I61" s="7" t="n">
        <v>28</v>
      </c>
      <c r="J61" s="7" t="n">
        <v>171</v>
      </c>
      <c r="K61" s="10" t="n">
        <v>0.7</v>
      </c>
      <c r="M61" s="7"/>
    </row>
    <row r="62" customFormat="false" ht="15.75" hidden="false" customHeight="false" outlineLevel="0" collapsed="false">
      <c r="A62" s="0" t="s">
        <v>44</v>
      </c>
      <c r="B62" s="1" t="n">
        <v>43922</v>
      </c>
      <c r="C62" s="7" t="n">
        <v>4561</v>
      </c>
      <c r="D62" s="7" t="n">
        <v>202</v>
      </c>
      <c r="E62" s="7" t="n">
        <v>19</v>
      </c>
      <c r="F62" s="7" t="n">
        <v>1</v>
      </c>
      <c r="G62" s="7" t="n">
        <v>337</v>
      </c>
      <c r="H62" s="7" t="n">
        <v>4205</v>
      </c>
      <c r="I62" s="7" t="n">
        <v>28</v>
      </c>
      <c r="J62" s="7" t="n">
        <v>179</v>
      </c>
      <c r="K62" s="10" t="n">
        <v>0.7</v>
      </c>
      <c r="M62" s="7"/>
    </row>
    <row r="63" customFormat="false" ht="15.75" hidden="false" customHeight="false" outlineLevel="0" collapsed="false">
      <c r="A63" s="0" t="s">
        <v>44</v>
      </c>
      <c r="B63" s="1" t="n">
        <v>43923</v>
      </c>
      <c r="C63" s="7" t="n">
        <v>4980</v>
      </c>
      <c r="D63" s="7" t="n">
        <v>419</v>
      </c>
      <c r="E63" s="7" t="n">
        <v>22</v>
      </c>
      <c r="F63" s="7" t="n">
        <v>3</v>
      </c>
      <c r="G63" s="7" t="n">
        <v>345</v>
      </c>
      <c r="H63" s="7" t="n">
        <v>4613</v>
      </c>
      <c r="I63" s="7" t="n">
        <v>50</v>
      </c>
      <c r="J63" s="7" t="n">
        <v>195</v>
      </c>
      <c r="K63" s="7" t="n">
        <v>0.9</v>
      </c>
      <c r="M63" s="7"/>
    </row>
    <row r="64" customFormat="false" ht="15.75" hidden="false" customHeight="false" outlineLevel="0" collapsed="false">
      <c r="A64" s="0" t="s">
        <v>44</v>
      </c>
      <c r="B64" s="1" t="n">
        <v>43924</v>
      </c>
      <c r="C64" s="7" t="n">
        <v>5230</v>
      </c>
      <c r="D64" s="7" t="n">
        <v>250</v>
      </c>
      <c r="E64" s="7" t="n">
        <v>27</v>
      </c>
      <c r="F64" s="7" t="n">
        <v>5</v>
      </c>
      <c r="G64" s="7" t="n">
        <v>585</v>
      </c>
      <c r="H64" s="7" t="n">
        <v>4618</v>
      </c>
      <c r="I64" s="7" t="n">
        <v>50</v>
      </c>
      <c r="J64" s="7" t="n">
        <v>205</v>
      </c>
      <c r="K64" s="7" t="n">
        <v>1</v>
      </c>
      <c r="M64" s="7"/>
    </row>
    <row r="65" customFormat="false" ht="15.75" hidden="false" customHeight="false" outlineLevel="0" collapsed="false">
      <c r="A65" s="0" t="s">
        <v>44</v>
      </c>
      <c r="B65" s="1" t="n">
        <v>43925</v>
      </c>
      <c r="C65" s="7" t="n">
        <v>5350</v>
      </c>
      <c r="D65" s="7" t="n">
        <v>120</v>
      </c>
      <c r="E65" s="7" t="n">
        <v>28</v>
      </c>
      <c r="F65" s="7" t="n">
        <v>1</v>
      </c>
      <c r="G65" s="7" t="n">
        <v>585</v>
      </c>
      <c r="H65" s="7" t="n">
        <v>4737</v>
      </c>
      <c r="I65" s="7" t="n">
        <v>85</v>
      </c>
      <c r="J65" s="7" t="n">
        <v>210</v>
      </c>
      <c r="K65" s="7" t="n">
        <v>1</v>
      </c>
      <c r="M65" s="7"/>
    </row>
    <row r="66" customFormat="false" ht="15.75" hidden="false" customHeight="false" outlineLevel="0" collapsed="false">
      <c r="A66" s="0" t="s">
        <v>44</v>
      </c>
      <c r="B66" s="1" t="n">
        <v>43926</v>
      </c>
      <c r="C66" s="7" t="n">
        <v>5550</v>
      </c>
      <c r="D66" s="7" t="n">
        <v>200</v>
      </c>
      <c r="E66" s="7" t="n">
        <v>30</v>
      </c>
      <c r="F66" s="7" t="n">
        <v>2</v>
      </c>
      <c r="G66" s="7" t="n">
        <v>585</v>
      </c>
      <c r="H66" s="7" t="n">
        <v>4935</v>
      </c>
      <c r="I66" s="7" t="n">
        <v>85</v>
      </c>
      <c r="J66" s="7" t="n">
        <v>218</v>
      </c>
      <c r="K66" s="7" t="n">
        <v>1</v>
      </c>
      <c r="L66" s="7" t="n">
        <v>285675</v>
      </c>
      <c r="M66" s="7" t="n">
        <v>11203</v>
      </c>
    </row>
    <row r="67" customFormat="false" ht="15.75" hidden="false" customHeight="false" outlineLevel="0" collapsed="false">
      <c r="A67" s="0" t="s">
        <v>44</v>
      </c>
      <c r="B67" s="1" t="n">
        <v>43927</v>
      </c>
      <c r="C67" s="7" t="n">
        <v>5687</v>
      </c>
      <c r="D67" s="7" t="n">
        <v>137</v>
      </c>
      <c r="E67" s="7" t="n">
        <v>35</v>
      </c>
      <c r="F67" s="7" t="n">
        <v>5</v>
      </c>
      <c r="G67" s="7" t="n">
        <v>2315</v>
      </c>
      <c r="H67" s="7" t="n">
        <v>3337</v>
      </c>
      <c r="I67" s="7" t="n">
        <v>91</v>
      </c>
      <c r="J67" s="7" t="n">
        <v>223</v>
      </c>
      <c r="K67" s="7" t="n">
        <v>1</v>
      </c>
      <c r="L67" s="7" t="n">
        <v>297154</v>
      </c>
      <c r="M67" s="7" t="n">
        <v>11653</v>
      </c>
    </row>
    <row r="68" customFormat="false" ht="15.75" hidden="false" customHeight="false" outlineLevel="0" collapsed="false">
      <c r="A68" s="0" t="s">
        <v>44</v>
      </c>
      <c r="B68" s="1" t="n">
        <v>43928</v>
      </c>
      <c r="C68" s="12" t="n">
        <v>5795</v>
      </c>
      <c r="D68" s="12" t="n">
        <v>108</v>
      </c>
      <c r="E68" s="12" t="n">
        <v>41</v>
      </c>
      <c r="F68" s="12" t="n">
        <v>6</v>
      </c>
      <c r="G68" s="12" t="n">
        <v>2432</v>
      </c>
      <c r="H68" s="12" t="n">
        <v>3322</v>
      </c>
      <c r="I68" s="12" t="n">
        <v>96</v>
      </c>
      <c r="J68" s="12" t="n">
        <v>227</v>
      </c>
      <c r="K68" s="12" t="n">
        <v>2</v>
      </c>
      <c r="L68" s="12" t="n">
        <v>303536</v>
      </c>
      <c r="M68" s="12" t="n">
        <v>11903</v>
      </c>
    </row>
    <row r="69" customFormat="false" ht="15.75" hidden="false" customHeight="false" outlineLevel="0" collapsed="false">
      <c r="A69" s="0" t="s">
        <v>44</v>
      </c>
      <c r="B69" s="1" t="n">
        <v>43929</v>
      </c>
      <c r="C69" s="14" t="n">
        <v>5919</v>
      </c>
      <c r="D69" s="14" t="n">
        <v>124</v>
      </c>
      <c r="E69" s="14" t="n">
        <v>48</v>
      </c>
      <c r="F69" s="14" t="n">
        <v>7</v>
      </c>
      <c r="G69" s="14" t="n">
        <v>2547</v>
      </c>
      <c r="H69" s="14" t="n">
        <v>3324</v>
      </c>
      <c r="I69" s="14" t="n">
        <v>93</v>
      </c>
      <c r="J69" s="14" t="n">
        <v>232</v>
      </c>
      <c r="K69" s="14" t="n">
        <v>2</v>
      </c>
      <c r="L69" s="14" t="n">
        <v>310700</v>
      </c>
      <c r="M69" s="14" t="n">
        <v>12184</v>
      </c>
    </row>
    <row r="70" customFormat="false" ht="15.75" hidden="false" customHeight="false" outlineLevel="0" collapsed="false">
      <c r="A70" s="0" t="s">
        <v>44</v>
      </c>
      <c r="B70" s="1" t="n">
        <v>43930</v>
      </c>
      <c r="C70" s="14" t="n">
        <v>6013</v>
      </c>
      <c r="D70" s="14" t="n">
        <v>94</v>
      </c>
      <c r="E70" s="14" t="n">
        <v>50</v>
      </c>
      <c r="F70" s="14" t="n">
        <v>2</v>
      </c>
      <c r="G70" s="14" t="n">
        <v>2813</v>
      </c>
      <c r="H70" s="14" t="n">
        <v>3150</v>
      </c>
      <c r="I70" s="14" t="n">
        <v>87</v>
      </c>
      <c r="J70" s="14" t="n">
        <v>236</v>
      </c>
      <c r="K70" s="14" t="n">
        <v>2</v>
      </c>
      <c r="L70" s="14" t="n">
        <v>319784</v>
      </c>
      <c r="M70" s="14" t="n">
        <v>12541</v>
      </c>
    </row>
    <row r="71" customFormat="false" ht="15.75" hidden="false" customHeight="false" outlineLevel="0" collapsed="false">
      <c r="A71" s="0" t="s">
        <v>44</v>
      </c>
      <c r="B71" s="1" t="n">
        <v>43931</v>
      </c>
      <c r="C71" s="14" t="n">
        <v>6104</v>
      </c>
      <c r="D71" s="14" t="n">
        <v>91</v>
      </c>
      <c r="E71" s="14" t="n">
        <v>51</v>
      </c>
      <c r="F71" s="14" t="n">
        <v>1</v>
      </c>
      <c r="G71" s="14" t="n">
        <v>2987</v>
      </c>
      <c r="H71" s="14" t="n">
        <v>3066</v>
      </c>
      <c r="I71" s="14" t="n">
        <v>81</v>
      </c>
      <c r="J71" s="14" t="n">
        <v>239</v>
      </c>
      <c r="K71" s="14" t="n">
        <v>2</v>
      </c>
      <c r="L71" s="14" t="n">
        <v>330134</v>
      </c>
      <c r="M71" s="14" t="n">
        <v>12946</v>
      </c>
    </row>
    <row r="72" customFormat="false" ht="15.75" hidden="false" customHeight="false" outlineLevel="0" collapsed="false">
      <c r="A72" s="0" t="s">
        <v>44</v>
      </c>
      <c r="B72" s="1" t="n">
        <v>43932</v>
      </c>
      <c r="C72" s="14" t="n">
        <v>6203</v>
      </c>
      <c r="D72" s="14" t="n">
        <v>99</v>
      </c>
      <c r="E72" s="14" t="n">
        <v>53</v>
      </c>
      <c r="F72" s="14" t="n">
        <v>2</v>
      </c>
      <c r="G72" s="14" t="n">
        <v>3141</v>
      </c>
      <c r="H72" s="14" t="n">
        <v>3009</v>
      </c>
      <c r="I72" s="14" t="n">
        <v>74</v>
      </c>
      <c r="J72" s="14" t="n">
        <v>243</v>
      </c>
      <c r="K72" s="14" t="n">
        <v>2</v>
      </c>
      <c r="L72" s="14" t="n">
        <v>338346</v>
      </c>
      <c r="M72" s="14" t="n">
        <v>13269</v>
      </c>
    </row>
    <row r="73" customFormat="false" ht="15.75" hidden="false" customHeight="false" outlineLevel="0" collapsed="false">
      <c r="A73" s="0" t="s">
        <v>44</v>
      </c>
      <c r="B73" s="1" t="n">
        <v>43933</v>
      </c>
      <c r="C73" s="14" t="n">
        <v>6303</v>
      </c>
      <c r="D73" s="14" t="n">
        <v>100</v>
      </c>
      <c r="E73" s="14" t="n">
        <v>56</v>
      </c>
      <c r="F73" s="14" t="n">
        <v>3</v>
      </c>
      <c r="G73" s="14" t="n">
        <v>3265</v>
      </c>
      <c r="H73" s="14" t="n">
        <v>2982</v>
      </c>
      <c r="I73" s="14" t="n">
        <v>80</v>
      </c>
      <c r="J73" s="14" t="n">
        <v>247</v>
      </c>
      <c r="K73" s="14" t="n">
        <v>2</v>
      </c>
      <c r="L73" s="14" t="n">
        <v>351380</v>
      </c>
      <c r="M73" s="14" t="n">
        <v>13780</v>
      </c>
    </row>
    <row r="74" customFormat="false" ht="15.75" hidden="false" customHeight="false" outlineLevel="0" collapsed="false">
      <c r="A74" s="0" t="s">
        <v>44</v>
      </c>
      <c r="B74" s="1" t="n">
        <v>43934</v>
      </c>
      <c r="C74" s="14" t="n">
        <v>6313</v>
      </c>
      <c r="D74" s="14" t="n">
        <v>10</v>
      </c>
      <c r="E74" s="14" t="n">
        <v>59</v>
      </c>
      <c r="F74" s="14" t="n">
        <v>3</v>
      </c>
      <c r="G74" s="14" t="n">
        <v>3338</v>
      </c>
      <c r="H74" s="14" t="n">
        <v>2916</v>
      </c>
      <c r="I74" s="14" t="n">
        <v>81</v>
      </c>
      <c r="J74" s="14" t="n">
        <v>248</v>
      </c>
      <c r="K74" s="14" t="n">
        <v>2</v>
      </c>
      <c r="L74" s="14" t="n">
        <v>353941</v>
      </c>
      <c r="M74" s="14" t="n">
        <v>13880</v>
      </c>
    </row>
    <row r="75" customFormat="false" ht="15.75" hidden="false" customHeight="false" outlineLevel="0" collapsed="false">
      <c r="A75" s="0" t="s">
        <v>44</v>
      </c>
      <c r="B75" s="1" t="n">
        <v>43935</v>
      </c>
      <c r="C75" s="14" t="n">
        <v>6359</v>
      </c>
      <c r="D75" s="14" t="n">
        <v>46</v>
      </c>
      <c r="E75" s="14" t="n">
        <v>61</v>
      </c>
      <c r="F75" s="14" t="n">
        <v>2</v>
      </c>
      <c r="G75" s="14" t="n">
        <v>3494</v>
      </c>
      <c r="H75" s="14" t="n">
        <v>2804</v>
      </c>
      <c r="I75" s="14" t="n">
        <v>79</v>
      </c>
      <c r="J75" s="14" t="n">
        <v>249</v>
      </c>
      <c r="K75" s="14" t="n">
        <v>2</v>
      </c>
      <c r="L75" s="14" t="n">
        <v>362136</v>
      </c>
      <c r="M75" s="14" t="n">
        <v>14201</v>
      </c>
    </row>
    <row r="76" customFormat="false" ht="15.75" hidden="false" customHeight="false" outlineLevel="0" collapsed="false">
      <c r="A76" s="0" t="s">
        <v>44</v>
      </c>
      <c r="B76" s="1" t="n">
        <v>43936</v>
      </c>
      <c r="C76" s="14" t="n">
        <v>6400</v>
      </c>
      <c r="D76" s="14" t="n">
        <v>41</v>
      </c>
      <c r="E76" s="14" t="n">
        <v>61</v>
      </c>
      <c r="F76" s="14" t="n">
        <v>0</v>
      </c>
      <c r="G76" s="14" t="n">
        <v>3598</v>
      </c>
      <c r="H76" s="14" t="n">
        <v>2741</v>
      </c>
      <c r="I76" s="14" t="n">
        <v>80</v>
      </c>
      <c r="J76" s="14" t="n">
        <v>251</v>
      </c>
      <c r="K76" s="14" t="n">
        <v>2</v>
      </c>
      <c r="L76" s="14" t="n">
        <v>366493</v>
      </c>
      <c r="M76" s="14" t="n">
        <v>14372</v>
      </c>
    </row>
    <row r="77" customFormat="false" ht="15.75" hidden="false" customHeight="false" outlineLevel="0" collapsed="false">
      <c r="A77" s="0" t="s">
        <v>44</v>
      </c>
      <c r="B77" s="1" t="n">
        <v>43937</v>
      </c>
      <c r="C77" s="14" t="n">
        <v>6447</v>
      </c>
      <c r="D77" s="14" t="n">
        <v>47</v>
      </c>
      <c r="E77" s="14" t="n">
        <v>63</v>
      </c>
      <c r="F77" s="14" t="n">
        <v>2</v>
      </c>
      <c r="G77" s="14" t="n">
        <v>3686</v>
      </c>
      <c r="H77" s="14" t="n">
        <v>2698</v>
      </c>
      <c r="I77" s="14" t="n">
        <v>76</v>
      </c>
      <c r="J77" s="14" t="n">
        <v>253</v>
      </c>
      <c r="K77" s="14" t="n">
        <v>2</v>
      </c>
      <c r="L77" s="14" t="n">
        <v>371377</v>
      </c>
      <c r="M77" s="14" t="n">
        <v>14564</v>
      </c>
    </row>
    <row r="78" customFormat="false" ht="15.75" hidden="false" customHeight="false" outlineLevel="0" collapsed="false">
      <c r="A78" s="0" t="s">
        <v>44</v>
      </c>
      <c r="B78" s="1" t="n">
        <v>43938</v>
      </c>
      <c r="C78" s="14" t="n">
        <v>6468</v>
      </c>
      <c r="D78" s="14" t="n">
        <v>21</v>
      </c>
      <c r="E78" s="14" t="n">
        <v>63</v>
      </c>
      <c r="F78" s="14" t="n">
        <v>0</v>
      </c>
      <c r="G78" s="14" t="n">
        <v>3747</v>
      </c>
      <c r="H78" s="14" t="n">
        <v>2658</v>
      </c>
      <c r="I78" s="14" t="n">
        <v>66</v>
      </c>
      <c r="J78" s="14" t="n">
        <v>254</v>
      </c>
      <c r="K78" s="14" t="n">
        <v>2</v>
      </c>
      <c r="L78" s="14" t="n">
        <v>380003</v>
      </c>
      <c r="M78" s="14" t="n">
        <v>14902</v>
      </c>
    </row>
    <row r="79" customFormat="false" ht="15.75" hidden="false" customHeight="false" outlineLevel="0" collapsed="false">
      <c r="A79" s="0" t="s">
        <v>44</v>
      </c>
      <c r="B79" s="1" t="n">
        <v>43939</v>
      </c>
      <c r="C79" s="14" t="n">
        <v>6526</v>
      </c>
      <c r="D79" s="14" t="n">
        <v>58</v>
      </c>
      <c r="E79" s="14" t="n">
        <v>65</v>
      </c>
      <c r="F79" s="14" t="n">
        <v>2</v>
      </c>
      <c r="G79" s="14" t="n">
        <v>3821</v>
      </c>
      <c r="H79" s="14" t="n">
        <v>2640</v>
      </c>
      <c r="I79" s="14" t="n">
        <v>60</v>
      </c>
      <c r="J79" s="14" t="n">
        <v>256</v>
      </c>
      <c r="K79" s="14" t="n">
        <v>3</v>
      </c>
      <c r="L79" s="14" t="n">
        <v>391530</v>
      </c>
      <c r="M79" s="14" t="n">
        <v>15354</v>
      </c>
    </row>
    <row r="80" customFormat="false" ht="15.75" hidden="false" customHeight="false" outlineLevel="0" collapsed="false">
      <c r="A80" s="0" t="s">
        <v>44</v>
      </c>
      <c r="B80" s="1" t="n">
        <v>43940</v>
      </c>
      <c r="C80" s="14" t="n">
        <v>6565</v>
      </c>
      <c r="D80" s="14" t="n">
        <v>39</v>
      </c>
      <c r="E80" s="14" t="n">
        <v>69</v>
      </c>
      <c r="F80" s="14" t="n">
        <v>4</v>
      </c>
      <c r="G80" s="14" t="n">
        <v>4163</v>
      </c>
      <c r="H80" s="14" t="n">
        <v>2333</v>
      </c>
      <c r="I80" s="14" t="n">
        <v>55</v>
      </c>
      <c r="J80" s="14" t="n">
        <v>257</v>
      </c>
      <c r="K80" s="14" t="n">
        <v>3</v>
      </c>
      <c r="L80" s="14" t="n">
        <v>406510</v>
      </c>
      <c r="M80" s="14" t="n">
        <v>15942</v>
      </c>
    </row>
    <row r="81" customFormat="false" ht="15.75" hidden="false" customHeight="false" outlineLevel="0" collapsed="false">
      <c r="A81" s="0" t="s">
        <v>44</v>
      </c>
      <c r="B81" s="1" t="n">
        <v>43941</v>
      </c>
      <c r="C81" s="14" t="n">
        <v>6612</v>
      </c>
      <c r="D81" s="14" t="n">
        <v>47</v>
      </c>
      <c r="E81" s="14" t="n">
        <v>71</v>
      </c>
      <c r="F81" s="14" t="n">
        <v>2</v>
      </c>
      <c r="G81" s="14" t="n">
        <v>4230</v>
      </c>
      <c r="H81" s="14" t="n">
        <v>2311</v>
      </c>
      <c r="I81" s="14" t="n">
        <v>48</v>
      </c>
      <c r="J81" s="14" t="n">
        <v>259</v>
      </c>
      <c r="K81" s="14" t="n">
        <v>3</v>
      </c>
      <c r="L81" s="14" t="n">
        <v>420996</v>
      </c>
      <c r="M81" s="14" t="n">
        <v>16510</v>
      </c>
    </row>
    <row r="82" customFormat="false" ht="15.75" hidden="false" customHeight="false" outlineLevel="0" collapsed="false">
      <c r="A82" s="0" t="s">
        <v>44</v>
      </c>
      <c r="B82" s="1" t="n">
        <v>43942</v>
      </c>
      <c r="C82" s="6" t="n">
        <v>6619</v>
      </c>
      <c r="D82" s="6" t="n">
        <v>7</v>
      </c>
      <c r="E82" s="6" t="n">
        <v>71</v>
      </c>
      <c r="F82" s="6" t="n">
        <v>0</v>
      </c>
      <c r="G82" s="6" t="n">
        <v>4258</v>
      </c>
      <c r="H82" s="6" t="n">
        <v>2290</v>
      </c>
      <c r="I82" s="6" t="n">
        <v>49</v>
      </c>
      <c r="J82" s="6" t="n">
        <v>260</v>
      </c>
      <c r="K82" s="6" t="n">
        <v>3</v>
      </c>
      <c r="L82" s="6" t="n">
        <v>431734</v>
      </c>
      <c r="M82" s="6" t="n">
        <v>16931</v>
      </c>
    </row>
    <row r="83" customFormat="false" ht="15.75" hidden="false" customHeight="false" outlineLevel="0" collapsed="false">
      <c r="A83" s="0" t="s">
        <v>44</v>
      </c>
      <c r="B83" s="1" t="n">
        <v>43943</v>
      </c>
      <c r="C83" s="6" t="n">
        <v>6645</v>
      </c>
      <c r="D83" s="6" t="n">
        <v>26</v>
      </c>
      <c r="E83" s="6" t="n">
        <v>71</v>
      </c>
      <c r="F83" s="6" t="n">
        <v>0</v>
      </c>
      <c r="G83" s="6" t="n">
        <v>4685</v>
      </c>
      <c r="H83" s="6" t="n">
        <v>1889</v>
      </c>
      <c r="I83" s="6" t="n">
        <v>49</v>
      </c>
      <c r="J83" s="6" t="n">
        <v>261</v>
      </c>
      <c r="K83" s="6" t="n">
        <v>3</v>
      </c>
      <c r="L83" s="6" t="n">
        <v>439000</v>
      </c>
      <c r="M83" s="6" t="n">
        <v>17216</v>
      </c>
    </row>
    <row r="84" customFormat="false" ht="15.75" hidden="false" customHeight="false" outlineLevel="0" collapsed="false">
      <c r="A84" s="0" t="s">
        <v>44</v>
      </c>
      <c r="B84" s="1" t="n">
        <v>43944</v>
      </c>
      <c r="C84" s="6" t="n">
        <v>6649</v>
      </c>
      <c r="D84" s="6" t="n">
        <v>4</v>
      </c>
      <c r="E84" s="6" t="n">
        <v>74</v>
      </c>
      <c r="F84" s="6" t="n">
        <v>3</v>
      </c>
      <c r="G84" s="6" t="n">
        <v>4920</v>
      </c>
      <c r="H84" s="6" t="n">
        <v>1655</v>
      </c>
      <c r="I84" s="6" t="n">
        <v>47</v>
      </c>
      <c r="J84" s="6" t="n">
        <v>261</v>
      </c>
      <c r="K84" s="6" t="n">
        <v>3</v>
      </c>
      <c r="L84" s="6" t="n">
        <v>452441</v>
      </c>
      <c r="M84" s="6" t="n">
        <v>17743</v>
      </c>
    </row>
    <row r="85" customFormat="false" ht="15.75" hidden="false" customHeight="false" outlineLevel="0" collapsed="false">
      <c r="A85" s="0" t="s">
        <v>44</v>
      </c>
      <c r="B85" s="1" t="n">
        <v>43945</v>
      </c>
      <c r="C85" s="6" t="n">
        <v>6661</v>
      </c>
      <c r="D85" s="6" t="n">
        <v>12</v>
      </c>
      <c r="E85" s="6" t="n">
        <v>75</v>
      </c>
      <c r="F85" s="6" t="n">
        <v>1</v>
      </c>
      <c r="G85" s="6" t="n">
        <v>5045</v>
      </c>
      <c r="H85" s="6" t="n">
        <v>1541</v>
      </c>
      <c r="I85" s="6" t="n">
        <v>45</v>
      </c>
      <c r="J85" s="6" t="n">
        <v>261</v>
      </c>
      <c r="K85" s="6" t="n">
        <v>3</v>
      </c>
      <c r="L85" s="6" t="n">
        <v>466659</v>
      </c>
      <c r="M85" s="6" t="n">
        <v>18300</v>
      </c>
    </row>
    <row r="86" customFormat="false" ht="15.75" hidden="false" customHeight="false" outlineLevel="0" collapsed="false">
      <c r="A86" s="0" t="s">
        <v>44</v>
      </c>
      <c r="B86" s="1" t="n">
        <v>43946</v>
      </c>
      <c r="C86" s="6" t="n">
        <v>6675</v>
      </c>
      <c r="D86" s="6" t="n">
        <v>14</v>
      </c>
      <c r="E86" s="6" t="n">
        <v>79</v>
      </c>
      <c r="F86" s="6" t="n">
        <v>4</v>
      </c>
      <c r="G86" s="6" t="n">
        <v>5136</v>
      </c>
      <c r="H86" s="6" t="n">
        <v>1460</v>
      </c>
      <c r="I86" s="6" t="n">
        <v>43</v>
      </c>
      <c r="J86" s="6" t="n">
        <v>262</v>
      </c>
      <c r="K86" s="6" t="n">
        <v>3</v>
      </c>
      <c r="L86" s="6" t="n">
        <v>482371</v>
      </c>
      <c r="M86" s="6" t="n">
        <v>18917</v>
      </c>
    </row>
    <row r="87" customFormat="false" ht="15.75" hidden="false" customHeight="false" outlineLevel="0" collapsed="false">
      <c r="A87" s="0" t="s">
        <v>44</v>
      </c>
      <c r="B87" s="1" t="n">
        <v>43947</v>
      </c>
      <c r="C87" s="6" t="n">
        <v>6695</v>
      </c>
      <c r="D87" s="6" t="n">
        <v>20</v>
      </c>
      <c r="E87" s="6" t="n">
        <v>80</v>
      </c>
      <c r="F87" s="6" t="n">
        <v>1</v>
      </c>
      <c r="G87" s="6" t="n">
        <v>5372</v>
      </c>
      <c r="H87" s="6" t="n">
        <v>1243</v>
      </c>
      <c r="I87" s="6" t="n">
        <v>43</v>
      </c>
      <c r="J87" s="6" t="n">
        <v>263</v>
      </c>
      <c r="K87" s="6" t="n">
        <v>3</v>
      </c>
      <c r="L87" s="6" t="n">
        <v>494257</v>
      </c>
      <c r="M87" s="6" t="n">
        <v>19383</v>
      </c>
    </row>
    <row r="88" customFormat="false" ht="15.75" hidden="false" customHeight="false" outlineLevel="0" collapsed="false">
      <c r="A88" s="0" t="s">
        <v>44</v>
      </c>
      <c r="B88" s="1" t="n">
        <v>43948</v>
      </c>
      <c r="C88" s="6" t="n">
        <v>6711</v>
      </c>
      <c r="D88" s="6" t="n">
        <v>16</v>
      </c>
      <c r="E88" s="6" t="n">
        <v>83</v>
      </c>
      <c r="F88" s="6" t="n">
        <v>3</v>
      </c>
      <c r="G88" s="6" t="n">
        <v>5539</v>
      </c>
      <c r="H88" s="6" t="n">
        <v>1089</v>
      </c>
      <c r="I88" s="6" t="n">
        <v>42</v>
      </c>
      <c r="J88" s="6" t="n">
        <v>263</v>
      </c>
      <c r="K88" s="6" t="n">
        <v>3</v>
      </c>
      <c r="L88" s="6" t="n">
        <v>506449</v>
      </c>
      <c r="M88" s="6" t="n">
        <v>19861</v>
      </c>
    </row>
    <row r="89" customFormat="false" ht="13.5" hidden="false" customHeight="false" outlineLevel="0" collapsed="false">
      <c r="A89" s="0" t="s">
        <v>44</v>
      </c>
      <c r="B89" s="1" t="n">
        <v>43949</v>
      </c>
      <c r="C89" s="2" t="n">
        <v>6720</v>
      </c>
      <c r="D89" s="2" t="n">
        <v>9</v>
      </c>
      <c r="E89" s="2" t="n">
        <v>83</v>
      </c>
      <c r="F89" s="2" t="n">
        <v>0</v>
      </c>
      <c r="G89" s="2" t="n">
        <v>5586</v>
      </c>
      <c r="H89" s="2" t="n">
        <v>1051</v>
      </c>
      <c r="I89" s="2" t="n">
        <v>43</v>
      </c>
      <c r="J89" s="2" t="n">
        <v>264</v>
      </c>
      <c r="K89" s="2" t="n">
        <v>3</v>
      </c>
      <c r="L89" s="2" t="n">
        <v>517063</v>
      </c>
      <c r="M89" s="2" t="n">
        <v>20277</v>
      </c>
    </row>
    <row r="90" customFormat="false" ht="13.5" hidden="false" customHeight="false" outlineLevel="0" collapsed="false">
      <c r="A90" s="0" t="s">
        <v>44</v>
      </c>
      <c r="B90" s="1" t="n">
        <v>43950</v>
      </c>
      <c r="C90" s="2" t="n">
        <v>6731</v>
      </c>
      <c r="D90" s="2" t="n">
        <v>11</v>
      </c>
      <c r="E90" s="2" t="n">
        <v>84</v>
      </c>
      <c r="F90" s="2" t="n">
        <v>1</v>
      </c>
      <c r="G90" s="2" t="n">
        <v>5626</v>
      </c>
      <c r="H90" s="2" t="n">
        <v>1021</v>
      </c>
      <c r="I90" s="2" t="n">
        <v>42</v>
      </c>
      <c r="J90" s="2" t="n">
        <v>264</v>
      </c>
      <c r="K90" s="2" t="n">
        <v>3</v>
      </c>
      <c r="L90" s="2" t="n">
        <v>530679</v>
      </c>
      <c r="M90" s="2" t="n">
        <v>20811</v>
      </c>
    </row>
    <row r="91" customFormat="false" ht="13.5" hidden="false" customHeight="false" outlineLevel="0" collapsed="false">
      <c r="A91" s="0" t="s">
        <v>44</v>
      </c>
      <c r="B91" s="1" t="n">
        <v>43951</v>
      </c>
      <c r="C91" s="2" t="n">
        <v>6746</v>
      </c>
      <c r="D91" s="2" t="n">
        <v>15</v>
      </c>
      <c r="E91" s="2" t="n">
        <v>89</v>
      </c>
      <c r="F91" s="2" t="n">
        <v>5</v>
      </c>
      <c r="G91" s="2" t="n">
        <v>5667</v>
      </c>
      <c r="H91" s="2" t="n">
        <v>990</v>
      </c>
      <c r="I91" s="2" t="n">
        <v>38</v>
      </c>
      <c r="J91" s="2" t="n">
        <v>265</v>
      </c>
      <c r="K91" s="2" t="n">
        <v>3</v>
      </c>
      <c r="L91" s="2" t="n">
        <v>544410</v>
      </c>
      <c r="M91" s="2" t="n">
        <v>21350</v>
      </c>
    </row>
    <row r="92" customFormat="false" ht="14.25" hidden="false" customHeight="false" outlineLevel="0" collapsed="false">
      <c r="A92" s="0" t="s">
        <v>44</v>
      </c>
      <c r="B92" s="1" t="n">
        <v>43952</v>
      </c>
      <c r="C92" s="2" t="n">
        <v>6753</v>
      </c>
      <c r="D92" s="2" t="n">
        <v>7</v>
      </c>
      <c r="E92" s="2" t="n">
        <v>91</v>
      </c>
      <c r="F92" s="2" t="n">
        <v>2</v>
      </c>
      <c r="G92" s="2" t="n">
        <v>5715</v>
      </c>
      <c r="H92" s="2" t="n">
        <v>947</v>
      </c>
      <c r="I92" s="2" t="n">
        <v>34</v>
      </c>
      <c r="J92" s="2" t="n">
        <v>265</v>
      </c>
      <c r="K92" s="2" t="n">
        <v>4</v>
      </c>
      <c r="L92" s="2" t="n">
        <v>563641</v>
      </c>
      <c r="M92" s="2" t="n">
        <v>22104</v>
      </c>
    </row>
    <row r="93" customFormat="false" ht="15.75" hidden="false" customHeight="false" outlineLevel="0" collapsed="false">
      <c r="A93" s="0" t="s">
        <v>44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44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44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44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44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44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44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44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44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44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44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44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44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44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44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44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44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44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44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44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44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44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44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44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44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44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44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n">
        <v>102</v>
      </c>
      <c r="F119" s="6" t="n">
        <v>0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44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n">
        <v>102</v>
      </c>
      <c r="F120" s="6" t="n">
        <v>0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44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n">
        <v>102</v>
      </c>
      <c r="F121" s="6" t="n">
        <v>0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44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n">
        <v>102</v>
      </c>
      <c r="F122" s="6" t="n">
        <v>0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44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n">
        <v>102</v>
      </c>
      <c r="F123" s="6" t="n">
        <v>0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44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n">
        <v>102</v>
      </c>
      <c r="F124" s="6" t="n">
        <v>0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44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44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44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44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44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44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44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44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44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44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44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44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44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44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44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44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44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44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44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44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44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44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44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44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44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44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44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44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44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44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44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44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44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44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44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44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44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44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44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44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44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44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44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44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44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44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44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44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44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44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44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44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44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44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44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44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44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44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44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44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44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44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44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69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45</v>
      </c>
      <c r="B37" s="1" t="n">
        <v>43897</v>
      </c>
      <c r="C37" s="8" t="n">
        <v>23</v>
      </c>
      <c r="D37" s="8" t="n">
        <v>3</v>
      </c>
      <c r="E37" s="8" t="n">
        <v>0</v>
      </c>
      <c r="F37" s="8" t="n">
        <v>0</v>
      </c>
      <c r="G37" s="8" t="n">
        <v>1</v>
      </c>
      <c r="H37" s="8" t="n">
        <v>22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45</v>
      </c>
      <c r="B38" s="1" t="n">
        <v>43898</v>
      </c>
      <c r="C38" s="6" t="n">
        <v>27</v>
      </c>
      <c r="D38" s="6" t="n">
        <v>4</v>
      </c>
      <c r="E38" s="6" t="n">
        <v>0</v>
      </c>
      <c r="F38" s="6" t="n">
        <v>0</v>
      </c>
      <c r="G38" s="6" t="n">
        <v>1</v>
      </c>
      <c r="H38" s="6" t="n">
        <v>26</v>
      </c>
      <c r="I38" s="6" t="n">
        <v>0</v>
      </c>
      <c r="J38" s="6" t="n">
        <v>4.7</v>
      </c>
      <c r="K38" s="6"/>
      <c r="L38" s="6"/>
      <c r="M38" s="6"/>
    </row>
    <row r="39" customFormat="false" ht="15.75" hidden="false" customHeight="false" outlineLevel="0" collapsed="false">
      <c r="A39" s="0" t="s">
        <v>45</v>
      </c>
      <c r="B39" s="1" t="n">
        <v>43899</v>
      </c>
      <c r="C39" s="6" t="n">
        <v>35</v>
      </c>
      <c r="D39" s="6" t="n">
        <v>8</v>
      </c>
      <c r="E39" s="6" t="n">
        <v>0</v>
      </c>
      <c r="F39" s="6" t="n">
        <v>0</v>
      </c>
      <c r="G39" s="6" t="n">
        <v>1</v>
      </c>
      <c r="H39" s="6" t="n">
        <v>34</v>
      </c>
      <c r="I39" s="6" t="n">
        <v>0</v>
      </c>
      <c r="J39" s="6" t="n">
        <v>6</v>
      </c>
      <c r="K39" s="6"/>
      <c r="L39" s="6"/>
      <c r="M39" s="6"/>
    </row>
    <row r="40" customFormat="false" ht="15.75" hidden="false" customHeight="false" outlineLevel="0" collapsed="false">
      <c r="A40" s="0" t="s">
        <v>45</v>
      </c>
      <c r="B40" s="1" t="n">
        <v>43900</v>
      </c>
      <c r="C40" s="6" t="n">
        <v>90</v>
      </c>
      <c r="D40" s="6" t="n">
        <v>55</v>
      </c>
      <c r="E40" s="6" t="n">
        <v>0</v>
      </c>
      <c r="F40" s="6" t="n">
        <v>0</v>
      </c>
      <c r="G40" s="6" t="n">
        <v>1</v>
      </c>
      <c r="H40" s="6" t="n">
        <v>89</v>
      </c>
      <c r="I40" s="6" t="n">
        <v>0</v>
      </c>
      <c r="J40" s="6" t="n">
        <v>15.5</v>
      </c>
      <c r="K40" s="6"/>
      <c r="L40" s="6"/>
      <c r="M40" s="6"/>
    </row>
    <row r="41" customFormat="false" ht="15.75" hidden="false" customHeight="false" outlineLevel="0" collapsed="false">
      <c r="A41" s="0" t="s">
        <v>45</v>
      </c>
      <c r="B41" s="1" t="n">
        <v>43901</v>
      </c>
      <c r="C41" s="6" t="n">
        <v>262</v>
      </c>
      <c r="D41" s="6" t="n">
        <v>172</v>
      </c>
      <c r="E41" s="6" t="n">
        <v>0</v>
      </c>
      <c r="F41" s="6" t="n">
        <v>0</v>
      </c>
      <c r="G41" s="6" t="n">
        <v>1</v>
      </c>
      <c r="H41" s="6" t="n">
        <v>261</v>
      </c>
      <c r="I41" s="6" t="n">
        <v>0</v>
      </c>
      <c r="J41" s="6" t="n">
        <v>45.2</v>
      </c>
      <c r="K41" s="6"/>
      <c r="L41" s="6"/>
      <c r="M41" s="6"/>
    </row>
    <row r="42" customFormat="false" ht="15.75" hidden="false" customHeight="false" outlineLevel="0" collapsed="false">
      <c r="A42" s="0" t="s">
        <v>45</v>
      </c>
      <c r="B42" s="1" t="n">
        <v>43902</v>
      </c>
      <c r="C42" s="6" t="n">
        <v>514</v>
      </c>
      <c r="D42" s="6" t="n">
        <v>252</v>
      </c>
      <c r="E42" s="6" t="n">
        <v>0</v>
      </c>
      <c r="F42" s="6" t="n">
        <v>0</v>
      </c>
      <c r="G42" s="6" t="n">
        <v>1</v>
      </c>
      <c r="H42" s="6" t="n">
        <v>513</v>
      </c>
      <c r="I42" s="6" t="n">
        <v>0</v>
      </c>
      <c r="J42" s="6" t="n">
        <v>88.7</v>
      </c>
      <c r="K42" s="6"/>
      <c r="L42" s="6"/>
      <c r="M42" s="6"/>
    </row>
    <row r="43" customFormat="false" ht="15.75" hidden="false" customHeight="false" outlineLevel="0" collapsed="false">
      <c r="A43" s="0" t="s">
        <v>45</v>
      </c>
      <c r="B43" s="1" t="n">
        <v>43903</v>
      </c>
      <c r="C43" s="6" t="n">
        <v>674</v>
      </c>
      <c r="D43" s="6" t="n">
        <v>160</v>
      </c>
      <c r="E43" s="6" t="n">
        <v>0</v>
      </c>
      <c r="F43" s="6" t="n">
        <v>0</v>
      </c>
      <c r="G43" s="6" t="n">
        <v>1</v>
      </c>
      <c r="H43" s="6" t="n">
        <v>673</v>
      </c>
      <c r="I43" s="6" t="n">
        <v>2</v>
      </c>
      <c r="J43" s="6" t="n">
        <v>116.4</v>
      </c>
      <c r="K43" s="6"/>
      <c r="L43" s="6"/>
      <c r="M43" s="6"/>
    </row>
    <row r="44" customFormat="false" ht="15.75" hidden="false" customHeight="false" outlineLevel="0" collapsed="false">
      <c r="A44" s="0" t="s">
        <v>45</v>
      </c>
      <c r="B44" s="1" t="n">
        <v>43904</v>
      </c>
      <c r="C44" s="6" t="n">
        <v>801</v>
      </c>
      <c r="D44" s="6" t="n">
        <v>127</v>
      </c>
      <c r="E44" s="6" t="n">
        <v>0</v>
      </c>
      <c r="F44" s="6" t="n">
        <v>0</v>
      </c>
      <c r="G44" s="6" t="n">
        <v>1</v>
      </c>
      <c r="H44" s="6" t="n">
        <v>800</v>
      </c>
      <c r="I44" s="6" t="n">
        <v>2</v>
      </c>
      <c r="J44" s="6" t="n">
        <v>138.3</v>
      </c>
      <c r="K44" s="6"/>
      <c r="L44" s="6"/>
      <c r="M44" s="6"/>
    </row>
    <row r="45" customFormat="false" ht="15.75" hidden="false" customHeight="false" outlineLevel="0" collapsed="false">
      <c r="A45" s="0" t="s">
        <v>45</v>
      </c>
      <c r="B45" s="1" t="n">
        <v>43905</v>
      </c>
      <c r="C45" s="6" t="n">
        <v>827</v>
      </c>
      <c r="D45" s="6" t="n">
        <v>26</v>
      </c>
      <c r="E45" s="6" t="n">
        <v>1</v>
      </c>
      <c r="F45" s="6" t="n">
        <v>1</v>
      </c>
      <c r="G45" s="6" t="n">
        <v>1</v>
      </c>
      <c r="H45" s="6" t="n">
        <v>825</v>
      </c>
      <c r="I45" s="6" t="n">
        <v>2</v>
      </c>
      <c r="J45" s="6" t="n">
        <v>142.8</v>
      </c>
      <c r="K45" s="6"/>
      <c r="L45" s="6"/>
      <c r="M45" s="6"/>
    </row>
    <row r="46" customFormat="false" ht="15.75" hidden="false" customHeight="false" outlineLevel="0" collapsed="false">
      <c r="A46" s="0" t="s">
        <v>45</v>
      </c>
      <c r="B46" s="1" t="n">
        <v>43906</v>
      </c>
      <c r="C46" s="6" t="n">
        <v>864</v>
      </c>
      <c r="D46" s="6" t="n">
        <v>37</v>
      </c>
      <c r="E46" s="6" t="n">
        <v>2</v>
      </c>
      <c r="F46" s="6" t="n">
        <v>1</v>
      </c>
      <c r="G46" s="6" t="n">
        <v>1</v>
      </c>
      <c r="H46" s="6" t="n">
        <v>861</v>
      </c>
      <c r="I46" s="6" t="n">
        <v>2</v>
      </c>
      <c r="J46" s="6" t="n">
        <v>149.2</v>
      </c>
      <c r="K46" s="6"/>
      <c r="L46" s="6"/>
      <c r="M46" s="6"/>
    </row>
    <row r="47" customFormat="false" ht="15.75" hidden="false" customHeight="false" outlineLevel="0" collapsed="false">
      <c r="A47" s="0" t="s">
        <v>45</v>
      </c>
      <c r="B47" s="1" t="n">
        <v>43907</v>
      </c>
      <c r="C47" s="6" t="n">
        <v>914</v>
      </c>
      <c r="D47" s="6" t="n">
        <v>50</v>
      </c>
      <c r="E47" s="6" t="n">
        <v>4</v>
      </c>
      <c r="F47" s="6" t="n">
        <v>2</v>
      </c>
      <c r="G47" s="6" t="n">
        <v>1</v>
      </c>
      <c r="H47" s="6" t="n">
        <v>909</v>
      </c>
      <c r="I47" s="6" t="n">
        <v>10</v>
      </c>
      <c r="J47" s="6" t="n">
        <v>157.8</v>
      </c>
      <c r="K47" s="6"/>
      <c r="L47" s="6"/>
      <c r="M47" s="6"/>
    </row>
    <row r="48" customFormat="false" ht="15.75" hidden="false" customHeight="false" outlineLevel="0" collapsed="false">
      <c r="A48" s="0" t="s">
        <v>45</v>
      </c>
      <c r="B48" s="1" t="n">
        <v>43908</v>
      </c>
      <c r="C48" s="6" t="n">
        <v>977</v>
      </c>
      <c r="D48" s="6" t="n">
        <v>63</v>
      </c>
      <c r="E48" s="6" t="n">
        <v>4</v>
      </c>
      <c r="F48" s="6" t="n">
        <v>0</v>
      </c>
      <c r="G48" s="6" t="n">
        <v>1</v>
      </c>
      <c r="H48" s="6" t="n">
        <v>972</v>
      </c>
      <c r="I48" s="6" t="n">
        <v>18</v>
      </c>
      <c r="J48" s="6" t="n">
        <v>168.7</v>
      </c>
      <c r="K48" s="6"/>
      <c r="L48" s="6"/>
      <c r="M48" s="6"/>
    </row>
    <row r="49" customFormat="false" ht="15.75" hidden="false" customHeight="false" outlineLevel="0" collapsed="false">
      <c r="A49" s="0" t="s">
        <v>45</v>
      </c>
      <c r="B49" s="1" t="n">
        <v>43909</v>
      </c>
      <c r="C49" s="6" t="n">
        <v>1057</v>
      </c>
      <c r="D49" s="6" t="n">
        <v>80</v>
      </c>
      <c r="E49" s="6" t="n">
        <v>4</v>
      </c>
      <c r="F49" s="6" t="n">
        <v>0</v>
      </c>
      <c r="G49" s="6" t="n">
        <v>1</v>
      </c>
      <c r="H49" s="6" t="n">
        <v>1052</v>
      </c>
      <c r="I49" s="6" t="n">
        <v>24</v>
      </c>
      <c r="J49" s="6" t="n">
        <v>182</v>
      </c>
      <c r="K49" s="6"/>
      <c r="L49" s="6"/>
      <c r="M49" s="6"/>
    </row>
    <row r="50" customFormat="false" ht="15.75" hidden="false" customHeight="false" outlineLevel="0" collapsed="false">
      <c r="A50" s="0" t="s">
        <v>45</v>
      </c>
      <c r="B50" s="1" t="n">
        <v>43910</v>
      </c>
      <c r="C50" s="6" t="n">
        <v>1151</v>
      </c>
      <c r="D50" s="6" t="n">
        <v>94</v>
      </c>
      <c r="E50" s="6" t="n">
        <v>6</v>
      </c>
      <c r="F50" s="6" t="n">
        <v>2</v>
      </c>
      <c r="G50" s="6" t="n">
        <v>1</v>
      </c>
      <c r="H50" s="6" t="n">
        <v>1144</v>
      </c>
      <c r="I50" s="6" t="n">
        <v>30</v>
      </c>
      <c r="J50" s="6" t="n">
        <v>199</v>
      </c>
      <c r="K50" s="6"/>
      <c r="L50" s="6"/>
      <c r="M50" s="6"/>
    </row>
    <row r="51" customFormat="false" ht="15.75" hidden="false" customHeight="false" outlineLevel="0" collapsed="false">
      <c r="A51" s="0" t="s">
        <v>45</v>
      </c>
      <c r="B51" s="1" t="n">
        <v>43911</v>
      </c>
      <c r="C51" s="6" t="n">
        <v>1255</v>
      </c>
      <c r="D51" s="6" t="n">
        <v>104</v>
      </c>
      <c r="E51" s="6" t="n">
        <v>9</v>
      </c>
      <c r="F51" s="6" t="n">
        <v>3</v>
      </c>
      <c r="G51" s="6" t="n">
        <v>1</v>
      </c>
      <c r="H51" s="6" t="n">
        <v>1245</v>
      </c>
      <c r="I51" s="6" t="n">
        <v>37</v>
      </c>
      <c r="J51" s="6" t="n">
        <v>217</v>
      </c>
      <c r="K51" s="6"/>
      <c r="L51" s="6"/>
      <c r="M51" s="6"/>
    </row>
    <row r="52" customFormat="false" ht="15.75" hidden="false" customHeight="false" outlineLevel="0" collapsed="false">
      <c r="A52" s="0" t="s">
        <v>45</v>
      </c>
      <c r="B52" s="1" t="n">
        <v>43912</v>
      </c>
      <c r="C52" s="6" t="n">
        <v>1326</v>
      </c>
      <c r="D52" s="6" t="n">
        <v>71</v>
      </c>
      <c r="E52" s="6" t="n">
        <v>13</v>
      </c>
      <c r="F52" s="6" t="n">
        <v>4</v>
      </c>
      <c r="G52" s="6" t="n">
        <v>1</v>
      </c>
      <c r="H52" s="6" t="n">
        <v>1312</v>
      </c>
      <c r="I52" s="6" t="n">
        <v>42</v>
      </c>
      <c r="J52" s="6" t="n">
        <v>229</v>
      </c>
      <c r="K52" s="6"/>
      <c r="L52" s="6"/>
      <c r="M52" s="6"/>
    </row>
    <row r="53" customFormat="false" ht="15.75" hidden="false" customHeight="false" outlineLevel="0" collapsed="false">
      <c r="A53" s="0" t="s">
        <v>45</v>
      </c>
      <c r="B53" s="1" t="n">
        <v>43913</v>
      </c>
      <c r="C53" s="6" t="n">
        <v>1395</v>
      </c>
      <c r="D53" s="6" t="n">
        <v>69</v>
      </c>
      <c r="E53" s="6" t="n">
        <v>13</v>
      </c>
      <c r="F53" s="6" t="n">
        <v>0</v>
      </c>
      <c r="G53" s="6" t="n">
        <v>1</v>
      </c>
      <c r="H53" s="6" t="n">
        <v>1381</v>
      </c>
      <c r="I53" s="6" t="n">
        <v>42</v>
      </c>
      <c r="J53" s="6" t="n">
        <v>241</v>
      </c>
      <c r="K53" s="6"/>
      <c r="L53" s="6"/>
      <c r="M53" s="6"/>
    </row>
    <row r="54" customFormat="false" ht="15.75" hidden="false" customHeight="false" outlineLevel="0" collapsed="false">
      <c r="A54" s="0" t="s">
        <v>45</v>
      </c>
      <c r="B54" s="1" t="n">
        <v>43914</v>
      </c>
      <c r="C54" s="6" t="n">
        <v>1450</v>
      </c>
      <c r="D54" s="6" t="n">
        <v>55</v>
      </c>
      <c r="E54" s="6" t="n">
        <v>24</v>
      </c>
      <c r="F54" s="6" t="n">
        <v>11</v>
      </c>
      <c r="G54" s="6" t="n">
        <v>1</v>
      </c>
      <c r="H54" s="6" t="n">
        <v>1425</v>
      </c>
      <c r="I54" s="6" t="n">
        <v>55</v>
      </c>
      <c r="J54" s="6" t="n">
        <v>250</v>
      </c>
      <c r="K54" s="6"/>
      <c r="L54" s="6"/>
      <c r="M54" s="6"/>
    </row>
    <row r="55" customFormat="false" ht="15.75" hidden="false" customHeight="false" outlineLevel="0" collapsed="false">
      <c r="A55" s="0" t="s">
        <v>45</v>
      </c>
      <c r="B55" s="1" t="n">
        <v>43915</v>
      </c>
      <c r="C55" s="7" t="n">
        <v>1591</v>
      </c>
      <c r="D55" s="7" t="n">
        <v>141</v>
      </c>
      <c r="E55" s="7" t="n">
        <v>32</v>
      </c>
      <c r="F55" s="7" t="n">
        <v>8</v>
      </c>
      <c r="G55" s="7" t="n">
        <v>1</v>
      </c>
      <c r="H55" s="7" t="n">
        <v>1558</v>
      </c>
      <c r="I55" s="7" t="n">
        <v>69</v>
      </c>
      <c r="J55" s="7" t="n">
        <v>275</v>
      </c>
      <c r="K55" s="7" t="n">
        <v>6</v>
      </c>
      <c r="L55" s="7"/>
      <c r="M55" s="7"/>
    </row>
    <row r="56" customFormat="false" ht="15.75" hidden="false" customHeight="false" outlineLevel="0" collapsed="false">
      <c r="A56" s="0" t="s">
        <v>45</v>
      </c>
      <c r="B56" s="1" t="n">
        <v>43916</v>
      </c>
      <c r="C56" s="7" t="n">
        <v>1724</v>
      </c>
      <c r="D56" s="7" t="n">
        <v>133</v>
      </c>
      <c r="E56" s="7" t="n">
        <v>34</v>
      </c>
      <c r="F56" s="7" t="n">
        <v>2</v>
      </c>
      <c r="G56" s="7" t="n">
        <v>1</v>
      </c>
      <c r="H56" s="7" t="n">
        <v>1689</v>
      </c>
      <c r="I56" s="7" t="n">
        <v>69</v>
      </c>
      <c r="J56" s="7" t="n">
        <v>298</v>
      </c>
      <c r="K56" s="7" t="n">
        <v>6</v>
      </c>
      <c r="L56" s="7"/>
      <c r="M56" s="7"/>
    </row>
    <row r="57" customFormat="false" ht="15.75" hidden="false" customHeight="false" outlineLevel="0" collapsed="false">
      <c r="A57" s="0" t="s">
        <v>45</v>
      </c>
      <c r="B57" s="1" t="n">
        <v>43917</v>
      </c>
      <c r="C57" s="7" t="n">
        <v>1877</v>
      </c>
      <c r="D57" s="7" t="n">
        <v>153</v>
      </c>
      <c r="E57" s="7" t="n">
        <v>41</v>
      </c>
      <c r="F57" s="7" t="n">
        <v>7</v>
      </c>
      <c r="G57" s="7" t="n">
        <v>1</v>
      </c>
      <c r="H57" s="7" t="n">
        <v>1835</v>
      </c>
      <c r="I57" s="7" t="n">
        <v>94</v>
      </c>
      <c r="J57" s="7" t="n">
        <v>324</v>
      </c>
      <c r="K57" s="7" t="n">
        <v>7</v>
      </c>
      <c r="L57" s="7"/>
      <c r="M57" s="7"/>
    </row>
    <row r="58" customFormat="false" ht="15.75" hidden="false" customHeight="false" outlineLevel="0" collapsed="false">
      <c r="A58" s="0" t="s">
        <v>45</v>
      </c>
      <c r="B58" s="1" t="n">
        <v>43918</v>
      </c>
      <c r="C58" s="7" t="n">
        <v>2046</v>
      </c>
      <c r="D58" s="7" t="n">
        <v>169</v>
      </c>
      <c r="E58" s="7" t="n">
        <v>52</v>
      </c>
      <c r="F58" s="7" t="n">
        <v>11</v>
      </c>
      <c r="G58" s="7" t="n">
        <v>1</v>
      </c>
      <c r="H58" s="7" t="n">
        <v>1993</v>
      </c>
      <c r="I58" s="7" t="n">
        <v>109</v>
      </c>
      <c r="J58" s="7" t="n">
        <v>353</v>
      </c>
      <c r="K58" s="7" t="n">
        <v>9</v>
      </c>
      <c r="M58" s="7"/>
    </row>
    <row r="59" customFormat="false" ht="15.75" hidden="false" customHeight="false" outlineLevel="0" collapsed="false">
      <c r="A59" s="0" t="s">
        <v>45</v>
      </c>
      <c r="B59" s="1" t="n">
        <v>43919</v>
      </c>
      <c r="C59" s="7" t="n">
        <v>2201</v>
      </c>
      <c r="D59" s="7" t="n">
        <v>155</v>
      </c>
      <c r="E59" s="7" t="n">
        <v>65</v>
      </c>
      <c r="F59" s="7" t="n">
        <v>13</v>
      </c>
      <c r="G59" s="7" t="n">
        <v>1</v>
      </c>
      <c r="H59" s="7" t="n">
        <v>2135</v>
      </c>
      <c r="I59" s="7" t="n">
        <v>109</v>
      </c>
      <c r="J59" s="7" t="n">
        <v>380</v>
      </c>
      <c r="K59" s="7" t="n">
        <v>11</v>
      </c>
      <c r="M59" s="7"/>
    </row>
    <row r="60" customFormat="false" ht="15.75" hidden="false" customHeight="false" outlineLevel="0" collapsed="false">
      <c r="A60" s="0" t="s">
        <v>45</v>
      </c>
      <c r="B60" s="1" t="n">
        <v>43920</v>
      </c>
      <c r="C60" s="7" t="n">
        <v>2395</v>
      </c>
      <c r="D60" s="7" t="n">
        <v>194</v>
      </c>
      <c r="E60" s="7" t="n">
        <v>72</v>
      </c>
      <c r="F60" s="7" t="n">
        <v>7</v>
      </c>
      <c r="G60" s="7" t="n">
        <v>1</v>
      </c>
      <c r="H60" s="7" t="n">
        <v>2322</v>
      </c>
      <c r="I60" s="7" t="n">
        <v>113</v>
      </c>
      <c r="J60" s="7" t="n">
        <v>413</v>
      </c>
      <c r="K60" s="7" t="n">
        <v>12</v>
      </c>
      <c r="M60" s="7"/>
    </row>
    <row r="61" customFormat="false" ht="15.75" hidden="false" customHeight="false" outlineLevel="0" collapsed="false">
      <c r="A61" s="0" t="s">
        <v>45</v>
      </c>
      <c r="B61" s="1" t="n">
        <v>43921</v>
      </c>
      <c r="C61" s="7" t="n">
        <v>2577</v>
      </c>
      <c r="D61" s="7" t="n">
        <v>182</v>
      </c>
      <c r="E61" s="7" t="n">
        <v>77</v>
      </c>
      <c r="F61" s="7" t="n">
        <v>5</v>
      </c>
      <c r="G61" s="7" t="n">
        <v>1</v>
      </c>
      <c r="H61" s="7" t="n">
        <v>2499</v>
      </c>
      <c r="I61" s="7" t="n">
        <v>137</v>
      </c>
      <c r="J61" s="7" t="n">
        <v>445</v>
      </c>
      <c r="K61" s="7" t="n">
        <v>13</v>
      </c>
      <c r="M61" s="7"/>
    </row>
    <row r="62" customFormat="false" ht="15.75" hidden="false" customHeight="false" outlineLevel="0" collapsed="false">
      <c r="A62" s="0" t="s">
        <v>45</v>
      </c>
      <c r="B62" s="1" t="n">
        <v>43922</v>
      </c>
      <c r="C62" s="7" t="n">
        <v>2860</v>
      </c>
      <c r="D62" s="7" t="n">
        <v>283</v>
      </c>
      <c r="E62" s="7" t="n">
        <v>90</v>
      </c>
      <c r="F62" s="7" t="n">
        <v>13</v>
      </c>
      <c r="G62" s="7" t="n">
        <v>1</v>
      </c>
      <c r="H62" s="7" t="n">
        <v>2769</v>
      </c>
      <c r="I62" s="7" t="n">
        <v>145</v>
      </c>
      <c r="J62" s="7" t="n">
        <v>494</v>
      </c>
      <c r="K62" s="7" t="n">
        <v>16</v>
      </c>
      <c r="M62" s="7"/>
    </row>
    <row r="63" customFormat="false" ht="15.75" hidden="false" customHeight="false" outlineLevel="0" collapsed="false">
      <c r="A63" s="0" t="s">
        <v>45</v>
      </c>
      <c r="B63" s="1" t="n">
        <v>43923</v>
      </c>
      <c r="C63" s="7" t="n">
        <v>3107</v>
      </c>
      <c r="D63" s="7" t="n">
        <v>247</v>
      </c>
      <c r="E63" s="7" t="n">
        <v>104</v>
      </c>
      <c r="F63" s="7" t="n">
        <v>14</v>
      </c>
      <c r="G63" s="7" t="n">
        <v>894</v>
      </c>
      <c r="H63" s="7" t="n">
        <v>2109</v>
      </c>
      <c r="I63" s="7" t="n">
        <v>145</v>
      </c>
      <c r="J63" s="7" t="n">
        <v>536</v>
      </c>
      <c r="K63" s="7" t="n">
        <v>18</v>
      </c>
      <c r="M63" s="7"/>
    </row>
    <row r="64" customFormat="false" ht="15.75" hidden="false" customHeight="false" outlineLevel="0" collapsed="false">
      <c r="A64" s="0" t="s">
        <v>45</v>
      </c>
      <c r="B64" s="1" t="n">
        <v>43924</v>
      </c>
      <c r="C64" s="7" t="n">
        <v>3386</v>
      </c>
      <c r="D64" s="7" t="n">
        <v>279</v>
      </c>
      <c r="E64" s="7" t="n">
        <v>123</v>
      </c>
      <c r="F64" s="7" t="n">
        <v>19</v>
      </c>
      <c r="G64" s="7" t="n">
        <v>1089</v>
      </c>
      <c r="H64" s="7" t="n">
        <v>2174</v>
      </c>
      <c r="I64" s="7" t="n">
        <v>153</v>
      </c>
      <c r="J64" s="7" t="n">
        <v>585</v>
      </c>
      <c r="K64" s="7" t="n">
        <v>21</v>
      </c>
      <c r="M64" s="7"/>
    </row>
    <row r="65" customFormat="false" ht="15.75" hidden="false" customHeight="false" outlineLevel="0" collapsed="false">
      <c r="A65" s="0" t="s">
        <v>45</v>
      </c>
      <c r="B65" s="1" t="n">
        <v>43925</v>
      </c>
      <c r="C65" s="7" t="n">
        <v>3757</v>
      </c>
      <c r="D65" s="7" t="n">
        <v>371</v>
      </c>
      <c r="E65" s="7" t="n">
        <v>139</v>
      </c>
      <c r="F65" s="7" t="n">
        <v>16</v>
      </c>
      <c r="G65" s="7" t="n">
        <v>1193</v>
      </c>
      <c r="H65" s="7" t="n">
        <v>2425</v>
      </c>
      <c r="I65" s="7" t="n">
        <v>153</v>
      </c>
      <c r="J65" s="7" t="n">
        <v>649</v>
      </c>
      <c r="K65" s="7" t="n">
        <v>24</v>
      </c>
      <c r="M65" s="7"/>
    </row>
    <row r="66" customFormat="false" ht="15.75" hidden="false" customHeight="false" outlineLevel="0" collapsed="false">
      <c r="A66" s="0" t="s">
        <v>45</v>
      </c>
      <c r="B66" s="1" t="n">
        <v>43926</v>
      </c>
      <c r="C66" s="7" t="n">
        <v>4077</v>
      </c>
      <c r="D66" s="7" t="n">
        <v>320</v>
      </c>
      <c r="E66" s="7" t="n">
        <v>161</v>
      </c>
      <c r="F66" s="7" t="n">
        <v>22</v>
      </c>
      <c r="G66" s="7" t="n">
        <v>1283</v>
      </c>
      <c r="H66" s="7" t="n">
        <v>2633</v>
      </c>
      <c r="I66" s="7" t="n">
        <v>142</v>
      </c>
      <c r="J66" s="7" t="n">
        <v>704</v>
      </c>
      <c r="K66" s="7" t="n">
        <v>28</v>
      </c>
      <c r="L66" s="7" t="n">
        <v>40863</v>
      </c>
      <c r="M66" s="7" t="n">
        <v>7055</v>
      </c>
    </row>
    <row r="67" customFormat="false" ht="15.75" hidden="false" customHeight="false" outlineLevel="0" collapsed="false">
      <c r="A67" s="0" t="s">
        <v>45</v>
      </c>
      <c r="B67" s="1" t="n">
        <v>43927</v>
      </c>
      <c r="C67" s="7" t="n">
        <v>4369</v>
      </c>
      <c r="D67" s="7" t="n">
        <v>292</v>
      </c>
      <c r="E67" s="7" t="n">
        <v>179</v>
      </c>
      <c r="F67" s="7" t="n">
        <v>18</v>
      </c>
      <c r="G67" s="7" t="n">
        <v>1327</v>
      </c>
      <c r="H67" s="7" t="n">
        <v>2863</v>
      </c>
      <c r="I67" s="7" t="n">
        <v>142</v>
      </c>
      <c r="J67" s="7" t="n">
        <v>754</v>
      </c>
      <c r="K67" s="7" t="n">
        <v>31</v>
      </c>
      <c r="L67" s="7" t="n">
        <v>49249</v>
      </c>
      <c r="M67" s="7" t="n">
        <v>8503</v>
      </c>
    </row>
    <row r="68" customFormat="false" ht="15.75" hidden="false" customHeight="false" outlineLevel="0" collapsed="false">
      <c r="A68" s="0" t="s">
        <v>45</v>
      </c>
      <c r="B68" s="1" t="n">
        <v>43928</v>
      </c>
      <c r="C68" s="12" t="n">
        <v>4681</v>
      </c>
      <c r="D68" s="12" t="n">
        <v>312</v>
      </c>
      <c r="E68" s="12" t="n">
        <v>187</v>
      </c>
      <c r="F68" s="12" t="n">
        <v>8</v>
      </c>
      <c r="G68" s="12" t="n">
        <v>1378</v>
      </c>
      <c r="H68" s="12" t="n">
        <v>3116</v>
      </c>
      <c r="I68" s="12" t="n">
        <v>144</v>
      </c>
      <c r="J68" s="12" t="n">
        <v>808</v>
      </c>
      <c r="K68" s="12" t="n">
        <v>32</v>
      </c>
      <c r="L68" s="12" t="n">
        <v>52936</v>
      </c>
      <c r="M68" s="12" t="n">
        <v>9139</v>
      </c>
    </row>
    <row r="69" customFormat="false" ht="15.75" hidden="false" customHeight="false" outlineLevel="0" collapsed="false">
      <c r="A69" s="0" t="s">
        <v>45</v>
      </c>
      <c r="B69" s="1" t="n">
        <v>43929</v>
      </c>
      <c r="C69" s="14" t="n">
        <v>5071</v>
      </c>
      <c r="D69" s="14" t="n">
        <v>390</v>
      </c>
      <c r="E69" s="14" t="n">
        <v>203</v>
      </c>
      <c r="F69" s="14" t="n">
        <v>16</v>
      </c>
      <c r="G69" s="14" t="n">
        <v>1491</v>
      </c>
      <c r="H69" s="14" t="n">
        <v>3377</v>
      </c>
      <c r="I69" s="14" t="n">
        <v>127</v>
      </c>
      <c r="J69" s="14" t="n">
        <v>875</v>
      </c>
      <c r="K69" s="14" t="n">
        <v>35</v>
      </c>
      <c r="L69" s="14" t="n">
        <v>58419</v>
      </c>
      <c r="M69" s="14" t="n">
        <v>10086</v>
      </c>
    </row>
    <row r="70" customFormat="false" ht="15.75" hidden="false" customHeight="false" outlineLevel="0" collapsed="false">
      <c r="A70" s="0" t="s">
        <v>45</v>
      </c>
      <c r="B70" s="1" t="n">
        <v>43930</v>
      </c>
      <c r="C70" s="14" t="n">
        <v>5402</v>
      </c>
      <c r="D70" s="14" t="n">
        <v>331</v>
      </c>
      <c r="E70" s="14" t="n">
        <v>218</v>
      </c>
      <c r="F70" s="14" t="n">
        <v>15</v>
      </c>
      <c r="G70" s="14" t="n">
        <v>1621</v>
      </c>
      <c r="H70" s="14" t="n">
        <v>3563</v>
      </c>
      <c r="I70" s="14" t="n">
        <v>127</v>
      </c>
      <c r="J70" s="14" t="n">
        <v>933</v>
      </c>
      <c r="K70" s="14" t="n">
        <v>38</v>
      </c>
      <c r="L70" s="14" t="n">
        <v>64002</v>
      </c>
      <c r="M70" s="14" t="n">
        <v>11050</v>
      </c>
    </row>
    <row r="71" customFormat="false" ht="15.75" hidden="false" customHeight="false" outlineLevel="0" collapsed="false">
      <c r="A71" s="0" t="s">
        <v>45</v>
      </c>
      <c r="B71" s="1" t="n">
        <v>43931</v>
      </c>
      <c r="C71" s="14" t="n">
        <v>5635</v>
      </c>
      <c r="D71" s="14" t="n">
        <v>233</v>
      </c>
      <c r="E71" s="14" t="n">
        <v>237</v>
      </c>
      <c r="F71" s="14" t="n">
        <v>19</v>
      </c>
      <c r="G71" s="14" t="n">
        <v>1736</v>
      </c>
      <c r="H71" s="14" t="n">
        <v>3662</v>
      </c>
      <c r="I71" s="14" t="n">
        <v>120</v>
      </c>
      <c r="J71" s="14" t="n">
        <v>973</v>
      </c>
      <c r="K71" s="14" t="n">
        <v>41</v>
      </c>
      <c r="L71" s="14" t="n">
        <v>64002</v>
      </c>
      <c r="M71" s="14" t="n">
        <v>11050</v>
      </c>
    </row>
    <row r="72" customFormat="false" ht="15.75" hidden="false" customHeight="false" outlineLevel="0" collapsed="false">
      <c r="A72" s="0" t="s">
        <v>45</v>
      </c>
      <c r="B72" s="1" t="n">
        <v>43932</v>
      </c>
      <c r="C72" s="14" t="n">
        <v>5819</v>
      </c>
      <c r="D72" s="14" t="n">
        <v>184</v>
      </c>
      <c r="E72" s="14" t="n">
        <v>247</v>
      </c>
      <c r="F72" s="14" t="n">
        <v>10</v>
      </c>
      <c r="G72" s="14" t="n">
        <v>1773</v>
      </c>
      <c r="H72" s="14" t="n">
        <v>3799</v>
      </c>
      <c r="I72" s="14" t="n">
        <v>113</v>
      </c>
      <c r="J72" s="14" t="n">
        <v>1005</v>
      </c>
      <c r="K72" s="14" t="n">
        <v>43</v>
      </c>
      <c r="L72" s="14" t="n">
        <v>64731</v>
      </c>
      <c r="M72" s="14" t="n">
        <v>11176</v>
      </c>
    </row>
    <row r="73" customFormat="false" ht="15.75" hidden="false" customHeight="false" outlineLevel="0" collapsed="false">
      <c r="A73" s="0" t="s">
        <v>45</v>
      </c>
      <c r="B73" s="1" t="n">
        <v>43933</v>
      </c>
      <c r="C73" s="14" t="n">
        <v>5996</v>
      </c>
      <c r="D73" s="14" t="n">
        <v>177</v>
      </c>
      <c r="E73" s="14" t="n">
        <v>260</v>
      </c>
      <c r="F73" s="14" t="n">
        <v>13</v>
      </c>
      <c r="G73" s="14" t="n">
        <v>1955</v>
      </c>
      <c r="H73" s="14" t="n">
        <v>3781</v>
      </c>
      <c r="I73" s="14" t="n">
        <v>106</v>
      </c>
      <c r="J73" s="14" t="n">
        <v>1035</v>
      </c>
      <c r="K73" s="14" t="n">
        <v>45</v>
      </c>
      <c r="L73" s="14" t="n">
        <v>67771</v>
      </c>
      <c r="M73" s="14" t="n">
        <v>11700</v>
      </c>
    </row>
    <row r="74" customFormat="false" ht="15.75" hidden="false" customHeight="false" outlineLevel="0" collapsed="false">
      <c r="A74" s="0" t="s">
        <v>45</v>
      </c>
      <c r="B74" s="1" t="n">
        <v>43934</v>
      </c>
      <c r="C74" s="14" t="n">
        <v>6174</v>
      </c>
      <c r="D74" s="14" t="n">
        <v>178</v>
      </c>
      <c r="E74" s="14" t="n">
        <v>273</v>
      </c>
      <c r="F74" s="14" t="n">
        <v>13</v>
      </c>
      <c r="G74" s="14" t="n">
        <v>2123</v>
      </c>
      <c r="H74" s="14" t="n">
        <v>3778</v>
      </c>
      <c r="I74" s="14" t="n">
        <v>104</v>
      </c>
      <c r="J74" s="14" t="n">
        <v>1066</v>
      </c>
      <c r="K74" s="14" t="n">
        <v>47</v>
      </c>
      <c r="L74" s="14" t="n">
        <v>70125</v>
      </c>
      <c r="M74" s="14" t="n">
        <v>12107</v>
      </c>
    </row>
    <row r="75" customFormat="false" ht="15.75" hidden="false" customHeight="false" outlineLevel="0" collapsed="false">
      <c r="A75" s="0" t="s">
        <v>45</v>
      </c>
      <c r="B75" s="1" t="n">
        <v>43935</v>
      </c>
      <c r="C75" s="14" t="n">
        <v>6318</v>
      </c>
      <c r="D75" s="14" t="n">
        <v>144</v>
      </c>
      <c r="E75" s="14" t="n">
        <v>285</v>
      </c>
      <c r="F75" s="14" t="n">
        <v>12</v>
      </c>
      <c r="G75" s="14" t="n">
        <v>2235</v>
      </c>
      <c r="H75" s="14" t="n">
        <v>3798</v>
      </c>
      <c r="I75" s="14" t="n">
        <v>100</v>
      </c>
      <c r="J75" s="14" t="n">
        <v>1091</v>
      </c>
      <c r="K75" s="14" t="n">
        <v>49</v>
      </c>
      <c r="L75" s="14" t="n">
        <v>72099</v>
      </c>
      <c r="M75" s="14" t="n">
        <v>12448</v>
      </c>
    </row>
    <row r="76" customFormat="false" ht="15.75" hidden="false" customHeight="false" outlineLevel="0" collapsed="false">
      <c r="A76" s="0" t="s">
        <v>45</v>
      </c>
      <c r="B76" s="1" t="n">
        <v>43936</v>
      </c>
      <c r="C76" s="14" t="n">
        <v>6511</v>
      </c>
      <c r="D76" s="14" t="n">
        <v>193</v>
      </c>
      <c r="E76" s="14" t="n">
        <v>299</v>
      </c>
      <c r="F76" s="14" t="n">
        <v>14</v>
      </c>
      <c r="G76" s="14" t="n">
        <v>2515</v>
      </c>
      <c r="H76" s="14" t="n">
        <v>3697</v>
      </c>
      <c r="I76" s="14" t="n">
        <v>100</v>
      </c>
      <c r="J76" s="14" t="n">
        <v>1124</v>
      </c>
      <c r="K76" s="14" t="n">
        <v>52</v>
      </c>
      <c r="L76" s="14" t="n">
        <v>74210</v>
      </c>
      <c r="M76" s="14" t="n">
        <v>12812</v>
      </c>
    </row>
    <row r="77" customFormat="false" ht="15.75" hidden="false" customHeight="false" outlineLevel="0" collapsed="false">
      <c r="A77" s="0" t="s">
        <v>45</v>
      </c>
      <c r="B77" s="1" t="n">
        <v>43937</v>
      </c>
      <c r="C77" s="14" t="n">
        <v>6681</v>
      </c>
      <c r="D77" s="14" t="n">
        <v>170</v>
      </c>
      <c r="E77" s="14" t="n">
        <v>309</v>
      </c>
      <c r="F77" s="14" t="n">
        <v>10</v>
      </c>
      <c r="G77" s="14" t="n">
        <v>2748</v>
      </c>
      <c r="H77" s="14" t="n">
        <v>3624</v>
      </c>
      <c r="I77" s="14" t="n">
        <v>89</v>
      </c>
      <c r="J77" s="14" t="n">
        <v>1153</v>
      </c>
      <c r="K77" s="14" t="n">
        <v>53</v>
      </c>
      <c r="L77" s="14" t="n">
        <v>77712</v>
      </c>
      <c r="M77" s="14" t="n">
        <v>13417</v>
      </c>
    </row>
    <row r="78" customFormat="false" ht="15.75" hidden="false" customHeight="false" outlineLevel="0" collapsed="false">
      <c r="A78" s="0" t="s">
        <v>45</v>
      </c>
      <c r="B78" s="1" t="n">
        <v>43938</v>
      </c>
      <c r="C78" s="14" t="n">
        <v>6879</v>
      </c>
      <c r="D78" s="14" t="n">
        <v>198</v>
      </c>
      <c r="E78" s="14" t="n">
        <v>321</v>
      </c>
      <c r="F78" s="14" t="n">
        <v>12</v>
      </c>
      <c r="G78" s="14" t="n">
        <v>3023</v>
      </c>
      <c r="H78" s="14" t="n">
        <v>3535</v>
      </c>
      <c r="I78" s="14" t="n">
        <v>92</v>
      </c>
      <c r="J78" s="14" t="n">
        <v>1188</v>
      </c>
      <c r="K78" s="14" t="n">
        <v>55</v>
      </c>
      <c r="L78" s="14" t="n">
        <v>82380</v>
      </c>
      <c r="M78" s="14" t="n">
        <v>14223</v>
      </c>
    </row>
    <row r="79" customFormat="false" ht="15.75" hidden="false" customHeight="false" outlineLevel="0" collapsed="false">
      <c r="A79" s="0" t="s">
        <v>45</v>
      </c>
      <c r="B79" s="1" t="n">
        <v>43939</v>
      </c>
      <c r="C79" s="14" t="n">
        <v>7073</v>
      </c>
      <c r="D79" s="14" t="n">
        <v>194</v>
      </c>
      <c r="E79" s="14" t="n">
        <v>336</v>
      </c>
      <c r="F79" s="14" t="n">
        <v>15</v>
      </c>
      <c r="G79" s="14" t="n">
        <v>3389</v>
      </c>
      <c r="H79" s="14" t="n">
        <v>3348</v>
      </c>
      <c r="I79" s="14" t="n">
        <v>93</v>
      </c>
      <c r="J79" s="14" t="n">
        <v>1221</v>
      </c>
      <c r="K79" s="14" t="n">
        <v>58</v>
      </c>
      <c r="L79" s="14" t="n">
        <v>87024</v>
      </c>
      <c r="M79" s="14" t="n">
        <v>15024</v>
      </c>
    </row>
    <row r="80" customFormat="false" ht="15.75" hidden="false" customHeight="false" outlineLevel="0" collapsed="false">
      <c r="A80" s="0" t="s">
        <v>45</v>
      </c>
      <c r="B80" s="1" t="n">
        <v>43940</v>
      </c>
      <c r="C80" s="14" t="n">
        <v>7242</v>
      </c>
      <c r="D80" s="14" t="n">
        <v>169</v>
      </c>
      <c r="E80" s="14" t="n">
        <v>346</v>
      </c>
      <c r="F80" s="14" t="n">
        <v>10</v>
      </c>
      <c r="G80" s="14" t="n">
        <v>3847</v>
      </c>
      <c r="H80" s="14" t="n">
        <v>3049</v>
      </c>
      <c r="I80" s="14" t="n">
        <v>76</v>
      </c>
      <c r="J80" s="14" t="n">
        <v>1250</v>
      </c>
      <c r="K80" s="14" t="n">
        <v>60</v>
      </c>
      <c r="L80" s="14" t="n">
        <v>91437</v>
      </c>
      <c r="M80" s="14" t="n">
        <v>15786</v>
      </c>
    </row>
    <row r="81" customFormat="false" ht="15.75" hidden="false" customHeight="false" outlineLevel="0" collapsed="false">
      <c r="A81" s="0" t="s">
        <v>45</v>
      </c>
      <c r="B81" s="1" t="n">
        <v>43941</v>
      </c>
      <c r="C81" s="14" t="n">
        <v>7384</v>
      </c>
      <c r="D81" s="14" t="n">
        <v>142</v>
      </c>
      <c r="E81" s="14" t="n">
        <v>355</v>
      </c>
      <c r="F81" s="14" t="n">
        <v>9</v>
      </c>
      <c r="G81" s="14" t="n">
        <v>4141</v>
      </c>
      <c r="H81" s="14" t="n">
        <v>2888</v>
      </c>
      <c r="I81" s="14" t="n">
        <v>84</v>
      </c>
      <c r="J81" s="14" t="n">
        <v>1275</v>
      </c>
      <c r="K81" s="14" t="n">
        <v>61</v>
      </c>
      <c r="L81" s="14" t="n">
        <v>94277</v>
      </c>
      <c r="M81" s="14" t="n">
        <v>16277</v>
      </c>
    </row>
    <row r="82" customFormat="false" ht="15.75" hidden="false" customHeight="false" outlineLevel="0" collapsed="false">
      <c r="A82" s="0" t="s">
        <v>45</v>
      </c>
      <c r="B82" s="1" t="n">
        <v>43942</v>
      </c>
      <c r="C82" s="6" t="n">
        <v>7515</v>
      </c>
      <c r="D82" s="6" t="n">
        <v>131</v>
      </c>
      <c r="E82" s="6" t="n">
        <v>364</v>
      </c>
      <c r="F82" s="6" t="n">
        <v>9</v>
      </c>
      <c r="G82" s="6" t="n">
        <v>4312</v>
      </c>
      <c r="H82" s="6" t="n">
        <v>2839</v>
      </c>
      <c r="I82" s="6" t="n">
        <v>84</v>
      </c>
      <c r="J82" s="6" t="n">
        <v>1297</v>
      </c>
      <c r="K82" s="6" t="n">
        <v>63</v>
      </c>
      <c r="L82" s="6" t="n">
        <v>96244</v>
      </c>
      <c r="M82" s="6" t="n">
        <v>16616</v>
      </c>
    </row>
    <row r="83" customFormat="false" ht="15.75" hidden="false" customHeight="false" outlineLevel="0" collapsed="false">
      <c r="A83" s="0" t="s">
        <v>45</v>
      </c>
      <c r="B83" s="1" t="n">
        <v>43943</v>
      </c>
      <c r="C83" s="6" t="n">
        <v>7695</v>
      </c>
      <c r="D83" s="6" t="n">
        <v>180</v>
      </c>
      <c r="E83" s="6" t="n">
        <v>370</v>
      </c>
      <c r="F83" s="6" t="n">
        <v>6</v>
      </c>
      <c r="G83" s="6" t="n">
        <v>4700</v>
      </c>
      <c r="H83" s="6" t="n">
        <v>2625</v>
      </c>
      <c r="I83" s="6" t="n">
        <v>81</v>
      </c>
      <c r="J83" s="6" t="n">
        <v>1329</v>
      </c>
      <c r="K83" s="6" t="n">
        <v>64</v>
      </c>
      <c r="L83" s="6" t="n">
        <v>100543</v>
      </c>
      <c r="M83" s="6" t="n">
        <v>17358</v>
      </c>
    </row>
    <row r="84" customFormat="false" ht="15.75" hidden="false" customHeight="false" outlineLevel="0" collapsed="false">
      <c r="A84" s="0" t="s">
        <v>45</v>
      </c>
      <c r="B84" s="1" t="n">
        <v>43944</v>
      </c>
      <c r="C84" s="6" t="n">
        <v>7912</v>
      </c>
      <c r="D84" s="6" t="n">
        <v>217</v>
      </c>
      <c r="E84" s="6" t="n">
        <v>384</v>
      </c>
      <c r="F84" s="6" t="n">
        <v>14</v>
      </c>
      <c r="G84" s="6" t="n">
        <v>5087</v>
      </c>
      <c r="H84" s="6" t="n">
        <v>2441</v>
      </c>
      <c r="I84" s="6" t="n">
        <v>80</v>
      </c>
      <c r="J84" s="6" t="n">
        <v>1366</v>
      </c>
      <c r="K84" s="6" t="n">
        <v>66</v>
      </c>
      <c r="L84" s="6" t="n">
        <v>108465</v>
      </c>
      <c r="M84" s="6" t="n">
        <v>18726</v>
      </c>
    </row>
    <row r="85" customFormat="false" ht="15.75" hidden="false" customHeight="false" outlineLevel="0" collapsed="false">
      <c r="A85" s="0" t="s">
        <v>45</v>
      </c>
      <c r="B85" s="1" t="n">
        <v>43945</v>
      </c>
      <c r="C85" s="6" t="n">
        <v>8073</v>
      </c>
      <c r="D85" s="6" t="n">
        <v>161</v>
      </c>
      <c r="E85" s="6" t="n">
        <v>394</v>
      </c>
      <c r="F85" s="6" t="n">
        <v>10</v>
      </c>
      <c r="G85" s="6" t="n">
        <v>5384</v>
      </c>
      <c r="H85" s="6" t="n">
        <v>2295</v>
      </c>
      <c r="I85" s="6" t="n">
        <v>74</v>
      </c>
      <c r="J85" s="6" t="n">
        <v>1394</v>
      </c>
      <c r="K85" s="6" t="n">
        <v>68</v>
      </c>
      <c r="L85" s="6" t="n">
        <v>116621</v>
      </c>
      <c r="M85" s="6" t="n">
        <v>20134</v>
      </c>
    </row>
    <row r="86" customFormat="false" ht="15.75" hidden="false" customHeight="false" outlineLevel="0" collapsed="false">
      <c r="A86" s="0" t="s">
        <v>45</v>
      </c>
      <c r="B86" s="1" t="n">
        <v>43946</v>
      </c>
      <c r="C86" s="6" t="n">
        <v>8210</v>
      </c>
      <c r="D86" s="6" t="n">
        <v>137</v>
      </c>
      <c r="E86" s="6" t="n">
        <v>403</v>
      </c>
      <c r="F86" s="6" t="n">
        <v>9</v>
      </c>
      <c r="G86" s="6" t="n">
        <v>5526</v>
      </c>
      <c r="H86" s="6" t="n">
        <v>2281</v>
      </c>
      <c r="I86" s="6" t="n">
        <v>69</v>
      </c>
      <c r="J86" s="6" t="n">
        <v>1417</v>
      </c>
      <c r="K86" s="6" t="n">
        <v>70</v>
      </c>
      <c r="L86" s="6" t="n">
        <v>125329</v>
      </c>
      <c r="M86" s="6" t="n">
        <v>21638</v>
      </c>
    </row>
    <row r="87" customFormat="false" ht="15.75" hidden="false" customHeight="false" outlineLevel="0" collapsed="false">
      <c r="A87" s="0" t="s">
        <v>45</v>
      </c>
      <c r="B87" s="1" t="n">
        <v>43947</v>
      </c>
      <c r="C87" s="6" t="n">
        <v>8445</v>
      </c>
      <c r="D87" s="6" t="n">
        <v>235</v>
      </c>
      <c r="E87" s="6" t="n">
        <v>418</v>
      </c>
      <c r="F87" s="6" t="n">
        <v>15</v>
      </c>
      <c r="G87" s="6" t="n">
        <v>5669</v>
      </c>
      <c r="H87" s="6" t="n">
        <v>2358</v>
      </c>
      <c r="I87" s="6" t="n">
        <v>70</v>
      </c>
      <c r="J87" s="6" t="n">
        <v>1458</v>
      </c>
      <c r="K87" s="6" t="n">
        <v>72</v>
      </c>
      <c r="L87" s="6" t="n">
        <v>136738</v>
      </c>
      <c r="M87" s="6" t="n">
        <v>23607</v>
      </c>
    </row>
    <row r="88" customFormat="false" ht="15.75" hidden="false" customHeight="false" outlineLevel="0" collapsed="false">
      <c r="A88" s="0" t="s">
        <v>45</v>
      </c>
      <c r="B88" s="1" t="n">
        <v>43948</v>
      </c>
      <c r="C88" s="6" t="n">
        <v>8575</v>
      </c>
      <c r="D88" s="6" t="n">
        <v>130</v>
      </c>
      <c r="E88" s="6" t="n">
        <v>422</v>
      </c>
      <c r="F88" s="6" t="n">
        <v>4</v>
      </c>
      <c r="G88" s="6" t="n">
        <v>5805</v>
      </c>
      <c r="H88" s="6" t="n">
        <v>2348</v>
      </c>
      <c r="I88" s="6" t="n">
        <v>70</v>
      </c>
      <c r="J88" s="6" t="n">
        <v>1480</v>
      </c>
      <c r="K88" s="6" t="n">
        <v>73</v>
      </c>
      <c r="L88" s="6" t="n">
        <v>146915</v>
      </c>
      <c r="M88" s="6" t="n">
        <v>25364</v>
      </c>
    </row>
    <row r="89" customFormat="false" ht="13.5" hidden="false" customHeight="false" outlineLevel="0" collapsed="false">
      <c r="A89" s="0" t="s">
        <v>45</v>
      </c>
      <c r="B89" s="1" t="n">
        <v>43949</v>
      </c>
      <c r="C89" s="2" t="n">
        <v>8698</v>
      </c>
      <c r="D89" s="2" t="n">
        <v>123</v>
      </c>
      <c r="E89" s="2" t="n">
        <v>427</v>
      </c>
      <c r="F89" s="2" t="n">
        <v>5</v>
      </c>
      <c r="G89" s="2" t="n">
        <v>5959</v>
      </c>
      <c r="H89" s="2" t="n">
        <v>2312</v>
      </c>
      <c r="I89" s="2" t="n">
        <v>72</v>
      </c>
      <c r="J89" s="2" t="n">
        <v>1502</v>
      </c>
      <c r="K89" s="2" t="n">
        <v>74</v>
      </c>
      <c r="L89" s="2" t="n">
        <v>155810</v>
      </c>
      <c r="M89" s="2" t="n">
        <v>26900</v>
      </c>
    </row>
    <row r="90" customFormat="false" ht="13.5" hidden="false" customHeight="false" outlineLevel="0" collapsed="false">
      <c r="A90" s="0" t="s">
        <v>45</v>
      </c>
      <c r="B90" s="1" t="n">
        <v>43950</v>
      </c>
      <c r="C90" s="2" t="n">
        <v>8851</v>
      </c>
      <c r="D90" s="2" t="n">
        <v>153</v>
      </c>
      <c r="E90" s="2" t="n">
        <v>434</v>
      </c>
      <c r="F90" s="2" t="n">
        <v>7</v>
      </c>
      <c r="G90" s="2" t="n">
        <v>6121</v>
      </c>
      <c r="H90" s="2" t="n">
        <v>2296</v>
      </c>
      <c r="I90" s="2" t="n">
        <v>66</v>
      </c>
      <c r="J90" s="2" t="n">
        <v>1528</v>
      </c>
      <c r="K90" s="2" t="n">
        <v>75</v>
      </c>
      <c r="L90" s="2" t="n">
        <v>166846</v>
      </c>
      <c r="M90" s="2" t="n">
        <v>28805</v>
      </c>
    </row>
    <row r="91" customFormat="false" ht="13.5" hidden="false" customHeight="false" outlineLevel="0" collapsed="false">
      <c r="A91" s="0" t="s">
        <v>45</v>
      </c>
      <c r="B91" s="1" t="n">
        <v>43951</v>
      </c>
      <c r="C91" s="2" t="n">
        <v>9008</v>
      </c>
      <c r="D91" s="2" t="n">
        <v>157</v>
      </c>
      <c r="E91" s="2" t="n">
        <v>443</v>
      </c>
      <c r="F91" s="2" t="n">
        <v>9</v>
      </c>
      <c r="G91" s="2" t="n">
        <v>6366</v>
      </c>
      <c r="H91" s="2" t="n">
        <v>2199</v>
      </c>
      <c r="I91" s="2" t="n">
        <v>66</v>
      </c>
      <c r="J91" s="2" t="n">
        <v>1555</v>
      </c>
      <c r="K91" s="2" t="n">
        <v>76</v>
      </c>
      <c r="L91" s="2" t="n">
        <v>180062</v>
      </c>
      <c r="M91" s="2" t="n">
        <v>31087</v>
      </c>
    </row>
    <row r="92" customFormat="false" ht="14.25" hidden="false" customHeight="false" outlineLevel="0" collapsed="false">
      <c r="A92" s="0" t="s">
        <v>45</v>
      </c>
      <c r="B92" s="1" t="n">
        <v>43952</v>
      </c>
      <c r="C92" s="2" t="n">
        <v>9158</v>
      </c>
      <c r="D92" s="2" t="n">
        <v>150</v>
      </c>
      <c r="E92" s="2" t="n">
        <v>452</v>
      </c>
      <c r="F92" s="2" t="n">
        <v>9</v>
      </c>
      <c r="G92" s="2" t="n">
        <v>6546</v>
      </c>
      <c r="H92" s="2" t="n">
        <v>2160</v>
      </c>
      <c r="I92" s="2" t="n">
        <v>62</v>
      </c>
      <c r="J92" s="2" t="n">
        <v>1581</v>
      </c>
      <c r="K92" s="2" t="n">
        <v>78</v>
      </c>
      <c r="L92" s="2" t="n">
        <v>193165</v>
      </c>
      <c r="M92" s="2" t="n">
        <v>33349</v>
      </c>
    </row>
    <row r="93" customFormat="false" ht="15.75" hidden="false" customHeight="false" outlineLevel="0" collapsed="false">
      <c r="A93" s="0" t="s">
        <v>45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45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45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45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45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E97-E96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45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E98-E97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45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E99-E98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45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E100-E99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45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E101-E100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45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n">
        <v>527</v>
      </c>
      <c r="F102" s="6" t="e">
        <f aca="false">E102-E101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45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n">
        <v>527</v>
      </c>
      <c r="F103" s="6" t="n">
        <f aca="false">E103-E102</f>
        <v>0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45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E104-E103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45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E105-E104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45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45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45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45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45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45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45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45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45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45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45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45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45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45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45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45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45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45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45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45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45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45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45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45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45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45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45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45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45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45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45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45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45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45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45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45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45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45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45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45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45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45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45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45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45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45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45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45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45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45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45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45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45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45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45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45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45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45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45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45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45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45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45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45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45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45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45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45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45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45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45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45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45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45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45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45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45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45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45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45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45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45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1" colorId="64" zoomScale="100" zoomScaleNormal="100" zoomScalePageLayoutView="100" workbookViewId="0">
      <selection pane="topLeft" activeCell="A2" activeCellId="0" sqref="A2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4.25" hidden="false" customHeight="false" outlineLevel="0" collapsed="false">
      <c r="A2" s="0" t="s">
        <v>46</v>
      </c>
      <c r="B2" s="1" t="n">
        <v>43862</v>
      </c>
    </row>
    <row r="3" customFormat="false" ht="15.75" hidden="false" customHeight="false" outlineLevel="0" collapsed="false">
      <c r="A3" s="0" t="s">
        <v>46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46</v>
      </c>
      <c r="B37" s="1" t="n">
        <v>43897</v>
      </c>
      <c r="C37" s="6" t="n">
        <v>19</v>
      </c>
      <c r="D37" s="6" t="n">
        <v>7</v>
      </c>
      <c r="E37" s="6"/>
      <c r="F37" s="6"/>
      <c r="G37" s="6"/>
      <c r="H37" s="6" t="n">
        <v>19</v>
      </c>
      <c r="I37" s="6"/>
      <c r="J37" s="6"/>
      <c r="K37" s="6"/>
      <c r="L37" s="6"/>
      <c r="M37" s="6"/>
    </row>
    <row r="38" customFormat="false" ht="15.75" hidden="false" customHeight="false" outlineLevel="0" collapsed="false">
      <c r="A38" s="0" t="s">
        <v>46</v>
      </c>
      <c r="B38" s="1" t="n">
        <v>43898</v>
      </c>
      <c r="C38" s="8" t="n">
        <v>26</v>
      </c>
      <c r="D38" s="8" t="n">
        <v>7</v>
      </c>
      <c r="E38" s="8"/>
      <c r="F38" s="8"/>
      <c r="G38" s="8"/>
      <c r="H38" s="8" t="n">
        <v>26</v>
      </c>
      <c r="I38" s="8"/>
      <c r="J38" s="8" t="n">
        <v>2.4</v>
      </c>
      <c r="K38" s="8"/>
      <c r="L38" s="8"/>
      <c r="M38" s="8"/>
    </row>
    <row r="39" customFormat="false" ht="15.75" hidden="false" customHeight="false" outlineLevel="0" collapsed="false">
      <c r="A39" s="0" t="s">
        <v>46</v>
      </c>
      <c r="B39" s="1" t="n">
        <v>43899</v>
      </c>
      <c r="C39" s="6" t="n">
        <v>32</v>
      </c>
      <c r="D39" s="6" t="n">
        <v>6</v>
      </c>
      <c r="E39" s="6"/>
      <c r="F39" s="6"/>
      <c r="G39" s="6"/>
      <c r="H39" s="6" t="n">
        <v>32</v>
      </c>
      <c r="I39" s="6"/>
      <c r="J39" s="6" t="n">
        <v>3</v>
      </c>
      <c r="K39" s="6"/>
      <c r="L39" s="6"/>
      <c r="M39" s="6"/>
    </row>
    <row r="40" customFormat="false" ht="15.75" hidden="false" customHeight="false" outlineLevel="0" collapsed="false">
      <c r="A40" s="0" t="s">
        <v>46</v>
      </c>
      <c r="B40" s="1" t="n">
        <v>43900</v>
      </c>
      <c r="C40" s="6" t="n">
        <v>38</v>
      </c>
      <c r="D40" s="6" t="n">
        <v>6</v>
      </c>
      <c r="E40" s="6"/>
      <c r="F40" s="6"/>
      <c r="G40" s="6"/>
      <c r="H40" s="6" t="n">
        <v>38</v>
      </c>
      <c r="I40" s="6"/>
      <c r="J40" s="6" t="n">
        <v>3.5</v>
      </c>
      <c r="K40" s="6"/>
      <c r="L40" s="6"/>
      <c r="M40" s="6"/>
    </row>
    <row r="41" customFormat="false" ht="15.75" hidden="false" customHeight="false" outlineLevel="0" collapsed="false">
      <c r="A41" s="0" t="s">
        <v>46</v>
      </c>
      <c r="B41" s="1" t="n">
        <v>43901</v>
      </c>
      <c r="C41" s="6" t="n">
        <v>63</v>
      </c>
      <c r="D41" s="6" t="n">
        <v>25</v>
      </c>
      <c r="E41" s="6"/>
      <c r="F41" s="6"/>
      <c r="G41" s="6"/>
      <c r="H41" s="6" t="n">
        <v>63</v>
      </c>
      <c r="I41" s="6"/>
      <c r="J41" s="6" t="n">
        <v>5.9</v>
      </c>
      <c r="K41" s="6"/>
      <c r="L41" s="6"/>
      <c r="M41" s="6"/>
    </row>
    <row r="42" customFormat="false" ht="15.75" hidden="false" customHeight="false" outlineLevel="0" collapsed="false">
      <c r="A42" s="0" t="s">
        <v>46</v>
      </c>
      <c r="B42" s="1" t="n">
        <v>43902</v>
      </c>
      <c r="C42" s="6" t="n">
        <v>94</v>
      </c>
      <c r="D42" s="6" t="n">
        <v>31</v>
      </c>
      <c r="E42" s="6"/>
      <c r="F42" s="6"/>
      <c r="G42" s="6"/>
      <c r="H42" s="6" t="n">
        <v>94</v>
      </c>
      <c r="I42" s="6"/>
      <c r="J42" s="6" t="n">
        <v>8.8</v>
      </c>
      <c r="K42" s="6"/>
      <c r="L42" s="6"/>
      <c r="M42" s="6"/>
    </row>
    <row r="43" customFormat="false" ht="15.75" hidden="false" customHeight="false" outlineLevel="0" collapsed="false">
      <c r="A43" s="0" t="s">
        <v>46</v>
      </c>
      <c r="B43" s="1" t="n">
        <v>43903</v>
      </c>
      <c r="C43" s="6" t="n">
        <v>113</v>
      </c>
      <c r="D43" s="6" t="n">
        <v>19</v>
      </c>
      <c r="E43" s="6"/>
      <c r="F43" s="6"/>
      <c r="G43" s="6"/>
      <c r="H43" s="6" t="n">
        <v>113</v>
      </c>
      <c r="I43" s="6"/>
      <c r="J43" s="6" t="n">
        <v>10.6</v>
      </c>
      <c r="K43" s="6"/>
      <c r="L43" s="6"/>
      <c r="M43" s="6"/>
    </row>
    <row r="44" customFormat="false" ht="15.75" hidden="false" customHeight="false" outlineLevel="0" collapsed="false">
      <c r="A44" s="0" t="s">
        <v>46</v>
      </c>
      <c r="B44" s="1" t="n">
        <v>43904</v>
      </c>
      <c r="C44" s="6" t="n">
        <v>141</v>
      </c>
      <c r="D44" s="6" t="n">
        <v>28</v>
      </c>
      <c r="E44" s="6"/>
      <c r="F44" s="6"/>
      <c r="G44" s="6"/>
      <c r="H44" s="6" t="n">
        <v>141</v>
      </c>
      <c r="I44" s="6" t="n">
        <v>2</v>
      </c>
      <c r="J44" s="6" t="n">
        <v>13.2</v>
      </c>
      <c r="K44" s="6"/>
      <c r="L44" s="6"/>
      <c r="M44" s="6"/>
    </row>
    <row r="45" customFormat="false" ht="15.75" hidden="false" customHeight="false" outlineLevel="0" collapsed="false">
      <c r="A45" s="0" t="s">
        <v>46</v>
      </c>
      <c r="B45" s="1" t="n">
        <v>43905</v>
      </c>
      <c r="C45" s="6" t="n">
        <v>189</v>
      </c>
      <c r="D45" s="6" t="n">
        <v>48</v>
      </c>
      <c r="E45" s="6"/>
      <c r="F45" s="6"/>
      <c r="G45" s="6"/>
      <c r="H45" s="6" t="n">
        <v>189</v>
      </c>
      <c r="I45" s="6" t="n">
        <v>2</v>
      </c>
      <c r="J45" s="6" t="n">
        <v>17.6</v>
      </c>
      <c r="K45" s="6"/>
      <c r="L45" s="6"/>
      <c r="M45" s="6"/>
    </row>
    <row r="46" customFormat="false" ht="15.75" hidden="false" customHeight="false" outlineLevel="0" collapsed="false">
      <c r="A46" s="0" t="s">
        <v>46</v>
      </c>
      <c r="B46" s="1" t="n">
        <v>43906</v>
      </c>
      <c r="C46" s="6" t="n">
        <v>293</v>
      </c>
      <c r="D46" s="6" t="n">
        <v>104</v>
      </c>
      <c r="E46" s="6"/>
      <c r="F46" s="6"/>
      <c r="G46" s="6"/>
      <c r="H46" s="6" t="n">
        <v>293</v>
      </c>
      <c r="I46" s="6" t="n">
        <v>2</v>
      </c>
      <c r="J46" s="6" t="n">
        <v>27.4</v>
      </c>
      <c r="K46" s="6"/>
      <c r="L46" s="6"/>
      <c r="M46" s="6"/>
    </row>
    <row r="47" customFormat="false" ht="15.75" hidden="false" customHeight="false" outlineLevel="0" collapsed="false">
      <c r="A47" s="0" t="s">
        <v>46</v>
      </c>
      <c r="B47" s="1" t="n">
        <v>43907</v>
      </c>
      <c r="C47" s="6" t="n">
        <v>344</v>
      </c>
      <c r="D47" s="6" t="n">
        <v>51</v>
      </c>
      <c r="E47" s="6"/>
      <c r="F47" s="6"/>
      <c r="G47" s="6" t="n">
        <v>3</v>
      </c>
      <c r="H47" s="6" t="n">
        <v>341</v>
      </c>
      <c r="I47" s="6" t="n">
        <v>2</v>
      </c>
      <c r="J47" s="6" t="n">
        <v>32.1</v>
      </c>
      <c r="K47" s="6"/>
      <c r="L47" s="6"/>
      <c r="M47" s="6"/>
    </row>
    <row r="48" customFormat="false" ht="15.75" hidden="false" customHeight="false" outlineLevel="0" collapsed="false">
      <c r="A48" s="0" t="s">
        <v>46</v>
      </c>
      <c r="B48" s="1" t="n">
        <v>43908</v>
      </c>
      <c r="C48" s="6" t="n">
        <v>434</v>
      </c>
      <c r="D48" s="6" t="n">
        <v>90</v>
      </c>
      <c r="E48" s="6"/>
      <c r="F48" s="6"/>
      <c r="G48" s="6" t="n">
        <v>3</v>
      </c>
      <c r="H48" s="6" t="n">
        <v>431</v>
      </c>
      <c r="I48" s="6" t="n">
        <v>2</v>
      </c>
      <c r="J48" s="6" t="n">
        <v>40.5</v>
      </c>
      <c r="K48" s="6"/>
      <c r="L48" s="6"/>
      <c r="M48" s="6"/>
    </row>
    <row r="49" customFormat="false" ht="15.75" hidden="false" customHeight="false" outlineLevel="0" collapsed="false">
      <c r="A49" s="0" t="s">
        <v>46</v>
      </c>
      <c r="B49" s="1" t="n">
        <v>43909</v>
      </c>
      <c r="C49" s="6" t="n">
        <v>522</v>
      </c>
      <c r="D49" s="6" t="n">
        <v>88</v>
      </c>
      <c r="E49" s="6"/>
      <c r="F49" s="6"/>
      <c r="G49" s="6" t="n">
        <v>3</v>
      </c>
      <c r="H49" s="6" t="n">
        <v>519</v>
      </c>
      <c r="I49" s="6" t="n">
        <v>5</v>
      </c>
      <c r="J49" s="6" t="n">
        <v>49</v>
      </c>
      <c r="K49" s="6"/>
      <c r="L49" s="6"/>
      <c r="M49" s="6"/>
    </row>
    <row r="50" customFormat="false" ht="15.75" hidden="false" customHeight="false" outlineLevel="0" collapsed="false">
      <c r="A50" s="0" t="s">
        <v>46</v>
      </c>
      <c r="B50" s="1" t="n">
        <v>43910</v>
      </c>
      <c r="C50" s="6" t="n">
        <v>694</v>
      </c>
      <c r="D50" s="6" t="n">
        <v>172</v>
      </c>
      <c r="E50" s="6"/>
      <c r="F50" s="6"/>
      <c r="G50" s="6" t="n">
        <v>3</v>
      </c>
      <c r="H50" s="6" t="n">
        <v>691</v>
      </c>
      <c r="I50" s="6" t="n">
        <v>6</v>
      </c>
      <c r="J50" s="6" t="n">
        <v>65</v>
      </c>
      <c r="K50" s="6"/>
      <c r="L50" s="6"/>
      <c r="M50" s="6"/>
    </row>
    <row r="51" customFormat="false" ht="15.75" hidden="false" customHeight="false" outlineLevel="0" collapsed="false">
      <c r="A51" s="0" t="s">
        <v>46</v>
      </c>
      <c r="B51" s="1" t="n">
        <v>43911</v>
      </c>
      <c r="C51" s="6" t="n">
        <v>904</v>
      </c>
      <c r="D51" s="6" t="n">
        <v>210</v>
      </c>
      <c r="E51" s="6"/>
      <c r="F51" s="6"/>
      <c r="G51" s="6" t="n">
        <v>4</v>
      </c>
      <c r="H51" s="6" t="n">
        <v>900</v>
      </c>
      <c r="I51" s="6" t="n">
        <v>6</v>
      </c>
      <c r="J51" s="6" t="n">
        <v>84</v>
      </c>
      <c r="K51" s="6"/>
      <c r="L51" s="6"/>
      <c r="M51" s="6"/>
    </row>
    <row r="52" customFormat="false" ht="15.75" hidden="false" customHeight="false" outlineLevel="0" collapsed="false">
      <c r="A52" s="0" t="s">
        <v>46</v>
      </c>
      <c r="B52" s="1" t="n">
        <v>43912</v>
      </c>
      <c r="C52" s="6" t="n">
        <v>995</v>
      </c>
      <c r="D52" s="6" t="n">
        <v>91</v>
      </c>
      <c r="E52" s="6"/>
      <c r="F52" s="6"/>
      <c r="G52" s="6" t="n">
        <v>6</v>
      </c>
      <c r="H52" s="6" t="n">
        <v>989</v>
      </c>
      <c r="I52" s="6" t="n">
        <v>7</v>
      </c>
      <c r="J52" s="6" t="n">
        <v>93</v>
      </c>
      <c r="K52" s="6"/>
      <c r="L52" s="6"/>
      <c r="M52" s="6"/>
    </row>
    <row r="53" customFormat="false" ht="15.75" hidden="false" customHeight="false" outlineLevel="0" collapsed="false">
      <c r="A53" s="0" t="s">
        <v>46</v>
      </c>
      <c r="B53" s="1" t="n">
        <v>43913</v>
      </c>
      <c r="C53" s="6" t="n">
        <v>1120</v>
      </c>
      <c r="D53" s="6" t="n">
        <v>125</v>
      </c>
      <c r="E53" s="6" t="n">
        <v>1</v>
      </c>
      <c r="F53" s="6" t="n">
        <v>1</v>
      </c>
      <c r="G53" s="6" t="n">
        <v>6</v>
      </c>
      <c r="H53" s="6" t="n">
        <v>1113</v>
      </c>
      <c r="I53" s="6" t="n">
        <v>19</v>
      </c>
      <c r="J53" s="6" t="n">
        <v>105</v>
      </c>
      <c r="K53" s="6"/>
      <c r="L53" s="6"/>
      <c r="M53" s="6"/>
    </row>
    <row r="54" customFormat="false" ht="15.75" hidden="false" customHeight="false" outlineLevel="0" collapsed="false">
      <c r="A54" s="0" t="s">
        <v>46</v>
      </c>
      <c r="B54" s="1" t="n">
        <v>43914</v>
      </c>
      <c r="C54" s="6" t="n">
        <v>1236</v>
      </c>
      <c r="D54" s="6" t="n">
        <v>116</v>
      </c>
      <c r="E54" s="6" t="n">
        <v>1</v>
      </c>
      <c r="F54" s="6"/>
      <c r="G54" s="6" t="n">
        <v>7</v>
      </c>
      <c r="H54" s="6" t="n">
        <v>1228</v>
      </c>
      <c r="I54" s="6" t="n">
        <v>19</v>
      </c>
      <c r="J54" s="6" t="n">
        <v>115</v>
      </c>
      <c r="K54" s="6"/>
      <c r="L54" s="6"/>
      <c r="M54" s="6"/>
    </row>
    <row r="55" customFormat="false" ht="15.75" hidden="false" customHeight="false" outlineLevel="0" collapsed="false">
      <c r="A55" s="0" t="s">
        <v>46</v>
      </c>
      <c r="B55" s="1" t="n">
        <v>43915</v>
      </c>
      <c r="C55" s="6" t="n">
        <v>1394</v>
      </c>
      <c r="D55" s="6" t="n">
        <v>158</v>
      </c>
      <c r="E55" s="6" t="n">
        <v>3</v>
      </c>
      <c r="F55" s="6" t="n">
        <v>2</v>
      </c>
      <c r="G55" s="6" t="n">
        <v>10</v>
      </c>
      <c r="H55" s="6" t="n">
        <v>1381</v>
      </c>
      <c r="I55" s="6" t="n">
        <v>19</v>
      </c>
      <c r="J55" s="6" t="n">
        <v>130</v>
      </c>
      <c r="K55" s="9" t="n">
        <v>0.3</v>
      </c>
      <c r="L55" s="6"/>
      <c r="M55" s="6"/>
    </row>
    <row r="56" customFormat="false" ht="15.75" hidden="false" customHeight="false" outlineLevel="0" collapsed="false">
      <c r="A56" s="0" t="s">
        <v>46</v>
      </c>
      <c r="B56" s="1" t="n">
        <v>43916</v>
      </c>
      <c r="C56" s="7" t="n">
        <v>1654</v>
      </c>
      <c r="D56" s="7" t="n">
        <v>260</v>
      </c>
      <c r="E56" s="7" t="n">
        <v>6</v>
      </c>
      <c r="F56" s="7" t="n">
        <v>3</v>
      </c>
      <c r="G56" s="7" t="n">
        <v>10</v>
      </c>
      <c r="H56" s="7" t="n">
        <v>1638</v>
      </c>
      <c r="I56" s="7" t="n">
        <v>19</v>
      </c>
      <c r="J56" s="7" t="n">
        <v>154</v>
      </c>
      <c r="K56" s="9" t="n">
        <v>0.6</v>
      </c>
      <c r="L56" s="7"/>
      <c r="M56" s="7"/>
    </row>
    <row r="57" customFormat="false" ht="15.75" hidden="false" customHeight="false" outlineLevel="0" collapsed="false">
      <c r="A57" s="0" t="s">
        <v>46</v>
      </c>
      <c r="B57" s="1" t="n">
        <v>43917</v>
      </c>
      <c r="C57" s="7" t="n">
        <v>1925</v>
      </c>
      <c r="D57" s="7" t="n">
        <v>271</v>
      </c>
      <c r="E57" s="7" t="n">
        <v>9</v>
      </c>
      <c r="F57" s="7" t="n">
        <v>3</v>
      </c>
      <c r="G57" s="7" t="n">
        <v>10</v>
      </c>
      <c r="H57" s="7" t="n">
        <v>1906</v>
      </c>
      <c r="I57" s="7" t="n">
        <v>34</v>
      </c>
      <c r="J57" s="7" t="n">
        <v>180</v>
      </c>
      <c r="K57" s="9" t="n">
        <v>0.8</v>
      </c>
      <c r="L57" s="7"/>
      <c r="M57" s="7"/>
    </row>
    <row r="58" customFormat="false" ht="15.75" hidden="false" customHeight="false" outlineLevel="0" collapsed="false">
      <c r="A58" s="0" t="s">
        <v>46</v>
      </c>
      <c r="B58" s="1" t="n">
        <v>43918</v>
      </c>
      <c r="C58" s="7" t="n">
        <v>2279</v>
      </c>
      <c r="D58" s="7" t="n">
        <v>354</v>
      </c>
      <c r="E58" s="7" t="n">
        <v>9</v>
      </c>
      <c r="F58" s="7"/>
      <c r="G58" s="7" t="n">
        <v>11</v>
      </c>
      <c r="H58" s="7" t="n">
        <v>2259</v>
      </c>
      <c r="I58" s="7" t="n">
        <v>34</v>
      </c>
      <c r="J58" s="7" t="n">
        <v>213</v>
      </c>
      <c r="K58" s="9" t="n">
        <v>0.8</v>
      </c>
      <c r="L58" s="7"/>
      <c r="M58" s="7"/>
    </row>
    <row r="59" customFormat="false" ht="15.75" hidden="false" customHeight="false" outlineLevel="0" collapsed="false">
      <c r="A59" s="0" t="s">
        <v>46</v>
      </c>
      <c r="B59" s="1" t="n">
        <v>43919</v>
      </c>
      <c r="C59" s="7" t="n">
        <v>2541</v>
      </c>
      <c r="D59" s="7" t="n">
        <v>262</v>
      </c>
      <c r="E59" s="7" t="n">
        <v>11</v>
      </c>
      <c r="F59" s="7" t="n">
        <v>2</v>
      </c>
      <c r="G59" s="7" t="n">
        <v>11</v>
      </c>
      <c r="H59" s="7" t="n">
        <v>2519</v>
      </c>
      <c r="I59" s="7" t="n">
        <v>250</v>
      </c>
      <c r="J59" s="7" t="n">
        <v>237</v>
      </c>
      <c r="K59" s="7" t="n">
        <v>1</v>
      </c>
    </row>
    <row r="60" customFormat="false" ht="15.75" hidden="false" customHeight="false" outlineLevel="0" collapsed="false">
      <c r="A60" s="0" t="s">
        <v>46</v>
      </c>
      <c r="B60" s="1" t="n">
        <v>43920</v>
      </c>
      <c r="C60" s="7" t="n">
        <v>2775</v>
      </c>
      <c r="D60" s="7" t="n">
        <v>234</v>
      </c>
      <c r="E60" s="7" t="n">
        <v>16</v>
      </c>
      <c r="F60" s="7" t="n">
        <v>5</v>
      </c>
      <c r="G60" s="7" t="n">
        <v>11</v>
      </c>
      <c r="H60" s="7" t="n">
        <v>2748</v>
      </c>
      <c r="I60" s="7" t="n">
        <v>45</v>
      </c>
      <c r="J60" s="7" t="n">
        <v>259</v>
      </c>
      <c r="K60" s="7" t="n">
        <v>1</v>
      </c>
    </row>
    <row r="61" customFormat="false" ht="15.75" hidden="false" customHeight="false" outlineLevel="0" collapsed="false">
      <c r="A61" s="0" t="s">
        <v>46</v>
      </c>
      <c r="B61" s="1" t="n">
        <v>43921</v>
      </c>
      <c r="C61" s="7" t="n">
        <v>2976</v>
      </c>
      <c r="D61" s="7" t="n">
        <v>201</v>
      </c>
      <c r="E61" s="7" t="n">
        <v>23</v>
      </c>
      <c r="F61" s="7" t="n">
        <v>7</v>
      </c>
      <c r="G61" s="7" t="n">
        <v>25</v>
      </c>
      <c r="H61" s="7" t="n">
        <v>2928</v>
      </c>
      <c r="I61" s="7" t="n">
        <v>52</v>
      </c>
      <c r="J61" s="7" t="n">
        <v>278</v>
      </c>
      <c r="K61" s="7" t="n">
        <v>2</v>
      </c>
    </row>
    <row r="62" customFormat="false" ht="15.75" hidden="false" customHeight="false" outlineLevel="0" collapsed="false">
      <c r="A62" s="0" t="s">
        <v>46</v>
      </c>
      <c r="B62" s="1" t="n">
        <v>43922</v>
      </c>
      <c r="C62" s="7" t="n">
        <v>3257</v>
      </c>
      <c r="D62" s="7" t="n">
        <v>281</v>
      </c>
      <c r="E62" s="7" t="n">
        <v>31</v>
      </c>
      <c r="F62" s="7" t="n">
        <v>8</v>
      </c>
      <c r="G62" s="7" t="n">
        <v>45</v>
      </c>
      <c r="H62" s="7" t="n">
        <v>3181</v>
      </c>
      <c r="I62" s="7" t="n">
        <v>64</v>
      </c>
      <c r="J62" s="7" t="n">
        <v>304</v>
      </c>
      <c r="K62" s="7" t="n">
        <v>3</v>
      </c>
    </row>
    <row r="63" customFormat="false" ht="15.75" hidden="false" customHeight="false" outlineLevel="0" collapsed="false">
      <c r="A63" s="0" t="s">
        <v>46</v>
      </c>
      <c r="B63" s="1" t="n">
        <v>43923</v>
      </c>
      <c r="C63" s="7" t="n">
        <v>3508</v>
      </c>
      <c r="D63" s="7" t="n">
        <v>251</v>
      </c>
      <c r="E63" s="7" t="n">
        <v>39</v>
      </c>
      <c r="F63" s="7" t="n">
        <v>8</v>
      </c>
      <c r="G63" s="7" t="n">
        <v>61</v>
      </c>
      <c r="H63" s="7" t="n">
        <v>3408</v>
      </c>
      <c r="I63" s="7" t="n">
        <v>70</v>
      </c>
      <c r="J63" s="7" t="n">
        <v>328</v>
      </c>
      <c r="K63" s="7" t="n">
        <v>4</v>
      </c>
    </row>
    <row r="64" customFormat="false" ht="15.75" hidden="false" customHeight="false" outlineLevel="0" collapsed="false">
      <c r="A64" s="0" t="s">
        <v>46</v>
      </c>
      <c r="B64" s="1" t="n">
        <v>43924</v>
      </c>
      <c r="C64" s="7" t="n">
        <v>3805</v>
      </c>
      <c r="D64" s="7" t="n">
        <v>297</v>
      </c>
      <c r="E64" s="7" t="n">
        <v>44</v>
      </c>
      <c r="F64" s="7" t="n">
        <v>5</v>
      </c>
      <c r="G64" s="7" t="n">
        <v>67</v>
      </c>
      <c r="H64" s="7" t="n">
        <v>3694</v>
      </c>
      <c r="I64" s="7" t="n">
        <v>72</v>
      </c>
      <c r="J64" s="7" t="n">
        <v>355</v>
      </c>
      <c r="K64" s="7" t="n">
        <v>4</v>
      </c>
    </row>
    <row r="65" customFormat="false" ht="15.75" hidden="false" customHeight="false" outlineLevel="0" collapsed="false">
      <c r="A65" s="0" t="s">
        <v>46</v>
      </c>
      <c r="B65" s="1" t="n">
        <v>43925</v>
      </c>
      <c r="C65" s="7" t="n">
        <v>4091</v>
      </c>
      <c r="D65" s="7" t="n">
        <v>286</v>
      </c>
      <c r="E65" s="7" t="n">
        <v>53</v>
      </c>
      <c r="F65" s="7" t="n">
        <v>9</v>
      </c>
      <c r="G65" s="7" t="n">
        <v>72</v>
      </c>
      <c r="H65" s="7" t="n">
        <v>3966</v>
      </c>
      <c r="I65" s="7" t="n">
        <v>77</v>
      </c>
      <c r="J65" s="7" t="n">
        <v>382</v>
      </c>
      <c r="K65" s="7" t="n">
        <v>5</v>
      </c>
    </row>
    <row r="66" customFormat="false" ht="15.75" hidden="false" customHeight="false" outlineLevel="0" collapsed="false">
      <c r="A66" s="0" t="s">
        <v>46</v>
      </c>
      <c r="B66" s="1" t="n">
        <v>43926</v>
      </c>
      <c r="C66" s="7" t="n">
        <v>4362</v>
      </c>
      <c r="D66" s="7" t="n">
        <v>271</v>
      </c>
      <c r="E66" s="7" t="n">
        <v>59</v>
      </c>
      <c r="F66" s="7" t="n">
        <v>6</v>
      </c>
      <c r="G66" s="7" t="n">
        <v>78</v>
      </c>
      <c r="H66" s="7" t="n">
        <v>4225</v>
      </c>
      <c r="I66" s="7" t="n">
        <v>87</v>
      </c>
      <c r="J66" s="7" t="n">
        <v>407</v>
      </c>
      <c r="K66" s="7" t="n">
        <v>6</v>
      </c>
      <c r="L66" s="7" t="n">
        <v>74170</v>
      </c>
      <c r="M66" s="7" t="n">
        <v>6926</v>
      </c>
    </row>
    <row r="67" customFormat="false" ht="15.75" hidden="false" customHeight="false" outlineLevel="0" collapsed="false">
      <c r="A67" s="0" t="s">
        <v>46</v>
      </c>
      <c r="B67" s="1" t="n">
        <v>43927</v>
      </c>
      <c r="C67" s="7" t="n">
        <v>4543</v>
      </c>
      <c r="D67" s="7" t="n">
        <v>181</v>
      </c>
      <c r="E67" s="7" t="n">
        <v>67</v>
      </c>
      <c r="F67" s="7" t="n">
        <v>8</v>
      </c>
      <c r="G67" s="7" t="n">
        <v>96</v>
      </c>
      <c r="H67" s="7" t="n">
        <v>4380</v>
      </c>
      <c r="I67" s="7" t="n">
        <v>86</v>
      </c>
      <c r="J67" s="7" t="n">
        <v>424</v>
      </c>
      <c r="K67" s="7" t="n">
        <v>6</v>
      </c>
      <c r="L67" s="7" t="n">
        <v>80304</v>
      </c>
      <c r="M67" s="7" t="n">
        <v>7499</v>
      </c>
    </row>
    <row r="68" customFormat="false" ht="15.75" hidden="false" customHeight="false" outlineLevel="0" collapsed="false">
      <c r="A68" s="0" t="s">
        <v>46</v>
      </c>
      <c r="B68" s="1" t="n">
        <v>43928</v>
      </c>
      <c r="C68" s="7" t="n">
        <v>4735</v>
      </c>
      <c r="D68" s="7" t="n">
        <v>192</v>
      </c>
      <c r="E68" s="7" t="n">
        <v>78</v>
      </c>
      <c r="F68" s="7" t="n">
        <v>11</v>
      </c>
      <c r="G68" s="7" t="n">
        <v>121</v>
      </c>
      <c r="H68" s="7" t="n">
        <v>4536</v>
      </c>
      <c r="I68" s="7" t="n">
        <v>84</v>
      </c>
      <c r="J68" s="7" t="n">
        <v>442</v>
      </c>
      <c r="K68" s="7" t="n">
        <v>7</v>
      </c>
      <c r="L68" s="7" t="n">
        <v>85014</v>
      </c>
      <c r="M68" s="7" t="n">
        <v>7939</v>
      </c>
    </row>
    <row r="69" customFormat="false" ht="15.75" hidden="false" customHeight="false" outlineLevel="0" collapsed="false">
      <c r="A69" s="0" t="s">
        <v>46</v>
      </c>
      <c r="B69" s="1" t="n">
        <v>43929</v>
      </c>
      <c r="C69" s="12" t="n">
        <v>4944</v>
      </c>
      <c r="D69" s="12" t="n">
        <v>209</v>
      </c>
      <c r="E69" s="12" t="n">
        <v>88</v>
      </c>
      <c r="F69" s="12" t="n">
        <v>10</v>
      </c>
      <c r="G69" s="12" t="n">
        <v>172</v>
      </c>
      <c r="H69" s="12" t="n">
        <v>4684</v>
      </c>
      <c r="I69" s="12" t="n">
        <v>86</v>
      </c>
      <c r="J69" s="12" t="n">
        <v>462</v>
      </c>
      <c r="K69" s="12" t="n">
        <v>8</v>
      </c>
      <c r="L69" s="12" t="n">
        <v>91247</v>
      </c>
      <c r="M69" s="12" t="n">
        <v>8521</v>
      </c>
    </row>
    <row r="70" customFormat="false" ht="15.75" hidden="false" customHeight="false" outlineLevel="0" collapsed="false">
      <c r="A70" s="0" t="s">
        <v>46</v>
      </c>
      <c r="B70" s="1" t="n">
        <v>43930</v>
      </c>
      <c r="C70" s="14" t="n">
        <v>5221</v>
      </c>
      <c r="D70" s="14" t="n">
        <v>277</v>
      </c>
      <c r="E70" s="14" t="n">
        <v>99</v>
      </c>
      <c r="F70" s="14" t="n">
        <v>11</v>
      </c>
      <c r="G70" s="14" t="n">
        <v>233</v>
      </c>
      <c r="H70" s="14" t="n">
        <v>4889</v>
      </c>
      <c r="I70" s="14" t="n">
        <v>103</v>
      </c>
      <c r="J70" s="14" t="n">
        <v>488</v>
      </c>
      <c r="K70" s="14" t="n">
        <v>9</v>
      </c>
      <c r="L70" s="14" t="n">
        <v>98681</v>
      </c>
      <c r="M70" s="14" t="n">
        <v>9215</v>
      </c>
    </row>
    <row r="71" customFormat="false" ht="15.75" hidden="false" customHeight="false" outlineLevel="0" collapsed="false">
      <c r="A71" s="0" t="s">
        <v>46</v>
      </c>
      <c r="B71" s="1" t="n">
        <v>43931</v>
      </c>
      <c r="C71" s="14" t="n">
        <v>5467</v>
      </c>
      <c r="D71" s="14" t="n">
        <v>246</v>
      </c>
      <c r="E71" s="14" t="n">
        <v>112</v>
      </c>
      <c r="F71" s="14" t="n">
        <v>13</v>
      </c>
      <c r="G71" s="14" t="n">
        <v>301</v>
      </c>
      <c r="H71" s="14" t="n">
        <v>5054</v>
      </c>
      <c r="I71" s="14" t="n">
        <v>96</v>
      </c>
      <c r="J71" s="14" t="n">
        <v>511</v>
      </c>
      <c r="K71" s="14" t="n">
        <v>10</v>
      </c>
      <c r="L71" s="14" t="n">
        <v>106845</v>
      </c>
      <c r="M71" s="14" t="n">
        <v>9977</v>
      </c>
    </row>
    <row r="72" customFormat="false" ht="15.75" hidden="false" customHeight="false" outlineLevel="0" collapsed="false">
      <c r="A72" s="0" t="s">
        <v>46</v>
      </c>
      <c r="B72" s="1" t="n">
        <v>43932</v>
      </c>
      <c r="C72" s="14" t="n">
        <v>5674</v>
      </c>
      <c r="D72" s="14" t="n">
        <v>207</v>
      </c>
      <c r="E72" s="14" t="n">
        <v>119</v>
      </c>
      <c r="F72" s="14" t="n">
        <v>7</v>
      </c>
      <c r="G72" s="14" t="n">
        <v>346</v>
      </c>
      <c r="H72" s="14" t="n">
        <v>5209</v>
      </c>
      <c r="I72" s="14" t="n">
        <v>98</v>
      </c>
      <c r="J72" s="14" t="n">
        <v>530</v>
      </c>
      <c r="K72" s="14" t="n">
        <v>11</v>
      </c>
      <c r="L72" s="14" t="n">
        <v>114854</v>
      </c>
      <c r="M72" s="14" t="n">
        <v>10725</v>
      </c>
    </row>
    <row r="73" customFormat="false" ht="15.75" hidden="false" customHeight="false" outlineLevel="0" collapsed="false">
      <c r="A73" s="0" t="s">
        <v>46</v>
      </c>
      <c r="B73" s="1" t="n">
        <v>43933</v>
      </c>
      <c r="C73" s="14" t="n">
        <v>5831</v>
      </c>
      <c r="D73" s="14" t="n">
        <v>157</v>
      </c>
      <c r="E73" s="14" t="n">
        <v>129</v>
      </c>
      <c r="F73" s="14" t="n">
        <v>10</v>
      </c>
      <c r="G73" s="14" t="n">
        <v>411</v>
      </c>
      <c r="H73" s="14" t="n">
        <v>5291</v>
      </c>
      <c r="I73" s="14" t="n">
        <v>92</v>
      </c>
      <c r="J73" s="14" t="n">
        <v>544</v>
      </c>
      <c r="K73" s="14" t="n">
        <v>12</v>
      </c>
      <c r="L73" s="14" t="n">
        <v>120285</v>
      </c>
      <c r="M73" s="14" t="n">
        <v>11232</v>
      </c>
    </row>
    <row r="74" customFormat="false" ht="15.75" hidden="false" customHeight="false" outlineLevel="0" collapsed="false">
      <c r="A74" s="0" t="s">
        <v>46</v>
      </c>
      <c r="B74" s="1" t="n">
        <v>43934</v>
      </c>
      <c r="C74" s="14" t="n">
        <v>5952</v>
      </c>
      <c r="D74" s="14" t="n">
        <v>121</v>
      </c>
      <c r="E74" s="14" t="n">
        <v>138</v>
      </c>
      <c r="F74" s="14" t="n">
        <v>9</v>
      </c>
      <c r="G74" s="14" t="n">
        <v>464</v>
      </c>
      <c r="H74" s="14" t="n">
        <v>5350</v>
      </c>
      <c r="I74" s="14" t="n">
        <v>87</v>
      </c>
      <c r="J74" s="14" t="n">
        <v>556</v>
      </c>
      <c r="K74" s="14" t="n">
        <v>13</v>
      </c>
      <c r="L74" s="14" t="n">
        <v>125126</v>
      </c>
      <c r="M74" s="14" t="n">
        <v>11684</v>
      </c>
    </row>
    <row r="75" customFormat="false" ht="15.75" hidden="false" customHeight="false" outlineLevel="0" collapsed="false">
      <c r="A75" s="0" t="s">
        <v>46</v>
      </c>
      <c r="B75" s="1" t="n">
        <v>43935</v>
      </c>
      <c r="C75" s="14" t="n">
        <v>6022</v>
      </c>
      <c r="D75" s="14" t="n">
        <v>70</v>
      </c>
      <c r="E75" s="14" t="n">
        <v>143</v>
      </c>
      <c r="F75" s="14" t="n">
        <v>5</v>
      </c>
      <c r="G75" s="14" t="n">
        <v>519</v>
      </c>
      <c r="H75" s="14" t="n">
        <v>5360</v>
      </c>
      <c r="I75" s="14" t="n">
        <v>87</v>
      </c>
      <c r="J75" s="14" t="n">
        <v>562</v>
      </c>
      <c r="K75" s="14" t="n">
        <v>13</v>
      </c>
      <c r="L75" s="14" t="n">
        <v>128359</v>
      </c>
      <c r="M75" s="14" t="n">
        <v>11986</v>
      </c>
    </row>
    <row r="76" customFormat="false" ht="15.75" hidden="false" customHeight="false" outlineLevel="0" collapsed="false">
      <c r="A76" s="0" t="s">
        <v>46</v>
      </c>
      <c r="B76" s="1" t="n">
        <v>43936</v>
      </c>
      <c r="C76" s="14" t="n">
        <v>6111</v>
      </c>
      <c r="D76" s="14" t="n">
        <v>89</v>
      </c>
      <c r="E76" s="14" t="n">
        <v>161</v>
      </c>
      <c r="F76" s="14" t="n">
        <v>18</v>
      </c>
      <c r="G76" s="14" t="n">
        <v>642</v>
      </c>
      <c r="H76" s="14" t="n">
        <v>5308</v>
      </c>
      <c r="I76" s="14" t="n">
        <v>92</v>
      </c>
      <c r="J76" s="14" t="n">
        <v>571</v>
      </c>
      <c r="K76" s="14" t="n">
        <v>15</v>
      </c>
      <c r="L76" s="14" t="n">
        <v>131542</v>
      </c>
      <c r="M76" s="14" t="n">
        <v>12283</v>
      </c>
    </row>
    <row r="77" customFormat="false" ht="15.75" hidden="false" customHeight="false" outlineLevel="0" collapsed="false">
      <c r="A77" s="0" t="s">
        <v>46</v>
      </c>
      <c r="B77" s="1" t="n">
        <v>43937</v>
      </c>
      <c r="C77" s="14" t="n">
        <v>6216</v>
      </c>
      <c r="D77" s="14" t="n">
        <v>105</v>
      </c>
      <c r="E77" s="14" t="n">
        <v>166</v>
      </c>
      <c r="F77" s="14" t="n">
        <v>5</v>
      </c>
      <c r="G77" s="14" t="n">
        <v>819</v>
      </c>
      <c r="H77" s="14" t="n">
        <v>5231</v>
      </c>
      <c r="I77" s="14" t="n">
        <v>84</v>
      </c>
      <c r="J77" s="14" t="n">
        <v>580</v>
      </c>
      <c r="K77" s="14" t="n">
        <v>16</v>
      </c>
      <c r="L77" s="14" t="n">
        <v>137672</v>
      </c>
      <c r="M77" s="14" t="n">
        <v>12856</v>
      </c>
    </row>
    <row r="78" customFormat="false" ht="15.75" hidden="false" customHeight="false" outlineLevel="0" collapsed="false">
      <c r="A78" s="0" t="s">
        <v>46</v>
      </c>
      <c r="B78" s="1" t="n">
        <v>43938</v>
      </c>
      <c r="C78" s="14" t="n">
        <v>6433</v>
      </c>
      <c r="D78" s="14" t="n">
        <v>217</v>
      </c>
      <c r="E78" s="14" t="n">
        <v>169</v>
      </c>
      <c r="F78" s="14" t="n">
        <v>3</v>
      </c>
      <c r="G78" s="14" t="n">
        <v>972</v>
      </c>
      <c r="H78" s="14" t="n">
        <v>5292</v>
      </c>
      <c r="I78" s="14" t="n">
        <v>75</v>
      </c>
      <c r="J78" s="14" t="n">
        <v>601</v>
      </c>
      <c r="K78" s="14" t="n">
        <v>16</v>
      </c>
      <c r="L78" s="14" t="n">
        <v>146004</v>
      </c>
      <c r="M78" s="14" t="n">
        <v>13634</v>
      </c>
    </row>
    <row r="79" customFormat="false" ht="15.75" hidden="false" customHeight="false" outlineLevel="0" collapsed="false">
      <c r="A79" s="0" t="s">
        <v>46</v>
      </c>
      <c r="B79" s="1" t="n">
        <v>43939</v>
      </c>
      <c r="C79" s="14" t="n">
        <v>6499</v>
      </c>
      <c r="D79" s="14" t="n">
        <v>66</v>
      </c>
      <c r="E79" s="14" t="n">
        <v>173</v>
      </c>
      <c r="F79" s="14" t="n">
        <v>4</v>
      </c>
      <c r="G79" s="14" t="n">
        <v>1174</v>
      </c>
      <c r="H79" s="14" t="n">
        <v>5152</v>
      </c>
      <c r="I79" s="14" t="n">
        <v>82</v>
      </c>
      <c r="J79" s="14" t="n">
        <v>607</v>
      </c>
      <c r="K79" s="14" t="n">
        <v>16</v>
      </c>
      <c r="L79" s="14" t="n">
        <v>154307</v>
      </c>
      <c r="M79" s="14" t="n">
        <v>14409</v>
      </c>
    </row>
    <row r="80" customFormat="false" ht="15.75" hidden="false" customHeight="false" outlineLevel="0" collapsed="false">
      <c r="A80" s="0" t="s">
        <v>46</v>
      </c>
      <c r="B80" s="1" t="n">
        <v>43940</v>
      </c>
      <c r="C80" s="14" t="n">
        <v>6606</v>
      </c>
      <c r="D80" s="14" t="n">
        <v>107</v>
      </c>
      <c r="E80" s="14" t="n">
        <v>181</v>
      </c>
      <c r="F80" s="14" t="n">
        <v>8</v>
      </c>
      <c r="G80" s="14" t="n">
        <v>1227</v>
      </c>
      <c r="H80" s="14" t="n">
        <v>5198</v>
      </c>
      <c r="I80" s="14" t="n">
        <v>86</v>
      </c>
      <c r="J80" s="14" t="n">
        <v>617</v>
      </c>
      <c r="K80" s="14" t="n">
        <v>17</v>
      </c>
      <c r="L80" s="14" t="n">
        <v>162533</v>
      </c>
      <c r="M80" s="14" t="n">
        <v>15177</v>
      </c>
    </row>
    <row r="81" customFormat="false" ht="15.75" hidden="false" customHeight="false" outlineLevel="0" collapsed="false">
      <c r="A81" s="0" t="s">
        <v>46</v>
      </c>
      <c r="B81" s="1" t="n">
        <v>43941</v>
      </c>
      <c r="C81" s="14" t="n">
        <v>6701</v>
      </c>
      <c r="D81" s="14" t="n">
        <v>95</v>
      </c>
      <c r="E81" s="14" t="n">
        <v>186</v>
      </c>
      <c r="F81" s="14" t="n">
        <v>5</v>
      </c>
      <c r="G81" s="14" t="n">
        <v>1298</v>
      </c>
      <c r="H81" s="14" t="n">
        <v>5217</v>
      </c>
      <c r="I81" s="14" t="n">
        <v>84</v>
      </c>
      <c r="J81" s="14" t="n">
        <v>626</v>
      </c>
      <c r="K81" s="14" t="n">
        <v>17</v>
      </c>
      <c r="L81" s="14" t="n">
        <v>168096</v>
      </c>
      <c r="M81" s="14" t="n">
        <v>15697</v>
      </c>
    </row>
    <row r="82" customFormat="false" ht="15.75" hidden="false" customHeight="false" outlineLevel="0" collapsed="false">
      <c r="A82" s="0" t="s">
        <v>46</v>
      </c>
      <c r="B82" s="1" t="n">
        <v>43942</v>
      </c>
      <c r="C82" s="6" t="n">
        <v>6838</v>
      </c>
      <c r="D82" s="6" t="n">
        <v>137</v>
      </c>
      <c r="E82" s="6" t="n">
        <v>194</v>
      </c>
      <c r="F82" s="6" t="n">
        <v>8</v>
      </c>
      <c r="G82" s="6" t="n">
        <v>1559</v>
      </c>
      <c r="H82" s="6" t="n">
        <v>5085</v>
      </c>
      <c r="I82" s="6" t="n">
        <v>84</v>
      </c>
      <c r="J82" s="6" t="n">
        <v>639</v>
      </c>
      <c r="K82" s="6" t="n">
        <v>18</v>
      </c>
      <c r="L82" s="6" t="n">
        <v>172123</v>
      </c>
      <c r="M82" s="6" t="n">
        <v>16073</v>
      </c>
    </row>
    <row r="83" customFormat="false" ht="15.75" hidden="false" customHeight="false" outlineLevel="0" collapsed="false">
      <c r="A83" s="0" t="s">
        <v>46</v>
      </c>
      <c r="B83" s="1" t="n">
        <v>43943</v>
      </c>
      <c r="C83" s="6" t="n">
        <v>6961</v>
      </c>
      <c r="D83" s="6" t="n">
        <v>123</v>
      </c>
      <c r="E83" s="6" t="n">
        <v>201</v>
      </c>
      <c r="F83" s="6" t="n">
        <v>7</v>
      </c>
      <c r="G83" s="6" t="n">
        <v>1753</v>
      </c>
      <c r="H83" s="6" t="n">
        <v>5007</v>
      </c>
      <c r="I83" s="6" t="n">
        <v>75</v>
      </c>
      <c r="J83" s="6" t="n">
        <v>650</v>
      </c>
      <c r="K83" s="6" t="n">
        <v>19</v>
      </c>
      <c r="L83" s="6" t="n">
        <v>178617</v>
      </c>
      <c r="M83" s="6" t="n">
        <v>16679</v>
      </c>
    </row>
    <row r="84" customFormat="false" ht="15.75" hidden="false" customHeight="false" outlineLevel="0" collapsed="false">
      <c r="A84" s="0" t="s">
        <v>46</v>
      </c>
      <c r="B84" s="1" t="n">
        <v>43944</v>
      </c>
      <c r="C84" s="6" t="n">
        <v>7087</v>
      </c>
      <c r="D84" s="6" t="n">
        <v>126</v>
      </c>
      <c r="E84" s="6" t="n">
        <v>208</v>
      </c>
      <c r="F84" s="6" t="n">
        <v>7</v>
      </c>
      <c r="G84" s="6" t="n">
        <v>1989</v>
      </c>
      <c r="H84" s="6" t="n">
        <v>4890</v>
      </c>
      <c r="I84" s="6" t="n">
        <v>80</v>
      </c>
      <c r="J84" s="6" t="n">
        <v>662</v>
      </c>
      <c r="K84" s="6" t="n">
        <v>19</v>
      </c>
      <c r="L84" s="6" t="n">
        <v>186918</v>
      </c>
      <c r="M84" s="6" t="n">
        <v>17454</v>
      </c>
    </row>
    <row r="85" customFormat="false" ht="15.75" hidden="false" customHeight="false" outlineLevel="0" collapsed="false">
      <c r="A85" s="0" t="s">
        <v>46</v>
      </c>
      <c r="B85" s="1" t="n">
        <v>43945</v>
      </c>
      <c r="C85" s="6" t="n">
        <v>7138</v>
      </c>
      <c r="D85" s="6" t="n">
        <v>51</v>
      </c>
      <c r="E85" s="6" t="n">
        <v>210</v>
      </c>
      <c r="F85" s="6" t="n">
        <v>2</v>
      </c>
      <c r="G85" s="6" t="n">
        <v>2152</v>
      </c>
      <c r="H85" s="6" t="n">
        <v>4776</v>
      </c>
      <c r="I85" s="6" t="n">
        <v>76</v>
      </c>
      <c r="J85" s="6" t="n">
        <v>667</v>
      </c>
      <c r="K85" s="6" t="n">
        <v>20</v>
      </c>
      <c r="L85" s="6" t="n">
        <v>195725</v>
      </c>
      <c r="M85" s="6" t="n">
        <v>18277</v>
      </c>
    </row>
    <row r="86" customFormat="false" ht="15.75" hidden="false" customHeight="false" outlineLevel="0" collapsed="false">
      <c r="A86" s="0" t="s">
        <v>46</v>
      </c>
      <c r="B86" s="1" t="n">
        <v>43946</v>
      </c>
      <c r="C86" s="6" t="n">
        <v>7236</v>
      </c>
      <c r="D86" s="6" t="n">
        <v>98</v>
      </c>
      <c r="E86" s="6" t="n">
        <v>214</v>
      </c>
      <c r="F86" s="6" t="n">
        <v>4</v>
      </c>
      <c r="G86" s="6" t="n">
        <v>2371</v>
      </c>
      <c r="H86" s="6" t="n">
        <v>4651</v>
      </c>
      <c r="I86" s="6" t="n">
        <v>76</v>
      </c>
      <c r="J86" s="6" t="n">
        <v>676</v>
      </c>
      <c r="K86" s="6" t="n">
        <v>20</v>
      </c>
      <c r="L86" s="6" t="n">
        <v>203622</v>
      </c>
      <c r="M86" s="6" t="n">
        <v>19014</v>
      </c>
    </row>
    <row r="87" customFormat="false" ht="15.75" hidden="false" customHeight="false" outlineLevel="0" collapsed="false">
      <c r="A87" s="0" t="s">
        <v>46</v>
      </c>
      <c r="B87" s="1" t="n">
        <v>43947</v>
      </c>
      <c r="C87" s="6" t="n">
        <v>7333</v>
      </c>
      <c r="D87" s="6" t="n">
        <v>97</v>
      </c>
      <c r="E87" s="6" t="n">
        <v>218</v>
      </c>
      <c r="F87" s="6" t="n">
        <v>4</v>
      </c>
      <c r="G87" s="6" t="n">
        <v>2453</v>
      </c>
      <c r="H87" s="6" t="n">
        <v>4662</v>
      </c>
      <c r="I87" s="6" t="n">
        <v>71</v>
      </c>
      <c r="J87" s="6" t="n">
        <v>685</v>
      </c>
      <c r="K87" s="6" t="n">
        <v>20</v>
      </c>
      <c r="L87" s="6" t="n">
        <v>210705</v>
      </c>
      <c r="M87" s="6" t="n">
        <v>19676</v>
      </c>
    </row>
    <row r="88" customFormat="false" ht="15.75" hidden="false" customHeight="false" outlineLevel="0" collapsed="false">
      <c r="A88" s="0" t="s">
        <v>46</v>
      </c>
      <c r="B88" s="1" t="n">
        <v>43948</v>
      </c>
      <c r="C88" s="6" t="n">
        <v>7387</v>
      </c>
      <c r="D88" s="6" t="n">
        <v>54</v>
      </c>
      <c r="E88" s="6" t="n">
        <v>220</v>
      </c>
      <c r="F88" s="6" t="n">
        <v>2</v>
      </c>
      <c r="G88" s="6" t="n">
        <v>2545</v>
      </c>
      <c r="H88" s="6" t="n">
        <v>4622</v>
      </c>
      <c r="I88" s="6" t="n">
        <v>79</v>
      </c>
      <c r="J88" s="6" t="n">
        <v>690</v>
      </c>
      <c r="K88" s="6" t="n">
        <v>21</v>
      </c>
      <c r="L88" s="6" t="n">
        <v>215116</v>
      </c>
      <c r="M88" s="6" t="n">
        <v>20087</v>
      </c>
    </row>
    <row r="89" customFormat="false" ht="13.5" hidden="false" customHeight="false" outlineLevel="0" collapsed="false">
      <c r="A89" s="0" t="s">
        <v>46</v>
      </c>
      <c r="B89" s="1" t="n">
        <v>43949</v>
      </c>
      <c r="C89" s="2" t="n">
        <v>7431</v>
      </c>
      <c r="D89" s="2" t="n">
        <v>44</v>
      </c>
      <c r="E89" s="2" t="n">
        <v>222</v>
      </c>
      <c r="F89" s="2" t="n">
        <v>2</v>
      </c>
      <c r="G89" s="2" t="n">
        <v>2826</v>
      </c>
      <c r="H89" s="2" t="n">
        <v>4383</v>
      </c>
      <c r="I89" s="2" t="n">
        <v>73</v>
      </c>
      <c r="J89" s="2" t="n">
        <v>694</v>
      </c>
      <c r="K89" s="2" t="n">
        <v>21</v>
      </c>
      <c r="L89" s="2" t="n">
        <v>218474</v>
      </c>
      <c r="M89" s="2" t="n">
        <v>20401</v>
      </c>
    </row>
    <row r="90" customFormat="false" ht="13.5" hidden="false" customHeight="false" outlineLevel="0" collapsed="false">
      <c r="A90" s="0" t="s">
        <v>46</v>
      </c>
      <c r="B90" s="1" t="n">
        <v>43950</v>
      </c>
      <c r="C90" s="2" t="n">
        <v>7486</v>
      </c>
      <c r="D90" s="2" t="n">
        <v>55</v>
      </c>
      <c r="E90" s="2" t="n">
        <v>225</v>
      </c>
      <c r="F90" s="2" t="n">
        <v>3</v>
      </c>
      <c r="G90" s="2" t="n">
        <v>2942</v>
      </c>
      <c r="H90" s="2" t="n">
        <v>4319</v>
      </c>
      <c r="I90" s="2" t="n">
        <v>73</v>
      </c>
      <c r="J90" s="2" t="n">
        <v>699</v>
      </c>
      <c r="K90" s="2" t="n">
        <v>21</v>
      </c>
      <c r="L90" s="2" t="n">
        <v>226255</v>
      </c>
      <c r="M90" s="2" t="n">
        <v>21128</v>
      </c>
    </row>
    <row r="91" customFormat="false" ht="13.5" hidden="false" customHeight="false" outlineLevel="0" collapsed="false">
      <c r="A91" s="0" t="s">
        <v>46</v>
      </c>
      <c r="B91" s="1" t="n">
        <v>43951</v>
      </c>
      <c r="C91" s="2" t="n">
        <v>7563</v>
      </c>
      <c r="D91" s="2" t="n">
        <v>77</v>
      </c>
      <c r="E91" s="2" t="n">
        <v>227</v>
      </c>
      <c r="F91" s="2" t="n">
        <v>2</v>
      </c>
      <c r="G91" s="2" t="n">
        <v>3096</v>
      </c>
      <c r="H91" s="2" t="n">
        <v>4240</v>
      </c>
      <c r="I91" s="2" t="n">
        <v>71</v>
      </c>
      <c r="J91" s="2" t="n">
        <v>706</v>
      </c>
      <c r="K91" s="2" t="n">
        <v>21</v>
      </c>
      <c r="L91" s="2" t="n">
        <v>234985</v>
      </c>
      <c r="M91" s="2" t="n">
        <v>21943</v>
      </c>
    </row>
    <row r="92" customFormat="false" ht="14.25" hidden="false" customHeight="false" outlineLevel="0" collapsed="false">
      <c r="A92" s="0" t="s">
        <v>46</v>
      </c>
      <c r="B92" s="1" t="n">
        <v>43952</v>
      </c>
      <c r="C92" s="2" t="n">
        <v>7642</v>
      </c>
      <c r="D92" s="2" t="n">
        <v>79</v>
      </c>
      <c r="E92" s="2" t="n">
        <v>235</v>
      </c>
      <c r="F92" s="2" t="n">
        <v>8</v>
      </c>
      <c r="G92" s="2" t="n">
        <v>3281</v>
      </c>
      <c r="H92" s="2" t="n">
        <v>4126</v>
      </c>
      <c r="I92" s="2" t="n">
        <v>68</v>
      </c>
      <c r="J92" s="2" t="n">
        <v>714</v>
      </c>
      <c r="K92" s="2" t="n">
        <v>22</v>
      </c>
      <c r="L92" s="2" t="n">
        <v>242088</v>
      </c>
      <c r="M92" s="2" t="n">
        <v>22606</v>
      </c>
    </row>
    <row r="93" customFormat="false" ht="15.75" hidden="false" customHeight="false" outlineLevel="0" collapsed="false">
      <c r="A93" s="0" t="s">
        <v>46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46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46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46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46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46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46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46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46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46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46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46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46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46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46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46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46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46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46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46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46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46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46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46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46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46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46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46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46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46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46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46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46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46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46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46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46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46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46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46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46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n">
        <v>328</v>
      </c>
      <c r="F133" s="6" t="n">
        <v>0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46</v>
      </c>
      <c r="B134" s="1" t="n">
        <v>43994</v>
      </c>
      <c r="C134" s="6" t="n">
        <v>9855</v>
      </c>
      <c r="D134" s="6" t="n">
        <v>68</v>
      </c>
      <c r="E134" s="6" t="n">
        <v>328</v>
      </c>
      <c r="F134" s="6" t="n">
        <v>0</v>
      </c>
      <c r="G134" s="6" t="n">
        <v>7166</v>
      </c>
      <c r="H134" s="6" t="n">
        <v>2361</v>
      </c>
      <c r="I134" s="6" t="n">
        <v>10</v>
      </c>
      <c r="J134" s="6" t="n">
        <v>920</v>
      </c>
      <c r="K134" s="6" t="n">
        <v>31</v>
      </c>
      <c r="L134" s="6" t="n">
        <v>487334</v>
      </c>
      <c r="M134" s="6" t="n">
        <v>45511</v>
      </c>
    </row>
    <row r="135" customFormat="false" ht="15.75" hidden="false" customHeight="false" outlineLevel="0" collapsed="false">
      <c r="A135" s="0" t="s">
        <v>46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46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46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46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46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46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46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46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46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46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n">
        <v>336</v>
      </c>
      <c r="F144" s="6" t="n">
        <v>0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46</v>
      </c>
      <c r="B145" s="1" t="n">
        <v>44005</v>
      </c>
      <c r="C145" s="6" t="n">
        <v>10523</v>
      </c>
      <c r="D145" s="6" t="n">
        <v>60</v>
      </c>
      <c r="E145" s="6" t="n">
        <v>336</v>
      </c>
      <c r="F145" s="6" t="n">
        <v>0</v>
      </c>
      <c r="G145" s="6" t="n">
        <v>7537</v>
      </c>
      <c r="H145" s="6" t="n">
        <v>2650</v>
      </c>
      <c r="I145" s="6" t="n">
        <v>9</v>
      </c>
      <c r="J145" s="6" t="n">
        <v>983</v>
      </c>
      <c r="K145" s="6" t="n">
        <v>31</v>
      </c>
      <c r="L145" s="6" t="n">
        <v>520344</v>
      </c>
      <c r="M145" s="6" t="n">
        <v>48592</v>
      </c>
    </row>
    <row r="146" customFormat="false" ht="15.75" hidden="false" customHeight="false" outlineLevel="0" collapsed="false">
      <c r="A146" s="0" t="s">
        <v>46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46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46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46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46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n">
        <v>347</v>
      </c>
      <c r="F150" s="6" t="n">
        <v>1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46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46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46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46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46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46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46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46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46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46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46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46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46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46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46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46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46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46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46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46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46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46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46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46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46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46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46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46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46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46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46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46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46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46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46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46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46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47</v>
      </c>
      <c r="B37" s="1" t="n">
        <v>43897</v>
      </c>
      <c r="C37" s="8" t="n">
        <v>6</v>
      </c>
      <c r="D37" s="8" t="n">
        <v>1</v>
      </c>
      <c r="E37" s="8"/>
      <c r="F37" s="8"/>
      <c r="G37" s="8" t="n">
        <v>1</v>
      </c>
      <c r="H37" s="8" t="n">
        <v>5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47</v>
      </c>
      <c r="B38" s="1" t="n">
        <v>43898</v>
      </c>
      <c r="C38" s="6" t="n">
        <v>6</v>
      </c>
      <c r="D38" s="6" t="n">
        <v>0</v>
      </c>
      <c r="E38" s="6"/>
      <c r="F38" s="6"/>
      <c r="G38" s="6" t="n">
        <v>1</v>
      </c>
      <c r="H38" s="6" t="n">
        <v>5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47</v>
      </c>
      <c r="B39" s="1" t="n">
        <v>43899</v>
      </c>
      <c r="C39" s="6" t="n">
        <v>7</v>
      </c>
      <c r="D39" s="6" t="n">
        <v>1</v>
      </c>
      <c r="E39" s="6"/>
      <c r="F39" s="6"/>
      <c r="G39" s="6" t="n">
        <v>1</v>
      </c>
      <c r="H39" s="6" t="n">
        <v>6</v>
      </c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47</v>
      </c>
      <c r="B40" s="1" t="n">
        <v>43900</v>
      </c>
      <c r="C40" s="6" t="n">
        <v>16</v>
      </c>
      <c r="D40" s="6" t="n">
        <v>9</v>
      </c>
      <c r="E40" s="6"/>
      <c r="F40" s="6"/>
      <c r="G40" s="6" t="n">
        <v>1</v>
      </c>
      <c r="H40" s="6" t="n">
        <v>15</v>
      </c>
      <c r="I40" s="6"/>
      <c r="J40" s="6" t="n">
        <v>0.1</v>
      </c>
      <c r="K40" s="6"/>
      <c r="L40" s="6"/>
      <c r="M40" s="6"/>
    </row>
    <row r="41" customFormat="false" ht="15.75" hidden="false" customHeight="false" outlineLevel="0" collapsed="false">
      <c r="A41" s="0" t="s">
        <v>47</v>
      </c>
      <c r="B41" s="1" t="n">
        <v>43901</v>
      </c>
      <c r="C41" s="6" t="n">
        <v>19</v>
      </c>
      <c r="D41" s="6" t="n">
        <v>3</v>
      </c>
      <c r="E41" s="6"/>
      <c r="F41" s="6"/>
      <c r="G41" s="6" t="n">
        <v>2</v>
      </c>
      <c r="H41" s="6" t="n">
        <v>17</v>
      </c>
      <c r="I41" s="6"/>
      <c r="J41" s="6" t="n">
        <v>0.1</v>
      </c>
      <c r="K41" s="6"/>
      <c r="L41" s="6"/>
      <c r="M41" s="6"/>
    </row>
    <row r="42" customFormat="false" ht="15.75" hidden="false" customHeight="false" outlineLevel="0" collapsed="false">
      <c r="A42" s="0" t="s">
        <v>47</v>
      </c>
      <c r="B42" s="1" t="n">
        <v>43902</v>
      </c>
      <c r="C42" s="6" t="n">
        <v>19</v>
      </c>
      <c r="D42" s="6" t="n">
        <v>0</v>
      </c>
      <c r="E42" s="6"/>
      <c r="F42" s="6"/>
      <c r="G42" s="6" t="n">
        <v>2</v>
      </c>
      <c r="H42" s="6" t="n">
        <v>17</v>
      </c>
      <c r="I42" s="6"/>
      <c r="J42" s="6" t="n">
        <v>0.1</v>
      </c>
      <c r="K42" s="6"/>
      <c r="L42" s="6"/>
      <c r="M42" s="6"/>
    </row>
    <row r="43" customFormat="false" ht="15.75" hidden="false" customHeight="false" outlineLevel="0" collapsed="false">
      <c r="A43" s="0" t="s">
        <v>47</v>
      </c>
      <c r="B43" s="1" t="n">
        <v>43903</v>
      </c>
      <c r="C43" s="6" t="n">
        <v>21</v>
      </c>
      <c r="D43" s="6" t="n">
        <v>2</v>
      </c>
      <c r="E43" s="6"/>
      <c r="F43" s="6"/>
      <c r="G43" s="6" t="n">
        <v>2</v>
      </c>
      <c r="H43" s="6" t="n">
        <v>19</v>
      </c>
      <c r="I43" s="6"/>
      <c r="J43" s="6" t="n">
        <v>0.1</v>
      </c>
      <c r="K43" s="6"/>
      <c r="L43" s="6"/>
      <c r="M43" s="6"/>
    </row>
    <row r="44" customFormat="false" ht="15.75" hidden="false" customHeight="false" outlineLevel="0" collapsed="false">
      <c r="A44" s="0" t="s">
        <v>47</v>
      </c>
      <c r="B44" s="1" t="n">
        <v>43904</v>
      </c>
      <c r="C44" s="6" t="n">
        <v>28</v>
      </c>
      <c r="D44" s="6" t="n">
        <v>7</v>
      </c>
      <c r="E44" s="6"/>
      <c r="F44" s="6"/>
      <c r="G44" s="6" t="n">
        <v>2</v>
      </c>
      <c r="H44" s="6" t="n">
        <v>26</v>
      </c>
      <c r="I44" s="6"/>
      <c r="J44" s="6" t="n">
        <v>0.1</v>
      </c>
      <c r="K44" s="6"/>
      <c r="L44" s="6"/>
      <c r="M44" s="6"/>
    </row>
    <row r="45" customFormat="false" ht="15.75" hidden="false" customHeight="false" outlineLevel="0" collapsed="false">
      <c r="A45" s="0" t="s">
        <v>47</v>
      </c>
      <c r="B45" s="1" t="n">
        <v>43905</v>
      </c>
      <c r="C45" s="6" t="n">
        <v>31</v>
      </c>
      <c r="D45" s="6" t="n">
        <v>3</v>
      </c>
      <c r="E45" s="6"/>
      <c r="F45" s="6"/>
      <c r="G45" s="6" t="n">
        <v>2</v>
      </c>
      <c r="H45" s="6" t="n">
        <v>29</v>
      </c>
      <c r="I45" s="6"/>
      <c r="J45" s="6" t="n">
        <v>0.1</v>
      </c>
      <c r="K45" s="6"/>
      <c r="L45" s="6"/>
      <c r="M45" s="6"/>
    </row>
    <row r="46" customFormat="false" ht="15.75" hidden="false" customHeight="false" outlineLevel="0" collapsed="false">
      <c r="A46" s="0" t="s">
        <v>47</v>
      </c>
      <c r="B46" s="1" t="n">
        <v>43906</v>
      </c>
      <c r="C46" s="6" t="n">
        <v>53</v>
      </c>
      <c r="D46" s="6" t="n">
        <v>22</v>
      </c>
      <c r="E46" s="6"/>
      <c r="F46" s="6"/>
      <c r="G46" s="6" t="n">
        <v>2</v>
      </c>
      <c r="H46" s="6" t="n">
        <v>51</v>
      </c>
      <c r="I46" s="6"/>
      <c r="J46" s="6" t="n">
        <v>0.2</v>
      </c>
      <c r="K46" s="6"/>
      <c r="L46" s="6"/>
      <c r="M46" s="6"/>
    </row>
    <row r="47" customFormat="false" ht="15.75" hidden="false" customHeight="false" outlineLevel="0" collapsed="false">
      <c r="A47" s="0" t="s">
        <v>47</v>
      </c>
      <c r="B47" s="1" t="n">
        <v>43907</v>
      </c>
      <c r="C47" s="6" t="n">
        <v>184</v>
      </c>
      <c r="D47" s="6" t="n">
        <v>131</v>
      </c>
      <c r="E47" s="6" t="n">
        <v>1</v>
      </c>
      <c r="F47" s="6" t="n">
        <v>1</v>
      </c>
      <c r="G47" s="6" t="n">
        <v>2</v>
      </c>
      <c r="H47" s="6" t="n">
        <v>181</v>
      </c>
      <c r="I47" s="6"/>
      <c r="J47" s="6" t="n">
        <v>0.8</v>
      </c>
      <c r="K47" s="6"/>
      <c r="L47" s="6"/>
      <c r="M47" s="6"/>
    </row>
    <row r="48" customFormat="false" ht="15.75" hidden="false" customHeight="false" outlineLevel="0" collapsed="false">
      <c r="A48" s="0" t="s">
        <v>47</v>
      </c>
      <c r="B48" s="1" t="n">
        <v>43908</v>
      </c>
      <c r="C48" s="6" t="n">
        <v>247</v>
      </c>
      <c r="D48" s="6" t="n">
        <v>63</v>
      </c>
      <c r="E48" s="6"/>
      <c r="F48" s="6" t="n">
        <v>-1</v>
      </c>
      <c r="G48" s="6" t="n">
        <v>2</v>
      </c>
      <c r="H48" s="6" t="n">
        <v>245</v>
      </c>
      <c r="I48" s="6"/>
      <c r="J48" s="6" t="n">
        <v>1.1</v>
      </c>
      <c r="K48" s="6"/>
      <c r="L48" s="6"/>
      <c r="M48" s="6"/>
    </row>
    <row r="49" customFormat="false" ht="15.75" hidden="false" customHeight="false" outlineLevel="0" collapsed="false">
      <c r="A49" s="0" t="s">
        <v>47</v>
      </c>
      <c r="B49" s="1" t="n">
        <v>43909</v>
      </c>
      <c r="C49" s="6" t="n">
        <v>307</v>
      </c>
      <c r="D49" s="6" t="n">
        <v>60</v>
      </c>
      <c r="E49" s="6" t="n">
        <v>2</v>
      </c>
      <c r="F49" s="6" t="n">
        <v>2</v>
      </c>
      <c r="G49" s="6" t="n">
        <v>13</v>
      </c>
      <c r="H49" s="6" t="n">
        <v>292</v>
      </c>
      <c r="I49" s="6"/>
      <c r="J49" s="6" t="n">
        <v>1</v>
      </c>
      <c r="K49" s="6"/>
      <c r="L49" s="6"/>
      <c r="M49" s="6"/>
    </row>
    <row r="50" customFormat="false" ht="15.75" hidden="false" customHeight="false" outlineLevel="0" collapsed="false">
      <c r="A50" s="0" t="s">
        <v>47</v>
      </c>
      <c r="B50" s="1" t="n">
        <v>43910</v>
      </c>
      <c r="C50" s="6" t="n">
        <v>454</v>
      </c>
      <c r="D50" s="6" t="n">
        <v>147</v>
      </c>
      <c r="E50" s="6" t="n">
        <v>2</v>
      </c>
      <c r="F50" s="6" t="n">
        <v>0</v>
      </c>
      <c r="G50" s="6" t="n">
        <v>13</v>
      </c>
      <c r="H50" s="6" t="n">
        <v>439</v>
      </c>
      <c r="I50" s="6"/>
      <c r="J50" s="6" t="n">
        <v>2</v>
      </c>
      <c r="K50" s="6"/>
      <c r="L50" s="6"/>
      <c r="M50" s="6"/>
    </row>
    <row r="51" customFormat="false" ht="15.75" hidden="false" customHeight="false" outlineLevel="0" collapsed="false">
      <c r="A51" s="0" t="s">
        <v>47</v>
      </c>
      <c r="B51" s="1" t="n">
        <v>43911</v>
      </c>
      <c r="C51" s="6" t="n">
        <v>534</v>
      </c>
      <c r="D51" s="6" t="n">
        <v>80</v>
      </c>
      <c r="E51" s="6" t="n">
        <v>3</v>
      </c>
      <c r="F51" s="6" t="n">
        <v>1</v>
      </c>
      <c r="G51" s="6" t="n">
        <v>13</v>
      </c>
      <c r="H51" s="6" t="n">
        <v>518</v>
      </c>
      <c r="I51" s="6"/>
      <c r="J51" s="6" t="n">
        <v>2</v>
      </c>
      <c r="K51" s="6"/>
      <c r="L51" s="6"/>
      <c r="M51" s="6"/>
    </row>
    <row r="52" customFormat="false" ht="15.75" hidden="false" customHeight="false" outlineLevel="0" collapsed="false">
      <c r="A52" s="0" t="s">
        <v>47</v>
      </c>
      <c r="B52" s="1" t="n">
        <v>43912</v>
      </c>
      <c r="C52" s="6" t="n">
        <v>645</v>
      </c>
      <c r="D52" s="6" t="n">
        <v>111</v>
      </c>
      <c r="E52" s="6" t="n">
        <v>3</v>
      </c>
      <c r="F52" s="6" t="n">
        <v>0</v>
      </c>
      <c r="G52" s="6" t="n">
        <v>13</v>
      </c>
      <c r="H52" s="6" t="n">
        <v>629</v>
      </c>
      <c r="I52" s="6"/>
      <c r="J52" s="6" t="n">
        <v>3</v>
      </c>
      <c r="K52" s="6"/>
      <c r="L52" s="6"/>
      <c r="M52" s="6"/>
    </row>
    <row r="53" customFormat="false" ht="15.75" hidden="false" customHeight="false" outlineLevel="0" collapsed="false">
      <c r="A53" s="0" t="s">
        <v>47</v>
      </c>
      <c r="B53" s="1" t="n">
        <v>43913</v>
      </c>
      <c r="C53" s="6" t="n">
        <v>776</v>
      </c>
      <c r="D53" s="6" t="n">
        <v>131</v>
      </c>
      <c r="E53" s="6" t="n">
        <v>4</v>
      </c>
      <c r="F53" s="6" t="n">
        <v>1</v>
      </c>
      <c r="G53" s="6" t="n">
        <v>13</v>
      </c>
      <c r="H53" s="6" t="n">
        <v>759</v>
      </c>
      <c r="I53" s="6"/>
      <c r="J53" s="6" t="n">
        <v>4</v>
      </c>
      <c r="K53" s="6"/>
      <c r="L53" s="6"/>
      <c r="M53" s="6"/>
    </row>
    <row r="54" customFormat="false" ht="15.75" hidden="false" customHeight="false" outlineLevel="0" collapsed="false">
      <c r="A54" s="0" t="s">
        <v>47</v>
      </c>
      <c r="B54" s="1" t="n">
        <v>43914</v>
      </c>
      <c r="C54" s="6" t="n">
        <v>875</v>
      </c>
      <c r="D54" s="6" t="n">
        <v>99</v>
      </c>
      <c r="E54" s="6" t="n">
        <v>6</v>
      </c>
      <c r="F54" s="6" t="n">
        <v>2</v>
      </c>
      <c r="G54" s="6" t="n">
        <v>13</v>
      </c>
      <c r="H54" s="6" t="n">
        <v>856</v>
      </c>
      <c r="I54" s="6"/>
      <c r="J54" s="6" t="n">
        <v>4</v>
      </c>
      <c r="K54" s="6"/>
      <c r="L54" s="6"/>
      <c r="M54" s="6"/>
    </row>
    <row r="55" customFormat="false" ht="15.75" hidden="false" customHeight="false" outlineLevel="0" collapsed="false">
      <c r="A55" s="0" t="s">
        <v>47</v>
      </c>
      <c r="B55" s="1" t="n">
        <v>43915</v>
      </c>
      <c r="C55" s="7" t="n">
        <v>972</v>
      </c>
      <c r="D55" s="7" t="n">
        <v>97</v>
      </c>
      <c r="E55" s="7" t="n">
        <v>7</v>
      </c>
      <c r="F55" s="7" t="n">
        <v>1</v>
      </c>
      <c r="G55" s="7" t="n">
        <v>18</v>
      </c>
      <c r="H55" s="7" t="n">
        <v>947</v>
      </c>
      <c r="I55" s="7" t="n">
        <v>5</v>
      </c>
      <c r="J55" s="7" t="n">
        <v>4</v>
      </c>
      <c r="K55" s="21" t="n">
        <v>0.03</v>
      </c>
      <c r="L55" s="7"/>
      <c r="M55" s="7"/>
    </row>
    <row r="56" customFormat="false" ht="15.75" hidden="false" customHeight="false" outlineLevel="0" collapsed="false">
      <c r="A56" s="0" t="s">
        <v>47</v>
      </c>
      <c r="B56" s="1" t="n">
        <v>43916</v>
      </c>
      <c r="C56" s="7" t="n">
        <v>1063</v>
      </c>
      <c r="D56" s="7" t="n">
        <v>91</v>
      </c>
      <c r="E56" s="7" t="n">
        <v>8</v>
      </c>
      <c r="F56" s="7" t="n">
        <v>1</v>
      </c>
      <c r="G56" s="7" t="n">
        <v>21</v>
      </c>
      <c r="H56" s="7" t="n">
        <v>1034</v>
      </c>
      <c r="I56" s="7" t="n">
        <v>5</v>
      </c>
      <c r="J56" s="7" t="n">
        <v>5</v>
      </c>
      <c r="K56" s="21" t="n">
        <v>0.04</v>
      </c>
      <c r="L56" s="7"/>
      <c r="M56" s="7"/>
    </row>
    <row r="57" customFormat="false" ht="15.75" hidden="false" customHeight="false" outlineLevel="0" collapsed="false">
      <c r="A57" s="0" t="s">
        <v>47</v>
      </c>
      <c r="B57" s="1" t="n">
        <v>43917</v>
      </c>
      <c r="C57" s="7" t="n">
        <v>1179</v>
      </c>
      <c r="D57" s="7" t="n">
        <v>116</v>
      </c>
      <c r="E57" s="7" t="n">
        <v>9</v>
      </c>
      <c r="F57" s="7" t="n">
        <v>1</v>
      </c>
      <c r="G57" s="7" t="n">
        <v>21</v>
      </c>
      <c r="H57" s="7" t="n">
        <v>1149</v>
      </c>
      <c r="I57" s="7" t="n">
        <v>5</v>
      </c>
      <c r="J57" s="7" t="n">
        <v>5</v>
      </c>
      <c r="K57" s="21" t="n">
        <v>0.04</v>
      </c>
      <c r="L57" s="7"/>
      <c r="M57" s="7"/>
    </row>
    <row r="58" customFormat="false" ht="15.75" hidden="false" customHeight="false" outlineLevel="0" collapsed="false">
      <c r="A58" s="0" t="s">
        <v>47</v>
      </c>
      <c r="B58" s="1" t="n">
        <v>43918</v>
      </c>
      <c r="C58" s="7" t="n">
        <v>1331</v>
      </c>
      <c r="D58" s="7" t="n">
        <v>152</v>
      </c>
      <c r="E58" s="7" t="n">
        <v>10</v>
      </c>
      <c r="F58" s="7" t="n">
        <v>1</v>
      </c>
      <c r="G58" s="7" t="n">
        <v>23</v>
      </c>
      <c r="H58" s="7" t="n">
        <v>1298</v>
      </c>
      <c r="I58" s="7" t="n">
        <v>7</v>
      </c>
      <c r="J58" s="7" t="n">
        <v>6</v>
      </c>
      <c r="K58" s="21" t="n">
        <v>0.05</v>
      </c>
      <c r="M58" s="7"/>
    </row>
    <row r="59" customFormat="false" ht="15.75" hidden="false" customHeight="false" outlineLevel="0" collapsed="false">
      <c r="A59" s="0" t="s">
        <v>47</v>
      </c>
      <c r="B59" s="1" t="n">
        <v>43919</v>
      </c>
      <c r="C59" s="7" t="n">
        <v>1495</v>
      </c>
      <c r="D59" s="7" t="n">
        <v>164</v>
      </c>
      <c r="E59" s="7" t="n">
        <v>12</v>
      </c>
      <c r="F59" s="7" t="n">
        <v>2</v>
      </c>
      <c r="G59" s="7" t="n">
        <v>29</v>
      </c>
      <c r="H59" s="7" t="n">
        <v>1454</v>
      </c>
      <c r="I59" s="7" t="n">
        <v>7</v>
      </c>
      <c r="J59" s="7" t="n">
        <v>7</v>
      </c>
      <c r="K59" s="21" t="n">
        <v>0.05</v>
      </c>
      <c r="M59" s="7"/>
    </row>
    <row r="60" customFormat="false" ht="15.75" hidden="false" customHeight="false" outlineLevel="0" collapsed="false">
      <c r="A60" s="0" t="s">
        <v>47</v>
      </c>
      <c r="B60" s="1" t="n">
        <v>43920</v>
      </c>
      <c r="C60" s="7" t="n">
        <v>1597</v>
      </c>
      <c r="D60" s="7" t="n">
        <v>102</v>
      </c>
      <c r="E60" s="7" t="n">
        <v>14</v>
      </c>
      <c r="F60" s="7" t="n">
        <v>2</v>
      </c>
      <c r="G60" s="7" t="n">
        <v>29</v>
      </c>
      <c r="H60" s="7" t="n">
        <v>1554</v>
      </c>
      <c r="I60" s="7" t="n">
        <v>11</v>
      </c>
      <c r="J60" s="7" t="n">
        <v>7</v>
      </c>
      <c r="K60" s="21" t="n">
        <v>0.06</v>
      </c>
      <c r="M60" s="7"/>
    </row>
    <row r="61" customFormat="false" ht="15.75" hidden="false" customHeight="false" outlineLevel="0" collapsed="false">
      <c r="A61" s="0" t="s">
        <v>47</v>
      </c>
      <c r="B61" s="1" t="n">
        <v>43921</v>
      </c>
      <c r="C61" s="7" t="n">
        <v>1717</v>
      </c>
      <c r="D61" s="7" t="n">
        <v>120</v>
      </c>
      <c r="E61" s="7" t="n">
        <v>21</v>
      </c>
      <c r="F61" s="7" t="n">
        <v>7</v>
      </c>
      <c r="G61" s="7" t="n">
        <v>76</v>
      </c>
      <c r="H61" s="7" t="n">
        <v>1620</v>
      </c>
      <c r="I61" s="7" t="n">
        <v>11</v>
      </c>
      <c r="J61" s="7" t="n">
        <v>8</v>
      </c>
      <c r="K61" s="10" t="n">
        <v>0.1</v>
      </c>
      <c r="M61" s="7"/>
    </row>
    <row r="62" customFormat="false" ht="15.75" hidden="false" customHeight="false" outlineLevel="0" collapsed="false">
      <c r="A62" s="0" t="s">
        <v>47</v>
      </c>
      <c r="B62" s="1" t="n">
        <v>43922</v>
      </c>
      <c r="C62" s="7" t="n">
        <v>1938</v>
      </c>
      <c r="D62" s="7" t="n">
        <v>221</v>
      </c>
      <c r="E62" s="7" t="n">
        <v>26</v>
      </c>
      <c r="F62" s="7" t="n">
        <v>5</v>
      </c>
      <c r="G62" s="7" t="n">
        <v>76</v>
      </c>
      <c r="H62" s="7" t="n">
        <v>1836</v>
      </c>
      <c r="I62" s="7" t="n">
        <v>12</v>
      </c>
      <c r="J62" s="7" t="n">
        <v>9</v>
      </c>
      <c r="K62" s="10" t="n">
        <v>0.1</v>
      </c>
      <c r="M62" s="7"/>
    </row>
    <row r="63" customFormat="false" ht="15.75" hidden="false" customHeight="false" outlineLevel="0" collapsed="false">
      <c r="A63" s="0" t="s">
        <v>47</v>
      </c>
      <c r="B63" s="1" t="n">
        <v>43923</v>
      </c>
      <c r="C63" s="7" t="n">
        <v>2118</v>
      </c>
      <c r="D63" s="7" t="n">
        <v>180</v>
      </c>
      <c r="E63" s="7" t="n">
        <v>27</v>
      </c>
      <c r="F63" s="7" t="n">
        <v>1</v>
      </c>
      <c r="G63" s="7" t="n">
        <v>94</v>
      </c>
      <c r="H63" s="7" t="n">
        <v>1997</v>
      </c>
      <c r="I63" s="7" t="n">
        <v>12</v>
      </c>
      <c r="J63" s="7" t="n">
        <v>10</v>
      </c>
      <c r="K63" s="10" t="n">
        <v>0.1</v>
      </c>
      <c r="M63" s="7"/>
    </row>
    <row r="64" customFormat="false" ht="15.75" hidden="false" customHeight="false" outlineLevel="0" collapsed="false">
      <c r="A64" s="0" t="s">
        <v>47</v>
      </c>
      <c r="B64" s="1" t="n">
        <v>43924</v>
      </c>
      <c r="C64" s="7" t="n">
        <v>2421</v>
      </c>
      <c r="D64" s="7" t="n">
        <v>303</v>
      </c>
      <c r="E64" s="7" t="n">
        <v>34</v>
      </c>
      <c r="F64" s="7" t="n">
        <v>7</v>
      </c>
      <c r="G64" s="7" t="n">
        <v>125</v>
      </c>
      <c r="H64" s="7" t="n">
        <v>2262</v>
      </c>
      <c r="I64" s="7" t="n">
        <v>9</v>
      </c>
      <c r="J64" s="7" t="n">
        <v>11</v>
      </c>
      <c r="K64" s="10" t="n">
        <v>0.2</v>
      </c>
      <c r="M64" s="7"/>
    </row>
    <row r="65" customFormat="false" ht="15.75" hidden="false" customHeight="false" outlineLevel="0" collapsed="false">
      <c r="A65" s="0" t="s">
        <v>47</v>
      </c>
      <c r="B65" s="1" t="n">
        <v>43925</v>
      </c>
      <c r="C65" s="7" t="n">
        <v>2686</v>
      </c>
      <c r="D65" s="7" t="n">
        <v>265</v>
      </c>
      <c r="E65" s="7" t="n">
        <v>40</v>
      </c>
      <c r="F65" s="7" t="n">
        <v>6</v>
      </c>
      <c r="G65" s="7" t="n">
        <v>126</v>
      </c>
      <c r="H65" s="7" t="n">
        <v>2520</v>
      </c>
      <c r="I65" s="7" t="n">
        <v>10</v>
      </c>
      <c r="J65" s="7" t="n">
        <v>12</v>
      </c>
      <c r="K65" s="10" t="n">
        <v>0.2</v>
      </c>
      <c r="L65" s="7"/>
      <c r="M65" s="7"/>
    </row>
    <row r="66" customFormat="false" ht="15.75" hidden="false" customHeight="false" outlineLevel="0" collapsed="false">
      <c r="A66" s="0" t="s">
        <v>47</v>
      </c>
      <c r="B66" s="1" t="n">
        <v>43926</v>
      </c>
      <c r="C66" s="7" t="n">
        <v>2818</v>
      </c>
      <c r="D66" s="7" t="n">
        <v>132</v>
      </c>
      <c r="E66" s="7" t="n">
        <v>41</v>
      </c>
      <c r="F66" s="7" t="n">
        <v>1</v>
      </c>
      <c r="G66" s="7" t="n">
        <v>131</v>
      </c>
      <c r="H66" s="7" t="n">
        <v>2646</v>
      </c>
      <c r="I66" s="7" t="n">
        <v>13</v>
      </c>
      <c r="J66" s="7" t="n">
        <v>13</v>
      </c>
      <c r="K66" s="10" t="n">
        <v>0.2</v>
      </c>
      <c r="L66" s="7" t="n">
        <v>30308</v>
      </c>
      <c r="M66" s="7" t="n">
        <v>137</v>
      </c>
    </row>
    <row r="67" customFormat="false" ht="15.75" hidden="false" customHeight="false" outlineLevel="0" collapsed="false">
      <c r="A67" s="0" t="s">
        <v>47</v>
      </c>
      <c r="B67" s="1" t="n">
        <v>43927</v>
      </c>
      <c r="C67" s="7" t="n">
        <v>3157</v>
      </c>
      <c r="D67" s="7" t="n">
        <v>339</v>
      </c>
      <c r="E67" s="7" t="n">
        <v>47</v>
      </c>
      <c r="F67" s="7" t="n">
        <v>6</v>
      </c>
      <c r="G67" s="7" t="n">
        <v>211</v>
      </c>
      <c r="H67" s="7" t="n">
        <v>2899</v>
      </c>
      <c r="I67" s="7" t="n">
        <v>18</v>
      </c>
      <c r="J67" s="7" t="n">
        <v>14</v>
      </c>
      <c r="K67" s="10" t="n">
        <v>0.2</v>
      </c>
      <c r="L67" s="7" t="n">
        <v>34885</v>
      </c>
      <c r="M67" s="7" t="n">
        <v>158</v>
      </c>
    </row>
    <row r="68" customFormat="false" ht="15.75" hidden="false" customHeight="false" outlineLevel="0" collapsed="false">
      <c r="A68" s="0" t="s">
        <v>47</v>
      </c>
      <c r="B68" s="1" t="n">
        <v>43928</v>
      </c>
      <c r="C68" s="12" t="n">
        <v>3766</v>
      </c>
      <c r="D68" s="12" t="n">
        <v>609</v>
      </c>
      <c r="E68" s="12" t="n">
        <v>53</v>
      </c>
      <c r="F68" s="12" t="n">
        <v>6</v>
      </c>
      <c r="G68" s="12" t="n">
        <v>259</v>
      </c>
      <c r="H68" s="12" t="n">
        <v>3454</v>
      </c>
      <c r="I68" s="12" t="n">
        <v>17</v>
      </c>
      <c r="J68" s="12" t="n">
        <v>17</v>
      </c>
      <c r="K68" s="24" t="n">
        <v>0.2</v>
      </c>
      <c r="L68" s="12" t="n">
        <v>35875</v>
      </c>
      <c r="M68" s="12" t="n">
        <v>162</v>
      </c>
    </row>
    <row r="69" customFormat="false" ht="15.75" hidden="false" customHeight="false" outlineLevel="0" collapsed="false">
      <c r="A69" s="0" t="s">
        <v>47</v>
      </c>
      <c r="B69" s="1" t="n">
        <v>43929</v>
      </c>
      <c r="C69" s="14" t="n">
        <v>4035</v>
      </c>
      <c r="D69" s="14" t="n">
        <v>269</v>
      </c>
      <c r="E69" s="14" t="n">
        <v>57</v>
      </c>
      <c r="F69" s="14" t="n">
        <v>4</v>
      </c>
      <c r="G69" s="14" t="n">
        <v>429</v>
      </c>
      <c r="H69" s="14" t="n">
        <v>3549</v>
      </c>
      <c r="I69" s="14" t="n">
        <v>28</v>
      </c>
      <c r="J69" s="14" t="n">
        <v>18</v>
      </c>
      <c r="K69" s="14" t="n">
        <v>0.3</v>
      </c>
      <c r="L69" s="14" t="n">
        <v>39183</v>
      </c>
      <c r="M69" s="14" t="n">
        <v>177</v>
      </c>
    </row>
    <row r="70" customFormat="false" ht="15.75" hidden="false" customHeight="false" outlineLevel="0" collapsed="false">
      <c r="A70" s="0" t="s">
        <v>47</v>
      </c>
      <c r="B70" s="1" t="n">
        <v>43930</v>
      </c>
      <c r="C70" s="14" t="n">
        <v>4263</v>
      </c>
      <c r="D70" s="14" t="n">
        <v>228</v>
      </c>
      <c r="E70" s="14" t="n">
        <v>61</v>
      </c>
      <c r="F70" s="14" t="n">
        <v>4</v>
      </c>
      <c r="G70" s="14" t="n">
        <v>467</v>
      </c>
      <c r="H70" s="14" t="n">
        <v>3735</v>
      </c>
      <c r="I70" s="14" t="n">
        <v>25</v>
      </c>
      <c r="J70" s="14" t="n">
        <v>19</v>
      </c>
      <c r="K70" s="14" t="n">
        <v>0.3</v>
      </c>
      <c r="L70" s="14" t="n">
        <v>42159</v>
      </c>
      <c r="M70" s="14" t="n">
        <v>191</v>
      </c>
    </row>
    <row r="71" customFormat="false" ht="15.75" hidden="false" customHeight="false" outlineLevel="0" collapsed="false">
      <c r="A71" s="0" t="s">
        <v>47</v>
      </c>
      <c r="B71" s="1" t="n">
        <v>43931</v>
      </c>
      <c r="C71" s="14" t="n">
        <v>4489</v>
      </c>
      <c r="D71" s="14" t="n">
        <v>226</v>
      </c>
      <c r="E71" s="14" t="n">
        <v>65</v>
      </c>
      <c r="F71" s="14" t="n">
        <v>4</v>
      </c>
      <c r="G71" s="14" t="n">
        <v>572</v>
      </c>
      <c r="H71" s="14" t="n">
        <v>3852</v>
      </c>
      <c r="I71" s="14" t="n">
        <v>31</v>
      </c>
      <c r="J71" s="14" t="n">
        <v>20</v>
      </c>
      <c r="K71" s="14" t="n">
        <v>0.3</v>
      </c>
      <c r="L71" s="14" t="n">
        <v>44896</v>
      </c>
      <c r="M71" s="14" t="n">
        <v>203</v>
      </c>
    </row>
    <row r="72" customFormat="false" ht="15.75" hidden="false" customHeight="false" outlineLevel="0" collapsed="false">
      <c r="A72" s="0" t="s">
        <v>47</v>
      </c>
      <c r="B72" s="1" t="n">
        <v>43932</v>
      </c>
      <c r="C72" s="14" t="n">
        <v>4695</v>
      </c>
      <c r="D72" s="14" t="n">
        <v>206</v>
      </c>
      <c r="E72" s="14" t="n">
        <v>66</v>
      </c>
      <c r="F72" s="14" t="n">
        <v>1</v>
      </c>
      <c r="G72" s="14" t="n">
        <v>727</v>
      </c>
      <c r="H72" s="14" t="n">
        <v>3902</v>
      </c>
      <c r="I72" s="14" t="n">
        <v>45</v>
      </c>
      <c r="J72" s="14" t="n">
        <v>21</v>
      </c>
      <c r="K72" s="14" t="n">
        <v>0.3</v>
      </c>
      <c r="L72" s="14" t="n">
        <v>54706</v>
      </c>
      <c r="M72" s="14" t="n">
        <v>248</v>
      </c>
    </row>
    <row r="73" customFormat="false" ht="15.75" hidden="false" customHeight="false" outlineLevel="0" collapsed="false">
      <c r="A73" s="0" t="s">
        <v>47</v>
      </c>
      <c r="B73" s="1" t="n">
        <v>43933</v>
      </c>
      <c r="C73" s="14" t="n">
        <v>5011</v>
      </c>
      <c r="D73" s="14" t="n">
        <v>316</v>
      </c>
      <c r="E73" s="14" t="n">
        <v>86</v>
      </c>
      <c r="F73" s="14" t="n">
        <v>20</v>
      </c>
      <c r="G73" s="14" t="n">
        <v>762</v>
      </c>
      <c r="H73" s="14" t="n">
        <v>4163</v>
      </c>
      <c r="I73" s="14" t="n">
        <v>50</v>
      </c>
      <c r="J73" s="14" t="n">
        <v>23</v>
      </c>
      <c r="K73" s="14" t="n">
        <v>0.4</v>
      </c>
      <c r="L73" s="14" t="n">
        <v>57836</v>
      </c>
      <c r="M73" s="14" t="n">
        <v>262</v>
      </c>
    </row>
    <row r="74" customFormat="false" ht="15.75" hidden="false" customHeight="false" outlineLevel="0" collapsed="false">
      <c r="A74" s="0" t="s">
        <v>47</v>
      </c>
      <c r="B74" s="1" t="n">
        <v>43934</v>
      </c>
      <c r="C74" s="14" t="n">
        <v>5230</v>
      </c>
      <c r="D74" s="14" t="n">
        <v>219</v>
      </c>
      <c r="E74" s="14" t="n">
        <v>91</v>
      </c>
      <c r="F74" s="14" t="n">
        <v>5</v>
      </c>
      <c r="G74" s="14" t="n">
        <v>1028</v>
      </c>
      <c r="H74" s="14" t="n">
        <v>4111</v>
      </c>
      <c r="I74" s="14" t="n">
        <v>37</v>
      </c>
      <c r="J74" s="14" t="n">
        <v>24</v>
      </c>
      <c r="K74" s="14" t="n">
        <v>0.4</v>
      </c>
      <c r="L74" s="14" t="n">
        <v>61801</v>
      </c>
      <c r="M74" s="14" t="n">
        <v>280</v>
      </c>
    </row>
    <row r="75" customFormat="false" ht="15.75" hidden="false" customHeight="false" outlineLevel="0" collapsed="false">
      <c r="A75" s="0" t="s">
        <v>47</v>
      </c>
      <c r="B75" s="1" t="n">
        <v>43935</v>
      </c>
      <c r="C75" s="14" t="n">
        <v>5496</v>
      </c>
      <c r="D75" s="14" t="n">
        <v>266</v>
      </c>
      <c r="E75" s="14" t="n">
        <v>93</v>
      </c>
      <c r="F75" s="14" t="n">
        <v>2</v>
      </c>
      <c r="G75" s="14" t="n">
        <v>1095</v>
      </c>
      <c r="H75" s="14" t="n">
        <v>4308</v>
      </c>
      <c r="I75" s="14" t="n">
        <v>44</v>
      </c>
      <c r="J75" s="14" t="n">
        <v>25</v>
      </c>
      <c r="K75" s="14" t="n">
        <v>0.4</v>
      </c>
      <c r="L75" s="14" t="n">
        <v>65114</v>
      </c>
      <c r="M75" s="14" t="n">
        <v>295</v>
      </c>
    </row>
    <row r="76" customFormat="false" ht="15.75" hidden="false" customHeight="false" outlineLevel="0" collapsed="false">
      <c r="A76" s="0" t="s">
        <v>47</v>
      </c>
      <c r="B76" s="1" t="n">
        <v>43936</v>
      </c>
      <c r="C76" s="14" t="n">
        <v>5837</v>
      </c>
      <c r="D76" s="14" t="n">
        <v>341</v>
      </c>
      <c r="E76" s="14" t="n">
        <v>96</v>
      </c>
      <c r="F76" s="14" t="n">
        <v>3</v>
      </c>
      <c r="G76" s="14" t="n">
        <v>1378</v>
      </c>
      <c r="H76" s="14" t="n">
        <v>4363</v>
      </c>
      <c r="I76" s="14" t="n">
        <v>46</v>
      </c>
      <c r="J76" s="14" t="n">
        <v>26</v>
      </c>
      <c r="K76" s="14" t="n">
        <v>0.4</v>
      </c>
      <c r="L76" s="14" t="n">
        <v>69928</v>
      </c>
      <c r="M76" s="14" t="n">
        <v>317</v>
      </c>
    </row>
    <row r="77" customFormat="false" ht="15.75" hidden="false" customHeight="false" outlineLevel="0" collapsed="false">
      <c r="A77" s="0" t="s">
        <v>47</v>
      </c>
      <c r="B77" s="1" t="n">
        <v>43937</v>
      </c>
      <c r="C77" s="14" t="n">
        <v>6383</v>
      </c>
      <c r="D77" s="14" t="n">
        <v>546</v>
      </c>
      <c r="E77" s="14" t="n">
        <v>111</v>
      </c>
      <c r="F77" s="14" t="n">
        <v>15</v>
      </c>
      <c r="G77" s="14" t="n">
        <v>1446</v>
      </c>
      <c r="H77" s="14" t="n">
        <v>4826</v>
      </c>
      <c r="I77" s="14" t="n">
        <v>46</v>
      </c>
      <c r="J77" s="14" t="n">
        <v>29</v>
      </c>
      <c r="K77" s="14" t="n">
        <v>0.5</v>
      </c>
      <c r="L77" s="14" t="n">
        <v>73439</v>
      </c>
      <c r="M77" s="14" t="n">
        <v>332</v>
      </c>
    </row>
    <row r="78" customFormat="false" ht="15.75" hidden="false" customHeight="false" outlineLevel="0" collapsed="false">
      <c r="A78" s="0" t="s">
        <v>47</v>
      </c>
      <c r="B78" s="1" t="n">
        <v>43938</v>
      </c>
      <c r="C78" s="14" t="n">
        <v>6919</v>
      </c>
      <c r="D78" s="14" t="n">
        <v>536</v>
      </c>
      <c r="E78" s="14" t="n">
        <v>128</v>
      </c>
      <c r="F78" s="14" t="n">
        <v>17</v>
      </c>
      <c r="G78" s="14" t="n">
        <v>1645</v>
      </c>
      <c r="H78" s="14" t="n">
        <v>5146</v>
      </c>
      <c r="I78" s="14" t="n">
        <v>46</v>
      </c>
      <c r="J78" s="14" t="n">
        <v>31</v>
      </c>
      <c r="K78" s="14" t="n">
        <v>0.6</v>
      </c>
      <c r="L78" s="14" t="n">
        <v>78979</v>
      </c>
      <c r="M78" s="14" t="n">
        <v>358</v>
      </c>
    </row>
    <row r="79" customFormat="false" ht="15.75" hidden="false" customHeight="false" outlineLevel="0" collapsed="false">
      <c r="A79" s="0" t="s">
        <v>47</v>
      </c>
      <c r="B79" s="1" t="n">
        <v>43939</v>
      </c>
      <c r="C79" s="14" t="n">
        <v>7025</v>
      </c>
      <c r="D79" s="14" t="n">
        <v>106</v>
      </c>
      <c r="E79" s="14" t="n">
        <v>135</v>
      </c>
      <c r="F79" s="14" t="n">
        <v>7</v>
      </c>
      <c r="G79" s="14" t="n">
        <v>1765</v>
      </c>
      <c r="H79" s="14" t="n">
        <v>5125</v>
      </c>
      <c r="I79" s="14" t="n">
        <v>46</v>
      </c>
      <c r="J79" s="14" t="n">
        <v>32</v>
      </c>
      <c r="K79" s="14" t="n">
        <v>0.6</v>
      </c>
      <c r="L79" s="14" t="n">
        <v>84704</v>
      </c>
      <c r="M79" s="14" t="n">
        <v>383</v>
      </c>
    </row>
    <row r="80" customFormat="false" ht="15.75" hidden="false" customHeight="false" outlineLevel="0" collapsed="false">
      <c r="A80" s="0" t="s">
        <v>47</v>
      </c>
      <c r="B80" s="1" t="n">
        <v>43940</v>
      </c>
      <c r="C80" s="14" t="n">
        <v>7638</v>
      </c>
      <c r="D80" s="14" t="n">
        <v>613</v>
      </c>
      <c r="E80" s="14" t="n">
        <v>143</v>
      </c>
      <c r="F80" s="14" t="n">
        <v>8</v>
      </c>
      <c r="G80" s="14" t="n">
        <v>1832</v>
      </c>
      <c r="H80" s="14" t="n">
        <v>5663</v>
      </c>
      <c r="I80" s="14" t="n">
        <v>46</v>
      </c>
      <c r="J80" s="14" t="n">
        <v>35</v>
      </c>
      <c r="K80" s="14" t="n">
        <v>0.6</v>
      </c>
      <c r="L80" s="14" t="n">
        <v>92548</v>
      </c>
      <c r="M80" s="14" t="n">
        <v>419</v>
      </c>
    </row>
    <row r="81" customFormat="false" ht="15.75" hidden="false" customHeight="false" outlineLevel="0" collapsed="false">
      <c r="A81" s="0" t="s">
        <v>47</v>
      </c>
      <c r="B81" s="1" t="n">
        <v>43941</v>
      </c>
      <c r="C81" s="14" t="n">
        <v>8348</v>
      </c>
      <c r="D81" s="14" t="n">
        <v>710</v>
      </c>
      <c r="E81" s="14" t="n">
        <v>168</v>
      </c>
      <c r="F81" s="14" t="n">
        <v>25</v>
      </c>
      <c r="G81" s="14" t="n">
        <v>1868</v>
      </c>
      <c r="H81" s="14" t="n">
        <v>6312</v>
      </c>
      <c r="I81" s="14" t="n">
        <v>46</v>
      </c>
      <c r="J81" s="14" t="n">
        <v>38</v>
      </c>
      <c r="K81" s="14" t="n">
        <v>0.8</v>
      </c>
      <c r="L81" s="14" t="n">
        <v>98522</v>
      </c>
      <c r="M81" s="14" t="n">
        <v>446</v>
      </c>
    </row>
    <row r="82" customFormat="false" ht="15.75" hidden="false" customHeight="false" outlineLevel="0" collapsed="false">
      <c r="A82" s="0" t="s">
        <v>47</v>
      </c>
      <c r="B82" s="1" t="n">
        <v>43942</v>
      </c>
      <c r="C82" s="6" t="n">
        <v>8418</v>
      </c>
      <c r="D82" s="6" t="n">
        <v>70</v>
      </c>
      <c r="E82" s="6" t="n">
        <v>176</v>
      </c>
      <c r="F82" s="6" t="n">
        <v>8</v>
      </c>
      <c r="G82" s="6" t="n">
        <v>1970</v>
      </c>
      <c r="H82" s="6" t="n">
        <v>6272</v>
      </c>
      <c r="I82" s="6" t="n">
        <v>46</v>
      </c>
      <c r="J82" s="6" t="n">
        <v>38</v>
      </c>
      <c r="K82" s="6" t="n">
        <v>0.8</v>
      </c>
      <c r="L82" s="6" t="n">
        <v>104302</v>
      </c>
      <c r="M82" s="6" t="n">
        <v>472</v>
      </c>
    </row>
    <row r="83" customFormat="false" ht="15.75" hidden="false" customHeight="false" outlineLevel="0" collapsed="false">
      <c r="A83" s="0" t="s">
        <v>47</v>
      </c>
      <c r="B83" s="1" t="n">
        <v>43943</v>
      </c>
      <c r="C83" s="6" t="n">
        <v>9565</v>
      </c>
      <c r="D83" s="6" t="n">
        <v>1147</v>
      </c>
      <c r="E83" s="6" t="n">
        <v>201</v>
      </c>
      <c r="F83" s="6" t="n">
        <v>25</v>
      </c>
      <c r="G83" s="6" t="n">
        <v>2073</v>
      </c>
      <c r="H83" s="6" t="n">
        <v>7291</v>
      </c>
      <c r="I83" s="6" t="n">
        <v>46</v>
      </c>
      <c r="J83" s="6" t="n">
        <v>43</v>
      </c>
      <c r="K83" s="6" t="n">
        <v>0.9</v>
      </c>
      <c r="L83" s="6" t="n">
        <v>111806</v>
      </c>
      <c r="M83" s="6" t="n">
        <v>506</v>
      </c>
    </row>
    <row r="84" customFormat="false" ht="15.75" hidden="false" customHeight="false" outlineLevel="0" collapsed="false">
      <c r="A84" s="0" t="s">
        <v>47</v>
      </c>
      <c r="B84" s="1" t="n">
        <v>43944</v>
      </c>
      <c r="C84" s="6" t="n">
        <v>10076</v>
      </c>
      <c r="D84" s="6" t="n">
        <v>511</v>
      </c>
      <c r="E84" s="6" t="n">
        <v>212</v>
      </c>
      <c r="F84" s="6" t="n">
        <v>11</v>
      </c>
      <c r="G84" s="6" t="n">
        <v>2156</v>
      </c>
      <c r="H84" s="6" t="n">
        <v>7708</v>
      </c>
      <c r="I84" s="6" t="n">
        <v>58</v>
      </c>
      <c r="J84" s="6" t="n">
        <v>46</v>
      </c>
      <c r="K84" s="6" t="n">
        <v>1</v>
      </c>
      <c r="L84" s="6" t="n">
        <v>118020</v>
      </c>
      <c r="M84" s="6" t="n">
        <v>534</v>
      </c>
    </row>
    <row r="85" customFormat="false" ht="15.75" hidden="false" customHeight="false" outlineLevel="0" collapsed="false">
      <c r="A85" s="0" t="s">
        <v>47</v>
      </c>
      <c r="B85" s="1" t="n">
        <v>43945</v>
      </c>
      <c r="C85" s="6" t="n">
        <v>11057</v>
      </c>
      <c r="D85" s="6" t="n">
        <v>981</v>
      </c>
      <c r="E85" s="6" t="n">
        <v>235</v>
      </c>
      <c r="F85" s="6" t="n">
        <v>23</v>
      </c>
      <c r="G85" s="6" t="n">
        <v>2337</v>
      </c>
      <c r="H85" s="6" t="n">
        <v>8485</v>
      </c>
      <c r="I85" s="6" t="n">
        <v>60</v>
      </c>
      <c r="J85" s="6" t="n">
        <v>50</v>
      </c>
      <c r="K85" s="6" t="n">
        <v>1</v>
      </c>
      <c r="L85" s="6" t="n">
        <v>124549</v>
      </c>
      <c r="M85" s="6" t="n">
        <v>564</v>
      </c>
    </row>
    <row r="86" customFormat="false" ht="15.75" hidden="false" customHeight="false" outlineLevel="0" collapsed="false">
      <c r="A86" s="0" t="s">
        <v>47</v>
      </c>
      <c r="B86" s="1" t="n">
        <v>43946</v>
      </c>
      <c r="C86" s="6" t="n">
        <v>11940</v>
      </c>
      <c r="D86" s="6" t="n">
        <v>883</v>
      </c>
      <c r="E86" s="6" t="n">
        <v>253</v>
      </c>
      <c r="F86" s="6" t="n">
        <v>18</v>
      </c>
      <c r="G86" s="6" t="n">
        <v>2755</v>
      </c>
      <c r="H86" s="6" t="n">
        <v>8932</v>
      </c>
      <c r="I86" s="6" t="n">
        <v>111</v>
      </c>
      <c r="J86" s="6" t="n">
        <v>54</v>
      </c>
      <c r="K86" s="6" t="n">
        <v>1</v>
      </c>
      <c r="L86" s="6" t="n">
        <v>131365</v>
      </c>
      <c r="M86" s="6" t="n">
        <v>595</v>
      </c>
    </row>
    <row r="87" customFormat="false" ht="15.75" hidden="false" customHeight="false" outlineLevel="0" collapsed="false">
      <c r="A87" s="0" t="s">
        <v>47</v>
      </c>
      <c r="B87" s="1" t="n">
        <v>43947</v>
      </c>
      <c r="C87" s="6" t="n">
        <v>12644</v>
      </c>
      <c r="D87" s="6" t="n">
        <v>704</v>
      </c>
      <c r="E87" s="6" t="n">
        <v>268</v>
      </c>
      <c r="F87" s="6" t="n">
        <v>15</v>
      </c>
      <c r="G87" s="6" t="n">
        <v>2755</v>
      </c>
      <c r="H87" s="6" t="n">
        <v>9621</v>
      </c>
      <c r="I87" s="6" t="n">
        <v>111</v>
      </c>
      <c r="J87" s="6" t="n">
        <v>57</v>
      </c>
      <c r="K87" s="6" t="n">
        <v>1</v>
      </c>
      <c r="L87" s="6" t="n">
        <v>138147</v>
      </c>
      <c r="M87" s="6" t="n">
        <v>625</v>
      </c>
    </row>
    <row r="88" customFormat="false" ht="15.75" hidden="false" customHeight="false" outlineLevel="0" collapsed="false">
      <c r="A88" s="0" t="s">
        <v>47</v>
      </c>
      <c r="B88" s="1" t="n">
        <v>43948</v>
      </c>
      <c r="C88" s="6" t="n">
        <v>13328</v>
      </c>
      <c r="D88" s="6" t="n">
        <v>684</v>
      </c>
      <c r="E88" s="6" t="n">
        <v>281</v>
      </c>
      <c r="F88" s="6" t="n">
        <v>13</v>
      </c>
      <c r="G88" s="6" t="n">
        <v>2936</v>
      </c>
      <c r="H88" s="6" t="n">
        <v>10111</v>
      </c>
      <c r="I88" s="6" t="n">
        <v>111</v>
      </c>
      <c r="J88" s="6" t="n">
        <v>60</v>
      </c>
      <c r="K88" s="6" t="n">
        <v>1</v>
      </c>
      <c r="L88" s="6" t="n">
        <v>144365</v>
      </c>
      <c r="M88" s="6" t="n">
        <v>654</v>
      </c>
    </row>
    <row r="89" customFormat="false" ht="13.5" hidden="false" customHeight="false" outlineLevel="0" collapsed="false">
      <c r="A89" s="0" t="s">
        <v>47</v>
      </c>
      <c r="B89" s="1" t="n">
        <v>43949</v>
      </c>
      <c r="C89" s="2" t="n">
        <v>13915</v>
      </c>
      <c r="D89" s="2" t="n">
        <v>587</v>
      </c>
      <c r="E89" s="2" t="n">
        <v>292</v>
      </c>
      <c r="F89" s="2" t="n">
        <v>11</v>
      </c>
      <c r="G89" s="2" t="n">
        <v>3029</v>
      </c>
      <c r="H89" s="2" t="n">
        <v>10594</v>
      </c>
      <c r="I89" s="2" t="n">
        <v>111</v>
      </c>
      <c r="J89" s="2" t="n">
        <v>63</v>
      </c>
      <c r="K89" s="2" t="n">
        <v>1</v>
      </c>
      <c r="L89" s="2" t="n">
        <v>150756</v>
      </c>
      <c r="M89" s="2" t="n">
        <v>682</v>
      </c>
    </row>
    <row r="90" customFormat="false" ht="13.5" hidden="false" customHeight="false" outlineLevel="0" collapsed="false">
      <c r="A90" s="0" t="s">
        <v>47</v>
      </c>
      <c r="B90" s="1" t="n">
        <v>43950</v>
      </c>
      <c r="C90" s="2" t="n">
        <v>14612</v>
      </c>
      <c r="D90" s="2" t="n">
        <v>697</v>
      </c>
      <c r="E90" s="2" t="n">
        <v>312</v>
      </c>
      <c r="F90" s="2" t="n">
        <v>20</v>
      </c>
      <c r="G90" s="2" t="n">
        <v>3233</v>
      </c>
      <c r="H90" s="2" t="n">
        <v>11067</v>
      </c>
      <c r="I90" s="2" t="n">
        <v>111</v>
      </c>
      <c r="J90" s="2" t="n">
        <v>66</v>
      </c>
      <c r="K90" s="2" t="n">
        <v>1</v>
      </c>
      <c r="L90" s="2" t="n">
        <v>157223</v>
      </c>
      <c r="M90" s="2" t="n">
        <v>712</v>
      </c>
    </row>
    <row r="91" customFormat="false" ht="13.5" hidden="false" customHeight="false" outlineLevel="0" collapsed="false">
      <c r="A91" s="0" t="s">
        <v>47</v>
      </c>
      <c r="B91" s="1" t="n">
        <v>43951</v>
      </c>
      <c r="C91" s="2" t="n">
        <v>15525</v>
      </c>
      <c r="D91" s="2" t="n">
        <v>913</v>
      </c>
      <c r="E91" s="2" t="n">
        <v>343</v>
      </c>
      <c r="F91" s="2" t="n">
        <v>31</v>
      </c>
      <c r="G91" s="2" t="n">
        <v>3425</v>
      </c>
      <c r="H91" s="2" t="n">
        <v>11757</v>
      </c>
      <c r="I91" s="2" t="n">
        <v>111</v>
      </c>
      <c r="J91" s="2" t="n">
        <v>70</v>
      </c>
      <c r="K91" s="2" t="n">
        <v>2</v>
      </c>
      <c r="L91" s="2" t="n">
        <v>165911</v>
      </c>
      <c r="M91" s="2" t="n">
        <v>751</v>
      </c>
    </row>
    <row r="92" customFormat="false" ht="14.25" hidden="false" customHeight="false" outlineLevel="0" collapsed="false">
      <c r="A92" s="0" t="s">
        <v>47</v>
      </c>
      <c r="B92" s="1" t="n">
        <v>43952</v>
      </c>
      <c r="C92" s="2" t="n">
        <v>16473</v>
      </c>
      <c r="D92" s="2" t="n">
        <v>948</v>
      </c>
      <c r="E92" s="2" t="n">
        <v>361</v>
      </c>
      <c r="F92" s="2" t="n">
        <v>18</v>
      </c>
      <c r="G92" s="2" t="n">
        <v>4105</v>
      </c>
      <c r="H92" s="2" t="n">
        <v>12007</v>
      </c>
      <c r="I92" s="2" t="n">
        <v>111</v>
      </c>
      <c r="J92" s="2" t="n">
        <v>75</v>
      </c>
      <c r="K92" s="2" t="n">
        <v>2</v>
      </c>
      <c r="L92" s="2" t="n">
        <v>174160</v>
      </c>
      <c r="M92" s="2" t="n">
        <v>788</v>
      </c>
    </row>
    <row r="93" customFormat="false" ht="15.75" hidden="false" customHeight="false" outlineLevel="0" collapsed="false">
      <c r="A93" s="0" t="s">
        <v>47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47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47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47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47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47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47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47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47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47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47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47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47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47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47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47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47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47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47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47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47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47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47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47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47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47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47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47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47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47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47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47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47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47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47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47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47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47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47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47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47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47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47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47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47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47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47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47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47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47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47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47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47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47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47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47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47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47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47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47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47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47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47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47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47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47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47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47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47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47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47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47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47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47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47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47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47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47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47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47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47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47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47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47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47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47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47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47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47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47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47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47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47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47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47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48</v>
      </c>
      <c r="B37" s="1" t="n">
        <v>43897</v>
      </c>
      <c r="C37" s="8" t="n">
        <v>6</v>
      </c>
      <c r="D37" s="8"/>
      <c r="E37" s="8"/>
      <c r="F37" s="8"/>
      <c r="G37" s="8" t="n">
        <v>1</v>
      </c>
      <c r="H37" s="8" t="n">
        <v>5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48</v>
      </c>
      <c r="B38" s="1" t="n">
        <v>43898</v>
      </c>
      <c r="C38" s="6" t="n">
        <v>6</v>
      </c>
      <c r="D38" s="6"/>
      <c r="E38" s="6"/>
      <c r="F38" s="6"/>
      <c r="G38" s="6" t="n">
        <v>1</v>
      </c>
      <c r="H38" s="6" t="n">
        <v>5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48</v>
      </c>
      <c r="B39" s="1" t="n">
        <v>43899</v>
      </c>
      <c r="C39" s="6" t="n">
        <v>7</v>
      </c>
      <c r="D39" s="6" t="n">
        <v>1</v>
      </c>
      <c r="E39" s="6"/>
      <c r="F39" s="6"/>
      <c r="G39" s="6" t="n">
        <v>1</v>
      </c>
      <c r="H39" s="6" t="n">
        <v>6</v>
      </c>
      <c r="I39" s="6" t="n">
        <v>1</v>
      </c>
      <c r="J39" s="6" t="n">
        <v>0.1</v>
      </c>
      <c r="K39" s="6"/>
      <c r="L39" s="6"/>
      <c r="M39" s="6"/>
    </row>
    <row r="40" customFormat="false" ht="15.75" hidden="false" customHeight="false" outlineLevel="0" collapsed="false">
      <c r="A40" s="0" t="s">
        <v>48</v>
      </c>
      <c r="B40" s="1" t="n">
        <v>43900</v>
      </c>
      <c r="C40" s="6" t="n">
        <v>7</v>
      </c>
      <c r="D40" s="6" t="n">
        <v>0</v>
      </c>
      <c r="E40" s="6"/>
      <c r="F40" s="6"/>
      <c r="G40" s="6" t="n">
        <v>1</v>
      </c>
      <c r="H40" s="6" t="n">
        <v>6</v>
      </c>
      <c r="I40" s="6" t="n">
        <v>1</v>
      </c>
      <c r="J40" s="6" t="n">
        <v>0.1</v>
      </c>
      <c r="K40" s="6"/>
      <c r="L40" s="6"/>
      <c r="M40" s="6"/>
    </row>
    <row r="41" customFormat="false" ht="15.75" hidden="false" customHeight="false" outlineLevel="0" collapsed="false">
      <c r="A41" s="0" t="s">
        <v>48</v>
      </c>
      <c r="B41" s="1" t="n">
        <v>43901</v>
      </c>
      <c r="C41" s="6" t="n">
        <v>7</v>
      </c>
      <c r="D41" s="6" t="n">
        <v>0</v>
      </c>
      <c r="E41" s="6"/>
      <c r="F41" s="6"/>
      <c r="G41" s="6" t="n">
        <v>4</v>
      </c>
      <c r="H41" s="6" t="n">
        <v>3</v>
      </c>
      <c r="I41" s="6" t="n">
        <v>1</v>
      </c>
      <c r="J41" s="6" t="n">
        <v>0.1</v>
      </c>
      <c r="K41" s="6"/>
      <c r="L41" s="6"/>
      <c r="M41" s="6"/>
    </row>
    <row r="42" customFormat="false" ht="15.75" hidden="false" customHeight="false" outlineLevel="0" collapsed="false">
      <c r="A42" s="0" t="s">
        <v>48</v>
      </c>
      <c r="B42" s="1" t="n">
        <v>43902</v>
      </c>
      <c r="C42" s="6" t="n">
        <v>8</v>
      </c>
      <c r="D42" s="6" t="n">
        <v>1</v>
      </c>
      <c r="E42" s="6"/>
      <c r="F42" s="6"/>
      <c r="G42" s="6" t="n">
        <v>4</v>
      </c>
      <c r="H42" s="6" t="n">
        <v>4</v>
      </c>
      <c r="I42" s="6" t="n">
        <v>1</v>
      </c>
      <c r="J42" s="6" t="n">
        <v>0.1</v>
      </c>
      <c r="K42" s="6"/>
      <c r="L42" s="6"/>
      <c r="M42" s="6"/>
    </row>
    <row r="43" customFormat="false" ht="15.75" hidden="false" customHeight="false" outlineLevel="0" collapsed="false">
      <c r="A43" s="0" t="s">
        <v>48</v>
      </c>
      <c r="B43" s="1" t="n">
        <v>43903</v>
      </c>
      <c r="C43" s="6" t="n">
        <v>12</v>
      </c>
      <c r="D43" s="6" t="n">
        <v>4</v>
      </c>
      <c r="E43" s="6"/>
      <c r="F43" s="6"/>
      <c r="G43" s="6" t="n">
        <v>4</v>
      </c>
      <c r="H43" s="6" t="n">
        <v>8</v>
      </c>
      <c r="I43" s="6" t="n">
        <v>1</v>
      </c>
      <c r="J43" s="6" t="n">
        <v>0.1</v>
      </c>
      <c r="K43" s="6"/>
      <c r="L43" s="6"/>
      <c r="M43" s="6"/>
    </row>
    <row r="44" customFormat="false" ht="15.75" hidden="false" customHeight="false" outlineLevel="0" collapsed="false">
      <c r="A44" s="0" t="s">
        <v>48</v>
      </c>
      <c r="B44" s="1" t="n">
        <v>43904</v>
      </c>
      <c r="C44" s="6" t="n">
        <v>12</v>
      </c>
      <c r="D44" s="6" t="n">
        <v>0</v>
      </c>
      <c r="E44" s="6"/>
      <c r="F44" s="6"/>
      <c r="G44" s="6" t="n">
        <v>4</v>
      </c>
      <c r="H44" s="6" t="n">
        <v>8</v>
      </c>
      <c r="I44" s="6" t="n">
        <v>1</v>
      </c>
      <c r="J44" s="6" t="n">
        <v>0.1</v>
      </c>
      <c r="K44" s="6"/>
      <c r="L44" s="6"/>
      <c r="M44" s="6"/>
    </row>
    <row r="45" customFormat="false" ht="15.75" hidden="false" customHeight="false" outlineLevel="0" collapsed="false">
      <c r="A45" s="0" t="s">
        <v>48</v>
      </c>
      <c r="B45" s="1" t="n">
        <v>43905</v>
      </c>
      <c r="C45" s="6" t="n">
        <v>26</v>
      </c>
      <c r="D45" s="6" t="n">
        <v>14</v>
      </c>
      <c r="E45" s="6"/>
      <c r="F45" s="6"/>
      <c r="G45" s="6" t="n">
        <v>4</v>
      </c>
      <c r="H45" s="6" t="n">
        <v>22</v>
      </c>
      <c r="I45" s="6" t="n">
        <v>1</v>
      </c>
      <c r="J45" s="6" t="n">
        <v>0.2</v>
      </c>
      <c r="K45" s="6"/>
      <c r="L45" s="6"/>
      <c r="M45" s="6"/>
    </row>
    <row r="46" customFormat="false" ht="15.75" hidden="false" customHeight="false" outlineLevel="0" collapsed="false">
      <c r="A46" s="0" t="s">
        <v>48</v>
      </c>
      <c r="B46" s="1" t="n">
        <v>43906</v>
      </c>
      <c r="C46" s="6" t="n">
        <v>43</v>
      </c>
      <c r="D46" s="6" t="n">
        <v>17</v>
      </c>
      <c r="E46" s="6"/>
      <c r="F46" s="6"/>
      <c r="G46" s="6" t="n">
        <v>4</v>
      </c>
      <c r="H46" s="6" t="n">
        <v>39</v>
      </c>
      <c r="I46" s="6" t="n">
        <v>1</v>
      </c>
      <c r="J46" s="6" t="n">
        <v>0.3</v>
      </c>
      <c r="K46" s="6"/>
      <c r="L46" s="6"/>
      <c r="M46" s="6"/>
    </row>
    <row r="47" customFormat="false" ht="15.75" hidden="false" customHeight="false" outlineLevel="0" collapsed="false">
      <c r="A47" s="0" t="s">
        <v>48</v>
      </c>
      <c r="B47" s="1" t="n">
        <v>43907</v>
      </c>
      <c r="C47" s="6" t="n">
        <v>53</v>
      </c>
      <c r="D47" s="6" t="n">
        <v>10</v>
      </c>
      <c r="E47" s="6"/>
      <c r="F47" s="6"/>
      <c r="G47" s="6" t="n">
        <v>4</v>
      </c>
      <c r="H47" s="6" t="n">
        <v>49</v>
      </c>
      <c r="I47" s="6" t="n">
        <v>1</v>
      </c>
      <c r="J47" s="6" t="n">
        <v>0.4</v>
      </c>
      <c r="K47" s="6"/>
      <c r="L47" s="6"/>
      <c r="M47" s="6"/>
    </row>
    <row r="48" customFormat="false" ht="15.75" hidden="false" customHeight="false" outlineLevel="0" collapsed="false">
      <c r="A48" s="0" t="s">
        <v>48</v>
      </c>
      <c r="B48" s="1" t="n">
        <v>43908</v>
      </c>
      <c r="C48" s="6" t="n">
        <v>82</v>
      </c>
      <c r="D48" s="6" t="n">
        <v>29</v>
      </c>
      <c r="E48" s="6"/>
      <c r="F48" s="6"/>
      <c r="G48" s="6" t="n">
        <v>4</v>
      </c>
      <c r="H48" s="6" t="n">
        <v>78</v>
      </c>
      <c r="I48" s="6" t="n">
        <v>1</v>
      </c>
      <c r="J48" s="6" t="n">
        <v>0.6</v>
      </c>
      <c r="K48" s="6"/>
      <c r="L48" s="6"/>
      <c r="M48" s="6"/>
    </row>
    <row r="49" customFormat="false" ht="15.75" hidden="false" customHeight="false" outlineLevel="0" collapsed="false">
      <c r="A49" s="0" t="s">
        <v>48</v>
      </c>
      <c r="B49" s="1" t="n">
        <v>43909</v>
      </c>
      <c r="C49" s="6" t="n">
        <v>93</v>
      </c>
      <c r="D49" s="6" t="n">
        <v>11</v>
      </c>
      <c r="E49" s="6"/>
      <c r="F49" s="6"/>
      <c r="G49" s="6" t="n">
        <v>4</v>
      </c>
      <c r="H49" s="6" t="n">
        <v>89</v>
      </c>
      <c r="I49" s="6" t="n">
        <v>1</v>
      </c>
      <c r="J49" s="6" t="n">
        <v>0.7</v>
      </c>
      <c r="K49" s="6"/>
      <c r="L49" s="6"/>
      <c r="M49" s="6"/>
    </row>
    <row r="50" customFormat="false" ht="15.75" hidden="false" customHeight="false" outlineLevel="0" collapsed="false">
      <c r="A50" s="0" t="s">
        <v>48</v>
      </c>
      <c r="B50" s="1" t="n">
        <v>43910</v>
      </c>
      <c r="C50" s="6" t="n">
        <v>118</v>
      </c>
      <c r="D50" s="6" t="n">
        <v>25</v>
      </c>
      <c r="E50" s="6" t="n">
        <v>1</v>
      </c>
      <c r="F50" s="6" t="n">
        <v>1</v>
      </c>
      <c r="G50" s="6" t="n">
        <v>4</v>
      </c>
      <c r="H50" s="6" t="n">
        <v>113</v>
      </c>
      <c r="I50" s="6" t="n">
        <v>1</v>
      </c>
      <c r="J50" s="6" t="n">
        <v>0.9</v>
      </c>
      <c r="K50" s="6"/>
      <c r="L50" s="6"/>
      <c r="M50" s="6"/>
    </row>
    <row r="51" customFormat="false" ht="15.75" hidden="false" customHeight="false" outlineLevel="0" collapsed="false">
      <c r="A51" s="0" t="s">
        <v>48</v>
      </c>
      <c r="B51" s="1" t="n">
        <v>43911</v>
      </c>
      <c r="C51" s="6" t="n">
        <v>203</v>
      </c>
      <c r="D51" s="6" t="n">
        <v>85</v>
      </c>
      <c r="E51" s="6" t="n">
        <v>2</v>
      </c>
      <c r="F51" s="6" t="n">
        <v>1</v>
      </c>
      <c r="G51" s="6" t="n">
        <v>4</v>
      </c>
      <c r="H51" s="6" t="n">
        <v>197</v>
      </c>
      <c r="I51" s="6" t="n">
        <v>1</v>
      </c>
      <c r="J51" s="6" t="n">
        <v>2</v>
      </c>
      <c r="K51" s="6"/>
      <c r="L51" s="6"/>
      <c r="M51" s="6"/>
    </row>
    <row r="52" customFormat="false" ht="15.75" hidden="false" customHeight="false" outlineLevel="0" collapsed="false">
      <c r="A52" s="0" t="s">
        <v>48</v>
      </c>
      <c r="B52" s="1" t="n">
        <v>43912</v>
      </c>
      <c r="C52" s="6" t="n">
        <v>203</v>
      </c>
      <c r="D52" s="6" t="n">
        <v>0</v>
      </c>
      <c r="E52" s="6" t="n">
        <v>2</v>
      </c>
      <c r="F52" s="6" t="n">
        <v>0</v>
      </c>
      <c r="G52" s="6" t="n">
        <v>4</v>
      </c>
      <c r="H52" s="6" t="n">
        <v>197</v>
      </c>
      <c r="I52" s="6" t="n">
        <v>1</v>
      </c>
      <c r="J52" s="6" t="n">
        <v>2</v>
      </c>
      <c r="K52" s="6"/>
      <c r="L52" s="6"/>
      <c r="M52" s="6"/>
    </row>
    <row r="53" customFormat="false" ht="15.75" hidden="false" customHeight="false" outlineLevel="0" collapsed="false">
      <c r="A53" s="0" t="s">
        <v>48</v>
      </c>
      <c r="B53" s="1" t="n">
        <v>43913</v>
      </c>
      <c r="C53" s="6" t="n">
        <v>251</v>
      </c>
      <c r="D53" s="6" t="n">
        <v>48</v>
      </c>
      <c r="E53" s="6" t="n">
        <v>2</v>
      </c>
      <c r="F53" s="6" t="n">
        <v>0</v>
      </c>
      <c r="G53" s="6" t="n">
        <v>4</v>
      </c>
      <c r="H53" s="6" t="n">
        <v>245</v>
      </c>
      <c r="I53" s="6" t="n">
        <v>1</v>
      </c>
      <c r="J53" s="6" t="n">
        <v>2</v>
      </c>
      <c r="K53" s="6"/>
      <c r="L53" s="6"/>
      <c r="M53" s="6"/>
    </row>
    <row r="54" customFormat="false" ht="15.75" hidden="false" customHeight="false" outlineLevel="0" collapsed="false">
      <c r="A54" s="0" t="s">
        <v>48</v>
      </c>
      <c r="B54" s="1" t="n">
        <v>43914</v>
      </c>
      <c r="C54" s="6" t="n">
        <v>316</v>
      </c>
      <c r="D54" s="6" t="n">
        <v>65</v>
      </c>
      <c r="E54" s="6" t="n">
        <v>3</v>
      </c>
      <c r="F54" s="6" t="n">
        <v>1</v>
      </c>
      <c r="G54" s="6" t="n">
        <v>4</v>
      </c>
      <c r="H54" s="6" t="n">
        <v>309</v>
      </c>
      <c r="I54" s="6" t="n">
        <v>1</v>
      </c>
      <c r="J54" s="6" t="n">
        <v>2</v>
      </c>
      <c r="K54" s="6"/>
      <c r="L54" s="6"/>
      <c r="M54" s="6"/>
    </row>
    <row r="55" customFormat="false" ht="15.75" hidden="false" customHeight="false" outlineLevel="0" collapsed="false">
      <c r="A55" s="0" t="s">
        <v>48</v>
      </c>
      <c r="B55" s="1" t="n">
        <v>43915</v>
      </c>
      <c r="C55" s="7" t="n">
        <v>367</v>
      </c>
      <c r="D55" s="7" t="n">
        <v>51</v>
      </c>
      <c r="E55" s="7" t="n">
        <v>4</v>
      </c>
      <c r="F55" s="7" t="n">
        <v>1</v>
      </c>
      <c r="G55" s="7" t="n">
        <v>4</v>
      </c>
      <c r="H55" s="7" t="n">
        <v>359</v>
      </c>
      <c r="I55" s="7" t="n">
        <v>1</v>
      </c>
      <c r="J55" s="7" t="n">
        <v>3</v>
      </c>
      <c r="K55" s="25" t="n">
        <v>0.03</v>
      </c>
      <c r="L55" s="7"/>
      <c r="M55" s="7"/>
    </row>
    <row r="56" customFormat="false" ht="15.75" hidden="false" customHeight="false" outlineLevel="0" collapsed="false">
      <c r="A56" s="0" t="s">
        <v>48</v>
      </c>
      <c r="B56" s="1" t="n">
        <v>43916</v>
      </c>
      <c r="C56" s="7" t="n">
        <v>405</v>
      </c>
      <c r="D56" s="7" t="n">
        <v>38</v>
      </c>
      <c r="E56" s="7" t="n">
        <v>5</v>
      </c>
      <c r="F56" s="7" t="n">
        <v>1</v>
      </c>
      <c r="G56" s="7" t="n">
        <v>4</v>
      </c>
      <c r="H56" s="7" t="n">
        <v>396</v>
      </c>
      <c r="I56" s="7" t="n">
        <v>1</v>
      </c>
      <c r="J56" s="7" t="n">
        <v>3</v>
      </c>
      <c r="K56" s="25" t="n">
        <v>0.04</v>
      </c>
      <c r="L56" s="7"/>
      <c r="M56" s="7"/>
    </row>
    <row r="57" customFormat="false" ht="15.75" hidden="false" customHeight="false" outlineLevel="0" collapsed="false">
      <c r="A57" s="0" t="s">
        <v>48</v>
      </c>
      <c r="B57" s="1" t="n">
        <v>43917</v>
      </c>
      <c r="C57" s="7" t="n">
        <v>475</v>
      </c>
      <c r="D57" s="7" t="n">
        <v>70</v>
      </c>
      <c r="E57" s="7" t="n">
        <v>6</v>
      </c>
      <c r="F57" s="7" t="n">
        <v>1</v>
      </c>
      <c r="G57" s="7" t="n">
        <v>4</v>
      </c>
      <c r="H57" s="7" t="n">
        <v>465</v>
      </c>
      <c r="I57" s="7" t="n">
        <v>1</v>
      </c>
      <c r="J57" s="7" t="n">
        <v>4</v>
      </c>
      <c r="K57" s="25" t="n">
        <v>0.05</v>
      </c>
      <c r="L57" s="7"/>
      <c r="M57" s="7"/>
    </row>
    <row r="58" customFormat="false" ht="15.75" hidden="false" customHeight="false" outlineLevel="0" collapsed="false">
      <c r="A58" s="0" t="s">
        <v>48</v>
      </c>
      <c r="B58" s="1" t="n">
        <v>43918</v>
      </c>
      <c r="C58" s="7" t="n">
        <v>585</v>
      </c>
      <c r="D58" s="7" t="n">
        <v>110</v>
      </c>
      <c r="E58" s="7" t="n">
        <v>8</v>
      </c>
      <c r="F58" s="7" t="n">
        <v>2</v>
      </c>
      <c r="G58" s="7" t="n">
        <v>4</v>
      </c>
      <c r="H58" s="7" t="n">
        <v>573</v>
      </c>
      <c r="I58" s="7" t="n">
        <v>1</v>
      </c>
      <c r="J58" s="7" t="n">
        <v>5</v>
      </c>
      <c r="K58" s="25" t="n">
        <v>0.06</v>
      </c>
      <c r="L58" s="7"/>
      <c r="M58" s="7"/>
    </row>
    <row r="59" customFormat="false" ht="15.75" hidden="false" customHeight="false" outlineLevel="0" collapsed="false">
      <c r="A59" s="0" t="s">
        <v>48</v>
      </c>
      <c r="B59" s="1" t="n">
        <v>43919</v>
      </c>
      <c r="C59" s="7" t="n">
        <v>717</v>
      </c>
      <c r="D59" s="7" t="n">
        <v>132</v>
      </c>
      <c r="E59" s="7" t="n">
        <v>12</v>
      </c>
      <c r="F59" s="7" t="n">
        <v>4</v>
      </c>
      <c r="G59" s="7" t="n">
        <v>4</v>
      </c>
      <c r="H59" s="7" t="n">
        <v>701</v>
      </c>
      <c r="I59" s="7" t="n">
        <v>1</v>
      </c>
      <c r="J59" s="7" t="n">
        <v>6</v>
      </c>
      <c r="K59" s="25" t="n">
        <v>0.09</v>
      </c>
      <c r="M59" s="7"/>
    </row>
    <row r="60" customFormat="false" ht="15.75" hidden="false" customHeight="false" outlineLevel="0" collapsed="false">
      <c r="A60" s="0" t="s">
        <v>48</v>
      </c>
      <c r="B60" s="1" t="n">
        <v>43920</v>
      </c>
      <c r="C60" s="7" t="n">
        <v>848</v>
      </c>
      <c r="D60" s="7" t="n">
        <v>131</v>
      </c>
      <c r="E60" s="7" t="n">
        <v>16</v>
      </c>
      <c r="F60" s="7" t="n">
        <v>4</v>
      </c>
      <c r="G60" s="7" t="n">
        <v>4</v>
      </c>
      <c r="H60" s="7" t="n">
        <v>828</v>
      </c>
      <c r="I60" s="7" t="n">
        <v>1</v>
      </c>
      <c r="J60" s="7" t="n">
        <v>7</v>
      </c>
      <c r="K60" s="22" t="n">
        <v>0.1</v>
      </c>
      <c r="M60" s="7"/>
    </row>
    <row r="61" customFormat="false" ht="15.75" hidden="false" customHeight="false" outlineLevel="0" collapsed="false">
      <c r="A61" s="0" t="s">
        <v>48</v>
      </c>
      <c r="B61" s="1" t="n">
        <v>43921</v>
      </c>
      <c r="C61" s="7" t="n">
        <v>993</v>
      </c>
      <c r="D61" s="7" t="n">
        <v>145</v>
      </c>
      <c r="E61" s="7" t="n">
        <v>20</v>
      </c>
      <c r="F61" s="7" t="n">
        <v>4</v>
      </c>
      <c r="G61" s="7" t="n">
        <v>35</v>
      </c>
      <c r="H61" s="7" t="n">
        <v>938</v>
      </c>
      <c r="I61" s="7" t="n">
        <v>1</v>
      </c>
      <c r="J61" s="7" t="n">
        <v>8</v>
      </c>
      <c r="K61" s="22" t="n">
        <v>0.2</v>
      </c>
      <c r="M61" s="7"/>
    </row>
    <row r="62" customFormat="false" ht="15.75" hidden="false" customHeight="false" outlineLevel="0" collapsed="false">
      <c r="A62" s="0" t="s">
        <v>48</v>
      </c>
      <c r="B62" s="1" t="n">
        <v>43922</v>
      </c>
      <c r="C62" s="7" t="n">
        <v>1094</v>
      </c>
      <c r="D62" s="7" t="n">
        <v>101</v>
      </c>
      <c r="E62" s="7" t="n">
        <v>28</v>
      </c>
      <c r="F62" s="7" t="n">
        <v>8</v>
      </c>
      <c r="G62" s="7" t="n">
        <v>35</v>
      </c>
      <c r="H62" s="7" t="n">
        <v>1031</v>
      </c>
      <c r="I62" s="7" t="n">
        <v>1</v>
      </c>
      <c r="J62" s="7" t="n">
        <v>8</v>
      </c>
      <c r="K62" s="22" t="n">
        <v>0.2</v>
      </c>
      <c r="M62" s="7"/>
    </row>
    <row r="63" customFormat="false" ht="15.75" hidden="false" customHeight="false" outlineLevel="0" collapsed="false">
      <c r="A63" s="0" t="s">
        <v>48</v>
      </c>
      <c r="B63" s="1" t="n">
        <v>43923</v>
      </c>
      <c r="C63" s="7" t="n">
        <v>1215</v>
      </c>
      <c r="D63" s="7" t="n">
        <v>121</v>
      </c>
      <c r="E63" s="7" t="n">
        <v>29</v>
      </c>
      <c r="F63" s="7" t="n">
        <v>1</v>
      </c>
      <c r="G63" s="7" t="n">
        <v>35</v>
      </c>
      <c r="H63" s="7" t="n">
        <v>1151</v>
      </c>
      <c r="I63" s="7" t="n">
        <v>1</v>
      </c>
      <c r="J63" s="7" t="n">
        <v>9</v>
      </c>
      <c r="K63" s="22" t="n">
        <v>0.2</v>
      </c>
      <c r="M63" s="7"/>
    </row>
    <row r="64" customFormat="false" ht="15.75" hidden="false" customHeight="false" outlineLevel="0" collapsed="false">
      <c r="A64" s="0" t="s">
        <v>48</v>
      </c>
      <c r="B64" s="1" t="n">
        <v>43924</v>
      </c>
      <c r="C64" s="7" t="n">
        <v>1378</v>
      </c>
      <c r="D64" s="7" t="n">
        <v>163</v>
      </c>
      <c r="E64" s="7" t="n">
        <v>37</v>
      </c>
      <c r="F64" s="7" t="n">
        <v>8</v>
      </c>
      <c r="G64" s="7" t="n">
        <v>35</v>
      </c>
      <c r="H64" s="7" t="n">
        <v>1306</v>
      </c>
      <c r="I64" s="7" t="n">
        <v>1</v>
      </c>
      <c r="J64" s="7" t="n">
        <v>11</v>
      </c>
      <c r="K64" s="22" t="n">
        <v>0.3</v>
      </c>
      <c r="M64" s="7"/>
    </row>
    <row r="65" customFormat="false" ht="15.75" hidden="false" customHeight="false" outlineLevel="0" collapsed="false">
      <c r="A65" s="0" t="s">
        <v>48</v>
      </c>
      <c r="B65" s="1" t="n">
        <v>43925</v>
      </c>
      <c r="C65" s="7" t="n">
        <v>1510</v>
      </c>
      <c r="D65" s="7" t="n">
        <v>132</v>
      </c>
      <c r="E65" s="7" t="n">
        <v>50</v>
      </c>
      <c r="F65" s="7" t="n">
        <v>13</v>
      </c>
      <c r="G65" s="7" t="n">
        <v>633</v>
      </c>
      <c r="H65" s="7" t="n">
        <v>827</v>
      </c>
      <c r="I65" s="7" t="n">
        <v>1</v>
      </c>
      <c r="J65" s="7" t="n">
        <v>12</v>
      </c>
      <c r="K65" s="22" t="n">
        <v>0.4</v>
      </c>
      <c r="M65" s="7"/>
    </row>
    <row r="66" customFormat="false" ht="15.75" hidden="false" customHeight="false" outlineLevel="0" collapsed="false">
      <c r="A66" s="0" t="s">
        <v>48</v>
      </c>
      <c r="B66" s="1" t="n">
        <v>43926</v>
      </c>
      <c r="C66" s="7" t="n">
        <v>1688</v>
      </c>
      <c r="D66" s="7" t="n">
        <v>178</v>
      </c>
      <c r="E66" s="7" t="n">
        <v>60</v>
      </c>
      <c r="F66" s="7" t="n">
        <v>10</v>
      </c>
      <c r="G66" s="7" t="n">
        <v>633</v>
      </c>
      <c r="H66" s="7" t="n">
        <v>995</v>
      </c>
      <c r="I66" s="7" t="n">
        <v>1</v>
      </c>
      <c r="J66" s="7" t="n">
        <v>13</v>
      </c>
      <c r="K66" s="22" t="n">
        <v>0.5</v>
      </c>
      <c r="L66" s="7" t="n">
        <v>15668</v>
      </c>
      <c r="M66" s="7" t="n">
        <v>122</v>
      </c>
    </row>
    <row r="67" customFormat="false" ht="15.75" hidden="false" customHeight="false" outlineLevel="0" collapsed="false">
      <c r="A67" s="0" t="s">
        <v>48</v>
      </c>
      <c r="B67" s="1" t="n">
        <v>43927</v>
      </c>
      <c r="C67" s="7" t="n">
        <v>1890</v>
      </c>
      <c r="D67" s="7" t="n">
        <v>202</v>
      </c>
      <c r="E67" s="7" t="n">
        <v>79</v>
      </c>
      <c r="F67" s="7" t="n">
        <v>19</v>
      </c>
      <c r="G67" s="7" t="n">
        <v>633</v>
      </c>
      <c r="H67" s="7" t="n">
        <v>1178</v>
      </c>
      <c r="I67" s="7" t="n">
        <v>1</v>
      </c>
      <c r="J67" s="7" t="n">
        <v>15</v>
      </c>
      <c r="K67" s="22" t="n">
        <v>0.6</v>
      </c>
      <c r="L67" s="7" t="n">
        <v>15668</v>
      </c>
      <c r="M67" s="7" t="n">
        <v>122</v>
      </c>
    </row>
    <row r="68" customFormat="false" ht="15.75" hidden="false" customHeight="false" outlineLevel="0" collapsed="false">
      <c r="A68" s="0" t="s">
        <v>48</v>
      </c>
      <c r="B68" s="1" t="n">
        <v>43928</v>
      </c>
      <c r="C68" s="12" t="n">
        <v>2143</v>
      </c>
      <c r="D68" s="12" t="n">
        <v>253</v>
      </c>
      <c r="E68" s="12" t="n">
        <v>94</v>
      </c>
      <c r="F68" s="12" t="n">
        <v>15</v>
      </c>
      <c r="G68" s="12" t="n">
        <v>633</v>
      </c>
      <c r="H68" s="12" t="n">
        <v>1416</v>
      </c>
      <c r="I68" s="12" t="n">
        <v>293</v>
      </c>
      <c r="J68" s="12" t="n">
        <v>17</v>
      </c>
      <c r="K68" s="23" t="n">
        <v>0.7</v>
      </c>
      <c r="L68" s="12" t="n">
        <v>18034</v>
      </c>
      <c r="M68" s="12" t="n">
        <v>140</v>
      </c>
    </row>
    <row r="69" customFormat="false" ht="15.75" hidden="false" customHeight="false" outlineLevel="0" collapsed="false">
      <c r="A69" s="0" t="s">
        <v>48</v>
      </c>
      <c r="B69" s="1" t="n">
        <v>43929</v>
      </c>
      <c r="C69" s="14" t="n">
        <v>2439</v>
      </c>
      <c r="D69" s="14" t="n">
        <v>296</v>
      </c>
      <c r="E69" s="14" t="n">
        <v>125</v>
      </c>
      <c r="F69" s="14" t="n">
        <v>31</v>
      </c>
      <c r="G69" s="14" t="n">
        <v>633</v>
      </c>
      <c r="H69" s="14" t="n">
        <v>1681</v>
      </c>
      <c r="I69" s="14" t="n">
        <v>89</v>
      </c>
      <c r="J69" s="14" t="n">
        <v>19</v>
      </c>
      <c r="K69" s="14" t="n">
        <v>1</v>
      </c>
      <c r="L69" s="14" t="n">
        <v>20475</v>
      </c>
      <c r="M69" s="14" t="n">
        <v>159</v>
      </c>
    </row>
    <row r="70" customFormat="false" ht="15.75" hidden="false" customHeight="false" outlineLevel="0" collapsed="false">
      <c r="A70" s="0" t="s">
        <v>48</v>
      </c>
      <c r="B70" s="1" t="n">
        <v>43930</v>
      </c>
      <c r="C70" s="14" t="n">
        <v>2785</v>
      </c>
      <c r="D70" s="14" t="n">
        <v>346</v>
      </c>
      <c r="E70" s="14" t="n">
        <v>141</v>
      </c>
      <c r="F70" s="14" t="n">
        <v>16</v>
      </c>
      <c r="G70" s="14" t="n">
        <v>633</v>
      </c>
      <c r="H70" s="14" t="n">
        <v>2011</v>
      </c>
      <c r="I70" s="14" t="n">
        <v>89</v>
      </c>
      <c r="J70" s="14" t="n">
        <v>22</v>
      </c>
      <c r="K70" s="14" t="n">
        <v>1</v>
      </c>
      <c r="L70" s="14" t="n">
        <v>25410</v>
      </c>
      <c r="M70" s="14" t="n">
        <v>197</v>
      </c>
    </row>
    <row r="71" customFormat="false" ht="15.75" hidden="false" customHeight="false" outlineLevel="0" collapsed="false">
      <c r="A71" s="0" t="s">
        <v>48</v>
      </c>
      <c r="B71" s="1" t="n">
        <v>43931</v>
      </c>
      <c r="C71" s="14" t="n">
        <v>3181</v>
      </c>
      <c r="D71" s="14" t="n">
        <v>396</v>
      </c>
      <c r="E71" s="14" t="n">
        <v>174</v>
      </c>
      <c r="F71" s="14" t="n">
        <v>33</v>
      </c>
      <c r="G71" s="14" t="n">
        <v>633</v>
      </c>
      <c r="H71" s="14" t="n">
        <v>2374</v>
      </c>
      <c r="I71" s="14" t="n">
        <v>89</v>
      </c>
      <c r="J71" s="14" t="n">
        <v>25</v>
      </c>
      <c r="K71" s="14" t="n">
        <v>1</v>
      </c>
      <c r="L71" s="14" t="n">
        <v>25410</v>
      </c>
      <c r="M71" s="14" t="n">
        <v>197</v>
      </c>
    </row>
    <row r="72" customFormat="false" ht="15.75" hidden="false" customHeight="false" outlineLevel="0" collapsed="false">
      <c r="A72" s="0" t="s">
        <v>48</v>
      </c>
      <c r="B72" s="1" t="n">
        <v>43932</v>
      </c>
      <c r="C72" s="14" t="n">
        <v>3441</v>
      </c>
      <c r="D72" s="14" t="n">
        <v>260</v>
      </c>
      <c r="E72" s="14" t="n">
        <v>194</v>
      </c>
      <c r="F72" s="14" t="n">
        <v>20</v>
      </c>
      <c r="G72" s="14" t="n">
        <v>633</v>
      </c>
      <c r="H72" s="14" t="n">
        <v>2614</v>
      </c>
      <c r="I72" s="14" t="n">
        <v>89</v>
      </c>
      <c r="J72" s="14" t="n">
        <v>27</v>
      </c>
      <c r="K72" s="14" t="n">
        <v>2</v>
      </c>
      <c r="L72" s="14" t="n">
        <v>31492</v>
      </c>
      <c r="M72" s="14" t="n">
        <v>244</v>
      </c>
    </row>
    <row r="73" customFormat="false" ht="15.75" hidden="false" customHeight="false" outlineLevel="0" collapsed="false">
      <c r="A73" s="0" t="s">
        <v>48</v>
      </c>
      <c r="B73" s="1" t="n">
        <v>43933</v>
      </c>
      <c r="C73" s="14" t="n">
        <v>3844</v>
      </c>
      <c r="D73" s="14" t="n">
        <v>403</v>
      </c>
      <c r="E73" s="14" t="n">
        <v>233</v>
      </c>
      <c r="F73" s="14" t="n">
        <v>39</v>
      </c>
      <c r="G73" s="14" t="n">
        <v>633</v>
      </c>
      <c r="H73" s="14" t="n">
        <v>2978</v>
      </c>
      <c r="I73" s="14" t="n">
        <v>89</v>
      </c>
      <c r="J73" s="14" t="n">
        <v>30</v>
      </c>
      <c r="K73" s="14" t="n">
        <v>2</v>
      </c>
      <c r="L73" s="14" t="n">
        <v>31492</v>
      </c>
      <c r="M73" s="14" t="n">
        <v>244</v>
      </c>
    </row>
    <row r="74" customFormat="false" ht="15.75" hidden="false" customHeight="false" outlineLevel="0" collapsed="false">
      <c r="A74" s="0" t="s">
        <v>48</v>
      </c>
      <c r="B74" s="1" t="n">
        <v>43934</v>
      </c>
      <c r="C74" s="14" t="n">
        <v>4219</v>
      </c>
      <c r="D74" s="14" t="n">
        <v>375</v>
      </c>
      <c r="E74" s="14" t="n">
        <v>273</v>
      </c>
      <c r="F74" s="14" t="n">
        <v>40</v>
      </c>
      <c r="G74" s="14" t="n">
        <v>1772</v>
      </c>
      <c r="H74" s="14" t="n">
        <v>2174</v>
      </c>
      <c r="I74" s="14" t="n">
        <v>89</v>
      </c>
      <c r="J74" s="14" t="n">
        <v>33</v>
      </c>
      <c r="K74" s="14" t="n">
        <v>2</v>
      </c>
      <c r="L74" s="14" t="n">
        <v>35479</v>
      </c>
      <c r="M74" s="14" t="n">
        <v>275</v>
      </c>
    </row>
    <row r="75" customFormat="false" ht="15.75" hidden="false" customHeight="false" outlineLevel="0" collapsed="false">
      <c r="A75" s="0" t="s">
        <v>48</v>
      </c>
      <c r="B75" s="1" t="n">
        <v>43935</v>
      </c>
      <c r="C75" s="14" t="n">
        <v>4661</v>
      </c>
      <c r="D75" s="14" t="n">
        <v>442</v>
      </c>
      <c r="E75" s="14" t="n">
        <v>296</v>
      </c>
      <c r="F75" s="14" t="n">
        <v>23</v>
      </c>
      <c r="G75" s="14" t="n">
        <v>1843</v>
      </c>
      <c r="H75" s="14" t="n">
        <v>2522</v>
      </c>
      <c r="I75" s="14" t="n">
        <v>185</v>
      </c>
      <c r="J75" s="14" t="n">
        <v>36</v>
      </c>
      <c r="K75" s="14" t="n">
        <v>2</v>
      </c>
      <c r="L75" s="14" t="n">
        <v>36594</v>
      </c>
      <c r="M75" s="14" t="n">
        <v>284</v>
      </c>
    </row>
    <row r="76" customFormat="false" ht="15.75" hidden="false" customHeight="false" outlineLevel="0" collapsed="false">
      <c r="A76" s="0" t="s">
        <v>48</v>
      </c>
      <c r="B76" s="1" t="n">
        <v>43936</v>
      </c>
      <c r="C76" s="14" t="n">
        <v>5014</v>
      </c>
      <c r="D76" s="14" t="n">
        <v>353</v>
      </c>
      <c r="E76" s="14" t="n">
        <v>332</v>
      </c>
      <c r="F76" s="14" t="n">
        <v>36</v>
      </c>
      <c r="G76" s="14" t="n">
        <v>1964</v>
      </c>
      <c r="H76" s="14" t="n">
        <v>2718</v>
      </c>
      <c r="I76" s="14" t="n">
        <v>207</v>
      </c>
      <c r="J76" s="14" t="n">
        <v>39</v>
      </c>
      <c r="K76" s="14" t="n">
        <v>3</v>
      </c>
      <c r="L76" s="14" t="n">
        <v>37395</v>
      </c>
      <c r="M76" s="14" t="n">
        <v>290</v>
      </c>
    </row>
    <row r="77" customFormat="false" ht="15.75" hidden="false" customHeight="false" outlineLevel="0" collapsed="false">
      <c r="A77" s="0" t="s">
        <v>48</v>
      </c>
      <c r="B77" s="1" t="n">
        <v>43937</v>
      </c>
      <c r="C77" s="14" t="n">
        <v>5399</v>
      </c>
      <c r="D77" s="14" t="n">
        <v>385</v>
      </c>
      <c r="E77" s="14" t="n">
        <v>406</v>
      </c>
      <c r="F77" s="14" t="n">
        <v>74</v>
      </c>
      <c r="G77" s="14" t="n">
        <v>2125</v>
      </c>
      <c r="H77" s="14" t="n">
        <v>2868</v>
      </c>
      <c r="I77" s="14" t="n">
        <v>207</v>
      </c>
      <c r="J77" s="14" t="n">
        <v>42</v>
      </c>
      <c r="K77" s="14" t="n">
        <v>3</v>
      </c>
      <c r="L77" s="14" t="n">
        <v>40091</v>
      </c>
      <c r="M77" s="14" t="n">
        <v>311</v>
      </c>
    </row>
    <row r="78" customFormat="false" ht="15.75" hidden="false" customHeight="false" outlineLevel="0" collapsed="false">
      <c r="A78" s="0" t="s">
        <v>48</v>
      </c>
      <c r="B78" s="1" t="n">
        <v>43938</v>
      </c>
      <c r="C78" s="14" t="n">
        <v>5847</v>
      </c>
      <c r="D78" s="14" t="n">
        <v>448</v>
      </c>
      <c r="E78" s="14" t="n">
        <v>449</v>
      </c>
      <c r="F78" s="14" t="n">
        <v>43</v>
      </c>
      <c r="G78" s="14" t="n">
        <v>2125</v>
      </c>
      <c r="H78" s="14" t="n">
        <v>3273</v>
      </c>
      <c r="I78" s="14" t="n">
        <v>207</v>
      </c>
      <c r="J78" s="14" t="n">
        <v>45</v>
      </c>
      <c r="K78" s="14" t="n">
        <v>3</v>
      </c>
      <c r="L78" s="14" t="n">
        <v>40091</v>
      </c>
      <c r="M78" s="14" t="n">
        <v>311</v>
      </c>
    </row>
    <row r="79" customFormat="false" ht="15.75" hidden="false" customHeight="false" outlineLevel="0" collapsed="false">
      <c r="A79" s="0" t="s">
        <v>48</v>
      </c>
      <c r="B79" s="1" t="n">
        <v>43939</v>
      </c>
      <c r="C79" s="14" t="n">
        <v>6297</v>
      </c>
      <c r="D79" s="14" t="n">
        <v>450</v>
      </c>
      <c r="E79" s="14" t="n">
        <v>486</v>
      </c>
      <c r="F79" s="14" t="n">
        <v>37</v>
      </c>
      <c r="G79" s="14" t="n">
        <v>2125</v>
      </c>
      <c r="H79" s="14" t="n">
        <v>3686</v>
      </c>
      <c r="I79" s="14" t="n">
        <v>207</v>
      </c>
      <c r="J79" s="14" t="n">
        <v>49</v>
      </c>
      <c r="K79" s="14" t="n">
        <v>4</v>
      </c>
      <c r="L79" s="14" t="n">
        <v>40091</v>
      </c>
      <c r="M79" s="14" t="n">
        <v>311</v>
      </c>
    </row>
    <row r="80" customFormat="false" ht="15.75" hidden="false" customHeight="false" outlineLevel="0" collapsed="false">
      <c r="A80" s="0" t="s">
        <v>48</v>
      </c>
      <c r="B80" s="1" t="n">
        <v>43940</v>
      </c>
      <c r="C80" s="14" t="n">
        <v>6875</v>
      </c>
      <c r="D80" s="14" t="n">
        <v>578</v>
      </c>
      <c r="E80" s="14" t="n">
        <v>546</v>
      </c>
      <c r="F80" s="14" t="n">
        <v>60</v>
      </c>
      <c r="G80" s="14" t="n">
        <v>2125</v>
      </c>
      <c r="H80" s="14" t="n">
        <v>4204</v>
      </c>
      <c r="I80" s="14" t="n">
        <v>207</v>
      </c>
      <c r="J80" s="14" t="n">
        <v>53</v>
      </c>
      <c r="K80" s="14" t="n">
        <v>4</v>
      </c>
      <c r="L80" s="14" t="n">
        <v>48365</v>
      </c>
      <c r="M80" s="14" t="n">
        <v>375</v>
      </c>
    </row>
    <row r="81" customFormat="false" ht="15.75" hidden="false" customHeight="false" outlineLevel="0" collapsed="false">
      <c r="A81" s="0" t="s">
        <v>48</v>
      </c>
      <c r="B81" s="1" t="n">
        <v>43941</v>
      </c>
      <c r="C81" s="14" t="n">
        <v>7497</v>
      </c>
      <c r="D81" s="14" t="n">
        <v>622</v>
      </c>
      <c r="E81" s="14" t="n">
        <v>650</v>
      </c>
      <c r="F81" s="14" t="n">
        <v>104</v>
      </c>
      <c r="G81" s="14" t="n">
        <v>2627</v>
      </c>
      <c r="H81" s="14" t="n">
        <v>4220</v>
      </c>
      <c r="I81" s="14" t="n">
        <v>207</v>
      </c>
      <c r="J81" s="14" t="n">
        <v>58</v>
      </c>
      <c r="K81" s="14" t="n">
        <v>5</v>
      </c>
      <c r="L81" s="14" t="n">
        <v>49167</v>
      </c>
      <c r="M81" s="14" t="n">
        <v>381</v>
      </c>
    </row>
    <row r="82" customFormat="false" ht="15.75" hidden="false" customHeight="false" outlineLevel="0" collapsed="false">
      <c r="A82" s="0" t="s">
        <v>48</v>
      </c>
      <c r="B82" s="1" t="n">
        <v>43942</v>
      </c>
      <c r="C82" s="6" t="n">
        <v>8261</v>
      </c>
      <c r="D82" s="6" t="n">
        <v>764</v>
      </c>
      <c r="E82" s="6" t="n">
        <v>686</v>
      </c>
      <c r="F82" s="6" t="n">
        <v>36</v>
      </c>
      <c r="G82" s="6" t="n">
        <v>2627</v>
      </c>
      <c r="H82" s="6" t="n">
        <v>4948</v>
      </c>
      <c r="I82" s="6" t="n">
        <v>207</v>
      </c>
      <c r="J82" s="6" t="n">
        <v>64</v>
      </c>
      <c r="K82" s="6" t="n">
        <v>5</v>
      </c>
      <c r="L82" s="6" t="n">
        <v>49570</v>
      </c>
      <c r="M82" s="6" t="n">
        <v>384</v>
      </c>
    </row>
    <row r="83" customFormat="false" ht="15.75" hidden="false" customHeight="false" outlineLevel="0" collapsed="false">
      <c r="A83" s="0" t="s">
        <v>48</v>
      </c>
      <c r="B83" s="1" t="n">
        <v>43943</v>
      </c>
      <c r="C83" s="6" t="n">
        <v>8772</v>
      </c>
      <c r="D83" s="6" t="n">
        <v>511</v>
      </c>
      <c r="E83" s="6" t="n">
        <v>712</v>
      </c>
      <c r="F83" s="6" t="n">
        <v>26</v>
      </c>
      <c r="G83" s="6" t="n">
        <v>2627</v>
      </c>
      <c r="H83" s="6" t="n">
        <v>5433</v>
      </c>
      <c r="I83" s="6" t="n">
        <v>378</v>
      </c>
      <c r="J83" s="6" t="n">
        <v>68</v>
      </c>
      <c r="K83" s="6" t="n">
        <v>6</v>
      </c>
      <c r="L83" s="6" t="n">
        <v>49570</v>
      </c>
      <c r="M83" s="6" t="n">
        <v>384</v>
      </c>
    </row>
    <row r="84" customFormat="false" ht="15.75" hidden="false" customHeight="false" outlineLevel="0" collapsed="false">
      <c r="A84" s="0" t="s">
        <v>48</v>
      </c>
      <c r="B84" s="1" t="n">
        <v>43944</v>
      </c>
      <c r="C84" s="6" t="n">
        <v>9501</v>
      </c>
      <c r="D84" s="6" t="n">
        <v>729</v>
      </c>
      <c r="E84" s="6" t="n">
        <v>857</v>
      </c>
      <c r="F84" s="6" t="n">
        <v>145</v>
      </c>
      <c r="G84" s="6" t="n">
        <v>2627</v>
      </c>
      <c r="H84" s="6" t="n">
        <v>6017</v>
      </c>
      <c r="I84" s="6" t="n">
        <v>378</v>
      </c>
      <c r="J84" s="6" t="n">
        <v>74</v>
      </c>
      <c r="K84" s="6" t="n">
        <v>7</v>
      </c>
      <c r="L84" s="6" t="n">
        <v>49570</v>
      </c>
      <c r="M84" s="6" t="n">
        <v>384</v>
      </c>
    </row>
    <row r="85" customFormat="false" ht="15.75" hidden="false" customHeight="false" outlineLevel="0" collapsed="false">
      <c r="A85" s="0" t="s">
        <v>48</v>
      </c>
      <c r="B85" s="1" t="n">
        <v>43945</v>
      </c>
      <c r="C85" s="6" t="n">
        <v>10544</v>
      </c>
      <c r="D85" s="6" t="n">
        <v>1043</v>
      </c>
      <c r="E85" s="6" t="n">
        <v>970</v>
      </c>
      <c r="F85" s="6" t="n">
        <v>113</v>
      </c>
      <c r="G85" s="6" t="n">
        <v>2627</v>
      </c>
      <c r="H85" s="6" t="n">
        <v>6947</v>
      </c>
      <c r="I85" s="6" t="n">
        <v>378</v>
      </c>
      <c r="J85" s="6" t="n">
        <v>82</v>
      </c>
      <c r="K85" s="6" t="n">
        <v>8</v>
      </c>
      <c r="L85" s="6" t="n">
        <v>49570</v>
      </c>
      <c r="M85" s="6" t="n">
        <v>384</v>
      </c>
    </row>
    <row r="86" customFormat="false" ht="15.75" hidden="false" customHeight="false" outlineLevel="0" collapsed="false">
      <c r="A86" s="0" t="s">
        <v>48</v>
      </c>
      <c r="B86" s="1" t="n">
        <v>43946</v>
      </c>
      <c r="C86" s="6" t="n">
        <v>11633</v>
      </c>
      <c r="D86" s="6" t="n">
        <v>1089</v>
      </c>
      <c r="E86" s="6" t="n">
        <v>1069</v>
      </c>
      <c r="F86" s="6" t="n">
        <v>99</v>
      </c>
      <c r="G86" s="6" t="n">
        <v>2627</v>
      </c>
      <c r="H86" s="6" t="n">
        <v>7937</v>
      </c>
      <c r="I86" s="6" t="n">
        <v>378</v>
      </c>
      <c r="J86" s="6" t="n">
        <v>90</v>
      </c>
      <c r="K86" s="6" t="n">
        <v>8</v>
      </c>
      <c r="L86" s="6" t="n">
        <v>51297</v>
      </c>
      <c r="M86" s="6" t="n">
        <v>398</v>
      </c>
    </row>
    <row r="87" customFormat="false" ht="15.75" hidden="false" customHeight="false" outlineLevel="0" collapsed="false">
      <c r="A87" s="0" t="s">
        <v>48</v>
      </c>
      <c r="B87" s="1" t="n">
        <v>43947</v>
      </c>
      <c r="C87" s="6" t="n">
        <v>12872</v>
      </c>
      <c r="D87" s="6" t="n">
        <v>1239</v>
      </c>
      <c r="E87" s="6" t="n">
        <v>1221</v>
      </c>
      <c r="F87" s="6" t="n">
        <v>152</v>
      </c>
      <c r="G87" s="6" t="n">
        <v>7149</v>
      </c>
      <c r="H87" s="6" t="n">
        <v>4502</v>
      </c>
      <c r="I87" s="6" t="n">
        <v>378</v>
      </c>
      <c r="J87" s="6" t="n">
        <v>100</v>
      </c>
      <c r="K87" s="6" t="n">
        <v>9</v>
      </c>
      <c r="L87" s="6" t="n">
        <v>51297</v>
      </c>
      <c r="M87" s="6" t="n">
        <v>398</v>
      </c>
    </row>
    <row r="88" customFormat="false" ht="15.75" hidden="false" customHeight="false" outlineLevel="0" collapsed="false">
      <c r="A88" s="0" t="s">
        <v>48</v>
      </c>
      <c r="B88" s="1" t="n">
        <v>43948</v>
      </c>
      <c r="C88" s="6" t="n">
        <v>13842</v>
      </c>
      <c r="D88" s="6" t="n">
        <v>970</v>
      </c>
      <c r="E88" s="6" t="n">
        <v>1305</v>
      </c>
      <c r="F88" s="6" t="n">
        <v>84</v>
      </c>
      <c r="G88" s="6" t="n">
        <v>7149</v>
      </c>
      <c r="H88" s="6" t="n">
        <v>5388</v>
      </c>
      <c r="I88" s="6" t="n">
        <v>378</v>
      </c>
      <c r="J88" s="6" t="n">
        <v>107</v>
      </c>
      <c r="K88" s="6" t="n">
        <v>10</v>
      </c>
      <c r="L88" s="6" t="n">
        <v>65500</v>
      </c>
      <c r="M88" s="6" t="n">
        <v>508</v>
      </c>
    </row>
    <row r="89" customFormat="false" ht="13.5" hidden="false" customHeight="false" outlineLevel="0" collapsed="false">
      <c r="A89" s="0" t="s">
        <v>48</v>
      </c>
      <c r="B89" s="1" t="n">
        <v>43949</v>
      </c>
      <c r="C89" s="2" t="n">
        <v>14677</v>
      </c>
      <c r="D89" s="2" t="n">
        <v>835</v>
      </c>
      <c r="E89" s="2" t="n">
        <v>1351</v>
      </c>
      <c r="F89" s="2" t="n">
        <v>46</v>
      </c>
      <c r="G89" s="2" t="n">
        <v>8354</v>
      </c>
      <c r="H89" s="2" t="n">
        <v>4972</v>
      </c>
      <c r="I89" s="2" t="n">
        <v>378</v>
      </c>
      <c r="J89" s="2" t="n">
        <v>114</v>
      </c>
      <c r="K89" s="2" t="n">
        <v>10</v>
      </c>
      <c r="L89" s="2" t="n">
        <v>67635</v>
      </c>
      <c r="M89" s="2" t="n">
        <v>525</v>
      </c>
    </row>
    <row r="90" customFormat="false" ht="13.5" hidden="false" customHeight="false" outlineLevel="0" collapsed="false">
      <c r="A90" s="0" t="s">
        <v>48</v>
      </c>
      <c r="B90" s="1" t="n">
        <v>43950</v>
      </c>
      <c r="C90" s="2" t="n">
        <v>15529</v>
      </c>
      <c r="D90" s="2" t="n">
        <v>852</v>
      </c>
      <c r="E90" s="2" t="n">
        <v>1434</v>
      </c>
      <c r="F90" s="2" t="n">
        <v>83</v>
      </c>
      <c r="G90" s="2" t="n">
        <v>9086</v>
      </c>
      <c r="H90" s="2" t="n">
        <v>5009</v>
      </c>
      <c r="I90" s="2" t="n">
        <v>378</v>
      </c>
      <c r="J90" s="2" t="n">
        <v>120</v>
      </c>
      <c r="K90" s="2" t="n">
        <v>11</v>
      </c>
      <c r="L90" s="2" t="n">
        <v>71103</v>
      </c>
      <c r="M90" s="2" t="n">
        <v>551</v>
      </c>
    </row>
    <row r="91" customFormat="false" ht="13.5" hidden="false" customHeight="false" outlineLevel="0" collapsed="false">
      <c r="A91" s="0" t="s">
        <v>48</v>
      </c>
      <c r="B91" s="1" t="n">
        <v>43951</v>
      </c>
      <c r="C91" s="2" t="n">
        <v>16752</v>
      </c>
      <c r="D91" s="2" t="n">
        <v>1223</v>
      </c>
      <c r="E91" s="2" t="n">
        <v>1569</v>
      </c>
      <c r="F91" s="2" t="n">
        <v>135</v>
      </c>
      <c r="G91" s="2" t="n">
        <v>11423</v>
      </c>
      <c r="H91" s="2" t="n">
        <v>3760</v>
      </c>
      <c r="I91" s="2" t="n">
        <v>378</v>
      </c>
      <c r="J91" s="2" t="n">
        <v>130</v>
      </c>
      <c r="K91" s="2" t="n">
        <v>12</v>
      </c>
      <c r="L91" s="2" t="n">
        <v>77005</v>
      </c>
      <c r="M91" s="2" t="n">
        <v>597</v>
      </c>
    </row>
    <row r="92" customFormat="false" ht="14.25" hidden="false" customHeight="false" outlineLevel="0" collapsed="false">
      <c r="A92" s="0" t="s">
        <v>48</v>
      </c>
      <c r="B92" s="1" t="n">
        <v>43952</v>
      </c>
      <c r="C92" s="2" t="n">
        <v>17799</v>
      </c>
      <c r="D92" s="2" t="n">
        <v>1047</v>
      </c>
      <c r="E92" s="2" t="n">
        <v>1732</v>
      </c>
      <c r="F92" s="2" t="n">
        <v>163</v>
      </c>
      <c r="G92" s="2" t="n">
        <v>11423</v>
      </c>
      <c r="H92" s="2" t="n">
        <v>4644</v>
      </c>
      <c r="I92" s="2" t="n">
        <v>378</v>
      </c>
      <c r="J92" s="2" t="n">
        <v>138</v>
      </c>
      <c r="K92" s="2" t="n">
        <v>13</v>
      </c>
      <c r="L92" s="2" t="n">
        <v>81912</v>
      </c>
      <c r="M92" s="2" t="n">
        <v>635</v>
      </c>
    </row>
    <row r="93" customFormat="false" ht="15.75" hidden="false" customHeight="false" outlineLevel="0" collapsed="false">
      <c r="A93" s="0" t="s">
        <v>48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48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48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48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48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48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48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48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48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48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48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48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48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48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48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48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48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48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48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48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48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48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48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48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48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48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48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48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48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48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48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48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48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48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48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48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48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48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48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48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48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48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48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48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48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48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48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48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48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48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48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48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48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48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48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48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48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48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48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48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48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48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48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48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48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48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48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48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48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48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48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48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48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48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48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48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48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48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48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48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48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48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48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48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48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48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48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48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48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48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48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48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48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48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48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49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49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49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49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49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49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49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49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49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49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49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49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49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49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49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49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49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49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49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49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49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49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49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49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49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49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49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49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49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49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49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49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49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49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49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49</v>
      </c>
      <c r="B37" s="1" t="n">
        <v>43897</v>
      </c>
      <c r="C37" s="8" t="n">
        <v>5</v>
      </c>
      <c r="D37" s="8"/>
      <c r="E37" s="8"/>
      <c r="F37" s="8"/>
      <c r="G37" s="8" t="n">
        <v>1</v>
      </c>
      <c r="H37" s="8" t="n">
        <v>4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49</v>
      </c>
      <c r="B38" s="1" t="n">
        <v>43898</v>
      </c>
      <c r="C38" s="6" t="n">
        <v>7</v>
      </c>
      <c r="D38" s="6" t="n">
        <v>2</v>
      </c>
      <c r="E38" s="6"/>
      <c r="F38" s="6"/>
      <c r="G38" s="6" t="n">
        <v>1</v>
      </c>
      <c r="H38" s="6" t="n">
        <v>6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49</v>
      </c>
      <c r="B39" s="1" t="n">
        <v>43899</v>
      </c>
      <c r="C39" s="6" t="n">
        <v>11</v>
      </c>
      <c r="D39" s="6" t="n">
        <v>4</v>
      </c>
      <c r="E39" s="6"/>
      <c r="F39" s="6"/>
      <c r="G39" s="6" t="n">
        <v>1</v>
      </c>
      <c r="H39" s="6" t="n">
        <v>10</v>
      </c>
      <c r="I39" s="6"/>
      <c r="J39" s="6" t="n">
        <v>0.3</v>
      </c>
      <c r="K39" s="6"/>
      <c r="L39" s="6"/>
      <c r="M39" s="6"/>
    </row>
    <row r="40" customFormat="false" ht="15.75" hidden="false" customHeight="false" outlineLevel="0" collapsed="false">
      <c r="A40" s="0" t="s">
        <v>49</v>
      </c>
      <c r="B40" s="1" t="n">
        <v>43900</v>
      </c>
      <c r="C40" s="6" t="n">
        <v>20</v>
      </c>
      <c r="D40" s="6" t="n">
        <v>9</v>
      </c>
      <c r="E40" s="6"/>
      <c r="F40" s="6"/>
      <c r="G40" s="6" t="n">
        <v>1</v>
      </c>
      <c r="H40" s="6" t="n">
        <v>19</v>
      </c>
      <c r="I40" s="6"/>
      <c r="J40" s="6" t="n">
        <v>0.6</v>
      </c>
      <c r="K40" s="6"/>
      <c r="L40" s="6"/>
      <c r="M40" s="6"/>
    </row>
    <row r="41" customFormat="false" ht="15.75" hidden="false" customHeight="false" outlineLevel="0" collapsed="false">
      <c r="A41" s="0" t="s">
        <v>49</v>
      </c>
      <c r="B41" s="1" t="n">
        <v>43901</v>
      </c>
      <c r="C41" s="6" t="n">
        <v>20</v>
      </c>
      <c r="D41" s="6" t="n">
        <v>0</v>
      </c>
      <c r="E41" s="6"/>
      <c r="F41" s="6"/>
      <c r="G41" s="6" t="n">
        <v>1</v>
      </c>
      <c r="H41" s="6" t="n">
        <v>19</v>
      </c>
      <c r="I41" s="6"/>
      <c r="J41" s="6" t="n">
        <v>0.6</v>
      </c>
      <c r="K41" s="6"/>
      <c r="L41" s="6"/>
      <c r="M41" s="6"/>
    </row>
    <row r="42" customFormat="false" ht="15.75" hidden="false" customHeight="false" outlineLevel="0" collapsed="false">
      <c r="A42" s="0" t="s">
        <v>49</v>
      </c>
      <c r="B42" s="1" t="n">
        <v>43902</v>
      </c>
      <c r="C42" s="6" t="n">
        <v>45</v>
      </c>
      <c r="D42" s="6" t="n">
        <v>25</v>
      </c>
      <c r="E42" s="6"/>
      <c r="F42" s="6"/>
      <c r="G42" s="6" t="n">
        <v>1</v>
      </c>
      <c r="H42" s="6" t="n">
        <v>44</v>
      </c>
      <c r="I42" s="6"/>
      <c r="J42" s="6" t="n">
        <v>1.3</v>
      </c>
      <c r="K42" s="6"/>
      <c r="L42" s="6"/>
      <c r="M42" s="6"/>
    </row>
    <row r="43" customFormat="false" ht="15.75" hidden="false" customHeight="false" outlineLevel="0" collapsed="false">
      <c r="A43" s="0" t="s">
        <v>49</v>
      </c>
      <c r="B43" s="1" t="n">
        <v>43903</v>
      </c>
      <c r="C43" s="6" t="n">
        <v>45</v>
      </c>
      <c r="D43" s="6" t="n">
        <v>0</v>
      </c>
      <c r="E43" s="6"/>
      <c r="F43" s="6"/>
      <c r="G43" s="6" t="n">
        <v>1</v>
      </c>
      <c r="H43" s="6" t="n">
        <v>44</v>
      </c>
      <c r="I43" s="6"/>
      <c r="J43" s="6" t="n">
        <v>1.3</v>
      </c>
      <c r="K43" s="6"/>
      <c r="L43" s="6"/>
      <c r="M43" s="6"/>
    </row>
    <row r="44" customFormat="false" ht="15.75" hidden="false" customHeight="false" outlineLevel="0" collapsed="false">
      <c r="A44" s="0" t="s">
        <v>49</v>
      </c>
      <c r="B44" s="1" t="n">
        <v>43904</v>
      </c>
      <c r="C44" s="6" t="n">
        <v>86</v>
      </c>
      <c r="D44" s="6" t="n">
        <v>41</v>
      </c>
      <c r="E44" s="6"/>
      <c r="F44" s="6"/>
      <c r="G44" s="6" t="n">
        <v>1</v>
      </c>
      <c r="H44" s="6" t="n">
        <v>85</v>
      </c>
      <c r="I44" s="6"/>
      <c r="J44" s="6" t="n">
        <v>2.5</v>
      </c>
      <c r="K44" s="6"/>
      <c r="L44" s="6"/>
      <c r="M44" s="6"/>
    </row>
    <row r="45" customFormat="false" ht="15.75" hidden="false" customHeight="false" outlineLevel="0" collapsed="false">
      <c r="A45" s="0" t="s">
        <v>49</v>
      </c>
      <c r="B45" s="1" t="n">
        <v>43905</v>
      </c>
      <c r="C45" s="6" t="n">
        <v>103</v>
      </c>
      <c r="D45" s="6" t="n">
        <v>17</v>
      </c>
      <c r="E45" s="6"/>
      <c r="F45" s="6"/>
      <c r="G45" s="6" t="n">
        <v>1</v>
      </c>
      <c r="H45" s="6" t="n">
        <v>102</v>
      </c>
      <c r="I45" s="6"/>
      <c r="J45" s="6" t="n">
        <v>3</v>
      </c>
      <c r="K45" s="6"/>
      <c r="L45" s="6"/>
      <c r="M45" s="6"/>
    </row>
    <row r="46" customFormat="false" ht="15.75" hidden="false" customHeight="false" outlineLevel="0" collapsed="false">
      <c r="A46" s="0" t="s">
        <v>49</v>
      </c>
      <c r="B46" s="1" t="n">
        <v>43906</v>
      </c>
      <c r="C46" s="6" t="n">
        <v>118</v>
      </c>
      <c r="D46" s="6" t="n">
        <v>15</v>
      </c>
      <c r="E46" s="6"/>
      <c r="F46" s="6"/>
      <c r="G46" s="6" t="n">
        <v>2</v>
      </c>
      <c r="H46" s="6" t="n">
        <v>116</v>
      </c>
      <c r="I46" s="6"/>
      <c r="J46" s="6" t="n">
        <v>3.4</v>
      </c>
      <c r="K46" s="6"/>
      <c r="L46" s="6"/>
      <c r="M46" s="6"/>
    </row>
    <row r="47" customFormat="false" ht="15.75" hidden="false" customHeight="false" outlineLevel="0" collapsed="false">
      <c r="A47" s="0" t="s">
        <v>49</v>
      </c>
      <c r="B47" s="1" t="n">
        <v>43907</v>
      </c>
      <c r="C47" s="6" t="n">
        <v>133</v>
      </c>
      <c r="D47" s="6" t="n">
        <v>15</v>
      </c>
      <c r="E47" s="6"/>
      <c r="F47" s="6"/>
      <c r="G47" s="6" t="n">
        <v>6</v>
      </c>
      <c r="H47" s="6" t="n">
        <v>127</v>
      </c>
      <c r="I47" s="6"/>
      <c r="J47" s="6" t="n">
        <v>3.8</v>
      </c>
      <c r="K47" s="6"/>
      <c r="L47" s="6"/>
      <c r="M47" s="6"/>
    </row>
    <row r="48" customFormat="false" ht="15.75" hidden="false" customHeight="false" outlineLevel="0" collapsed="false">
      <c r="A48" s="0" t="s">
        <v>49</v>
      </c>
      <c r="B48" s="1" t="n">
        <v>43908</v>
      </c>
      <c r="C48" s="6" t="n">
        <v>171</v>
      </c>
      <c r="D48" s="6" t="n">
        <v>38</v>
      </c>
      <c r="E48" s="6"/>
      <c r="F48" s="6"/>
      <c r="G48" s="6" t="n">
        <v>6</v>
      </c>
      <c r="H48" s="6" t="n">
        <v>165</v>
      </c>
      <c r="I48" s="6"/>
      <c r="J48" s="6" t="n">
        <v>4.9</v>
      </c>
      <c r="K48" s="6"/>
      <c r="L48" s="6"/>
      <c r="M48" s="6"/>
    </row>
    <row r="49" customFormat="false" ht="15.75" hidden="false" customHeight="false" outlineLevel="0" collapsed="false">
      <c r="A49" s="0" t="s">
        <v>49</v>
      </c>
      <c r="B49" s="1" t="n">
        <v>43909</v>
      </c>
      <c r="C49" s="6" t="n">
        <v>238</v>
      </c>
      <c r="D49" s="6" t="n">
        <v>67</v>
      </c>
      <c r="E49" s="6"/>
      <c r="F49" s="6"/>
      <c r="G49" s="6" t="n">
        <v>6</v>
      </c>
      <c r="H49" s="6" t="n">
        <v>232</v>
      </c>
      <c r="I49" s="6"/>
      <c r="J49" s="6" t="n">
        <v>7</v>
      </c>
      <c r="K49" s="6"/>
      <c r="L49" s="6"/>
      <c r="M49" s="6"/>
    </row>
    <row r="50" customFormat="false" ht="15.75" hidden="false" customHeight="false" outlineLevel="0" collapsed="false">
      <c r="A50" s="0" t="s">
        <v>49</v>
      </c>
      <c r="B50" s="1" t="n">
        <v>43910</v>
      </c>
      <c r="C50" s="6" t="n">
        <v>274</v>
      </c>
      <c r="D50" s="6" t="n">
        <v>36</v>
      </c>
      <c r="E50" s="6"/>
      <c r="F50" s="6"/>
      <c r="G50" s="6" t="n">
        <v>8</v>
      </c>
      <c r="H50" s="6" t="n">
        <v>266</v>
      </c>
      <c r="I50" s="6"/>
      <c r="J50" s="6" t="n">
        <v>8</v>
      </c>
      <c r="K50" s="6"/>
      <c r="L50" s="6"/>
      <c r="M50" s="6"/>
    </row>
    <row r="51" customFormat="false" ht="15.75" hidden="false" customHeight="false" outlineLevel="0" collapsed="false">
      <c r="A51" s="0" t="s">
        <v>49</v>
      </c>
      <c r="B51" s="1" t="n">
        <v>43911</v>
      </c>
      <c r="C51" s="6" t="n">
        <v>344</v>
      </c>
      <c r="D51" s="6" t="n">
        <v>70</v>
      </c>
      <c r="E51" s="6"/>
      <c r="F51" s="6"/>
      <c r="G51" s="6" t="n">
        <v>8</v>
      </c>
      <c r="H51" s="6" t="n">
        <v>336</v>
      </c>
      <c r="I51" s="6"/>
      <c r="J51" s="6" t="n">
        <v>10</v>
      </c>
      <c r="K51" s="6"/>
      <c r="L51" s="6"/>
      <c r="M51" s="6"/>
    </row>
    <row r="52" customFormat="false" ht="15.75" hidden="false" customHeight="false" outlineLevel="0" collapsed="false">
      <c r="A52" s="0" t="s">
        <v>49</v>
      </c>
      <c r="B52" s="1" t="n">
        <v>43912</v>
      </c>
      <c r="C52" s="6" t="n">
        <v>392</v>
      </c>
      <c r="D52" s="6" t="n">
        <v>48</v>
      </c>
      <c r="E52" s="6"/>
      <c r="F52" s="6"/>
      <c r="G52" s="6" t="n">
        <v>16</v>
      </c>
      <c r="H52" s="6" t="n">
        <v>376</v>
      </c>
      <c r="I52" s="6"/>
      <c r="J52" s="6" t="n">
        <v>11</v>
      </c>
      <c r="K52" s="6"/>
      <c r="L52" s="6"/>
      <c r="M52" s="6"/>
    </row>
    <row r="53" customFormat="false" ht="15.75" hidden="false" customHeight="false" outlineLevel="0" collapsed="false">
      <c r="A53" s="0" t="s">
        <v>49</v>
      </c>
      <c r="B53" s="1" t="n">
        <v>43913</v>
      </c>
      <c r="C53" s="6" t="n">
        <v>511</v>
      </c>
      <c r="D53" s="6" t="n">
        <v>119</v>
      </c>
      <c r="E53" s="6"/>
      <c r="F53" s="6"/>
      <c r="G53" s="6" t="n">
        <v>17</v>
      </c>
      <c r="H53" s="6" t="n">
        <v>494</v>
      </c>
      <c r="I53" s="6"/>
      <c r="J53" s="6" t="n">
        <v>15</v>
      </c>
      <c r="K53" s="6"/>
      <c r="L53" s="6"/>
      <c r="M53" s="6"/>
    </row>
    <row r="54" customFormat="false" ht="15.75" hidden="false" customHeight="false" outlineLevel="0" collapsed="false">
      <c r="A54" s="0" t="s">
        <v>49</v>
      </c>
      <c r="B54" s="1" t="n">
        <v>43914</v>
      </c>
      <c r="C54" s="6" t="n">
        <v>562</v>
      </c>
      <c r="D54" s="6" t="n">
        <v>51</v>
      </c>
      <c r="E54" s="6"/>
      <c r="F54" s="6"/>
      <c r="G54" s="6" t="n">
        <v>19</v>
      </c>
      <c r="H54" s="6" t="n">
        <v>543</v>
      </c>
      <c r="I54" s="6"/>
      <c r="J54" s="6" t="n">
        <v>16</v>
      </c>
      <c r="K54" s="6"/>
      <c r="L54" s="6"/>
      <c r="M54" s="6"/>
    </row>
    <row r="55" customFormat="false" ht="15.75" hidden="false" customHeight="false" outlineLevel="0" collapsed="false">
      <c r="A55" s="0" t="s">
        <v>49</v>
      </c>
      <c r="B55" s="1" t="n">
        <v>43915</v>
      </c>
      <c r="C55" s="7" t="n">
        <v>767</v>
      </c>
      <c r="D55" s="7" t="n">
        <v>205</v>
      </c>
      <c r="E55" s="7" t="n">
        <v>1</v>
      </c>
      <c r="F55" s="7" t="n">
        <v>1</v>
      </c>
      <c r="G55" s="7" t="n">
        <v>28</v>
      </c>
      <c r="H55" s="7" t="n">
        <v>738</v>
      </c>
      <c r="I55" s="7"/>
      <c r="J55" s="7" t="n">
        <v>22</v>
      </c>
      <c r="K55" s="10" t="n">
        <v>0.03</v>
      </c>
      <c r="L55" s="7"/>
      <c r="M55" s="7"/>
    </row>
    <row r="56" customFormat="false" ht="15.75" hidden="false" customHeight="false" outlineLevel="0" collapsed="false">
      <c r="A56" s="0" t="s">
        <v>49</v>
      </c>
      <c r="B56" s="1" t="n">
        <v>43916</v>
      </c>
      <c r="C56" s="7" t="n">
        <v>900</v>
      </c>
      <c r="D56" s="7" t="n">
        <v>133</v>
      </c>
      <c r="E56" s="7" t="n">
        <v>2</v>
      </c>
      <c r="F56" s="7" t="n">
        <v>1</v>
      </c>
      <c r="G56" s="7" t="n">
        <v>29</v>
      </c>
      <c r="H56" s="7" t="n">
        <v>869</v>
      </c>
      <c r="I56" s="7"/>
      <c r="J56" s="7" t="n">
        <v>26</v>
      </c>
      <c r="K56" s="10" t="n">
        <v>0.06</v>
      </c>
      <c r="L56" s="7"/>
      <c r="M56" s="7"/>
    </row>
    <row r="57" customFormat="false" ht="15.75" hidden="false" customHeight="false" outlineLevel="0" collapsed="false">
      <c r="A57" s="0" t="s">
        <v>49</v>
      </c>
      <c r="B57" s="1" t="n">
        <v>43917</v>
      </c>
      <c r="C57" s="7" t="n">
        <v>1012</v>
      </c>
      <c r="D57" s="7" t="n">
        <v>112</v>
      </c>
      <c r="E57" s="7" t="n">
        <v>3</v>
      </c>
      <c r="F57" s="7" t="n">
        <v>1</v>
      </c>
      <c r="G57" s="7" t="n">
        <v>33</v>
      </c>
      <c r="H57" s="7" t="n">
        <v>976</v>
      </c>
      <c r="I57" s="7" t="n">
        <v>6</v>
      </c>
      <c r="J57" s="7" t="n">
        <v>29</v>
      </c>
      <c r="K57" s="10" t="n">
        <v>0.09</v>
      </c>
      <c r="L57" s="7"/>
      <c r="M57" s="7"/>
    </row>
    <row r="58" customFormat="false" ht="15.75" hidden="false" customHeight="false" outlineLevel="0" collapsed="false">
      <c r="A58" s="0" t="s">
        <v>49</v>
      </c>
      <c r="B58" s="1" t="n">
        <v>43918</v>
      </c>
      <c r="C58" s="7" t="n">
        <v>1104</v>
      </c>
      <c r="D58" s="7" t="n">
        <v>92</v>
      </c>
      <c r="E58" s="7" t="n">
        <v>3</v>
      </c>
      <c r="F58" s="7" t="n">
        <v>0</v>
      </c>
      <c r="G58" s="7" t="n">
        <v>35</v>
      </c>
      <c r="H58" s="7" t="n">
        <v>1066</v>
      </c>
      <c r="I58" s="7" t="n">
        <v>6</v>
      </c>
      <c r="J58" s="7" t="n">
        <v>32</v>
      </c>
      <c r="K58" s="10" t="n">
        <v>0.09</v>
      </c>
      <c r="L58" s="7"/>
      <c r="M58" s="7"/>
    </row>
    <row r="59" customFormat="false" ht="15.75" hidden="false" customHeight="false" outlineLevel="0" collapsed="false">
      <c r="A59" s="0" t="s">
        <v>49</v>
      </c>
      <c r="B59" s="1" t="n">
        <v>43919</v>
      </c>
      <c r="C59" s="7" t="n">
        <v>1203</v>
      </c>
      <c r="D59" s="7" t="n">
        <v>99</v>
      </c>
      <c r="E59" s="7" t="n">
        <v>4</v>
      </c>
      <c r="F59" s="7" t="n">
        <v>1</v>
      </c>
      <c r="G59" s="7" t="n">
        <v>37</v>
      </c>
      <c r="H59" s="7" t="n">
        <v>1162</v>
      </c>
      <c r="I59" s="7" t="n">
        <v>6</v>
      </c>
      <c r="J59" s="7" t="n">
        <v>35</v>
      </c>
      <c r="K59" s="10" t="n">
        <v>0.1</v>
      </c>
      <c r="L59" s="7"/>
      <c r="M59" s="7"/>
    </row>
    <row r="60" customFormat="false" ht="15.75" hidden="false" customHeight="false" outlineLevel="0" collapsed="false">
      <c r="A60" s="0" t="s">
        <v>49</v>
      </c>
      <c r="B60" s="1" t="n">
        <v>43920</v>
      </c>
      <c r="C60" s="7" t="n">
        <v>1299</v>
      </c>
      <c r="D60" s="7" t="n">
        <v>96</v>
      </c>
      <c r="E60" s="7" t="n">
        <v>8</v>
      </c>
      <c r="F60" s="7" t="n">
        <v>4</v>
      </c>
      <c r="G60" s="7" t="n">
        <v>66</v>
      </c>
      <c r="H60" s="7" t="n">
        <v>1225</v>
      </c>
      <c r="I60" s="7" t="n">
        <v>12</v>
      </c>
      <c r="J60" s="7" t="n">
        <v>37</v>
      </c>
      <c r="K60" s="10" t="n">
        <v>0.2</v>
      </c>
      <c r="L60" s="7"/>
      <c r="M60" s="7"/>
    </row>
    <row r="61" customFormat="false" ht="15.75" hidden="false" customHeight="false" outlineLevel="0" collapsed="false">
      <c r="A61" s="0" t="s">
        <v>49</v>
      </c>
      <c r="B61" s="1" t="n">
        <v>43921</v>
      </c>
      <c r="C61" s="7" t="n">
        <v>1453</v>
      </c>
      <c r="D61" s="7" t="n">
        <v>154</v>
      </c>
      <c r="E61" s="7" t="n">
        <v>8</v>
      </c>
      <c r="F61" s="7" t="n">
        <v>0</v>
      </c>
      <c r="G61" s="7" t="n">
        <v>115</v>
      </c>
      <c r="H61" s="7" t="n">
        <v>1330</v>
      </c>
      <c r="I61" s="7" t="n">
        <v>12</v>
      </c>
      <c r="J61" s="7" t="n">
        <v>42</v>
      </c>
      <c r="K61" s="10" t="n">
        <v>0.2</v>
      </c>
      <c r="L61" s="7"/>
      <c r="M61" s="7"/>
    </row>
    <row r="62" customFormat="false" ht="15.75" hidden="false" customHeight="false" outlineLevel="0" collapsed="false">
      <c r="A62" s="0" t="s">
        <v>49</v>
      </c>
      <c r="B62" s="1" t="n">
        <v>43922</v>
      </c>
      <c r="C62" s="7" t="n">
        <v>1563</v>
      </c>
      <c r="D62" s="7" t="n">
        <v>110</v>
      </c>
      <c r="E62" s="7" t="n">
        <v>10</v>
      </c>
      <c r="F62" s="7" t="n">
        <v>2</v>
      </c>
      <c r="G62" s="7" t="n">
        <v>165</v>
      </c>
      <c r="H62" s="7" t="n">
        <v>1388</v>
      </c>
      <c r="I62" s="7" t="n">
        <v>31</v>
      </c>
      <c r="J62" s="7" t="n">
        <v>45</v>
      </c>
      <c r="K62" s="10" t="n">
        <v>0.3</v>
      </c>
      <c r="L62" s="7"/>
      <c r="M62" s="7"/>
    </row>
    <row r="63" customFormat="false" ht="15.75" hidden="false" customHeight="false" outlineLevel="0" collapsed="false">
      <c r="A63" s="0" t="s">
        <v>49</v>
      </c>
      <c r="B63" s="1" t="n">
        <v>43923</v>
      </c>
      <c r="C63" s="7" t="n">
        <v>1720</v>
      </c>
      <c r="D63" s="7" t="n">
        <v>157</v>
      </c>
      <c r="E63" s="7" t="n">
        <v>16</v>
      </c>
      <c r="F63" s="7" t="n">
        <v>6</v>
      </c>
      <c r="G63" s="7" t="n">
        <v>264</v>
      </c>
      <c r="H63" s="7" t="n">
        <v>1440</v>
      </c>
      <c r="I63" s="7" t="n">
        <v>31</v>
      </c>
      <c r="J63" s="7" t="n">
        <v>49</v>
      </c>
      <c r="K63" s="10" t="n">
        <v>0.5</v>
      </c>
      <c r="L63" s="7"/>
      <c r="M63" s="7"/>
    </row>
    <row r="64" customFormat="false" ht="15.75" hidden="false" customHeight="false" outlineLevel="0" collapsed="false">
      <c r="A64" s="0" t="s">
        <v>49</v>
      </c>
      <c r="B64" s="1" t="n">
        <v>43924</v>
      </c>
      <c r="C64" s="7" t="n">
        <v>1885</v>
      </c>
      <c r="D64" s="7" t="n">
        <v>165</v>
      </c>
      <c r="E64" s="7" t="n">
        <v>21</v>
      </c>
      <c r="F64" s="7" t="n">
        <v>5</v>
      </c>
      <c r="G64" s="7" t="n">
        <v>328</v>
      </c>
      <c r="H64" s="7" t="n">
        <v>1536</v>
      </c>
      <c r="I64" s="7" t="n">
        <v>31</v>
      </c>
      <c r="J64" s="7" t="n">
        <v>54</v>
      </c>
      <c r="K64" s="10" t="n">
        <v>0.6</v>
      </c>
      <c r="L64" s="7"/>
      <c r="M64" s="7"/>
    </row>
    <row r="65" customFormat="false" ht="15.75" hidden="false" customHeight="false" outlineLevel="0" collapsed="false">
      <c r="A65" s="0" t="s">
        <v>49</v>
      </c>
      <c r="B65" s="1" t="n">
        <v>43925</v>
      </c>
      <c r="C65" s="7" t="n">
        <v>2039</v>
      </c>
      <c r="D65" s="7" t="n">
        <v>154</v>
      </c>
      <c r="E65" s="7" t="n">
        <v>25</v>
      </c>
      <c r="F65" s="7" t="n">
        <v>4</v>
      </c>
      <c r="G65" s="7" t="n">
        <v>351</v>
      </c>
      <c r="H65" s="7" t="n">
        <v>1663</v>
      </c>
      <c r="I65" s="7" t="n">
        <v>41</v>
      </c>
      <c r="J65" s="7" t="n">
        <v>59</v>
      </c>
      <c r="K65" s="10" t="n">
        <v>0.7</v>
      </c>
      <c r="L65" s="7"/>
      <c r="M65" s="7"/>
    </row>
    <row r="66" customFormat="false" ht="15.75" hidden="false" customHeight="false" outlineLevel="0" collapsed="false">
      <c r="A66" s="0" t="s">
        <v>49</v>
      </c>
      <c r="B66" s="1" t="n">
        <v>43926</v>
      </c>
      <c r="C66" s="7" t="n">
        <v>2179</v>
      </c>
      <c r="D66" s="7" t="n">
        <v>140</v>
      </c>
      <c r="E66" s="7" t="n">
        <v>29</v>
      </c>
      <c r="F66" s="7" t="n">
        <v>4</v>
      </c>
      <c r="G66" s="7" t="n">
        <v>420</v>
      </c>
      <c r="H66" s="7" t="n">
        <v>1730</v>
      </c>
      <c r="I66" s="7" t="n">
        <v>41</v>
      </c>
      <c r="J66" s="7" t="n">
        <v>63</v>
      </c>
      <c r="K66" s="10" t="n">
        <v>0.8</v>
      </c>
      <c r="L66" s="7"/>
      <c r="M66" s="7"/>
    </row>
    <row r="67" customFormat="false" ht="15.75" hidden="false" customHeight="false" outlineLevel="0" collapsed="false">
      <c r="A67" s="0" t="s">
        <v>49</v>
      </c>
      <c r="B67" s="1" t="n">
        <v>43927</v>
      </c>
      <c r="C67" s="7" t="n">
        <v>2402</v>
      </c>
      <c r="D67" s="7" t="n">
        <v>223</v>
      </c>
      <c r="E67" s="7" t="n">
        <v>34</v>
      </c>
      <c r="F67" s="7" t="n">
        <v>5</v>
      </c>
      <c r="G67" s="7" t="n">
        <v>488</v>
      </c>
      <c r="H67" s="7" t="n">
        <v>1880</v>
      </c>
      <c r="I67" s="7" t="n">
        <v>41</v>
      </c>
      <c r="J67" s="7" t="n">
        <v>69</v>
      </c>
      <c r="K67" s="7" t="n">
        <v>1</v>
      </c>
      <c r="L67" s="7"/>
      <c r="M67" s="7"/>
    </row>
    <row r="68" customFormat="false" ht="15.75" hidden="false" customHeight="false" outlineLevel="0" collapsed="false">
      <c r="A68" s="0" t="s">
        <v>49</v>
      </c>
      <c r="B68" s="1" t="n">
        <v>43928</v>
      </c>
      <c r="C68" s="12" t="n">
        <v>2605</v>
      </c>
      <c r="D68" s="12" t="n">
        <v>203</v>
      </c>
      <c r="E68" s="12" t="n">
        <v>38</v>
      </c>
      <c r="F68" s="12" t="n">
        <v>4</v>
      </c>
      <c r="G68" s="12" t="n">
        <v>551</v>
      </c>
      <c r="H68" s="12" t="n">
        <v>2016</v>
      </c>
      <c r="I68" s="12" t="n">
        <v>41</v>
      </c>
      <c r="J68" s="12" t="n">
        <v>75</v>
      </c>
      <c r="K68" s="12" t="n">
        <v>1</v>
      </c>
      <c r="L68" s="12"/>
      <c r="M68" s="12"/>
    </row>
    <row r="69" customFormat="false" ht="15.75" hidden="false" customHeight="false" outlineLevel="0" collapsed="false">
      <c r="A69" s="0" t="s">
        <v>49</v>
      </c>
      <c r="B69" s="1" t="n">
        <v>43929</v>
      </c>
      <c r="C69" s="14" t="n">
        <v>2795</v>
      </c>
      <c r="D69" s="14" t="n">
        <v>190</v>
      </c>
      <c r="E69" s="14" t="n">
        <v>41</v>
      </c>
      <c r="F69" s="14" t="n">
        <v>3</v>
      </c>
      <c r="G69" s="14" t="n">
        <v>615</v>
      </c>
      <c r="H69" s="14" t="n">
        <v>2139</v>
      </c>
      <c r="I69" s="14" t="n">
        <v>41</v>
      </c>
      <c r="J69" s="14" t="n">
        <v>80</v>
      </c>
      <c r="K69" s="14" t="n">
        <v>1</v>
      </c>
      <c r="L69" s="14"/>
      <c r="M69" s="14"/>
    </row>
    <row r="70" customFormat="false" ht="15.75" hidden="false" customHeight="false" outlineLevel="0" collapsed="false">
      <c r="A70" s="0" t="s">
        <v>49</v>
      </c>
      <c r="B70" s="1" t="n">
        <v>43930</v>
      </c>
      <c r="C70" s="14" t="n">
        <v>3122</v>
      </c>
      <c r="D70" s="14" t="n">
        <v>327</v>
      </c>
      <c r="E70" s="14" t="n">
        <v>41</v>
      </c>
      <c r="F70" s="14" t="n">
        <v>0</v>
      </c>
      <c r="G70" s="14" t="n">
        <v>631</v>
      </c>
      <c r="H70" s="14" t="n">
        <v>2450</v>
      </c>
      <c r="I70" s="14" t="n">
        <v>41</v>
      </c>
      <c r="J70" s="14" t="n">
        <v>90</v>
      </c>
      <c r="K70" s="14" t="n">
        <v>1</v>
      </c>
      <c r="L70" s="14"/>
      <c r="M70" s="14"/>
    </row>
    <row r="71" customFormat="false" ht="15.75" hidden="false" customHeight="false" outlineLevel="0" collapsed="false">
      <c r="A71" s="0" t="s">
        <v>49</v>
      </c>
      <c r="B71" s="1" t="n">
        <v>43931</v>
      </c>
      <c r="C71" s="14" t="n">
        <v>3287</v>
      </c>
      <c r="D71" s="14" t="n">
        <v>165</v>
      </c>
      <c r="E71" s="14" t="n">
        <v>44</v>
      </c>
      <c r="F71" s="14" t="n">
        <v>3</v>
      </c>
      <c r="G71" s="14" t="n">
        <v>666</v>
      </c>
      <c r="H71" s="14" t="n">
        <v>2577</v>
      </c>
      <c r="I71" s="14" t="n">
        <v>41</v>
      </c>
      <c r="J71" s="14" t="n">
        <v>94</v>
      </c>
      <c r="K71" s="14" t="n">
        <v>1</v>
      </c>
      <c r="L71" s="14" t="n">
        <v>115585</v>
      </c>
      <c r="M71" s="14" t="n">
        <v>3320</v>
      </c>
    </row>
    <row r="72" customFormat="false" ht="15.75" hidden="false" customHeight="false" outlineLevel="0" collapsed="false">
      <c r="A72" s="0" t="s">
        <v>49</v>
      </c>
      <c r="B72" s="1" t="n">
        <v>43932</v>
      </c>
      <c r="C72" s="14" t="n">
        <v>3651</v>
      </c>
      <c r="D72" s="14" t="n">
        <v>364</v>
      </c>
      <c r="E72" s="14" t="n">
        <v>47</v>
      </c>
      <c r="F72" s="14" t="n">
        <v>3</v>
      </c>
      <c r="G72" s="14" t="n">
        <v>685</v>
      </c>
      <c r="H72" s="14" t="n">
        <v>2919</v>
      </c>
      <c r="I72" s="14" t="n">
        <v>57</v>
      </c>
      <c r="J72" s="14" t="n">
        <v>105</v>
      </c>
      <c r="K72" s="14" t="n">
        <v>1</v>
      </c>
      <c r="L72" s="14" t="n">
        <v>115585</v>
      </c>
      <c r="M72" s="14" t="n">
        <v>3320</v>
      </c>
    </row>
    <row r="73" customFormat="false" ht="15.75" hidden="false" customHeight="false" outlineLevel="0" collapsed="false">
      <c r="A73" s="0" t="s">
        <v>49</v>
      </c>
      <c r="B73" s="1" t="n">
        <v>43933</v>
      </c>
      <c r="C73" s="14" t="n">
        <v>4033</v>
      </c>
      <c r="D73" s="14" t="n">
        <v>382</v>
      </c>
      <c r="E73" s="14" t="n">
        <v>52</v>
      </c>
      <c r="F73" s="14" t="n">
        <v>5</v>
      </c>
      <c r="G73" s="14" t="n">
        <v>720</v>
      </c>
      <c r="H73" s="14" t="n">
        <v>3261</v>
      </c>
      <c r="I73" s="14" t="n">
        <v>67</v>
      </c>
      <c r="J73" s="14" t="n">
        <v>116</v>
      </c>
      <c r="K73" s="14" t="n">
        <v>1</v>
      </c>
      <c r="L73" s="14" t="n">
        <v>115585</v>
      </c>
      <c r="M73" s="14" t="n">
        <v>3320</v>
      </c>
    </row>
    <row r="74" customFormat="false" ht="15.75" hidden="false" customHeight="false" outlineLevel="0" collapsed="false">
      <c r="A74" s="0" t="s">
        <v>49</v>
      </c>
      <c r="B74" s="1" t="n">
        <v>43934</v>
      </c>
      <c r="C74" s="14" t="n">
        <v>4462</v>
      </c>
      <c r="D74" s="14" t="n">
        <v>429</v>
      </c>
      <c r="E74" s="14" t="n">
        <v>59</v>
      </c>
      <c r="F74" s="14" t="n">
        <v>7</v>
      </c>
      <c r="G74" s="14" t="n">
        <v>761</v>
      </c>
      <c r="H74" s="14" t="n">
        <v>3642</v>
      </c>
      <c r="I74" s="14" t="n">
        <v>67</v>
      </c>
      <c r="J74" s="14" t="n">
        <v>128</v>
      </c>
      <c r="K74" s="14" t="n">
        <v>2</v>
      </c>
      <c r="L74" s="14" t="n">
        <v>115585</v>
      </c>
      <c r="M74" s="14" t="n">
        <v>3320</v>
      </c>
    </row>
    <row r="75" customFormat="false" ht="15.75" hidden="false" customHeight="false" outlineLevel="0" collapsed="false">
      <c r="A75" s="0" t="s">
        <v>49</v>
      </c>
      <c r="B75" s="1" t="n">
        <v>43935</v>
      </c>
      <c r="C75" s="14" t="n">
        <v>4934</v>
      </c>
      <c r="D75" s="14" t="n">
        <v>472</v>
      </c>
      <c r="E75" s="14" t="n">
        <v>65</v>
      </c>
      <c r="F75" s="14" t="n">
        <v>6</v>
      </c>
      <c r="G75" s="14" t="n">
        <v>805</v>
      </c>
      <c r="H75" s="14" t="n">
        <v>4064</v>
      </c>
      <c r="I75" s="14" t="n">
        <v>59</v>
      </c>
      <c r="J75" s="14" t="n">
        <v>142</v>
      </c>
      <c r="K75" s="14" t="n">
        <v>2</v>
      </c>
      <c r="L75" s="14" t="n">
        <v>115585</v>
      </c>
      <c r="M75" s="14" t="n">
        <v>3320</v>
      </c>
    </row>
    <row r="76" customFormat="false" ht="15.75" hidden="false" customHeight="false" outlineLevel="0" collapsed="false">
      <c r="A76" s="0" t="s">
        <v>49</v>
      </c>
      <c r="B76" s="1" t="n">
        <v>43936</v>
      </c>
      <c r="C76" s="14" t="n">
        <v>5369</v>
      </c>
      <c r="D76" s="14" t="n">
        <v>435</v>
      </c>
      <c r="E76" s="14" t="n">
        <v>73</v>
      </c>
      <c r="F76" s="14" t="n">
        <v>8</v>
      </c>
      <c r="G76" s="14" t="n">
        <v>889</v>
      </c>
      <c r="H76" s="14" t="n">
        <v>4407</v>
      </c>
      <c r="I76" s="14" t="n">
        <v>59</v>
      </c>
      <c r="J76" s="14" t="n">
        <v>154</v>
      </c>
      <c r="K76" s="14" t="n">
        <v>2</v>
      </c>
      <c r="L76" s="14" t="n">
        <v>150000</v>
      </c>
      <c r="M76" s="14" t="n">
        <v>4309</v>
      </c>
    </row>
    <row r="77" customFormat="false" ht="15.75" hidden="false" customHeight="false" outlineLevel="0" collapsed="false">
      <c r="A77" s="0" t="s">
        <v>49</v>
      </c>
      <c r="B77" s="1" t="n">
        <v>43937</v>
      </c>
      <c r="C77" s="14" t="n">
        <v>5862</v>
      </c>
      <c r="D77" s="14" t="n">
        <v>493</v>
      </c>
      <c r="E77" s="14" t="n">
        <v>79</v>
      </c>
      <c r="F77" s="14" t="n">
        <v>6</v>
      </c>
      <c r="G77" s="14" t="n">
        <v>931</v>
      </c>
      <c r="H77" s="14" t="n">
        <v>4852</v>
      </c>
      <c r="I77" s="14" t="n">
        <v>71</v>
      </c>
      <c r="J77" s="14" t="n">
        <v>168</v>
      </c>
      <c r="K77" s="14" t="n">
        <v>2</v>
      </c>
      <c r="L77" s="14" t="n">
        <v>150000</v>
      </c>
      <c r="M77" s="14" t="n">
        <v>4309</v>
      </c>
    </row>
    <row r="78" customFormat="false" ht="15.75" hidden="false" customHeight="false" outlineLevel="0" collapsed="false">
      <c r="A78" s="0" t="s">
        <v>49</v>
      </c>
      <c r="B78" s="1" t="n">
        <v>43938</v>
      </c>
      <c r="C78" s="14" t="n">
        <v>6380</v>
      </c>
      <c r="D78" s="14" t="n">
        <v>518</v>
      </c>
      <c r="E78" s="14" t="n">
        <v>83</v>
      </c>
      <c r="F78" s="14" t="n">
        <v>4</v>
      </c>
      <c r="G78" s="14" t="n">
        <v>990</v>
      </c>
      <c r="H78" s="14" t="n">
        <v>5307</v>
      </c>
      <c r="I78" s="14" t="n">
        <v>71</v>
      </c>
      <c r="J78" s="14" t="n">
        <v>183</v>
      </c>
      <c r="K78" s="14" t="n">
        <v>2</v>
      </c>
      <c r="L78" s="14" t="n">
        <v>150000</v>
      </c>
      <c r="M78" s="14" t="n">
        <v>4309</v>
      </c>
    </row>
    <row r="79" customFormat="false" ht="15.75" hidden="false" customHeight="false" outlineLevel="0" collapsed="false">
      <c r="A79" s="0" t="s">
        <v>49</v>
      </c>
      <c r="B79" s="1" t="n">
        <v>43939</v>
      </c>
      <c r="C79" s="14" t="n">
        <v>7142</v>
      </c>
      <c r="D79" s="14" t="n">
        <v>762</v>
      </c>
      <c r="E79" s="14" t="n">
        <v>87</v>
      </c>
      <c r="F79" s="14" t="n">
        <v>4</v>
      </c>
      <c r="G79" s="14" t="n">
        <v>1049</v>
      </c>
      <c r="H79" s="14" t="n">
        <v>6006</v>
      </c>
      <c r="I79" s="14" t="n">
        <v>74</v>
      </c>
      <c r="J79" s="14" t="n">
        <v>205</v>
      </c>
      <c r="K79" s="14" t="n">
        <v>2</v>
      </c>
      <c r="L79" s="14" t="n">
        <v>150000</v>
      </c>
      <c r="M79" s="14" t="n">
        <v>4309</v>
      </c>
    </row>
    <row r="80" customFormat="false" ht="15.75" hidden="false" customHeight="false" outlineLevel="0" collapsed="false">
      <c r="A80" s="0" t="s">
        <v>49</v>
      </c>
      <c r="B80" s="1" t="n">
        <v>43940</v>
      </c>
      <c r="C80" s="14" t="n">
        <v>8274</v>
      </c>
      <c r="D80" s="14" t="n">
        <v>1132</v>
      </c>
      <c r="E80" s="14" t="n">
        <v>92</v>
      </c>
      <c r="F80" s="14" t="n">
        <v>5</v>
      </c>
      <c r="G80" s="14" t="n">
        <v>1329</v>
      </c>
      <c r="H80" s="14" t="n">
        <v>6853</v>
      </c>
      <c r="I80" s="14" t="n">
        <v>78</v>
      </c>
      <c r="J80" s="14" t="n">
        <v>238</v>
      </c>
      <c r="K80" s="14" t="n">
        <v>3</v>
      </c>
      <c r="L80" s="14" t="n">
        <v>150000</v>
      </c>
      <c r="M80" s="14" t="n">
        <v>4309</v>
      </c>
    </row>
    <row r="81" customFormat="false" ht="15.75" hidden="false" customHeight="false" outlineLevel="0" collapsed="false">
      <c r="A81" s="0" t="s">
        <v>49</v>
      </c>
      <c r="B81" s="1" t="n">
        <v>43941</v>
      </c>
      <c r="C81" s="14" t="n">
        <v>9362</v>
      </c>
      <c r="D81" s="14" t="n">
        <v>1088</v>
      </c>
      <c r="E81" s="14" t="n">
        <v>97</v>
      </c>
      <c r="F81" s="14" t="n">
        <v>5</v>
      </c>
      <c r="G81" s="14" t="n">
        <v>1398</v>
      </c>
      <c r="H81" s="14" t="n">
        <v>7867</v>
      </c>
      <c r="I81" s="14" t="n">
        <v>97</v>
      </c>
      <c r="J81" s="14" t="n">
        <v>269</v>
      </c>
      <c r="K81" s="14" t="n">
        <v>3</v>
      </c>
      <c r="L81" s="14" t="n">
        <v>180000</v>
      </c>
      <c r="M81" s="14" t="n">
        <v>5170</v>
      </c>
    </row>
    <row r="82" customFormat="false" ht="15.75" hidden="false" customHeight="false" outlineLevel="0" collapsed="false">
      <c r="A82" s="0" t="s">
        <v>49</v>
      </c>
      <c r="B82" s="1" t="n">
        <v>43942</v>
      </c>
      <c r="C82" s="6" t="n">
        <v>10484</v>
      </c>
      <c r="D82" s="6" t="n">
        <v>1122</v>
      </c>
      <c r="E82" s="6" t="n">
        <v>103</v>
      </c>
      <c r="F82" s="6" t="n">
        <v>6</v>
      </c>
      <c r="G82" s="6" t="n">
        <v>1490</v>
      </c>
      <c r="H82" s="6" t="n">
        <v>8891</v>
      </c>
      <c r="I82" s="6" t="n">
        <v>88</v>
      </c>
      <c r="J82" s="6" t="n">
        <v>301</v>
      </c>
      <c r="K82" s="6" t="n">
        <v>3</v>
      </c>
      <c r="L82" s="6" t="n">
        <v>180000</v>
      </c>
      <c r="M82" s="6" t="n">
        <v>5170</v>
      </c>
    </row>
    <row r="83" customFormat="false" ht="15.75" hidden="false" customHeight="false" outlineLevel="0" collapsed="false">
      <c r="A83" s="0" t="s">
        <v>49</v>
      </c>
      <c r="B83" s="1" t="n">
        <v>43943</v>
      </c>
      <c r="C83" s="6" t="n">
        <v>11631</v>
      </c>
      <c r="D83" s="6" t="n">
        <v>1147</v>
      </c>
      <c r="E83" s="6" t="n">
        <v>109</v>
      </c>
      <c r="F83" s="6" t="n">
        <v>6</v>
      </c>
      <c r="G83" s="6" t="n">
        <v>1640</v>
      </c>
      <c r="H83" s="6" t="n">
        <v>9882</v>
      </c>
      <c r="I83" s="6" t="n">
        <v>81</v>
      </c>
      <c r="J83" s="6" t="n">
        <v>334</v>
      </c>
      <c r="K83" s="6" t="n">
        <v>3</v>
      </c>
      <c r="L83" s="6" t="n">
        <v>500000</v>
      </c>
      <c r="M83" s="6" t="n">
        <v>14362</v>
      </c>
    </row>
    <row r="84" customFormat="false" ht="15.75" hidden="false" customHeight="false" outlineLevel="0" collapsed="false">
      <c r="A84" s="0" t="s">
        <v>49</v>
      </c>
      <c r="B84" s="1" t="n">
        <v>43944</v>
      </c>
      <c r="C84" s="6" t="n">
        <v>12772</v>
      </c>
      <c r="D84" s="6" t="n">
        <v>1141</v>
      </c>
      <c r="E84" s="6" t="n">
        <v>114</v>
      </c>
      <c r="F84" s="6" t="n">
        <v>5</v>
      </c>
      <c r="G84" s="6" t="n">
        <v>1812</v>
      </c>
      <c r="H84" s="6" t="n">
        <v>10846</v>
      </c>
      <c r="I84" s="6" t="n">
        <v>82</v>
      </c>
      <c r="J84" s="6" t="n">
        <v>367</v>
      </c>
      <c r="K84" s="6" t="n">
        <v>3</v>
      </c>
      <c r="L84" s="6" t="n">
        <v>200000</v>
      </c>
      <c r="M84" s="6" t="n">
        <v>5745</v>
      </c>
    </row>
    <row r="85" customFormat="false" ht="15.75" hidden="false" customHeight="false" outlineLevel="0" collapsed="false">
      <c r="A85" s="0" t="s">
        <v>49</v>
      </c>
      <c r="B85" s="1" t="n">
        <v>43945</v>
      </c>
      <c r="C85" s="6" t="n">
        <v>13930</v>
      </c>
      <c r="D85" s="6" t="n">
        <v>1158</v>
      </c>
      <c r="E85" s="6" t="n">
        <v>121</v>
      </c>
      <c r="F85" s="6" t="n">
        <v>7</v>
      </c>
      <c r="G85" s="6" t="n">
        <v>1925</v>
      </c>
      <c r="H85" s="6" t="n">
        <v>11884</v>
      </c>
      <c r="I85" s="6" t="n">
        <v>93</v>
      </c>
      <c r="J85" s="6" t="n">
        <v>400</v>
      </c>
      <c r="K85" s="6" t="n">
        <v>3</v>
      </c>
      <c r="L85" s="6" t="n">
        <v>200000</v>
      </c>
      <c r="M85" s="6" t="n">
        <v>5745</v>
      </c>
    </row>
    <row r="86" customFormat="false" ht="15.75" hidden="false" customHeight="false" outlineLevel="0" collapsed="false">
      <c r="A86" s="0" t="s">
        <v>49</v>
      </c>
      <c r="B86" s="1" t="n">
        <v>43946</v>
      </c>
      <c r="C86" s="6" t="n">
        <v>15102</v>
      </c>
      <c r="D86" s="6" t="n">
        <v>1172</v>
      </c>
      <c r="E86" s="6" t="n">
        <v>127</v>
      </c>
      <c r="F86" s="6" t="n">
        <v>6</v>
      </c>
      <c r="G86" s="6" t="n">
        <v>2049</v>
      </c>
      <c r="H86" s="6" t="n">
        <v>12926</v>
      </c>
      <c r="I86" s="6" t="n">
        <v>93</v>
      </c>
      <c r="J86" s="6" t="n">
        <v>434</v>
      </c>
      <c r="K86" s="6" t="n">
        <v>4</v>
      </c>
      <c r="L86" s="6" t="n">
        <v>200000</v>
      </c>
      <c r="M86" s="6" t="n">
        <v>5745</v>
      </c>
    </row>
    <row r="87" customFormat="false" ht="15.75" hidden="false" customHeight="false" outlineLevel="0" collapsed="false">
      <c r="A87" s="0" t="s">
        <v>49</v>
      </c>
      <c r="B87" s="1" t="n">
        <v>43947</v>
      </c>
      <c r="C87" s="6" t="n">
        <v>16299</v>
      </c>
      <c r="D87" s="6" t="n">
        <v>1197</v>
      </c>
      <c r="E87" s="6" t="n">
        <v>136</v>
      </c>
      <c r="F87" s="6" t="n">
        <v>9</v>
      </c>
      <c r="G87" s="6" t="n">
        <v>2215</v>
      </c>
      <c r="H87" s="6" t="n">
        <v>13948</v>
      </c>
      <c r="I87" s="6" t="n">
        <v>115</v>
      </c>
      <c r="J87" s="6" t="n">
        <v>468</v>
      </c>
      <c r="K87" s="6" t="n">
        <v>4</v>
      </c>
      <c r="L87" s="6" t="n">
        <v>200000</v>
      </c>
      <c r="M87" s="6" t="n">
        <v>5745</v>
      </c>
    </row>
    <row r="88" customFormat="false" ht="15.75" hidden="false" customHeight="false" outlineLevel="0" collapsed="false">
      <c r="A88" s="0" t="s">
        <v>49</v>
      </c>
      <c r="B88" s="1" t="n">
        <v>43948</v>
      </c>
      <c r="C88" s="6" t="n">
        <v>17522</v>
      </c>
      <c r="D88" s="6" t="n">
        <v>1223</v>
      </c>
      <c r="E88" s="6" t="n">
        <v>139</v>
      </c>
      <c r="F88" s="6" t="n">
        <v>3</v>
      </c>
      <c r="G88" s="6" t="n">
        <v>2357</v>
      </c>
      <c r="H88" s="6" t="n">
        <v>15026</v>
      </c>
      <c r="I88" s="6" t="n">
        <v>115</v>
      </c>
      <c r="J88" s="6" t="n">
        <v>503</v>
      </c>
      <c r="K88" s="6" t="n">
        <v>4</v>
      </c>
      <c r="L88" s="6" t="n">
        <v>200000</v>
      </c>
      <c r="M88" s="6" t="n">
        <v>5745</v>
      </c>
    </row>
    <row r="89" customFormat="false" ht="13.5" hidden="false" customHeight="false" outlineLevel="0" collapsed="false">
      <c r="A89" s="0" t="s">
        <v>49</v>
      </c>
      <c r="B89" s="1" t="n">
        <v>43949</v>
      </c>
      <c r="C89" s="2" t="n">
        <v>18811</v>
      </c>
      <c r="D89" s="2" t="n">
        <v>1289</v>
      </c>
      <c r="E89" s="2" t="n">
        <v>144</v>
      </c>
      <c r="F89" s="2" t="n">
        <v>5</v>
      </c>
      <c r="G89" s="2" t="n">
        <v>2531</v>
      </c>
      <c r="H89" s="2" t="n">
        <v>16136</v>
      </c>
      <c r="I89" s="2" t="n">
        <v>117</v>
      </c>
      <c r="J89" s="2" t="n">
        <v>540</v>
      </c>
      <c r="K89" s="2" t="n">
        <v>4</v>
      </c>
      <c r="L89" s="2" t="n">
        <v>200000</v>
      </c>
      <c r="M89" s="2" t="n">
        <v>5745</v>
      </c>
    </row>
    <row r="90" customFormat="false" ht="13.5" hidden="false" customHeight="false" outlineLevel="0" collapsed="false">
      <c r="A90" s="0" t="s">
        <v>49</v>
      </c>
      <c r="B90" s="1" t="n">
        <v>43950</v>
      </c>
      <c r="C90" s="2" t="n">
        <v>20077</v>
      </c>
      <c r="D90" s="2" t="n">
        <v>1266</v>
      </c>
      <c r="E90" s="2" t="n">
        <v>152</v>
      </c>
      <c r="F90" s="2" t="n">
        <v>8</v>
      </c>
      <c r="G90" s="2" t="n">
        <v>2784</v>
      </c>
      <c r="H90" s="2" t="n">
        <v>17141</v>
      </c>
      <c r="I90" s="2" t="n">
        <v>118</v>
      </c>
      <c r="J90" s="2" t="n">
        <v>577</v>
      </c>
      <c r="K90" s="2" t="n">
        <v>4</v>
      </c>
      <c r="L90" s="2" t="n">
        <v>200000</v>
      </c>
      <c r="M90" s="2" t="n">
        <v>5745</v>
      </c>
    </row>
    <row r="91" customFormat="false" ht="13.5" hidden="false" customHeight="false" outlineLevel="0" collapsed="false">
      <c r="A91" s="0" t="s">
        <v>49</v>
      </c>
      <c r="B91" s="1" t="n">
        <v>43951</v>
      </c>
      <c r="C91" s="2" t="n">
        <v>21402</v>
      </c>
      <c r="D91" s="2" t="n">
        <v>1325</v>
      </c>
      <c r="E91" s="2" t="n">
        <v>157</v>
      </c>
      <c r="F91" s="2" t="n">
        <v>5</v>
      </c>
      <c r="G91" s="2" t="n">
        <v>2953</v>
      </c>
      <c r="H91" s="2" t="n">
        <v>18292</v>
      </c>
      <c r="I91" s="2" t="n">
        <v>125</v>
      </c>
      <c r="J91" s="2" t="n">
        <v>615</v>
      </c>
      <c r="K91" s="2" t="n">
        <v>5</v>
      </c>
      <c r="L91" s="2" t="n">
        <v>200000</v>
      </c>
      <c r="M91" s="2" t="n">
        <v>5745</v>
      </c>
    </row>
    <row r="92" customFormat="false" ht="14.25" hidden="false" customHeight="false" outlineLevel="0" collapsed="false">
      <c r="A92" s="0" t="s">
        <v>49</v>
      </c>
      <c r="B92" s="1" t="n">
        <v>43952</v>
      </c>
      <c r="C92" s="2" t="n">
        <v>22753</v>
      </c>
      <c r="D92" s="2" t="n">
        <v>1351</v>
      </c>
      <c r="E92" s="2" t="n">
        <v>162</v>
      </c>
      <c r="F92" s="2" t="n">
        <v>5</v>
      </c>
      <c r="G92" s="2" t="n">
        <v>3163</v>
      </c>
      <c r="H92" s="2" t="n">
        <v>19428</v>
      </c>
      <c r="I92" s="2" t="n">
        <v>123</v>
      </c>
      <c r="J92" s="2" t="n">
        <v>654</v>
      </c>
      <c r="K92" s="2" t="n">
        <v>5</v>
      </c>
      <c r="L92" s="2" t="n">
        <v>200000</v>
      </c>
      <c r="M92" s="2" t="n">
        <v>5745</v>
      </c>
    </row>
    <row r="93" customFormat="false" ht="15.75" hidden="false" customHeight="false" outlineLevel="0" collapsed="false">
      <c r="A93" s="0" t="s">
        <v>49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49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49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49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49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49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49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49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49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49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49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49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49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49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49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49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49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49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49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49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49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49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49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49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49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49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49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49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49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49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49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49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49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49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49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49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49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49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49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49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49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49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49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49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49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49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49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49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49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49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49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49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49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49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49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49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49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49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49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49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49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49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49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49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49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49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49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49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49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49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49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49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49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49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49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49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49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49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49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49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49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49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49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49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49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49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49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49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49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49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49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49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49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49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49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50</v>
      </c>
      <c r="B37" s="1" t="n">
        <v>43897</v>
      </c>
      <c r="C37" s="8" t="n">
        <v>5</v>
      </c>
      <c r="D37" s="8" t="n">
        <v>2</v>
      </c>
      <c r="E37" s="8" t="n">
        <v>1</v>
      </c>
      <c r="F37" s="8"/>
      <c r="G37" s="8" t="n">
        <v>2</v>
      </c>
      <c r="H37" s="8" t="n">
        <v>2</v>
      </c>
      <c r="I37" s="8" t="n">
        <v>1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50</v>
      </c>
      <c r="B38" s="1" t="n">
        <v>43898</v>
      </c>
      <c r="C38" s="6" t="n">
        <v>6</v>
      </c>
      <c r="D38" s="6" t="n">
        <v>1</v>
      </c>
      <c r="E38" s="6" t="n">
        <v>1</v>
      </c>
      <c r="F38" s="6"/>
      <c r="G38" s="6" t="n">
        <v>2</v>
      </c>
      <c r="H38" s="6" t="n">
        <v>3</v>
      </c>
      <c r="I38" s="6" t="n">
        <v>1</v>
      </c>
      <c r="J38" s="6"/>
      <c r="K38" s="6"/>
      <c r="L38" s="6"/>
      <c r="M38" s="6"/>
    </row>
    <row r="39" customFormat="false" ht="15.75" hidden="false" customHeight="false" outlineLevel="0" collapsed="false">
      <c r="A39" s="0" t="s">
        <v>50</v>
      </c>
      <c r="B39" s="1" t="n">
        <v>43899</v>
      </c>
      <c r="C39" s="6" t="n">
        <v>10</v>
      </c>
      <c r="D39" s="6" t="n">
        <v>4</v>
      </c>
      <c r="E39" s="6" t="n">
        <v>1</v>
      </c>
      <c r="F39" s="6"/>
      <c r="G39" s="6" t="n">
        <v>2</v>
      </c>
      <c r="H39" s="6" t="n">
        <v>7</v>
      </c>
      <c r="I39" s="6" t="n">
        <v>1</v>
      </c>
      <c r="J39" s="6" t="n">
        <v>0.1</v>
      </c>
      <c r="K39" s="6"/>
      <c r="L39" s="6"/>
      <c r="M39" s="6"/>
    </row>
    <row r="40" customFormat="false" ht="15.75" hidden="false" customHeight="false" outlineLevel="0" collapsed="false">
      <c r="A40" s="0" t="s">
        <v>50</v>
      </c>
      <c r="B40" s="1" t="n">
        <v>43900</v>
      </c>
      <c r="C40" s="6" t="n">
        <v>24</v>
      </c>
      <c r="D40" s="6" t="n">
        <v>14</v>
      </c>
      <c r="E40" s="6" t="n">
        <v>1</v>
      </c>
      <c r="F40" s="6"/>
      <c r="G40" s="6" t="n">
        <v>2</v>
      </c>
      <c r="H40" s="6" t="n">
        <v>21</v>
      </c>
      <c r="I40" s="6" t="n">
        <v>1</v>
      </c>
      <c r="J40" s="6" t="n">
        <v>0.2</v>
      </c>
      <c r="K40" s="6"/>
      <c r="L40" s="6"/>
      <c r="M40" s="6"/>
    </row>
    <row r="41" customFormat="false" ht="15.75" hidden="false" customHeight="false" outlineLevel="0" collapsed="false">
      <c r="A41" s="0" t="s">
        <v>50</v>
      </c>
      <c r="B41" s="1" t="n">
        <v>43901</v>
      </c>
      <c r="C41" s="6" t="n">
        <v>33</v>
      </c>
      <c r="D41" s="6" t="n">
        <v>9</v>
      </c>
      <c r="E41" s="6" t="n">
        <v>1</v>
      </c>
      <c r="F41" s="6"/>
      <c r="G41" s="6" t="n">
        <v>2</v>
      </c>
      <c r="H41" s="6" t="n">
        <v>30</v>
      </c>
      <c r="I41" s="6" t="n">
        <v>1</v>
      </c>
      <c r="J41" s="6" t="n">
        <v>0.3</v>
      </c>
      <c r="K41" s="6"/>
      <c r="L41" s="6"/>
      <c r="M41" s="6"/>
    </row>
    <row r="42" customFormat="false" ht="15.75" hidden="false" customHeight="false" outlineLevel="0" collapsed="false">
      <c r="A42" s="0" t="s">
        <v>50</v>
      </c>
      <c r="B42" s="1" t="n">
        <v>43902</v>
      </c>
      <c r="C42" s="6" t="n">
        <v>49</v>
      </c>
      <c r="D42" s="6" t="n">
        <v>16</v>
      </c>
      <c r="E42" s="6" t="n">
        <v>2</v>
      </c>
      <c r="F42" s="6" t="n">
        <v>1</v>
      </c>
      <c r="G42" s="6" t="n">
        <v>2</v>
      </c>
      <c r="H42" s="6" t="n">
        <v>45</v>
      </c>
      <c r="I42" s="6" t="n">
        <v>1</v>
      </c>
      <c r="J42" s="6" t="n">
        <v>0.4</v>
      </c>
      <c r="K42" s="6"/>
      <c r="L42" s="6"/>
      <c r="M42" s="6"/>
    </row>
    <row r="43" customFormat="false" ht="15.75" hidden="false" customHeight="false" outlineLevel="0" collapsed="false">
      <c r="A43" s="0" t="s">
        <v>50</v>
      </c>
      <c r="B43" s="1" t="n">
        <v>43903</v>
      </c>
      <c r="C43" s="6" t="n">
        <v>52</v>
      </c>
      <c r="D43" s="6" t="n">
        <v>3</v>
      </c>
      <c r="E43" s="6" t="n">
        <v>2</v>
      </c>
      <c r="F43" s="6" t="n">
        <v>0</v>
      </c>
      <c r="G43" s="6" t="n">
        <v>2</v>
      </c>
      <c r="H43" s="6" t="n">
        <v>48</v>
      </c>
      <c r="I43" s="6" t="n">
        <v>1</v>
      </c>
      <c r="J43" s="6" t="n">
        <v>0.5</v>
      </c>
      <c r="K43" s="6"/>
      <c r="L43" s="6"/>
      <c r="M43" s="6"/>
    </row>
    <row r="44" customFormat="false" ht="15.75" hidden="false" customHeight="false" outlineLevel="0" collapsed="false">
      <c r="A44" s="0" t="s">
        <v>50</v>
      </c>
      <c r="B44" s="1" t="n">
        <v>43904</v>
      </c>
      <c r="C44" s="6" t="n">
        <v>64</v>
      </c>
      <c r="D44" s="6" t="n">
        <v>12</v>
      </c>
      <c r="E44" s="6" t="n">
        <v>5</v>
      </c>
      <c r="F44" s="6" t="n">
        <v>3</v>
      </c>
      <c r="G44" s="6" t="n">
        <v>2</v>
      </c>
      <c r="H44" s="6" t="n">
        <v>57</v>
      </c>
      <c r="I44" s="6" t="n">
        <v>1</v>
      </c>
      <c r="J44" s="6" t="n">
        <v>0.6</v>
      </c>
      <c r="K44" s="6"/>
      <c r="L44" s="6"/>
      <c r="M44" s="6"/>
    </row>
    <row r="45" customFormat="false" ht="15.75" hidden="false" customHeight="false" outlineLevel="0" collapsed="false">
      <c r="A45" s="0" t="s">
        <v>50</v>
      </c>
      <c r="B45" s="1" t="n">
        <v>43905</v>
      </c>
      <c r="C45" s="6" t="n">
        <v>111</v>
      </c>
      <c r="D45" s="6" t="n">
        <v>47</v>
      </c>
      <c r="E45" s="6" t="n">
        <v>8</v>
      </c>
      <c r="F45" s="6" t="n">
        <v>3</v>
      </c>
      <c r="G45" s="6" t="n">
        <v>2</v>
      </c>
      <c r="H45" s="6" t="n">
        <v>101</v>
      </c>
      <c r="I45" s="6" t="n">
        <v>1</v>
      </c>
      <c r="J45" s="6" t="n">
        <v>1</v>
      </c>
      <c r="K45" s="6"/>
      <c r="L45" s="6"/>
      <c r="M45" s="6"/>
    </row>
    <row r="46" customFormat="false" ht="15.75" hidden="false" customHeight="false" outlineLevel="0" collapsed="false">
      <c r="A46" s="0" t="s">
        <v>50</v>
      </c>
      <c r="B46" s="1" t="n">
        <v>43906</v>
      </c>
      <c r="C46" s="6" t="n">
        <v>140</v>
      </c>
      <c r="D46" s="6" t="n">
        <v>29</v>
      </c>
      <c r="E46" s="6" t="n">
        <v>12</v>
      </c>
      <c r="F46" s="6" t="n">
        <v>4</v>
      </c>
      <c r="G46" s="6" t="n">
        <v>2</v>
      </c>
      <c r="H46" s="6" t="n">
        <v>126</v>
      </c>
      <c r="I46" s="6" t="n">
        <v>1</v>
      </c>
      <c r="J46" s="6" t="n">
        <v>1.3</v>
      </c>
      <c r="K46" s="6"/>
      <c r="L46" s="6"/>
      <c r="M46" s="6"/>
    </row>
    <row r="47" customFormat="false" ht="15.75" hidden="false" customHeight="false" outlineLevel="0" collapsed="false">
      <c r="A47" s="0" t="s">
        <v>50</v>
      </c>
      <c r="B47" s="1" t="n">
        <v>43907</v>
      </c>
      <c r="C47" s="6" t="n">
        <v>142</v>
      </c>
      <c r="D47" s="6" t="n">
        <v>2</v>
      </c>
      <c r="E47" s="6" t="n">
        <v>12</v>
      </c>
      <c r="F47" s="6" t="n">
        <v>0</v>
      </c>
      <c r="G47" s="6" t="n">
        <v>5</v>
      </c>
      <c r="H47" s="6" t="n">
        <v>125</v>
      </c>
      <c r="I47" s="6" t="n">
        <v>1</v>
      </c>
      <c r="J47" s="6" t="n">
        <v>1.3</v>
      </c>
      <c r="K47" s="6"/>
      <c r="L47" s="6"/>
      <c r="M47" s="6"/>
    </row>
    <row r="48" customFormat="false" ht="15.75" hidden="false" customHeight="false" outlineLevel="0" collapsed="false">
      <c r="A48" s="0" t="s">
        <v>50</v>
      </c>
      <c r="B48" s="1" t="n">
        <v>43908</v>
      </c>
      <c r="C48" s="6" t="n">
        <v>187</v>
      </c>
      <c r="D48" s="6" t="n">
        <v>45</v>
      </c>
      <c r="E48" s="6" t="n">
        <v>12</v>
      </c>
      <c r="F48" s="6" t="n">
        <v>0</v>
      </c>
      <c r="G48" s="6" t="n">
        <v>5</v>
      </c>
      <c r="H48" s="6" t="n">
        <v>170</v>
      </c>
      <c r="I48" s="6" t="n">
        <v>1</v>
      </c>
      <c r="J48" s="6" t="n">
        <v>1.7</v>
      </c>
      <c r="K48" s="6"/>
      <c r="L48" s="6"/>
      <c r="M48" s="6"/>
    </row>
    <row r="49" customFormat="false" ht="15.75" hidden="false" customHeight="false" outlineLevel="0" collapsed="false">
      <c r="A49" s="0" t="s">
        <v>50</v>
      </c>
      <c r="B49" s="1" t="n">
        <v>43909</v>
      </c>
      <c r="C49" s="6" t="n">
        <v>202</v>
      </c>
      <c r="D49" s="6" t="n">
        <v>15</v>
      </c>
      <c r="E49" s="6" t="n">
        <v>17</v>
      </c>
      <c r="F49" s="6" t="n">
        <v>5</v>
      </c>
      <c r="G49" s="6" t="n">
        <v>4</v>
      </c>
      <c r="H49" s="6" t="n">
        <v>181</v>
      </c>
      <c r="I49" s="6" t="n">
        <v>1</v>
      </c>
      <c r="J49" s="6" t="n">
        <v>2</v>
      </c>
      <c r="K49" s="6"/>
      <c r="L49" s="6"/>
      <c r="M49" s="6"/>
    </row>
    <row r="50" customFormat="false" ht="15.75" hidden="false" customHeight="false" outlineLevel="0" collapsed="false">
      <c r="A50" s="0" t="s">
        <v>50</v>
      </c>
      <c r="B50" s="1" t="n">
        <v>43910</v>
      </c>
      <c r="C50" s="6" t="n">
        <v>217</v>
      </c>
      <c r="D50" s="6" t="n">
        <v>15</v>
      </c>
      <c r="E50" s="6" t="n">
        <v>17</v>
      </c>
      <c r="F50" s="6" t="n">
        <v>0</v>
      </c>
      <c r="G50" s="6" t="n">
        <v>8</v>
      </c>
      <c r="H50" s="6" t="n">
        <v>192</v>
      </c>
      <c r="I50" s="6" t="n">
        <v>1</v>
      </c>
      <c r="J50" s="6" t="n">
        <v>2</v>
      </c>
      <c r="K50" s="6"/>
      <c r="L50" s="6"/>
      <c r="M50" s="6"/>
    </row>
    <row r="51" customFormat="false" ht="15.75" hidden="false" customHeight="false" outlineLevel="0" collapsed="false">
      <c r="A51" s="0" t="s">
        <v>50</v>
      </c>
      <c r="B51" s="1" t="n">
        <v>43911</v>
      </c>
      <c r="C51" s="6" t="n">
        <v>307</v>
      </c>
      <c r="D51" s="6" t="n">
        <v>90</v>
      </c>
      <c r="E51" s="6" t="n">
        <v>19</v>
      </c>
      <c r="F51" s="6" t="n">
        <v>2</v>
      </c>
      <c r="G51" s="6" t="n">
        <v>13</v>
      </c>
      <c r="H51" s="6" t="n">
        <v>275</v>
      </c>
      <c r="I51" s="6" t="n">
        <v>1</v>
      </c>
      <c r="J51" s="6" t="n">
        <v>3</v>
      </c>
      <c r="K51" s="6"/>
      <c r="L51" s="6"/>
      <c r="M51" s="6"/>
    </row>
    <row r="52" customFormat="false" ht="15.75" hidden="false" customHeight="false" outlineLevel="0" collapsed="false">
      <c r="A52" s="0" t="s">
        <v>50</v>
      </c>
      <c r="B52" s="1" t="n">
        <v>43912</v>
      </c>
      <c r="C52" s="6" t="n">
        <v>307</v>
      </c>
      <c r="D52" s="6" t="n">
        <v>0</v>
      </c>
      <c r="E52" s="6" t="n">
        <v>19</v>
      </c>
      <c r="F52" s="6" t="n">
        <v>0</v>
      </c>
      <c r="G52" s="6" t="n">
        <v>13</v>
      </c>
      <c r="H52" s="6" t="n">
        <v>275</v>
      </c>
      <c r="I52" s="6" t="n">
        <v>1</v>
      </c>
      <c r="J52" s="6" t="n">
        <v>3</v>
      </c>
      <c r="K52" s="6"/>
      <c r="L52" s="6"/>
      <c r="M52" s="6"/>
    </row>
    <row r="53" customFormat="false" ht="15.75" hidden="false" customHeight="false" outlineLevel="0" collapsed="false">
      <c r="A53" s="0" t="s">
        <v>50</v>
      </c>
      <c r="B53" s="1" t="n">
        <v>43913</v>
      </c>
      <c r="C53" s="6" t="n">
        <v>380</v>
      </c>
      <c r="D53" s="6" t="n">
        <v>73</v>
      </c>
      <c r="E53" s="6" t="n">
        <v>25</v>
      </c>
      <c r="F53" s="6" t="n">
        <v>6</v>
      </c>
      <c r="G53" s="6" t="n">
        <v>15</v>
      </c>
      <c r="H53" s="6" t="n">
        <v>340</v>
      </c>
      <c r="I53" s="6" t="n">
        <v>1</v>
      </c>
      <c r="J53" s="6" t="n">
        <v>3</v>
      </c>
      <c r="K53" s="6"/>
      <c r="L53" s="6"/>
      <c r="M53" s="6"/>
    </row>
    <row r="54" customFormat="false" ht="15.75" hidden="false" customHeight="false" outlineLevel="0" collapsed="false">
      <c r="A54" s="0" t="s">
        <v>50</v>
      </c>
      <c r="B54" s="1" t="n">
        <v>43914</v>
      </c>
      <c r="C54" s="6" t="n">
        <v>462</v>
      </c>
      <c r="D54" s="6" t="n">
        <v>82</v>
      </c>
      <c r="E54" s="6" t="n">
        <v>33</v>
      </c>
      <c r="F54" s="6" t="n">
        <v>8</v>
      </c>
      <c r="G54" s="6" t="n">
        <v>18</v>
      </c>
      <c r="H54" s="6" t="n">
        <v>411</v>
      </c>
      <c r="I54" s="6" t="n">
        <v>1</v>
      </c>
      <c r="J54" s="6" t="n">
        <v>4</v>
      </c>
      <c r="K54" s="6"/>
      <c r="L54" s="6"/>
      <c r="M54" s="6"/>
    </row>
    <row r="55" customFormat="false" ht="15.75" hidden="false" customHeight="false" outlineLevel="0" collapsed="false">
      <c r="A55" s="0" t="s">
        <v>50</v>
      </c>
      <c r="B55" s="1" t="n">
        <v>43915</v>
      </c>
      <c r="C55" s="7" t="n">
        <v>552</v>
      </c>
      <c r="D55" s="7" t="n">
        <v>90</v>
      </c>
      <c r="E55" s="7" t="n">
        <v>35</v>
      </c>
      <c r="F55" s="7" t="n">
        <v>2</v>
      </c>
      <c r="G55" s="7" t="n">
        <v>20</v>
      </c>
      <c r="H55" s="7" t="n">
        <v>497</v>
      </c>
      <c r="I55" s="7" t="n">
        <v>1</v>
      </c>
      <c r="J55" s="7" t="n">
        <v>5</v>
      </c>
      <c r="K55" s="9" t="n">
        <v>0.3</v>
      </c>
      <c r="L55" s="7"/>
      <c r="M55" s="7"/>
    </row>
    <row r="56" customFormat="false" ht="15.75" hidden="false" customHeight="false" outlineLevel="0" collapsed="false">
      <c r="A56" s="0" t="s">
        <v>50</v>
      </c>
      <c r="B56" s="1" t="n">
        <v>43916</v>
      </c>
      <c r="C56" s="7" t="n">
        <v>636</v>
      </c>
      <c r="D56" s="7" t="n">
        <v>84</v>
      </c>
      <c r="E56" s="7" t="n">
        <v>38</v>
      </c>
      <c r="F56" s="7" t="n">
        <v>3</v>
      </c>
      <c r="G56" s="7" t="n">
        <v>26</v>
      </c>
      <c r="H56" s="7" t="n">
        <v>572</v>
      </c>
      <c r="I56" s="7" t="n">
        <v>1</v>
      </c>
      <c r="J56" s="7" t="n">
        <v>6</v>
      </c>
      <c r="K56" s="9" t="n">
        <v>0.3</v>
      </c>
      <c r="L56" s="7"/>
      <c r="M56" s="7"/>
    </row>
    <row r="57" customFormat="false" ht="15.75" hidden="false" customHeight="false" outlineLevel="0" collapsed="false">
      <c r="A57" s="0" t="s">
        <v>50</v>
      </c>
      <c r="B57" s="1" t="n">
        <v>43917</v>
      </c>
      <c r="C57" s="7" t="n">
        <v>707</v>
      </c>
      <c r="D57" s="7" t="n">
        <v>71</v>
      </c>
      <c r="E57" s="7" t="n">
        <v>45</v>
      </c>
      <c r="F57" s="7" t="n">
        <v>7</v>
      </c>
      <c r="G57" s="7" t="n">
        <v>28</v>
      </c>
      <c r="H57" s="7" t="n">
        <v>634</v>
      </c>
      <c r="I57" s="7" t="n">
        <v>1</v>
      </c>
      <c r="J57" s="7" t="n">
        <v>6</v>
      </c>
      <c r="K57" s="9" t="n">
        <v>0.4</v>
      </c>
      <c r="L57" s="7"/>
      <c r="M57" s="7"/>
    </row>
    <row r="58" customFormat="false" ht="15.75" hidden="false" customHeight="false" outlineLevel="0" collapsed="false">
      <c r="A58" s="0" t="s">
        <v>50</v>
      </c>
      <c r="B58" s="1" t="n">
        <v>43918</v>
      </c>
      <c r="C58" s="7" t="n">
        <v>803</v>
      </c>
      <c r="D58" s="7" t="n">
        <v>96</v>
      </c>
      <c r="E58" s="7" t="n">
        <v>54</v>
      </c>
      <c r="F58" s="7" t="n">
        <v>9</v>
      </c>
      <c r="G58" s="7" t="n">
        <v>31</v>
      </c>
      <c r="H58" s="7" t="n">
        <v>718</v>
      </c>
      <c r="I58" s="7" t="n">
        <v>1</v>
      </c>
      <c r="J58" s="7" t="n">
        <v>7</v>
      </c>
      <c r="K58" s="9" t="n">
        <v>0.5</v>
      </c>
      <c r="L58" s="7"/>
      <c r="M58" s="7"/>
    </row>
    <row r="59" customFormat="false" ht="15.75" hidden="false" customHeight="false" outlineLevel="0" collapsed="false">
      <c r="A59" s="0" t="s">
        <v>50</v>
      </c>
      <c r="B59" s="1" t="n">
        <v>43919</v>
      </c>
      <c r="C59" s="7" t="n">
        <v>1075</v>
      </c>
      <c r="D59" s="7" t="n">
        <v>272</v>
      </c>
      <c r="E59" s="7" t="n">
        <v>68</v>
      </c>
      <c r="F59" s="7" t="n">
        <v>14</v>
      </c>
      <c r="G59" s="7" t="n">
        <v>35</v>
      </c>
      <c r="H59" s="7" t="n">
        <v>972</v>
      </c>
      <c r="I59" s="7" t="n">
        <v>1</v>
      </c>
      <c r="J59" s="7" t="n">
        <v>10</v>
      </c>
      <c r="K59" s="9" t="n">
        <v>0.6</v>
      </c>
      <c r="M59" s="7"/>
    </row>
    <row r="60" customFormat="false" ht="15.75" hidden="false" customHeight="false" outlineLevel="0" collapsed="false">
      <c r="A60" s="0" t="s">
        <v>50</v>
      </c>
      <c r="B60" s="1" t="n">
        <v>43920</v>
      </c>
      <c r="C60" s="7" t="n">
        <v>1418</v>
      </c>
      <c r="D60" s="7" t="n">
        <v>343</v>
      </c>
      <c r="E60" s="7" t="n">
        <v>71</v>
      </c>
      <c r="F60" s="7" t="n">
        <v>3</v>
      </c>
      <c r="G60" s="7" t="n">
        <v>42</v>
      </c>
      <c r="H60" s="7" t="n">
        <v>1305</v>
      </c>
      <c r="I60" s="7" t="n">
        <v>1</v>
      </c>
      <c r="J60" s="7" t="n">
        <v>13</v>
      </c>
      <c r="K60" s="9" t="n">
        <v>0.6</v>
      </c>
      <c r="M60" s="7"/>
    </row>
    <row r="61" customFormat="false" ht="15.75" hidden="false" customHeight="false" outlineLevel="0" collapsed="false">
      <c r="A61" s="0" t="s">
        <v>50</v>
      </c>
      <c r="B61" s="1" t="n">
        <v>43921</v>
      </c>
      <c r="C61" s="7" t="n">
        <v>1546</v>
      </c>
      <c r="D61" s="7" t="n">
        <v>128</v>
      </c>
      <c r="E61" s="7" t="n">
        <v>78</v>
      </c>
      <c r="F61" s="7" t="n">
        <v>7</v>
      </c>
      <c r="G61" s="7" t="n">
        <v>42</v>
      </c>
      <c r="H61" s="7" t="n">
        <v>1426</v>
      </c>
      <c r="I61" s="7" t="n">
        <v>1</v>
      </c>
      <c r="J61" s="7" t="n">
        <v>14</v>
      </c>
      <c r="K61" s="9" t="n">
        <v>0.7</v>
      </c>
      <c r="M61" s="7"/>
    </row>
    <row r="62" customFormat="false" ht="15.75" hidden="false" customHeight="false" outlineLevel="0" collapsed="false">
      <c r="A62" s="0" t="s">
        <v>50</v>
      </c>
      <c r="B62" s="1" t="n">
        <v>43922</v>
      </c>
      <c r="C62" s="7" t="n">
        <v>2084</v>
      </c>
      <c r="D62" s="7" t="n">
        <v>538</v>
      </c>
      <c r="E62" s="7" t="n">
        <v>88</v>
      </c>
      <c r="F62" s="7" t="n">
        <v>10</v>
      </c>
      <c r="G62" s="7" t="n">
        <v>49</v>
      </c>
      <c r="H62" s="7" t="n">
        <v>1947</v>
      </c>
      <c r="I62" s="7" t="n">
        <v>1</v>
      </c>
      <c r="J62" s="7" t="n">
        <v>19</v>
      </c>
      <c r="K62" s="9" t="n">
        <v>0.8</v>
      </c>
      <c r="M62" s="7"/>
    </row>
    <row r="63" customFormat="false" ht="15.75" hidden="false" customHeight="false" outlineLevel="0" collapsed="false">
      <c r="A63" s="0" t="s">
        <v>50</v>
      </c>
      <c r="B63" s="1" t="n">
        <v>43923</v>
      </c>
      <c r="C63" s="7" t="n">
        <v>2311</v>
      </c>
      <c r="D63" s="7" t="n">
        <v>227</v>
      </c>
      <c r="E63" s="7" t="n">
        <v>96</v>
      </c>
      <c r="F63" s="7" t="n">
        <v>8</v>
      </c>
      <c r="G63" s="7" t="n">
        <v>50</v>
      </c>
      <c r="H63" s="7" t="n">
        <v>2165</v>
      </c>
      <c r="I63" s="7" t="n">
        <v>1</v>
      </c>
      <c r="J63" s="7" t="n">
        <v>21</v>
      </c>
      <c r="K63" s="9" t="n">
        <v>0.9</v>
      </c>
      <c r="M63" s="7"/>
    </row>
    <row r="64" customFormat="false" ht="15.75" hidden="false" customHeight="false" outlineLevel="0" collapsed="false">
      <c r="A64" s="0" t="s">
        <v>50</v>
      </c>
      <c r="B64" s="1" t="n">
        <v>43924</v>
      </c>
      <c r="C64" s="7" t="n">
        <v>2633</v>
      </c>
      <c r="D64" s="7" t="n">
        <v>322</v>
      </c>
      <c r="E64" s="7" t="n">
        <v>107</v>
      </c>
      <c r="F64" s="7" t="n">
        <v>11</v>
      </c>
      <c r="G64" s="7" t="n">
        <v>51</v>
      </c>
      <c r="H64" s="7" t="n">
        <v>2475</v>
      </c>
      <c r="I64" s="7" t="n">
        <v>1</v>
      </c>
      <c r="J64" s="7" t="n">
        <v>24</v>
      </c>
      <c r="K64" s="7" t="n">
        <v>1</v>
      </c>
      <c r="M64" s="7"/>
    </row>
    <row r="65" customFormat="false" ht="15.75" hidden="false" customHeight="false" outlineLevel="0" collapsed="false">
      <c r="A65" s="0" t="s">
        <v>50</v>
      </c>
      <c r="B65" s="1" t="n">
        <v>43925</v>
      </c>
      <c r="C65" s="7" t="n">
        <v>3018</v>
      </c>
      <c r="D65" s="7" t="n">
        <v>385</v>
      </c>
      <c r="E65" s="7" t="n">
        <v>136</v>
      </c>
      <c r="F65" s="7" t="n">
        <v>29</v>
      </c>
      <c r="G65" s="7" t="n">
        <v>52</v>
      </c>
      <c r="H65" s="7" t="n">
        <v>2830</v>
      </c>
      <c r="I65" s="7" t="n">
        <v>1</v>
      </c>
      <c r="J65" s="7" t="n">
        <v>28</v>
      </c>
      <c r="K65" s="7" t="n">
        <v>1</v>
      </c>
      <c r="M65" s="7"/>
    </row>
    <row r="66" customFormat="false" ht="15.75" hidden="false" customHeight="false" outlineLevel="0" collapsed="false">
      <c r="A66" s="0" t="s">
        <v>50</v>
      </c>
      <c r="B66" s="1" t="n">
        <v>43926</v>
      </c>
      <c r="C66" s="7" t="n">
        <v>3094</v>
      </c>
      <c r="D66" s="7" t="n">
        <v>76</v>
      </c>
      <c r="E66" s="7" t="n">
        <v>144</v>
      </c>
      <c r="F66" s="7" t="n">
        <v>8</v>
      </c>
      <c r="G66" s="7" t="n">
        <v>57</v>
      </c>
      <c r="H66" s="7" t="n">
        <v>2893</v>
      </c>
      <c r="I66" s="7" t="n">
        <v>1</v>
      </c>
      <c r="J66" s="7" t="n">
        <v>28</v>
      </c>
      <c r="K66" s="7" t="n">
        <v>1</v>
      </c>
      <c r="L66" s="7" t="n">
        <v>5530</v>
      </c>
      <c r="M66" s="7" t="n">
        <v>50</v>
      </c>
    </row>
    <row r="67" customFormat="false" ht="15.75" hidden="false" customHeight="false" outlineLevel="0" collapsed="false">
      <c r="A67" s="0" t="s">
        <v>50</v>
      </c>
      <c r="B67" s="1" t="n">
        <v>43927</v>
      </c>
      <c r="C67" s="7" t="n">
        <v>3246</v>
      </c>
      <c r="D67" s="7" t="n">
        <v>152</v>
      </c>
      <c r="E67" s="7" t="n">
        <v>152</v>
      </c>
      <c r="F67" s="7" t="n">
        <v>8</v>
      </c>
      <c r="G67" s="7" t="n">
        <v>64</v>
      </c>
      <c r="H67" s="7" t="n">
        <v>3030</v>
      </c>
      <c r="I67" s="7" t="n">
        <v>1</v>
      </c>
      <c r="J67" s="7" t="n">
        <v>30</v>
      </c>
      <c r="K67" s="7" t="n">
        <v>1</v>
      </c>
      <c r="L67" s="7" t="n">
        <v>19585</v>
      </c>
      <c r="M67" s="7" t="n">
        <v>179</v>
      </c>
    </row>
    <row r="68" customFormat="false" ht="15.75" hidden="false" customHeight="false" outlineLevel="0" collapsed="false">
      <c r="A68" s="0" t="s">
        <v>50</v>
      </c>
      <c r="B68" s="1" t="n">
        <v>43928</v>
      </c>
      <c r="C68" s="12" t="n">
        <v>3660</v>
      </c>
      <c r="D68" s="12" t="n">
        <v>414</v>
      </c>
      <c r="E68" s="12" t="n">
        <v>163</v>
      </c>
      <c r="F68" s="12" t="n">
        <v>11</v>
      </c>
      <c r="G68" s="12" t="n">
        <v>73</v>
      </c>
      <c r="H68" s="12" t="n">
        <v>3424</v>
      </c>
      <c r="I68" s="12" t="n">
        <v>1</v>
      </c>
      <c r="J68" s="12" t="n">
        <v>33</v>
      </c>
      <c r="K68" s="12" t="n">
        <v>1</v>
      </c>
      <c r="L68" s="12" t="n">
        <v>22958</v>
      </c>
      <c r="M68" s="12" t="n">
        <v>210</v>
      </c>
    </row>
    <row r="69" customFormat="false" ht="15.75" hidden="false" customHeight="false" outlineLevel="0" collapsed="false">
      <c r="A69" s="0" t="s">
        <v>50</v>
      </c>
      <c r="B69" s="1" t="n">
        <v>43929</v>
      </c>
      <c r="C69" s="14" t="n">
        <v>3764</v>
      </c>
      <c r="D69" s="14" t="n">
        <v>104</v>
      </c>
      <c r="E69" s="14" t="n">
        <v>177</v>
      </c>
      <c r="F69" s="14" t="n">
        <v>14</v>
      </c>
      <c r="G69" s="14" t="n">
        <v>84</v>
      </c>
      <c r="H69" s="14" t="n">
        <v>3503</v>
      </c>
      <c r="I69" s="14" t="n">
        <v>1</v>
      </c>
      <c r="J69" s="14" t="n">
        <v>34</v>
      </c>
      <c r="K69" s="14" t="n">
        <v>2</v>
      </c>
      <c r="L69" s="14" t="n">
        <v>22958</v>
      </c>
      <c r="M69" s="14" t="n">
        <v>210</v>
      </c>
    </row>
    <row r="70" customFormat="false" ht="15.75" hidden="false" customHeight="false" outlineLevel="0" collapsed="false">
      <c r="A70" s="0" t="s">
        <v>50</v>
      </c>
      <c r="B70" s="1" t="n">
        <v>43930</v>
      </c>
      <c r="C70" s="14" t="n">
        <v>3870</v>
      </c>
      <c r="D70" s="14" t="n">
        <v>106</v>
      </c>
      <c r="E70" s="14" t="n">
        <v>182</v>
      </c>
      <c r="F70" s="14" t="n">
        <v>5</v>
      </c>
      <c r="G70" s="14" t="n">
        <v>96</v>
      </c>
      <c r="H70" s="14" t="n">
        <v>3592</v>
      </c>
      <c r="I70" s="14" t="n">
        <v>1</v>
      </c>
      <c r="J70" s="14" t="n">
        <v>35</v>
      </c>
      <c r="K70" s="14" t="n">
        <v>2</v>
      </c>
      <c r="L70" s="14" t="n">
        <v>24500</v>
      </c>
      <c r="M70" s="14" t="n">
        <v>224</v>
      </c>
    </row>
    <row r="71" customFormat="false" ht="15.75" hidden="false" customHeight="false" outlineLevel="0" collapsed="false">
      <c r="A71" s="0" t="s">
        <v>50</v>
      </c>
      <c r="B71" s="1" t="n">
        <v>43931</v>
      </c>
      <c r="C71" s="14" t="n">
        <v>4076</v>
      </c>
      <c r="D71" s="14" t="n">
        <v>206</v>
      </c>
      <c r="E71" s="14" t="n">
        <v>203</v>
      </c>
      <c r="F71" s="14" t="n">
        <v>21</v>
      </c>
      <c r="G71" s="14" t="n">
        <v>124</v>
      </c>
      <c r="H71" s="14" t="n">
        <v>3749</v>
      </c>
      <c r="I71" s="14" t="n">
        <v>1</v>
      </c>
      <c r="J71" s="14" t="n">
        <v>37</v>
      </c>
      <c r="K71" s="14" t="n">
        <v>2</v>
      </c>
      <c r="L71" s="14" t="n">
        <v>24500</v>
      </c>
      <c r="M71" s="14" t="n">
        <v>224</v>
      </c>
    </row>
    <row r="72" customFormat="false" ht="15.75" hidden="false" customHeight="false" outlineLevel="0" collapsed="false">
      <c r="A72" s="0" t="s">
        <v>50</v>
      </c>
      <c r="B72" s="1" t="n">
        <v>43932</v>
      </c>
      <c r="C72" s="14" t="n">
        <v>4195</v>
      </c>
      <c r="D72" s="14" t="n">
        <v>119</v>
      </c>
      <c r="E72" s="14" t="n">
        <v>221</v>
      </c>
      <c r="F72" s="14" t="n">
        <v>18</v>
      </c>
      <c r="G72" s="14" t="n">
        <v>140</v>
      </c>
      <c r="H72" s="14" t="n">
        <v>3834</v>
      </c>
      <c r="I72" s="14" t="n">
        <v>1</v>
      </c>
      <c r="J72" s="14" t="n">
        <v>38</v>
      </c>
      <c r="K72" s="14" t="n">
        <v>2</v>
      </c>
      <c r="L72" s="14" t="n">
        <v>24500</v>
      </c>
      <c r="M72" s="14" t="n">
        <v>224</v>
      </c>
    </row>
    <row r="73" customFormat="false" ht="15.75" hidden="false" customHeight="false" outlineLevel="0" collapsed="false">
      <c r="A73" s="0" t="s">
        <v>50</v>
      </c>
      <c r="B73" s="1" t="n">
        <v>43933</v>
      </c>
      <c r="C73" s="14" t="n">
        <v>4428</v>
      </c>
      <c r="D73" s="14" t="n">
        <v>233</v>
      </c>
      <c r="E73" s="14" t="n">
        <v>247</v>
      </c>
      <c r="F73" s="14" t="n">
        <v>26</v>
      </c>
      <c r="G73" s="14" t="n">
        <v>157</v>
      </c>
      <c r="H73" s="14" t="n">
        <v>4024</v>
      </c>
      <c r="I73" s="14" t="n">
        <v>1</v>
      </c>
      <c r="J73" s="14" t="n">
        <v>40</v>
      </c>
      <c r="K73" s="14" t="n">
        <v>2</v>
      </c>
      <c r="L73" s="14" t="n">
        <v>24500</v>
      </c>
      <c r="M73" s="14" t="n">
        <v>224</v>
      </c>
    </row>
    <row r="74" customFormat="false" ht="15.75" hidden="false" customHeight="false" outlineLevel="0" collapsed="false">
      <c r="A74" s="0" t="s">
        <v>50</v>
      </c>
      <c r="B74" s="1" t="n">
        <v>43934</v>
      </c>
      <c r="C74" s="14" t="n">
        <v>4648</v>
      </c>
      <c r="D74" s="14" t="n">
        <v>220</v>
      </c>
      <c r="E74" s="14" t="n">
        <v>297</v>
      </c>
      <c r="F74" s="14" t="n">
        <v>50</v>
      </c>
      <c r="G74" s="14" t="n">
        <v>197</v>
      </c>
      <c r="H74" s="14" t="n">
        <v>4154</v>
      </c>
      <c r="I74" s="14" t="n">
        <v>1</v>
      </c>
      <c r="J74" s="14" t="n">
        <v>42</v>
      </c>
      <c r="K74" s="14" t="n">
        <v>3</v>
      </c>
      <c r="L74" s="14" t="n">
        <v>33814</v>
      </c>
      <c r="M74" s="14" t="n">
        <v>309</v>
      </c>
    </row>
    <row r="75" customFormat="false" ht="15.75" hidden="false" customHeight="false" outlineLevel="0" collapsed="false">
      <c r="A75" s="0" t="s">
        <v>50</v>
      </c>
      <c r="B75" s="1" t="n">
        <v>43935</v>
      </c>
      <c r="C75" s="14" t="n">
        <v>4932</v>
      </c>
      <c r="D75" s="14" t="n">
        <v>284</v>
      </c>
      <c r="E75" s="14" t="n">
        <v>315</v>
      </c>
      <c r="F75" s="14" t="n">
        <v>18</v>
      </c>
      <c r="G75" s="14" t="n">
        <v>242</v>
      </c>
      <c r="H75" s="14" t="n">
        <v>4375</v>
      </c>
      <c r="I75" s="14" t="n">
        <v>1</v>
      </c>
      <c r="J75" s="14" t="n">
        <v>45</v>
      </c>
      <c r="K75" s="14" t="n">
        <v>3</v>
      </c>
      <c r="L75" s="14" t="n">
        <v>33814</v>
      </c>
      <c r="M75" s="14" t="n">
        <v>309</v>
      </c>
    </row>
    <row r="76" customFormat="false" ht="15.75" hidden="false" customHeight="false" outlineLevel="0" collapsed="false">
      <c r="A76" s="0" t="s">
        <v>50</v>
      </c>
      <c r="B76" s="1" t="n">
        <v>43936</v>
      </c>
      <c r="C76" s="14" t="n">
        <v>5223</v>
      </c>
      <c r="D76" s="14" t="n">
        <v>291</v>
      </c>
      <c r="E76" s="14" t="n">
        <v>335</v>
      </c>
      <c r="F76" s="14" t="n">
        <v>20</v>
      </c>
      <c r="G76" s="14" t="n">
        <v>295</v>
      </c>
      <c r="H76" s="14" t="n">
        <v>4593</v>
      </c>
      <c r="I76" s="14" t="n">
        <v>1</v>
      </c>
      <c r="J76" s="14" t="n">
        <v>48</v>
      </c>
      <c r="K76" s="14" t="n">
        <v>3</v>
      </c>
      <c r="L76" s="14" t="n">
        <v>43500</v>
      </c>
      <c r="M76" s="14" t="n">
        <v>397</v>
      </c>
    </row>
    <row r="77" customFormat="false" ht="15.75" hidden="false" customHeight="false" outlineLevel="0" collapsed="false">
      <c r="A77" s="0" t="s">
        <v>50</v>
      </c>
      <c r="B77" s="1" t="n">
        <v>43937</v>
      </c>
      <c r="C77" s="14" t="n">
        <v>5453</v>
      </c>
      <c r="D77" s="14" t="n">
        <v>230</v>
      </c>
      <c r="E77" s="14" t="n">
        <v>349</v>
      </c>
      <c r="F77" s="14" t="n">
        <v>14</v>
      </c>
      <c r="G77" s="14" t="n">
        <v>353</v>
      </c>
      <c r="H77" s="14" t="n">
        <v>4751</v>
      </c>
      <c r="I77" s="14" t="n">
        <v>1</v>
      </c>
      <c r="J77" s="14" t="n">
        <v>50</v>
      </c>
      <c r="K77" s="14" t="n">
        <v>3</v>
      </c>
      <c r="L77" s="14" t="n">
        <v>45486</v>
      </c>
      <c r="M77" s="14" t="n">
        <v>415</v>
      </c>
    </row>
    <row r="78" customFormat="false" ht="15.75" hidden="false" customHeight="false" outlineLevel="0" collapsed="false">
      <c r="A78" s="0" t="s">
        <v>50</v>
      </c>
      <c r="B78" s="1" t="n">
        <v>43938</v>
      </c>
      <c r="C78" s="14" t="n">
        <v>5660</v>
      </c>
      <c r="D78" s="14" t="n">
        <v>207</v>
      </c>
      <c r="E78" s="14" t="n">
        <v>362</v>
      </c>
      <c r="F78" s="14" t="n">
        <v>13</v>
      </c>
      <c r="G78" s="14" t="n">
        <v>435</v>
      </c>
      <c r="H78" s="14" t="n">
        <v>4863</v>
      </c>
      <c r="I78" s="14" t="n">
        <v>1</v>
      </c>
      <c r="J78" s="14" t="n">
        <v>52</v>
      </c>
      <c r="K78" s="14" t="n">
        <v>3</v>
      </c>
      <c r="L78" s="14" t="n">
        <v>48171</v>
      </c>
      <c r="M78" s="14" t="n">
        <v>440</v>
      </c>
    </row>
    <row r="79" customFormat="false" ht="15.75" hidden="false" customHeight="false" outlineLevel="0" collapsed="false">
      <c r="A79" s="0" t="s">
        <v>50</v>
      </c>
      <c r="B79" s="1" t="n">
        <v>43939</v>
      </c>
      <c r="C79" s="14" t="n">
        <v>5878</v>
      </c>
      <c r="D79" s="14" t="n">
        <v>218</v>
      </c>
      <c r="E79" s="14" t="n">
        <v>387</v>
      </c>
      <c r="F79" s="14" t="n">
        <v>25</v>
      </c>
      <c r="G79" s="14" t="n">
        <v>487</v>
      </c>
      <c r="H79" s="14" t="n">
        <v>5004</v>
      </c>
      <c r="I79" s="14" t="n">
        <v>1</v>
      </c>
      <c r="J79" s="14" t="n">
        <v>54</v>
      </c>
      <c r="K79" s="14" t="n">
        <v>4</v>
      </c>
      <c r="L79" s="14" t="n">
        <v>48171</v>
      </c>
      <c r="M79" s="14" t="n">
        <v>440</v>
      </c>
    </row>
    <row r="80" customFormat="false" ht="15.75" hidden="false" customHeight="false" outlineLevel="0" collapsed="false">
      <c r="A80" s="0" t="s">
        <v>50</v>
      </c>
      <c r="B80" s="1" t="n">
        <v>43940</v>
      </c>
      <c r="C80" s="14" t="n">
        <v>6087</v>
      </c>
      <c r="D80" s="14" t="n">
        <v>209</v>
      </c>
      <c r="E80" s="14" t="n">
        <v>397</v>
      </c>
      <c r="F80" s="14" t="n">
        <v>10</v>
      </c>
      <c r="G80" s="14" t="n">
        <v>516</v>
      </c>
      <c r="H80" s="14" t="n">
        <v>5174</v>
      </c>
      <c r="I80" s="14" t="n">
        <v>1</v>
      </c>
      <c r="J80" s="14" t="n">
        <v>56</v>
      </c>
      <c r="K80" s="14" t="n">
        <v>4</v>
      </c>
      <c r="L80" s="14" t="n">
        <v>56048</v>
      </c>
      <c r="M80" s="14" t="n">
        <v>511</v>
      </c>
    </row>
    <row r="81" customFormat="false" ht="15.75" hidden="false" customHeight="false" outlineLevel="0" collapsed="false">
      <c r="A81" s="0" t="s">
        <v>50</v>
      </c>
      <c r="B81" s="1" t="n">
        <v>43941</v>
      </c>
      <c r="C81" s="14" t="n">
        <v>6259</v>
      </c>
      <c r="D81" s="14" t="n">
        <v>172</v>
      </c>
      <c r="E81" s="14" t="n">
        <v>409</v>
      </c>
      <c r="F81" s="14" t="n">
        <v>12</v>
      </c>
      <c r="G81" s="14" t="n">
        <v>572</v>
      </c>
      <c r="H81" s="14" t="n">
        <v>5278</v>
      </c>
      <c r="I81" s="14" t="n">
        <v>1</v>
      </c>
      <c r="J81" s="14" t="n">
        <v>57</v>
      </c>
      <c r="K81" s="14" t="n">
        <v>4</v>
      </c>
      <c r="L81" s="14" t="n">
        <v>59928</v>
      </c>
      <c r="M81" s="14" t="n">
        <v>547</v>
      </c>
    </row>
    <row r="82" customFormat="false" ht="15.75" hidden="false" customHeight="false" outlineLevel="0" collapsed="false">
      <c r="A82" s="0" t="s">
        <v>50</v>
      </c>
      <c r="B82" s="1" t="n">
        <v>43942</v>
      </c>
      <c r="C82" s="6" t="n">
        <v>6459</v>
      </c>
      <c r="D82" s="6" t="n">
        <v>200</v>
      </c>
      <c r="E82" s="6" t="n">
        <v>428</v>
      </c>
      <c r="F82" s="6" t="n">
        <v>19</v>
      </c>
      <c r="G82" s="6" t="n">
        <v>613</v>
      </c>
      <c r="H82" s="6" t="n">
        <v>5418</v>
      </c>
      <c r="I82" s="6" t="n">
        <v>1</v>
      </c>
      <c r="J82" s="6" t="n">
        <v>59</v>
      </c>
      <c r="K82" s="6" t="n">
        <v>4</v>
      </c>
      <c r="L82" s="6" t="n">
        <v>59928</v>
      </c>
      <c r="M82" s="6" t="n">
        <v>547</v>
      </c>
    </row>
    <row r="83" customFormat="false" ht="15.75" hidden="false" customHeight="false" outlineLevel="0" collapsed="false">
      <c r="A83" s="0" t="s">
        <v>50</v>
      </c>
      <c r="B83" s="1" t="n">
        <v>43943</v>
      </c>
      <c r="C83" s="6" t="n">
        <v>6599</v>
      </c>
      <c r="D83" s="6" t="n">
        <v>140</v>
      </c>
      <c r="E83" s="6" t="n">
        <v>437</v>
      </c>
      <c r="F83" s="6" t="n">
        <v>9</v>
      </c>
      <c r="G83" s="6" t="n">
        <v>654</v>
      </c>
      <c r="H83" s="6" t="n">
        <v>5508</v>
      </c>
      <c r="I83" s="6" t="n">
        <v>1</v>
      </c>
      <c r="J83" s="6" t="n">
        <v>60</v>
      </c>
      <c r="K83" s="6" t="n">
        <v>4</v>
      </c>
      <c r="L83" s="6" t="n">
        <v>64845</v>
      </c>
      <c r="M83" s="6" t="n">
        <v>592</v>
      </c>
    </row>
    <row r="84" customFormat="false" ht="15.75" hidden="false" customHeight="false" outlineLevel="0" collapsed="false">
      <c r="A84" s="0" t="s">
        <v>50</v>
      </c>
      <c r="B84" s="1" t="n">
        <v>43944</v>
      </c>
      <c r="C84" s="6" t="n">
        <v>6710</v>
      </c>
      <c r="D84" s="6" t="n">
        <v>111</v>
      </c>
      <c r="E84" s="6" t="n">
        <v>446</v>
      </c>
      <c r="F84" s="6" t="n">
        <v>9</v>
      </c>
      <c r="G84" s="6" t="n">
        <v>693</v>
      </c>
      <c r="H84" s="6" t="n">
        <v>5571</v>
      </c>
      <c r="I84" s="6" t="n">
        <v>1</v>
      </c>
      <c r="J84" s="6" t="n">
        <v>61</v>
      </c>
      <c r="K84" s="6" t="n">
        <v>4</v>
      </c>
      <c r="L84" s="6" t="n">
        <v>68532</v>
      </c>
      <c r="M84" s="6" t="n">
        <v>625</v>
      </c>
    </row>
    <row r="85" customFormat="false" ht="15.75" hidden="false" customHeight="false" outlineLevel="0" collapsed="false">
      <c r="A85" s="0" t="s">
        <v>50</v>
      </c>
      <c r="B85" s="1" t="n">
        <v>43945</v>
      </c>
      <c r="C85" s="6" t="n">
        <v>6981</v>
      </c>
      <c r="D85" s="6" t="n">
        <v>271</v>
      </c>
      <c r="E85" s="6" t="n">
        <v>462</v>
      </c>
      <c r="F85" s="6" t="n">
        <v>16</v>
      </c>
      <c r="G85" s="6" t="n">
        <v>722</v>
      </c>
      <c r="H85" s="6" t="n">
        <v>5797</v>
      </c>
      <c r="I85" s="6" t="n">
        <v>1</v>
      </c>
      <c r="J85" s="6" t="n">
        <v>64</v>
      </c>
      <c r="K85" s="6" t="n">
        <v>4</v>
      </c>
      <c r="L85" s="6" t="n">
        <v>72346</v>
      </c>
      <c r="M85" s="6" t="n">
        <v>660</v>
      </c>
    </row>
    <row r="86" customFormat="false" ht="15.75" hidden="false" customHeight="false" outlineLevel="0" collapsed="false">
      <c r="A86" s="0" t="s">
        <v>50</v>
      </c>
      <c r="B86" s="1" t="n">
        <v>43946</v>
      </c>
      <c r="C86" s="6" t="n">
        <v>7192</v>
      </c>
      <c r="D86" s="6" t="n">
        <v>211</v>
      </c>
      <c r="E86" s="6" t="n">
        <v>477</v>
      </c>
      <c r="F86" s="6" t="n">
        <v>15</v>
      </c>
      <c r="G86" s="6" t="n">
        <v>762</v>
      </c>
      <c r="H86" s="6" t="n">
        <v>5953</v>
      </c>
      <c r="I86" s="6" t="n">
        <v>1</v>
      </c>
      <c r="J86" s="6" t="n">
        <v>66</v>
      </c>
      <c r="K86" s="6" t="n">
        <v>4</v>
      </c>
      <c r="L86" s="6" t="n">
        <v>76956</v>
      </c>
      <c r="M86" s="6" t="n">
        <v>702</v>
      </c>
    </row>
    <row r="87" customFormat="false" ht="15.75" hidden="false" customHeight="false" outlineLevel="0" collapsed="false">
      <c r="A87" s="0" t="s">
        <v>50</v>
      </c>
      <c r="B87" s="1" t="n">
        <v>43947</v>
      </c>
      <c r="C87" s="6" t="n">
        <v>7294</v>
      </c>
      <c r="D87" s="6" t="n">
        <v>102</v>
      </c>
      <c r="E87" s="6" t="n">
        <v>494</v>
      </c>
      <c r="F87" s="6" t="n">
        <v>17</v>
      </c>
      <c r="G87" s="6" t="n">
        <v>792</v>
      </c>
      <c r="H87" s="6" t="n">
        <v>6008</v>
      </c>
      <c r="I87" s="6" t="n">
        <v>1</v>
      </c>
      <c r="J87" s="6" t="n">
        <v>67</v>
      </c>
      <c r="K87" s="6" t="n">
        <v>5</v>
      </c>
      <c r="L87" s="6" t="n">
        <v>81292</v>
      </c>
      <c r="M87" s="6" t="n">
        <v>742</v>
      </c>
    </row>
    <row r="88" customFormat="false" ht="15.75" hidden="false" customHeight="false" outlineLevel="0" collapsed="false">
      <c r="A88" s="0" t="s">
        <v>50</v>
      </c>
      <c r="B88" s="1" t="n">
        <v>43948</v>
      </c>
      <c r="C88" s="6" t="n">
        <v>7579</v>
      </c>
      <c r="D88" s="6" t="n">
        <v>285</v>
      </c>
      <c r="E88" s="6" t="n">
        <v>501</v>
      </c>
      <c r="F88" s="6" t="n">
        <v>7</v>
      </c>
      <c r="G88" s="6" t="n">
        <v>862</v>
      </c>
      <c r="H88" s="6" t="n">
        <v>6216</v>
      </c>
      <c r="I88" s="6" t="n">
        <v>1</v>
      </c>
      <c r="J88" s="6" t="n">
        <v>69</v>
      </c>
      <c r="K88" s="6" t="n">
        <v>5</v>
      </c>
      <c r="L88" s="6" t="n">
        <v>84789</v>
      </c>
      <c r="M88" s="6" t="n">
        <v>774</v>
      </c>
    </row>
    <row r="89" customFormat="false" ht="13.5" hidden="false" customHeight="false" outlineLevel="0" collapsed="false">
      <c r="A89" s="0" t="s">
        <v>50</v>
      </c>
      <c r="B89" s="1" t="n">
        <v>43949</v>
      </c>
      <c r="C89" s="2" t="n">
        <v>7777</v>
      </c>
      <c r="D89" s="2" t="n">
        <v>198</v>
      </c>
      <c r="E89" s="2" t="n">
        <v>511</v>
      </c>
      <c r="F89" s="2" t="n">
        <v>10</v>
      </c>
      <c r="G89" s="2" t="n">
        <v>932</v>
      </c>
      <c r="H89" s="2" t="n">
        <v>6334</v>
      </c>
      <c r="I89" s="2" t="n">
        <v>31</v>
      </c>
      <c r="J89" s="2" t="n">
        <v>71</v>
      </c>
      <c r="K89" s="2" t="n">
        <v>5</v>
      </c>
      <c r="L89" s="2" t="n">
        <v>89889</v>
      </c>
      <c r="M89" s="2" t="n">
        <v>820</v>
      </c>
    </row>
    <row r="90" customFormat="false" ht="13.5" hidden="false" customHeight="false" outlineLevel="0" collapsed="false">
      <c r="A90" s="0" t="s">
        <v>50</v>
      </c>
      <c r="B90" s="1" t="n">
        <v>43950</v>
      </c>
      <c r="C90" s="2" t="n">
        <v>7958</v>
      </c>
      <c r="D90" s="2" t="n">
        <v>181</v>
      </c>
      <c r="E90" s="2" t="n">
        <v>530</v>
      </c>
      <c r="F90" s="2" t="n">
        <v>19</v>
      </c>
      <c r="G90" s="2" t="n">
        <v>975</v>
      </c>
      <c r="H90" s="2" t="n">
        <v>6453</v>
      </c>
      <c r="I90" s="2" t="n">
        <v>31</v>
      </c>
      <c r="J90" s="2" t="n">
        <v>73</v>
      </c>
      <c r="K90" s="2" t="n">
        <v>5</v>
      </c>
      <c r="L90" s="2" t="n">
        <v>89889</v>
      </c>
      <c r="M90" s="2" t="n">
        <v>820</v>
      </c>
    </row>
    <row r="91" customFormat="false" ht="14.25" hidden="false" customHeight="false" outlineLevel="0" collapsed="false">
      <c r="A91" s="0" t="s">
        <v>50</v>
      </c>
      <c r="B91" s="1" t="n">
        <v>43951</v>
      </c>
      <c r="C91" s="2" t="n">
        <v>8212</v>
      </c>
      <c r="D91" s="2" t="n">
        <v>254</v>
      </c>
      <c r="E91" s="2" t="n">
        <v>558</v>
      </c>
      <c r="F91" s="2" t="n">
        <v>28</v>
      </c>
      <c r="G91" s="2" t="n">
        <v>1023</v>
      </c>
      <c r="H91" s="2" t="n">
        <v>6631</v>
      </c>
      <c r="I91" s="2" t="n">
        <v>31</v>
      </c>
      <c r="J91" s="2" t="n">
        <v>75</v>
      </c>
      <c r="K91" s="2" t="n">
        <v>5</v>
      </c>
      <c r="L91" s="2" t="n">
        <v>98941</v>
      </c>
      <c r="M91" s="2" t="n">
        <v>903</v>
      </c>
    </row>
    <row r="92" customFormat="false" ht="15.75" hidden="false" customHeight="false" outlineLevel="0" collapsed="false">
      <c r="A92" s="0" t="s">
        <v>50</v>
      </c>
      <c r="B92" s="1" t="n">
        <v>43952</v>
      </c>
      <c r="C92" s="6" t="e">
        <f aca="false">#REF!</f>
        <v>#REF!</v>
      </c>
      <c r="D92" s="2" t="n">
        <v>276</v>
      </c>
      <c r="E92" s="2" t="n">
        <v>568</v>
      </c>
      <c r="F92" s="2" t="n">
        <v>10</v>
      </c>
      <c r="G92" s="2" t="n">
        <v>1043</v>
      </c>
      <c r="H92" s="2" t="n">
        <v>6877</v>
      </c>
      <c r="I92" s="2" t="n">
        <v>31</v>
      </c>
      <c r="J92" s="2" t="n">
        <v>77</v>
      </c>
      <c r="K92" s="2" t="n">
        <v>5</v>
      </c>
      <c r="L92" s="2" t="n">
        <v>104146</v>
      </c>
      <c r="M92" s="2" t="n">
        <v>950</v>
      </c>
    </row>
    <row r="93" customFormat="false" ht="15.75" hidden="false" customHeight="false" outlineLevel="0" collapsed="false">
      <c r="A93" s="0" t="s">
        <v>50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50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50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50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50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50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50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50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50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50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50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50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50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50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50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50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50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50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50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50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50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50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50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50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50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50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50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50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50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50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50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50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50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50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50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50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50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50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50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50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50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50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50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50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50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50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50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50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50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50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50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50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50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50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50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50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50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50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50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50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50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50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50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50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50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50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50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50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50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50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50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50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50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50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50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50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50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50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50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50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50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50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50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50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50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50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50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50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50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50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50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50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50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50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50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51</v>
      </c>
      <c r="B37" s="1" t="n">
        <v>43897</v>
      </c>
      <c r="C37" s="8" t="n">
        <v>83</v>
      </c>
      <c r="D37" s="8" t="n">
        <v>28</v>
      </c>
      <c r="E37" s="8" t="n">
        <v>0</v>
      </c>
      <c r="F37" s="8" t="n">
        <v>0</v>
      </c>
      <c r="G37" s="8" t="n">
        <v>23</v>
      </c>
      <c r="H37" s="8" t="n">
        <v>60</v>
      </c>
      <c r="I37" s="8" t="n">
        <v>0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51</v>
      </c>
      <c r="B38" s="1" t="n">
        <v>43898</v>
      </c>
      <c r="C38" s="6" t="n">
        <v>93</v>
      </c>
      <c r="D38" s="6" t="n">
        <v>10</v>
      </c>
      <c r="E38" s="6" t="n">
        <v>0</v>
      </c>
      <c r="F38" s="6" t="n">
        <v>0</v>
      </c>
      <c r="G38" s="6" t="n">
        <v>23</v>
      </c>
      <c r="H38" s="6" t="n">
        <v>70</v>
      </c>
      <c r="I38" s="6" t="n">
        <v>0</v>
      </c>
      <c r="J38" s="6" t="n">
        <v>2.9</v>
      </c>
      <c r="K38" s="6"/>
      <c r="L38" s="6"/>
      <c r="M38" s="6"/>
    </row>
    <row r="39" customFormat="false" ht="15.75" hidden="false" customHeight="false" outlineLevel="0" collapsed="false">
      <c r="A39" s="0" t="s">
        <v>51</v>
      </c>
      <c r="B39" s="1" t="n">
        <v>43899</v>
      </c>
      <c r="C39" s="6" t="n">
        <v>99</v>
      </c>
      <c r="D39" s="6" t="n">
        <v>6</v>
      </c>
      <c r="E39" s="6" t="n">
        <v>0</v>
      </c>
      <c r="F39" s="6" t="n">
        <v>0</v>
      </c>
      <c r="G39" s="6" t="n">
        <v>24</v>
      </c>
      <c r="H39" s="6" t="n">
        <v>75</v>
      </c>
      <c r="I39" s="6" t="n">
        <v>0</v>
      </c>
      <c r="J39" s="6" t="n">
        <v>3.1</v>
      </c>
      <c r="K39" s="6"/>
      <c r="L39" s="6"/>
      <c r="M39" s="6"/>
    </row>
    <row r="40" customFormat="false" ht="15.75" hidden="false" customHeight="false" outlineLevel="0" collapsed="false">
      <c r="A40" s="0" t="s">
        <v>51</v>
      </c>
      <c r="B40" s="1" t="n">
        <v>43900</v>
      </c>
      <c r="C40" s="6" t="n">
        <v>117</v>
      </c>
      <c r="D40" s="6" t="n">
        <v>18</v>
      </c>
      <c r="E40" s="6" t="n">
        <v>0</v>
      </c>
      <c r="F40" s="6" t="n">
        <v>0</v>
      </c>
      <c r="G40" s="6" t="n">
        <v>24</v>
      </c>
      <c r="H40" s="6" t="n">
        <v>93</v>
      </c>
      <c r="I40" s="6" t="n">
        <v>2</v>
      </c>
      <c r="J40" s="6" t="n">
        <v>3.6</v>
      </c>
      <c r="K40" s="6"/>
      <c r="L40" s="6"/>
      <c r="M40" s="6"/>
    </row>
    <row r="41" customFormat="false" ht="15.75" hidden="false" customHeight="false" outlineLevel="0" collapsed="false">
      <c r="A41" s="0" t="s">
        <v>51</v>
      </c>
      <c r="B41" s="1" t="n">
        <v>43901</v>
      </c>
      <c r="C41" s="6" t="n">
        <v>129</v>
      </c>
      <c r="D41" s="6" t="n">
        <v>12</v>
      </c>
      <c r="E41" s="6" t="n">
        <v>0</v>
      </c>
      <c r="F41" s="6" t="n">
        <v>0</v>
      </c>
      <c r="G41" s="6" t="n">
        <v>87</v>
      </c>
      <c r="H41" s="6" t="n">
        <v>42</v>
      </c>
      <c r="I41" s="6" t="n">
        <v>2</v>
      </c>
      <c r="J41" s="6" t="n">
        <v>4</v>
      </c>
      <c r="K41" s="6"/>
      <c r="L41" s="6"/>
      <c r="M41" s="6"/>
    </row>
    <row r="42" customFormat="false" ht="15.75" hidden="false" customHeight="false" outlineLevel="0" collapsed="false">
      <c r="A42" s="0" t="s">
        <v>51</v>
      </c>
      <c r="B42" s="1" t="n">
        <v>43902</v>
      </c>
      <c r="C42" s="6" t="n">
        <v>149</v>
      </c>
      <c r="D42" s="6" t="n">
        <v>20</v>
      </c>
      <c r="E42" s="6" t="n">
        <v>0</v>
      </c>
      <c r="F42" s="6" t="n">
        <v>0</v>
      </c>
      <c r="G42" s="6" t="n">
        <v>26</v>
      </c>
      <c r="H42" s="6" t="n">
        <v>123</v>
      </c>
      <c r="I42" s="6" t="n">
        <v>2</v>
      </c>
      <c r="J42" s="6" t="n">
        <v>4.6</v>
      </c>
      <c r="K42" s="6"/>
      <c r="L42" s="6"/>
      <c r="M42" s="6"/>
    </row>
    <row r="43" customFormat="false" ht="15.75" hidden="false" customHeight="false" outlineLevel="0" collapsed="false">
      <c r="A43" s="0" t="s">
        <v>51</v>
      </c>
      <c r="B43" s="1" t="n">
        <v>43903</v>
      </c>
      <c r="C43" s="6" t="n">
        <v>158</v>
      </c>
      <c r="D43" s="6" t="n">
        <v>9</v>
      </c>
      <c r="E43" s="6" t="n">
        <v>0</v>
      </c>
      <c r="F43" s="6" t="n">
        <v>0</v>
      </c>
      <c r="G43" s="6" t="n">
        <v>26</v>
      </c>
      <c r="H43" s="6" t="n">
        <v>132</v>
      </c>
      <c r="I43" s="6" t="n">
        <v>2</v>
      </c>
      <c r="J43" s="6" t="n">
        <v>4.9</v>
      </c>
      <c r="K43" s="6"/>
      <c r="L43" s="6"/>
      <c r="M43" s="6"/>
    </row>
    <row r="44" customFormat="false" ht="15.75" hidden="false" customHeight="false" outlineLevel="0" collapsed="false">
      <c r="A44" s="0" t="s">
        <v>51</v>
      </c>
      <c r="B44" s="1" t="n">
        <v>43904</v>
      </c>
      <c r="C44" s="6" t="n">
        <v>197</v>
      </c>
      <c r="D44" s="6" t="n">
        <v>39</v>
      </c>
      <c r="E44" s="6" t="n">
        <v>0</v>
      </c>
      <c r="F44" s="6" t="n">
        <v>0</v>
      </c>
      <c r="G44" s="6" t="n">
        <v>32</v>
      </c>
      <c r="H44" s="6" t="n">
        <v>165</v>
      </c>
      <c r="I44" s="6" t="n">
        <v>4</v>
      </c>
      <c r="J44" s="6" t="n">
        <v>6.1</v>
      </c>
      <c r="K44" s="6"/>
      <c r="L44" s="6"/>
      <c r="M44" s="6"/>
    </row>
    <row r="45" customFormat="false" ht="15.75" hidden="false" customHeight="false" outlineLevel="0" collapsed="false">
      <c r="A45" s="0" t="s">
        <v>51</v>
      </c>
      <c r="B45" s="1" t="n">
        <v>43905</v>
      </c>
      <c r="C45" s="6" t="n">
        <v>238</v>
      </c>
      <c r="D45" s="6" t="n">
        <v>41</v>
      </c>
      <c r="E45" s="6" t="n">
        <v>0</v>
      </c>
      <c r="F45" s="6" t="n">
        <v>0</v>
      </c>
      <c r="G45" s="6" t="n">
        <v>35</v>
      </c>
      <c r="H45" s="6" t="n">
        <v>203</v>
      </c>
      <c r="I45" s="6" t="n">
        <v>4</v>
      </c>
      <c r="J45" s="6" t="n">
        <v>7.4</v>
      </c>
      <c r="K45" s="6"/>
      <c r="L45" s="6"/>
      <c r="M45" s="6"/>
    </row>
    <row r="46" customFormat="false" ht="15.75" hidden="false" customHeight="false" outlineLevel="0" collapsed="false">
      <c r="A46" s="0" t="s">
        <v>51</v>
      </c>
      <c r="B46" s="1" t="n">
        <v>43906</v>
      </c>
      <c r="C46" s="6" t="n">
        <v>428</v>
      </c>
      <c r="D46" s="6" t="n">
        <v>190</v>
      </c>
      <c r="E46" s="6" t="n">
        <v>0</v>
      </c>
      <c r="F46" s="6" t="n">
        <v>0</v>
      </c>
      <c r="G46" s="6" t="n">
        <v>42</v>
      </c>
      <c r="H46" s="6" t="n">
        <v>386</v>
      </c>
      <c r="I46" s="6" t="n">
        <v>9</v>
      </c>
      <c r="J46" s="6" t="n">
        <v>13.2</v>
      </c>
      <c r="K46" s="6"/>
      <c r="L46" s="6"/>
      <c r="M46" s="6"/>
    </row>
    <row r="47" customFormat="false" ht="15.75" hidden="false" customHeight="false" outlineLevel="0" collapsed="false">
      <c r="A47" s="0" t="s">
        <v>51</v>
      </c>
      <c r="B47" s="1" t="n">
        <v>43907</v>
      </c>
      <c r="C47" s="6" t="n">
        <v>566</v>
      </c>
      <c r="D47" s="6" t="n">
        <v>138</v>
      </c>
      <c r="E47" s="6" t="n">
        <v>0</v>
      </c>
      <c r="F47" s="6" t="n">
        <v>0</v>
      </c>
      <c r="G47" s="6" t="n">
        <v>42</v>
      </c>
      <c r="H47" s="6" t="n">
        <v>524</v>
      </c>
      <c r="I47" s="6" t="n">
        <v>9</v>
      </c>
      <c r="J47" s="6" t="n">
        <v>17.5</v>
      </c>
      <c r="K47" s="6"/>
      <c r="L47" s="6"/>
      <c r="M47" s="6"/>
    </row>
    <row r="48" customFormat="false" ht="15.75" hidden="false" customHeight="false" outlineLevel="0" collapsed="false">
      <c r="A48" s="0" t="s">
        <v>51</v>
      </c>
      <c r="B48" s="1" t="n">
        <v>43908</v>
      </c>
      <c r="C48" s="6" t="n">
        <v>673</v>
      </c>
      <c r="D48" s="6" t="n">
        <v>107</v>
      </c>
      <c r="E48" s="6" t="n">
        <v>2</v>
      </c>
      <c r="F48" s="6" t="n">
        <v>2</v>
      </c>
      <c r="G48" s="6" t="n">
        <v>49</v>
      </c>
      <c r="H48" s="6" t="n">
        <v>622</v>
      </c>
      <c r="I48" s="6" t="n">
        <v>10</v>
      </c>
      <c r="J48" s="6" t="n">
        <v>20.8</v>
      </c>
      <c r="K48" s="6"/>
      <c r="L48" s="6"/>
      <c r="M48" s="6"/>
    </row>
    <row r="49" customFormat="false" ht="15.75" hidden="false" customHeight="false" outlineLevel="0" collapsed="false">
      <c r="A49" s="0" t="s">
        <v>51</v>
      </c>
      <c r="B49" s="1" t="n">
        <v>43909</v>
      </c>
      <c r="C49" s="6" t="n">
        <v>790</v>
      </c>
      <c r="D49" s="6" t="n">
        <v>117</v>
      </c>
      <c r="E49" s="6" t="n">
        <v>2</v>
      </c>
      <c r="F49" s="6" t="n">
        <v>0</v>
      </c>
      <c r="G49" s="6" t="n">
        <v>60</v>
      </c>
      <c r="H49" s="6" t="n">
        <v>728</v>
      </c>
      <c r="I49" s="6" t="n">
        <v>15</v>
      </c>
      <c r="J49" s="6" t="n">
        <v>24</v>
      </c>
      <c r="K49" s="6"/>
      <c r="L49" s="6"/>
      <c r="M49" s="6"/>
    </row>
    <row r="50" customFormat="false" ht="15.75" hidden="false" customHeight="false" outlineLevel="0" collapsed="false">
      <c r="A50" s="0" t="s">
        <v>51</v>
      </c>
      <c r="B50" s="1" t="n">
        <v>43910</v>
      </c>
      <c r="C50" s="6" t="n">
        <v>900</v>
      </c>
      <c r="D50" s="6" t="n">
        <v>110</v>
      </c>
      <c r="E50" s="6" t="n">
        <v>2</v>
      </c>
      <c r="F50" s="6" t="n">
        <v>0</v>
      </c>
      <c r="G50" s="6" t="n">
        <v>75</v>
      </c>
      <c r="H50" s="6" t="n">
        <v>823</v>
      </c>
      <c r="I50" s="6" t="n">
        <v>15</v>
      </c>
      <c r="J50" s="6" t="n">
        <v>28</v>
      </c>
      <c r="K50" s="6"/>
      <c r="L50" s="6"/>
      <c r="M50" s="6"/>
    </row>
    <row r="51" customFormat="false" ht="15.75" hidden="false" customHeight="false" outlineLevel="0" collapsed="false">
      <c r="A51" s="0" t="s">
        <v>51</v>
      </c>
      <c r="B51" s="1" t="n">
        <v>43911</v>
      </c>
      <c r="C51" s="6" t="n">
        <v>1183</v>
      </c>
      <c r="D51" s="6" t="n">
        <v>283</v>
      </c>
      <c r="E51" s="6" t="n">
        <v>4</v>
      </c>
      <c r="F51" s="6" t="n">
        <v>2</v>
      </c>
      <c r="G51" s="6" t="n">
        <v>114</v>
      </c>
      <c r="H51" s="6" t="n">
        <v>1065</v>
      </c>
      <c r="I51" s="6" t="n">
        <v>26</v>
      </c>
      <c r="J51" s="6" t="n">
        <v>37</v>
      </c>
      <c r="K51" s="6"/>
      <c r="L51" s="6"/>
      <c r="M51" s="6"/>
    </row>
    <row r="52" customFormat="false" ht="15.75" hidden="false" customHeight="false" outlineLevel="0" collapsed="false">
      <c r="A52" s="0" t="s">
        <v>51</v>
      </c>
      <c r="B52" s="1" t="n">
        <v>43912</v>
      </c>
      <c r="C52" s="6" t="n">
        <v>1183</v>
      </c>
      <c r="D52" s="6" t="n">
        <v>0</v>
      </c>
      <c r="E52" s="6" t="n">
        <v>8</v>
      </c>
      <c r="F52" s="6" t="n">
        <v>4</v>
      </c>
      <c r="G52" s="6" t="n">
        <v>114</v>
      </c>
      <c r="H52" s="6" t="n">
        <v>1061</v>
      </c>
      <c r="I52" s="6" t="n">
        <v>26</v>
      </c>
      <c r="J52" s="6" t="n">
        <v>37</v>
      </c>
      <c r="K52" s="6"/>
      <c r="L52" s="6"/>
      <c r="M52" s="6"/>
    </row>
    <row r="53" customFormat="false" ht="15.75" hidden="false" customHeight="false" outlineLevel="0" collapsed="false">
      <c r="A53" s="0" t="s">
        <v>51</v>
      </c>
      <c r="B53" s="1" t="n">
        <v>43913</v>
      </c>
      <c r="C53" s="6" t="n">
        <v>1306</v>
      </c>
      <c r="D53" s="6" t="n">
        <v>123</v>
      </c>
      <c r="E53" s="6" t="n">
        <v>10</v>
      </c>
      <c r="F53" s="6" t="n">
        <v>2</v>
      </c>
      <c r="G53" s="6" t="n">
        <v>139</v>
      </c>
      <c r="H53" s="6" t="n">
        <v>1157</v>
      </c>
      <c r="I53" s="6" t="n">
        <v>26</v>
      </c>
      <c r="J53" s="6" t="n">
        <v>40</v>
      </c>
      <c r="K53" s="6"/>
      <c r="L53" s="6"/>
      <c r="M53" s="6"/>
    </row>
    <row r="54" customFormat="false" ht="15.75" hidden="false" customHeight="false" outlineLevel="0" collapsed="false">
      <c r="A54" s="0" t="s">
        <v>51</v>
      </c>
      <c r="B54" s="1" t="n">
        <v>43914</v>
      </c>
      <c r="C54" s="6" t="n">
        <v>1518</v>
      </c>
      <c r="D54" s="6" t="n">
        <v>212</v>
      </c>
      <c r="E54" s="6" t="n">
        <v>14</v>
      </c>
      <c r="F54" s="6" t="n">
        <v>4</v>
      </c>
      <c r="G54" s="6" t="n">
        <v>159</v>
      </c>
      <c r="H54" s="6" t="n">
        <v>1345</v>
      </c>
      <c r="I54" s="6" t="n">
        <v>57</v>
      </c>
      <c r="J54" s="6" t="n">
        <v>47</v>
      </c>
      <c r="K54" s="6"/>
      <c r="L54" s="6"/>
      <c r="M54" s="6"/>
    </row>
    <row r="55" customFormat="false" ht="15.75" hidden="false" customHeight="false" outlineLevel="0" collapsed="false">
      <c r="A55" s="0" t="s">
        <v>51</v>
      </c>
      <c r="B55" s="1" t="n">
        <v>43915</v>
      </c>
      <c r="C55" s="7" t="n">
        <v>1624</v>
      </c>
      <c r="D55" s="7" t="n">
        <v>106</v>
      </c>
      <c r="E55" s="7" t="n">
        <v>16</v>
      </c>
      <c r="F55" s="7" t="n">
        <v>2</v>
      </c>
      <c r="G55" s="7" t="n">
        <v>183</v>
      </c>
      <c r="H55" s="7" t="n">
        <v>1425</v>
      </c>
      <c r="I55" s="7" t="n">
        <v>64</v>
      </c>
      <c r="J55" s="7" t="n">
        <v>50</v>
      </c>
      <c r="K55" s="22" t="n">
        <v>0.5</v>
      </c>
      <c r="L55" s="7"/>
      <c r="M55" s="7"/>
    </row>
    <row r="56" customFormat="false" ht="15.75" hidden="false" customHeight="false" outlineLevel="0" collapsed="false">
      <c r="A56" s="0" t="s">
        <v>51</v>
      </c>
      <c r="B56" s="1" t="n">
        <v>43916</v>
      </c>
      <c r="C56" s="7" t="n">
        <v>1796</v>
      </c>
      <c r="D56" s="7" t="n">
        <v>172</v>
      </c>
      <c r="E56" s="7" t="n">
        <v>20</v>
      </c>
      <c r="F56" s="7" t="n">
        <v>4</v>
      </c>
      <c r="G56" s="7" t="n">
        <v>199</v>
      </c>
      <c r="H56" s="7" t="n">
        <v>1577</v>
      </c>
      <c r="I56" s="7" t="n">
        <v>64</v>
      </c>
      <c r="J56" s="7" t="n">
        <v>55</v>
      </c>
      <c r="K56" s="22" t="n">
        <v>0.6</v>
      </c>
      <c r="L56" s="7"/>
      <c r="M56" s="7"/>
    </row>
    <row r="57" customFormat="false" ht="15.75" hidden="false" customHeight="false" outlineLevel="0" collapsed="false">
      <c r="A57" s="0" t="s">
        <v>51</v>
      </c>
      <c r="B57" s="1" t="n">
        <v>43917</v>
      </c>
      <c r="C57" s="7" t="n">
        <v>2031</v>
      </c>
      <c r="D57" s="7" t="n">
        <v>235</v>
      </c>
      <c r="E57" s="7" t="n">
        <v>23</v>
      </c>
      <c r="F57" s="7" t="n">
        <v>3</v>
      </c>
      <c r="G57" s="7" t="n">
        <v>215</v>
      </c>
      <c r="H57" s="7" t="n">
        <v>1793</v>
      </c>
      <c r="I57" s="7" t="n">
        <v>45</v>
      </c>
      <c r="J57" s="7" t="n">
        <v>63</v>
      </c>
      <c r="K57" s="22" t="n">
        <v>0.7</v>
      </c>
      <c r="L57" s="7"/>
      <c r="M57" s="7"/>
    </row>
    <row r="58" customFormat="false" ht="15.75" hidden="false" customHeight="false" outlineLevel="0" collapsed="false">
      <c r="A58" s="0" t="s">
        <v>51</v>
      </c>
      <c r="B58" s="1" t="n">
        <v>43918</v>
      </c>
      <c r="C58" s="7" t="n">
        <v>2161</v>
      </c>
      <c r="D58" s="7" t="n">
        <v>130</v>
      </c>
      <c r="E58" s="7" t="n">
        <v>26</v>
      </c>
      <c r="F58" s="7" t="n">
        <v>3</v>
      </c>
      <c r="G58" s="7" t="n">
        <v>259</v>
      </c>
      <c r="H58" s="7" t="n">
        <v>1876</v>
      </c>
      <c r="I58" s="7" t="n">
        <v>54</v>
      </c>
      <c r="J58" s="7" t="n">
        <v>67</v>
      </c>
      <c r="K58" s="22" t="n">
        <v>0.8</v>
      </c>
      <c r="M58" s="7"/>
    </row>
    <row r="59" customFormat="false" ht="15.75" hidden="false" customHeight="false" outlineLevel="0" collapsed="false">
      <c r="A59" s="0" t="s">
        <v>51</v>
      </c>
      <c r="B59" s="1" t="n">
        <v>43919</v>
      </c>
      <c r="C59" s="7" t="n">
        <v>2320</v>
      </c>
      <c r="D59" s="7" t="n">
        <v>159</v>
      </c>
      <c r="E59" s="7" t="n">
        <v>27</v>
      </c>
      <c r="F59" s="7" t="n">
        <v>1</v>
      </c>
      <c r="G59" s="7" t="n">
        <v>320</v>
      </c>
      <c r="H59" s="7" t="n">
        <v>1973</v>
      </c>
      <c r="I59" s="7" t="n">
        <v>54</v>
      </c>
      <c r="J59" s="7" t="n">
        <v>72</v>
      </c>
      <c r="K59" s="22" t="n">
        <v>0.8</v>
      </c>
      <c r="M59" s="7"/>
    </row>
    <row r="60" customFormat="false" ht="15.75" hidden="false" customHeight="false" outlineLevel="0" collapsed="false">
      <c r="A60" s="0" t="s">
        <v>51</v>
      </c>
      <c r="B60" s="1" t="n">
        <v>43920</v>
      </c>
      <c r="C60" s="7" t="n">
        <v>2470</v>
      </c>
      <c r="D60" s="7" t="n">
        <v>150</v>
      </c>
      <c r="E60" s="7" t="n">
        <v>35</v>
      </c>
      <c r="F60" s="7" t="n">
        <v>8</v>
      </c>
      <c r="G60" s="7" t="n">
        <v>388</v>
      </c>
      <c r="H60" s="7" t="n">
        <v>2047</v>
      </c>
      <c r="I60" s="7" t="n">
        <v>73</v>
      </c>
      <c r="J60" s="7" t="n">
        <v>76</v>
      </c>
      <c r="K60" s="7" t="n">
        <v>1</v>
      </c>
      <c r="M60" s="7"/>
    </row>
    <row r="61" customFormat="false" ht="15.75" hidden="false" customHeight="false" outlineLevel="0" collapsed="false">
      <c r="A61" s="0" t="s">
        <v>51</v>
      </c>
      <c r="B61" s="1" t="n">
        <v>43921</v>
      </c>
      <c r="C61" s="7" t="n">
        <v>2626</v>
      </c>
      <c r="D61" s="7" t="n">
        <v>156</v>
      </c>
      <c r="E61" s="7" t="n">
        <v>37</v>
      </c>
      <c r="F61" s="7" t="n">
        <v>2</v>
      </c>
      <c r="G61" s="7" t="n">
        <v>479</v>
      </c>
      <c r="H61" s="7" t="n">
        <v>2110</v>
      </c>
      <c r="I61" s="7" t="n">
        <v>94</v>
      </c>
      <c r="J61" s="7" t="n">
        <v>81</v>
      </c>
      <c r="K61" s="7" t="n">
        <v>1</v>
      </c>
      <c r="M61" s="7"/>
    </row>
    <row r="62" customFormat="false" ht="15.75" hidden="false" customHeight="false" outlineLevel="0" collapsed="false">
      <c r="A62" s="0" t="s">
        <v>51</v>
      </c>
      <c r="B62" s="1" t="n">
        <v>43922</v>
      </c>
      <c r="C62" s="7" t="n">
        <v>2766</v>
      </c>
      <c r="D62" s="7" t="n">
        <v>140</v>
      </c>
      <c r="E62" s="7" t="n">
        <v>43</v>
      </c>
      <c r="F62" s="7" t="n">
        <v>6</v>
      </c>
      <c r="G62" s="7" t="n">
        <v>537</v>
      </c>
      <c r="H62" s="7" t="n">
        <v>2186</v>
      </c>
      <c r="I62" s="7" t="n">
        <v>94</v>
      </c>
      <c r="J62" s="7" t="n">
        <v>85</v>
      </c>
      <c r="K62" s="7" t="n">
        <v>1</v>
      </c>
      <c r="M62" s="7"/>
    </row>
    <row r="63" customFormat="false" ht="15.75" hidden="false" customHeight="false" outlineLevel="0" collapsed="false">
      <c r="A63" s="0" t="s">
        <v>51</v>
      </c>
      <c r="B63" s="1" t="n">
        <v>43923</v>
      </c>
      <c r="C63" s="7" t="n">
        <v>2908</v>
      </c>
      <c r="D63" s="7" t="n">
        <v>142</v>
      </c>
      <c r="E63" s="7" t="n">
        <v>45</v>
      </c>
      <c r="F63" s="7" t="n">
        <v>2</v>
      </c>
      <c r="G63" s="7" t="n">
        <v>645</v>
      </c>
      <c r="H63" s="7" t="n">
        <v>2218</v>
      </c>
      <c r="I63" s="7" t="n">
        <v>102</v>
      </c>
      <c r="J63" s="7" t="n">
        <v>90</v>
      </c>
      <c r="K63" s="7" t="n">
        <v>1</v>
      </c>
      <c r="M63" s="7"/>
    </row>
    <row r="64" customFormat="false" ht="15.75" hidden="false" customHeight="false" outlineLevel="0" collapsed="false">
      <c r="A64" s="0" t="s">
        <v>51</v>
      </c>
      <c r="B64" s="1" t="n">
        <v>43924</v>
      </c>
      <c r="C64" s="7" t="n">
        <v>3116</v>
      </c>
      <c r="D64" s="7" t="n">
        <v>208</v>
      </c>
      <c r="E64" s="7" t="n">
        <v>50</v>
      </c>
      <c r="F64" s="7" t="n">
        <v>5</v>
      </c>
      <c r="G64" s="7" t="n">
        <v>767</v>
      </c>
      <c r="H64" s="7" t="n">
        <v>2299</v>
      </c>
      <c r="I64" s="7" t="n">
        <v>105</v>
      </c>
      <c r="J64" s="7" t="n">
        <v>96</v>
      </c>
      <c r="K64" s="7" t="n">
        <v>2</v>
      </c>
      <c r="M64" s="7"/>
    </row>
    <row r="65" customFormat="false" ht="15.75" hidden="false" customHeight="false" outlineLevel="0" collapsed="false">
      <c r="A65" s="0" t="s">
        <v>51</v>
      </c>
      <c r="B65" s="1" t="n">
        <v>43925</v>
      </c>
      <c r="C65" s="7" t="n">
        <v>3333</v>
      </c>
      <c r="D65" s="7" t="n">
        <v>217</v>
      </c>
      <c r="E65" s="7" t="n">
        <v>53</v>
      </c>
      <c r="F65" s="7" t="n">
        <v>3</v>
      </c>
      <c r="G65" s="7" t="n">
        <v>827</v>
      </c>
      <c r="H65" s="7" t="n">
        <v>2453</v>
      </c>
      <c r="I65" s="7" t="n">
        <v>108</v>
      </c>
      <c r="J65" s="7" t="n">
        <v>103</v>
      </c>
      <c r="K65" s="7" t="n">
        <v>2</v>
      </c>
      <c r="M65" s="7"/>
    </row>
    <row r="66" customFormat="false" ht="15.75" hidden="false" customHeight="false" outlineLevel="0" collapsed="false">
      <c r="A66" s="0" t="s">
        <v>51</v>
      </c>
      <c r="B66" s="1" t="n">
        <v>43926</v>
      </c>
      <c r="C66" s="7" t="n">
        <v>3483</v>
      </c>
      <c r="D66" s="7" t="n">
        <v>150</v>
      </c>
      <c r="E66" s="7" t="n">
        <v>57</v>
      </c>
      <c r="F66" s="7" t="n">
        <v>4</v>
      </c>
      <c r="G66" s="7" t="n">
        <v>915</v>
      </c>
      <c r="H66" s="7" t="n">
        <v>2511</v>
      </c>
      <c r="I66" s="7" t="n">
        <v>99</v>
      </c>
      <c r="J66" s="7" t="n">
        <v>108</v>
      </c>
      <c r="K66" s="7" t="n">
        <v>2</v>
      </c>
      <c r="L66" s="7" t="n">
        <v>49570</v>
      </c>
      <c r="M66" s="7" t="n">
        <v>1532</v>
      </c>
    </row>
    <row r="67" customFormat="false" ht="15.75" hidden="false" customHeight="false" outlineLevel="0" collapsed="false">
      <c r="A67" s="0" t="s">
        <v>51</v>
      </c>
      <c r="B67" s="1" t="n">
        <v>43927</v>
      </c>
      <c r="C67" s="7" t="n">
        <v>3662</v>
      </c>
      <c r="D67" s="7" t="n">
        <v>179</v>
      </c>
      <c r="E67" s="7" t="n">
        <v>61</v>
      </c>
      <c r="F67" s="7" t="n">
        <v>4</v>
      </c>
      <c r="G67" s="7" t="n">
        <v>1005</v>
      </c>
      <c r="H67" s="7" t="n">
        <v>2596</v>
      </c>
      <c r="I67" s="7" t="n">
        <v>99</v>
      </c>
      <c r="J67" s="7" t="n">
        <v>113</v>
      </c>
      <c r="K67" s="7" t="n">
        <v>2</v>
      </c>
      <c r="L67" s="7" t="n">
        <v>51937</v>
      </c>
      <c r="M67" s="7" t="n">
        <v>1605</v>
      </c>
    </row>
    <row r="68" customFormat="false" ht="15.75" hidden="false" customHeight="false" outlineLevel="0" collapsed="false">
      <c r="A68" s="0" t="s">
        <v>51</v>
      </c>
      <c r="B68" s="1" t="n">
        <v>43928</v>
      </c>
      <c r="C68" s="12" t="n">
        <v>3793</v>
      </c>
      <c r="D68" s="12" t="n">
        <v>131</v>
      </c>
      <c r="E68" s="12" t="n">
        <v>62</v>
      </c>
      <c r="F68" s="12" t="n">
        <v>1</v>
      </c>
      <c r="G68" s="12" t="n">
        <v>1241</v>
      </c>
      <c r="H68" s="12" t="n">
        <v>2490</v>
      </c>
      <c r="I68" s="12" t="n">
        <v>102</v>
      </c>
      <c r="J68" s="12" t="n">
        <v>117</v>
      </c>
      <c r="K68" s="12" t="n">
        <v>2</v>
      </c>
      <c r="L68" s="12" t="n">
        <v>55566</v>
      </c>
      <c r="M68" s="12" t="n">
        <v>1717</v>
      </c>
    </row>
    <row r="69" customFormat="false" ht="15.75" hidden="false" customHeight="false" outlineLevel="0" collapsed="false">
      <c r="A69" s="0" t="s">
        <v>51</v>
      </c>
      <c r="B69" s="1" t="n">
        <v>43929</v>
      </c>
      <c r="C69" s="14" t="n">
        <v>3963</v>
      </c>
      <c r="D69" s="14" t="n">
        <v>170</v>
      </c>
      <c r="E69" s="14" t="n">
        <v>63</v>
      </c>
      <c r="F69" s="14" t="n">
        <v>1</v>
      </c>
      <c r="G69" s="14" t="n">
        <v>1321</v>
      </c>
      <c r="H69" s="14" t="n">
        <v>2579</v>
      </c>
      <c r="I69" s="14" t="n">
        <v>92</v>
      </c>
      <c r="J69" s="14" t="n">
        <v>122</v>
      </c>
      <c r="K69" s="14" t="n">
        <v>2</v>
      </c>
      <c r="L69" s="14" t="n">
        <v>55566</v>
      </c>
      <c r="M69" s="14" t="n">
        <v>1717</v>
      </c>
    </row>
    <row r="70" customFormat="false" ht="15.75" hidden="false" customHeight="false" outlineLevel="0" collapsed="false">
      <c r="A70" s="0" t="s">
        <v>51</v>
      </c>
      <c r="B70" s="1" t="n">
        <v>43930</v>
      </c>
      <c r="C70" s="14" t="n">
        <v>4119</v>
      </c>
      <c r="D70" s="14" t="n">
        <v>156</v>
      </c>
      <c r="E70" s="14" t="n">
        <v>65</v>
      </c>
      <c r="F70" s="14" t="n">
        <v>2</v>
      </c>
      <c r="G70" s="14" t="n">
        <v>1487</v>
      </c>
      <c r="H70" s="14" t="n">
        <v>2567</v>
      </c>
      <c r="I70" s="14" t="n">
        <v>76</v>
      </c>
      <c r="J70" s="14" t="n">
        <v>127</v>
      </c>
      <c r="K70" s="14" t="n">
        <v>2</v>
      </c>
      <c r="L70" s="14" t="n">
        <v>58240</v>
      </c>
      <c r="M70" s="14" t="n">
        <v>1799</v>
      </c>
    </row>
    <row r="71" customFormat="false" ht="15.75" hidden="false" customHeight="false" outlineLevel="0" collapsed="false">
      <c r="A71" s="0" t="s">
        <v>51</v>
      </c>
      <c r="B71" s="1" t="n">
        <v>43931</v>
      </c>
      <c r="C71" s="14" t="n">
        <v>4228</v>
      </c>
      <c r="D71" s="14" t="n">
        <v>109</v>
      </c>
      <c r="E71" s="14" t="n">
        <v>67</v>
      </c>
      <c r="F71" s="14" t="n">
        <v>2</v>
      </c>
      <c r="G71" s="14" t="n">
        <v>1608</v>
      </c>
      <c r="H71" s="14" t="n">
        <v>2553</v>
      </c>
      <c r="I71" s="14" t="n">
        <v>72</v>
      </c>
      <c r="J71" s="14" t="n">
        <v>131</v>
      </c>
      <c r="K71" s="14" t="n">
        <v>2</v>
      </c>
      <c r="L71" s="14" t="n">
        <v>63367</v>
      </c>
      <c r="M71" s="14" t="n">
        <v>1958</v>
      </c>
    </row>
    <row r="72" customFormat="false" ht="15.75" hidden="false" customHeight="false" outlineLevel="0" collapsed="false">
      <c r="A72" s="0" t="s">
        <v>51</v>
      </c>
      <c r="B72" s="1" t="n">
        <v>43932</v>
      </c>
      <c r="C72" s="14" t="n">
        <v>4346</v>
      </c>
      <c r="D72" s="14" t="n">
        <v>118</v>
      </c>
      <c r="E72" s="14" t="n">
        <v>70</v>
      </c>
      <c r="F72" s="14" t="n">
        <v>3</v>
      </c>
      <c r="G72" s="14" t="n">
        <v>1830</v>
      </c>
      <c r="H72" s="14" t="n">
        <v>2446</v>
      </c>
      <c r="I72" s="14" t="n">
        <v>69</v>
      </c>
      <c r="J72" s="14" t="n">
        <v>134</v>
      </c>
      <c r="K72" s="14" t="n">
        <v>2</v>
      </c>
      <c r="L72" s="14" t="n">
        <v>69675</v>
      </c>
      <c r="M72" s="14" t="n">
        <v>2153</v>
      </c>
    </row>
    <row r="73" customFormat="false" ht="15.75" hidden="false" customHeight="false" outlineLevel="0" collapsed="false">
      <c r="A73" s="0" t="s">
        <v>51</v>
      </c>
      <c r="B73" s="1" t="n">
        <v>43933</v>
      </c>
      <c r="C73" s="14" t="n">
        <v>4530</v>
      </c>
      <c r="D73" s="14" t="n">
        <v>184</v>
      </c>
      <c r="E73" s="14" t="n">
        <v>73</v>
      </c>
      <c r="F73" s="14" t="n">
        <v>3</v>
      </c>
      <c r="G73" s="14" t="n">
        <v>1995</v>
      </c>
      <c r="H73" s="14" t="n">
        <v>2462</v>
      </c>
      <c r="I73" s="14" t="n">
        <v>72</v>
      </c>
      <c r="J73" s="14" t="n">
        <v>140</v>
      </c>
      <c r="K73" s="14" t="n">
        <v>2</v>
      </c>
      <c r="L73" s="14" t="n">
        <v>71897</v>
      </c>
      <c r="M73" s="14" t="n">
        <v>2221</v>
      </c>
    </row>
    <row r="74" customFormat="false" ht="15.75" hidden="false" customHeight="false" outlineLevel="0" collapsed="false">
      <c r="A74" s="0" t="s">
        <v>51</v>
      </c>
      <c r="B74" s="1" t="n">
        <v>43934</v>
      </c>
      <c r="C74" s="14" t="n">
        <v>4683</v>
      </c>
      <c r="D74" s="14" t="n">
        <v>153</v>
      </c>
      <c r="E74" s="14" t="n">
        <v>76</v>
      </c>
      <c r="F74" s="14" t="n">
        <v>3</v>
      </c>
      <c r="G74" s="14" t="n">
        <v>2108</v>
      </c>
      <c r="H74" s="14" t="n">
        <v>2499</v>
      </c>
      <c r="I74" s="14" t="n">
        <v>66</v>
      </c>
      <c r="J74" s="14" t="n">
        <v>145</v>
      </c>
      <c r="K74" s="14" t="n">
        <v>2</v>
      </c>
      <c r="L74" s="14" t="n">
        <v>77491</v>
      </c>
      <c r="M74" s="14" t="n">
        <v>2394</v>
      </c>
    </row>
    <row r="75" customFormat="false" ht="15.75" hidden="false" customHeight="false" outlineLevel="0" collapsed="false">
      <c r="A75" s="0" t="s">
        <v>51</v>
      </c>
      <c r="B75" s="1" t="n">
        <v>43935</v>
      </c>
      <c r="C75" s="14" t="n">
        <v>4817</v>
      </c>
      <c r="D75" s="14" t="n">
        <v>134</v>
      </c>
      <c r="E75" s="14" t="n">
        <v>77</v>
      </c>
      <c r="F75" s="14" t="n">
        <v>1</v>
      </c>
      <c r="G75" s="14" t="n">
        <v>2276</v>
      </c>
      <c r="H75" s="14" t="n">
        <v>2464</v>
      </c>
      <c r="I75" s="14" t="n">
        <v>66</v>
      </c>
      <c r="J75" s="14" t="n">
        <v>149</v>
      </c>
      <c r="K75" s="14" t="n">
        <v>2</v>
      </c>
      <c r="L75" s="14" t="n">
        <v>81730</v>
      </c>
      <c r="M75" s="14" t="n">
        <v>2525</v>
      </c>
    </row>
    <row r="76" customFormat="false" ht="15.75" hidden="false" customHeight="false" outlineLevel="0" collapsed="false">
      <c r="A76" s="0" t="s">
        <v>51</v>
      </c>
      <c r="B76" s="1" t="n">
        <v>43936</v>
      </c>
      <c r="C76" s="14" t="n">
        <v>4987</v>
      </c>
      <c r="D76" s="14" t="n">
        <v>170</v>
      </c>
      <c r="E76" s="14" t="n">
        <v>82</v>
      </c>
      <c r="F76" s="14" t="n">
        <v>5</v>
      </c>
      <c r="G76" s="14" t="n">
        <v>2478</v>
      </c>
      <c r="H76" s="14" t="n">
        <v>2427</v>
      </c>
      <c r="I76" s="14" t="n">
        <v>60</v>
      </c>
      <c r="J76" s="14" t="n">
        <v>154</v>
      </c>
      <c r="K76" s="14" t="n">
        <v>3</v>
      </c>
      <c r="L76" s="14" t="n">
        <v>84791</v>
      </c>
      <c r="M76" s="14" t="n">
        <v>2620</v>
      </c>
    </row>
    <row r="77" customFormat="false" ht="15.75" hidden="false" customHeight="false" outlineLevel="0" collapsed="false">
      <c r="A77" s="0" t="s">
        <v>51</v>
      </c>
      <c r="B77" s="1" t="n">
        <v>43937</v>
      </c>
      <c r="C77" s="14" t="n">
        <v>5072</v>
      </c>
      <c r="D77" s="14" t="n">
        <v>85</v>
      </c>
      <c r="E77" s="14" t="n">
        <v>83</v>
      </c>
      <c r="F77" s="14" t="n">
        <v>1</v>
      </c>
      <c r="G77" s="14" t="n">
        <v>2647</v>
      </c>
      <c r="H77" s="14" t="n">
        <v>2342</v>
      </c>
      <c r="I77" s="14" t="n">
        <v>56</v>
      </c>
      <c r="J77" s="14" t="n">
        <v>157</v>
      </c>
      <c r="K77" s="14" t="n">
        <v>3</v>
      </c>
      <c r="L77" s="14" t="n">
        <v>87183</v>
      </c>
      <c r="M77" s="14" t="n">
        <v>2694</v>
      </c>
    </row>
    <row r="78" customFormat="false" ht="15.75" hidden="false" customHeight="false" outlineLevel="0" collapsed="false">
      <c r="A78" s="0" t="s">
        <v>51</v>
      </c>
      <c r="B78" s="1" t="n">
        <v>43938</v>
      </c>
      <c r="C78" s="14" t="n">
        <v>5182</v>
      </c>
      <c r="D78" s="14" t="n">
        <v>110</v>
      </c>
      <c r="E78" s="14" t="n">
        <v>84</v>
      </c>
      <c r="F78" s="14" t="n">
        <v>1</v>
      </c>
      <c r="G78" s="14" t="n">
        <v>2766</v>
      </c>
      <c r="H78" s="14" t="n">
        <v>2332</v>
      </c>
      <c r="I78" s="14" t="n">
        <v>56</v>
      </c>
      <c r="J78" s="14" t="n">
        <v>160</v>
      </c>
      <c r="K78" s="14" t="n">
        <v>3</v>
      </c>
      <c r="L78" s="14" t="n">
        <v>87183</v>
      </c>
      <c r="M78" s="14" t="n">
        <v>2694</v>
      </c>
    </row>
    <row r="79" customFormat="false" ht="15.75" hidden="false" customHeight="false" outlineLevel="0" collapsed="false">
      <c r="A79" s="0" t="s">
        <v>51</v>
      </c>
      <c r="B79" s="1" t="n">
        <v>43939</v>
      </c>
      <c r="C79" s="14" t="n">
        <v>5251</v>
      </c>
      <c r="D79" s="14" t="n">
        <v>69</v>
      </c>
      <c r="E79" s="14" t="n">
        <v>86</v>
      </c>
      <c r="F79" s="14" t="n">
        <v>2</v>
      </c>
      <c r="G79" s="14" t="n">
        <v>2967</v>
      </c>
      <c r="H79" s="14" t="n">
        <v>2198</v>
      </c>
      <c r="I79" s="14" t="n">
        <v>51</v>
      </c>
      <c r="J79" s="14" t="n">
        <v>162</v>
      </c>
      <c r="K79" s="14" t="n">
        <v>3</v>
      </c>
      <c r="L79" s="14" t="n">
        <v>96695</v>
      </c>
      <c r="M79" s="14" t="n">
        <v>2988</v>
      </c>
    </row>
    <row r="80" customFormat="false" ht="15.75" hidden="false" customHeight="false" outlineLevel="0" collapsed="false">
      <c r="A80" s="0" t="s">
        <v>51</v>
      </c>
      <c r="B80" s="1" t="n">
        <v>43940</v>
      </c>
      <c r="C80" s="14" t="n">
        <v>5305</v>
      </c>
      <c r="D80" s="14" t="n">
        <v>54</v>
      </c>
      <c r="E80" s="14" t="n">
        <v>88</v>
      </c>
      <c r="F80" s="14" t="n">
        <v>2</v>
      </c>
      <c r="G80" s="14" t="n">
        <v>3102</v>
      </c>
      <c r="H80" s="14" t="n">
        <v>2115</v>
      </c>
      <c r="I80" s="14" t="n">
        <v>49</v>
      </c>
      <c r="J80" s="14" t="n">
        <v>164</v>
      </c>
      <c r="K80" s="14" t="n">
        <v>3</v>
      </c>
      <c r="L80" s="14" t="n">
        <v>100794</v>
      </c>
      <c r="M80" s="14" t="n">
        <v>3114</v>
      </c>
    </row>
    <row r="81" customFormat="false" ht="15.75" hidden="false" customHeight="false" outlineLevel="0" collapsed="false">
      <c r="A81" s="0" t="s">
        <v>51</v>
      </c>
      <c r="B81" s="1" t="n">
        <v>43941</v>
      </c>
      <c r="C81" s="14" t="n">
        <v>5389</v>
      </c>
      <c r="D81" s="14" t="n">
        <v>84</v>
      </c>
      <c r="E81" s="14" t="n">
        <v>89</v>
      </c>
      <c r="F81" s="14" t="n">
        <v>1</v>
      </c>
      <c r="G81" s="14" t="n">
        <v>3197</v>
      </c>
      <c r="H81" s="14" t="n">
        <v>2103</v>
      </c>
      <c r="I81" s="14" t="n">
        <v>46</v>
      </c>
      <c r="J81" s="14" t="n">
        <v>167</v>
      </c>
      <c r="K81" s="14" t="n">
        <v>3</v>
      </c>
      <c r="L81" s="14" t="n">
        <v>103892</v>
      </c>
      <c r="M81" s="14" t="n">
        <v>3210</v>
      </c>
    </row>
    <row r="82" customFormat="false" ht="15.75" hidden="false" customHeight="false" outlineLevel="0" collapsed="false">
      <c r="A82" s="0" t="s">
        <v>51</v>
      </c>
      <c r="B82" s="1" t="n">
        <v>43942</v>
      </c>
      <c r="C82" s="6" t="n">
        <v>5425</v>
      </c>
      <c r="D82" s="6" t="n">
        <v>36</v>
      </c>
      <c r="E82" s="6" t="n">
        <v>89</v>
      </c>
      <c r="F82" s="6" t="n">
        <v>0</v>
      </c>
      <c r="G82" s="6" t="n">
        <v>3295</v>
      </c>
      <c r="H82" s="6" t="n">
        <v>2041</v>
      </c>
      <c r="I82" s="6" t="n">
        <v>45</v>
      </c>
      <c r="J82" s="6" t="n">
        <v>168</v>
      </c>
      <c r="K82" s="6" t="n">
        <v>3</v>
      </c>
      <c r="L82" s="6" t="n">
        <v>108216</v>
      </c>
      <c r="M82" s="6" t="n">
        <v>3344</v>
      </c>
    </row>
    <row r="83" customFormat="false" ht="15.75" hidden="false" customHeight="false" outlineLevel="0" collapsed="false">
      <c r="A83" s="0" t="s">
        <v>51</v>
      </c>
      <c r="B83" s="1" t="n">
        <v>43943</v>
      </c>
      <c r="C83" s="6" t="n">
        <v>5482</v>
      </c>
      <c r="D83" s="6" t="n">
        <v>57</v>
      </c>
      <c r="E83" s="6" t="n">
        <v>92</v>
      </c>
      <c r="F83" s="6" t="n">
        <v>3</v>
      </c>
      <c r="G83" s="6" t="n">
        <v>3349</v>
      </c>
      <c r="H83" s="6" t="n">
        <v>2041</v>
      </c>
      <c r="I83" s="6" t="n">
        <v>43</v>
      </c>
      <c r="J83" s="6" t="n">
        <v>169</v>
      </c>
      <c r="K83" s="6" t="n">
        <v>3</v>
      </c>
      <c r="L83" s="6" t="n">
        <v>108216</v>
      </c>
      <c r="M83" s="6" t="n">
        <v>3344</v>
      </c>
    </row>
    <row r="84" customFormat="false" ht="15.75" hidden="false" customHeight="false" outlineLevel="0" collapsed="false">
      <c r="A84" s="0" t="s">
        <v>51</v>
      </c>
      <c r="B84" s="1" t="n">
        <v>43944</v>
      </c>
      <c r="C84" s="6" t="n">
        <v>5532</v>
      </c>
      <c r="D84" s="6" t="n">
        <v>50</v>
      </c>
      <c r="E84" s="6" t="n">
        <v>93</v>
      </c>
      <c r="F84" s="6" t="n">
        <v>1</v>
      </c>
      <c r="G84" s="6" t="n">
        <v>3452</v>
      </c>
      <c r="H84" s="6" t="n">
        <v>1987</v>
      </c>
      <c r="I84" s="6" t="n">
        <v>43</v>
      </c>
      <c r="J84" s="6" t="n">
        <v>171</v>
      </c>
      <c r="K84" s="6" t="n">
        <v>3</v>
      </c>
      <c r="L84" s="6" t="n">
        <v>113755</v>
      </c>
      <c r="M84" s="6" t="n">
        <v>3515</v>
      </c>
    </row>
    <row r="85" customFormat="false" ht="15.75" hidden="false" customHeight="false" outlineLevel="0" collapsed="false">
      <c r="A85" s="0" t="s">
        <v>51</v>
      </c>
      <c r="B85" s="1" t="n">
        <v>43945</v>
      </c>
      <c r="C85" s="6" t="n">
        <v>5603</v>
      </c>
      <c r="D85" s="6" t="n">
        <v>71</v>
      </c>
      <c r="E85" s="6" t="n">
        <v>95</v>
      </c>
      <c r="F85" s="6" t="n">
        <v>2</v>
      </c>
      <c r="G85" s="6" t="n">
        <v>3542</v>
      </c>
      <c r="H85" s="6" t="n">
        <v>1966</v>
      </c>
      <c r="I85" s="6" t="n">
        <v>42</v>
      </c>
      <c r="J85" s="6" t="n">
        <v>173</v>
      </c>
      <c r="K85" s="6" t="n">
        <v>3</v>
      </c>
      <c r="L85" s="6" t="n">
        <v>117406</v>
      </c>
      <c r="M85" s="6" t="n">
        <v>3627</v>
      </c>
    </row>
    <row r="86" customFormat="false" ht="15.75" hidden="false" customHeight="false" outlineLevel="0" collapsed="false">
      <c r="A86" s="0" t="s">
        <v>51</v>
      </c>
      <c r="B86" s="1" t="n">
        <v>43946</v>
      </c>
      <c r="C86" s="6" t="n">
        <v>5691</v>
      </c>
      <c r="D86" s="6" t="n">
        <v>88</v>
      </c>
      <c r="E86" s="6" t="n">
        <v>96</v>
      </c>
      <c r="F86" s="6" t="n">
        <v>1</v>
      </c>
      <c r="G86" s="6" t="n">
        <v>3663</v>
      </c>
      <c r="H86" s="6" t="n">
        <v>1932</v>
      </c>
      <c r="I86" s="6" t="n">
        <v>41</v>
      </c>
      <c r="J86" s="6" t="n">
        <v>176</v>
      </c>
      <c r="K86" s="6" t="n">
        <v>3</v>
      </c>
      <c r="L86" s="6" t="n">
        <v>121722</v>
      </c>
      <c r="M86" s="6" t="n">
        <v>3761</v>
      </c>
    </row>
    <row r="87" customFormat="false" ht="15.75" hidden="false" customHeight="false" outlineLevel="0" collapsed="false">
      <c r="A87" s="0" t="s">
        <v>51</v>
      </c>
      <c r="B87" s="1" t="n">
        <v>43947</v>
      </c>
      <c r="C87" s="6" t="n">
        <v>5742</v>
      </c>
      <c r="D87" s="6" t="n">
        <v>51</v>
      </c>
      <c r="E87" s="6" t="n">
        <v>98</v>
      </c>
      <c r="F87" s="6" t="n">
        <v>2</v>
      </c>
      <c r="G87" s="6" t="n">
        <v>3762</v>
      </c>
      <c r="H87" s="6" t="n">
        <v>1882</v>
      </c>
      <c r="I87" s="6" t="n">
        <v>36</v>
      </c>
      <c r="J87" s="6" t="n">
        <v>177</v>
      </c>
      <c r="K87" s="6" t="n">
        <v>3</v>
      </c>
      <c r="L87" s="6" t="n">
        <v>126970</v>
      </c>
      <c r="M87" s="6" t="n">
        <v>3923</v>
      </c>
    </row>
    <row r="88" customFormat="false" ht="15.75" hidden="false" customHeight="false" outlineLevel="0" collapsed="false">
      <c r="A88" s="0" t="s">
        <v>51</v>
      </c>
      <c r="B88" s="1" t="n">
        <v>43948</v>
      </c>
      <c r="C88" s="6" t="n">
        <v>5780</v>
      </c>
      <c r="D88" s="6" t="n">
        <v>38</v>
      </c>
      <c r="E88" s="6" t="n">
        <v>98</v>
      </c>
      <c r="F88" s="6" t="n">
        <v>0</v>
      </c>
      <c r="G88" s="6" t="n">
        <v>3862</v>
      </c>
      <c r="H88" s="6" t="n">
        <v>1820</v>
      </c>
      <c r="I88" s="6" t="n">
        <v>36</v>
      </c>
      <c r="J88" s="6" t="n">
        <v>179</v>
      </c>
      <c r="K88" s="6" t="n">
        <v>3</v>
      </c>
      <c r="L88" s="6" t="n">
        <v>131491</v>
      </c>
      <c r="M88" s="6" t="n">
        <v>4063</v>
      </c>
    </row>
    <row r="89" customFormat="false" ht="13.5" hidden="false" customHeight="false" outlineLevel="0" collapsed="false">
      <c r="A89" s="0" t="s">
        <v>51</v>
      </c>
      <c r="B89" s="1" t="n">
        <v>43949</v>
      </c>
      <c r="C89" s="2" t="n">
        <v>5820</v>
      </c>
      <c r="D89" s="2" t="n">
        <v>40</v>
      </c>
      <c r="E89" s="2" t="n">
        <v>99</v>
      </c>
      <c r="F89" s="2" t="n">
        <v>1</v>
      </c>
      <c r="G89" s="2" t="n">
        <v>3957</v>
      </c>
      <c r="H89" s="2" t="n">
        <v>1764</v>
      </c>
      <c r="I89" s="2" t="n">
        <v>37</v>
      </c>
      <c r="J89" s="2" t="n">
        <v>180</v>
      </c>
      <c r="K89" s="2" t="n">
        <v>3</v>
      </c>
      <c r="L89" s="2" t="n">
        <v>144686</v>
      </c>
      <c r="M89" s="2" t="n">
        <v>4470</v>
      </c>
    </row>
    <row r="90" customFormat="false" ht="13.5" hidden="false" customHeight="false" outlineLevel="0" collapsed="false">
      <c r="A90" s="0" t="s">
        <v>51</v>
      </c>
      <c r="B90" s="1" t="n">
        <v>43950</v>
      </c>
      <c r="C90" s="2" t="n">
        <v>5851</v>
      </c>
      <c r="D90" s="2" t="n">
        <v>31</v>
      </c>
      <c r="E90" s="2" t="n">
        <v>100</v>
      </c>
      <c r="F90" s="2" t="n">
        <v>1</v>
      </c>
      <c r="G90" s="2" t="n">
        <v>4032</v>
      </c>
      <c r="H90" s="2" t="n">
        <v>1719</v>
      </c>
      <c r="I90" s="2" t="n">
        <v>36</v>
      </c>
      <c r="J90" s="2" t="n">
        <v>181</v>
      </c>
      <c r="K90" s="2" t="n">
        <v>3</v>
      </c>
      <c r="L90" s="2" t="n">
        <v>152142</v>
      </c>
      <c r="M90" s="2" t="n">
        <v>4701</v>
      </c>
    </row>
    <row r="91" customFormat="false" ht="13.5" hidden="false" customHeight="false" outlineLevel="0" collapsed="false">
      <c r="A91" s="0" t="s">
        <v>51</v>
      </c>
      <c r="B91" s="1" t="n">
        <v>43951</v>
      </c>
      <c r="C91" s="2" t="n">
        <v>5945</v>
      </c>
      <c r="D91" s="2" t="n">
        <v>94</v>
      </c>
      <c r="E91" s="2" t="n">
        <v>100</v>
      </c>
      <c r="F91" s="2" t="n">
        <v>0</v>
      </c>
      <c r="G91" s="2" t="n">
        <v>4087</v>
      </c>
      <c r="H91" s="2" t="n">
        <v>1758</v>
      </c>
      <c r="I91" s="2" t="n">
        <v>40</v>
      </c>
      <c r="J91" s="2" t="n">
        <v>184</v>
      </c>
      <c r="K91" s="2" t="n">
        <v>3</v>
      </c>
      <c r="L91" s="2" t="n">
        <v>154203</v>
      </c>
      <c r="M91" s="2" t="n">
        <v>4764</v>
      </c>
    </row>
    <row r="92" customFormat="false" ht="14.25" hidden="false" customHeight="false" outlineLevel="0" collapsed="false">
      <c r="A92" s="0" t="s">
        <v>51</v>
      </c>
      <c r="B92" s="1" t="n">
        <v>43952</v>
      </c>
      <c r="C92" s="2" t="n">
        <v>6002</v>
      </c>
      <c r="D92" s="2" t="n">
        <v>57</v>
      </c>
      <c r="E92" s="2" t="n">
        <v>102</v>
      </c>
      <c r="F92" s="2" t="n">
        <v>2</v>
      </c>
      <c r="G92" s="2" t="n">
        <v>4171</v>
      </c>
      <c r="H92" s="2" t="n">
        <v>1729</v>
      </c>
      <c r="I92" s="2" t="n">
        <v>40</v>
      </c>
      <c r="J92" s="2" t="n">
        <v>185</v>
      </c>
      <c r="K92" s="2" t="n">
        <v>3</v>
      </c>
      <c r="L92" s="2" t="n">
        <v>160296</v>
      </c>
      <c r="M92" s="2" t="n">
        <v>4953</v>
      </c>
    </row>
    <row r="93" customFormat="false" ht="15.75" hidden="false" customHeight="false" outlineLevel="0" collapsed="false">
      <c r="A93" s="0" t="s">
        <v>51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51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51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51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51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51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51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51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51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51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51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51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51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51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51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51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51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51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51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51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51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51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51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51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51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51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51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51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51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51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51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51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51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51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51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51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51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51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51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51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51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51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51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51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51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51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51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51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51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51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51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51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51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51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51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51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51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51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51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51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51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51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51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51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51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51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51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51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51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51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51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51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51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51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51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51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51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51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51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51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51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51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51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51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51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51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51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51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51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51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51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51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51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51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51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I137" activeCellId="0" sqref="I13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4.25" hidden="false" customHeight="false" outlineLevel="0" collapsed="false">
      <c r="A2" s="0" t="s">
        <v>52</v>
      </c>
      <c r="B2" s="1" t="n">
        <v>43862</v>
      </c>
    </row>
    <row r="3" customFormat="false" ht="15.75" hidden="false" customHeight="false" outlineLevel="0" collapsed="false">
      <c r="A3" s="0" t="s">
        <v>52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52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52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52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52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52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52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52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52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52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52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52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52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52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52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52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52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52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52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52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52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52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52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52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52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52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52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52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52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52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52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52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52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52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52</v>
      </c>
      <c r="B37" s="1" t="n">
        <v>43897</v>
      </c>
      <c r="C37" s="6" t="n">
        <v>4</v>
      </c>
      <c r="D37" s="6" t="n">
        <v>2</v>
      </c>
      <c r="E37" s="6"/>
      <c r="F37" s="6"/>
      <c r="G37" s="6"/>
      <c r="H37" s="6" t="n">
        <v>4</v>
      </c>
      <c r="I37" s="6"/>
      <c r="J37" s="6"/>
      <c r="K37" s="6"/>
      <c r="L37" s="6"/>
      <c r="M37" s="6"/>
    </row>
    <row r="38" customFormat="false" ht="15.75" hidden="false" customHeight="false" outlineLevel="0" collapsed="false">
      <c r="A38" s="0" t="s">
        <v>52</v>
      </c>
      <c r="B38" s="1" t="n">
        <v>43898</v>
      </c>
      <c r="C38" s="8" t="n">
        <v>4</v>
      </c>
      <c r="D38" s="8" t="n">
        <v>0</v>
      </c>
      <c r="E38" s="8"/>
      <c r="F38" s="8"/>
      <c r="G38" s="8"/>
      <c r="H38" s="8" t="n">
        <v>4</v>
      </c>
      <c r="I38" s="8"/>
      <c r="J38" s="8"/>
      <c r="K38" s="8"/>
      <c r="L38" s="8"/>
      <c r="M38" s="8"/>
    </row>
    <row r="39" customFormat="false" ht="15.75" hidden="false" customHeight="false" outlineLevel="0" collapsed="false">
      <c r="A39" s="0" t="s">
        <v>52</v>
      </c>
      <c r="B39" s="1" t="n">
        <v>43899</v>
      </c>
      <c r="C39" s="6" t="n">
        <v>6</v>
      </c>
      <c r="D39" s="6" t="n">
        <v>2</v>
      </c>
      <c r="E39" s="6"/>
      <c r="F39" s="6"/>
      <c r="G39" s="6"/>
      <c r="H39" s="6" t="n">
        <v>6</v>
      </c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52</v>
      </c>
      <c r="B40" s="1" t="n">
        <v>43900</v>
      </c>
      <c r="C40" s="6" t="n">
        <v>19</v>
      </c>
      <c r="D40" s="6" t="n">
        <v>13</v>
      </c>
      <c r="E40" s="6"/>
      <c r="F40" s="6"/>
      <c r="G40" s="6"/>
      <c r="H40" s="6" t="n">
        <v>19</v>
      </c>
      <c r="I40" s="6"/>
      <c r="J40" s="6" t="n">
        <v>0.1</v>
      </c>
      <c r="K40" s="6"/>
      <c r="L40" s="6"/>
      <c r="M40" s="6"/>
    </row>
    <row r="41" customFormat="false" ht="15.75" hidden="false" customHeight="false" outlineLevel="0" collapsed="false">
      <c r="A41" s="0" t="s">
        <v>52</v>
      </c>
      <c r="B41" s="1" t="n">
        <v>43901</v>
      </c>
      <c r="C41" s="6" t="n">
        <v>27</v>
      </c>
      <c r="D41" s="6" t="n">
        <v>8</v>
      </c>
      <c r="E41" s="6"/>
      <c r="F41" s="6"/>
      <c r="G41" s="6" t="n">
        <v>2</v>
      </c>
      <c r="H41" s="6" t="n">
        <v>25</v>
      </c>
      <c r="I41" s="6"/>
      <c r="J41" s="6" t="n">
        <v>0.1</v>
      </c>
      <c r="K41" s="6"/>
      <c r="L41" s="6"/>
      <c r="M41" s="6"/>
    </row>
    <row r="42" customFormat="false" ht="15.75" hidden="false" customHeight="false" outlineLevel="0" collapsed="false">
      <c r="A42" s="0" t="s">
        <v>52</v>
      </c>
      <c r="B42" s="1" t="n">
        <v>43902</v>
      </c>
      <c r="C42" s="6" t="n">
        <v>34</v>
      </c>
      <c r="D42" s="6" t="n">
        <v>7</v>
      </c>
      <c r="E42" s="6" t="n">
        <v>1</v>
      </c>
      <c r="F42" s="6" t="n">
        <v>1</v>
      </c>
      <c r="G42" s="6" t="n">
        <v>2</v>
      </c>
      <c r="H42" s="6" t="n">
        <v>31</v>
      </c>
      <c r="I42" s="6"/>
      <c r="J42" s="6" t="n">
        <v>0.1</v>
      </c>
      <c r="K42" s="6"/>
      <c r="L42" s="6"/>
      <c r="M42" s="6"/>
    </row>
    <row r="43" customFormat="false" ht="15.75" hidden="false" customHeight="false" outlineLevel="0" collapsed="false">
      <c r="A43" s="0" t="s">
        <v>52</v>
      </c>
      <c r="B43" s="1" t="n">
        <v>43903</v>
      </c>
      <c r="C43" s="6" t="n">
        <v>34</v>
      </c>
      <c r="D43" s="6" t="n">
        <v>0</v>
      </c>
      <c r="E43" s="6" t="n">
        <v>1</v>
      </c>
      <c r="F43" s="6" t="n">
        <v>0</v>
      </c>
      <c r="G43" s="6" t="n">
        <v>3</v>
      </c>
      <c r="H43" s="6" t="n">
        <v>30</v>
      </c>
      <c r="I43" s="6"/>
      <c r="J43" s="6" t="n">
        <v>0.1</v>
      </c>
      <c r="K43" s="6"/>
      <c r="L43" s="6"/>
      <c r="M43" s="6"/>
    </row>
    <row r="44" customFormat="false" ht="15.75" hidden="false" customHeight="false" outlineLevel="0" collapsed="false">
      <c r="A44" s="0" t="s">
        <v>52</v>
      </c>
      <c r="B44" s="1" t="n">
        <v>43904</v>
      </c>
      <c r="C44" s="6" t="n">
        <v>69</v>
      </c>
      <c r="D44" s="6" t="n">
        <v>35</v>
      </c>
      <c r="E44" s="6" t="n">
        <v>4</v>
      </c>
      <c r="F44" s="6" t="n">
        <v>3</v>
      </c>
      <c r="G44" s="6" t="n">
        <v>5</v>
      </c>
      <c r="H44" s="6" t="n">
        <v>60</v>
      </c>
      <c r="I44" s="6"/>
      <c r="J44" s="6" t="n">
        <v>0.3</v>
      </c>
      <c r="K44" s="6"/>
      <c r="L44" s="6"/>
      <c r="M44" s="6"/>
    </row>
    <row r="45" customFormat="false" ht="15.75" hidden="false" customHeight="false" outlineLevel="0" collapsed="false">
      <c r="A45" s="0" t="s">
        <v>52</v>
      </c>
      <c r="B45" s="1" t="n">
        <v>43905</v>
      </c>
      <c r="C45" s="6" t="n">
        <v>96</v>
      </c>
      <c r="D45" s="6" t="n">
        <v>27</v>
      </c>
      <c r="E45" s="6" t="n">
        <v>5</v>
      </c>
      <c r="F45" s="6" t="n">
        <v>1</v>
      </c>
      <c r="G45" s="6" t="n">
        <v>8</v>
      </c>
      <c r="H45" s="6" t="n">
        <v>83</v>
      </c>
      <c r="I45" s="6"/>
      <c r="J45" s="6" t="n">
        <v>0.4</v>
      </c>
      <c r="K45" s="6"/>
      <c r="L45" s="6"/>
      <c r="M45" s="6"/>
    </row>
    <row r="46" customFormat="false" ht="15.75" hidden="false" customHeight="false" outlineLevel="0" collapsed="false">
      <c r="A46" s="0" t="s">
        <v>52</v>
      </c>
      <c r="B46" s="1" t="n">
        <v>43906</v>
      </c>
      <c r="C46" s="6" t="n">
        <v>117</v>
      </c>
      <c r="D46" s="6" t="n">
        <v>21</v>
      </c>
      <c r="E46" s="6" t="n">
        <v>5</v>
      </c>
      <c r="F46" s="6" t="n">
        <v>0</v>
      </c>
      <c r="G46" s="6" t="n">
        <v>8</v>
      </c>
      <c r="H46" s="6" t="n">
        <v>104</v>
      </c>
      <c r="I46" s="6"/>
      <c r="J46" s="6" t="n">
        <v>0.4</v>
      </c>
      <c r="K46" s="6"/>
      <c r="L46" s="6"/>
      <c r="M46" s="6"/>
    </row>
    <row r="47" customFormat="false" ht="15.75" hidden="false" customHeight="false" outlineLevel="0" collapsed="false">
      <c r="A47" s="0" t="s">
        <v>52</v>
      </c>
      <c r="B47" s="1" t="n">
        <v>43907</v>
      </c>
      <c r="C47" s="6" t="n">
        <v>134</v>
      </c>
      <c r="D47" s="6" t="n">
        <v>17</v>
      </c>
      <c r="E47" s="6" t="n">
        <v>5</v>
      </c>
      <c r="F47" s="6" t="n">
        <v>0</v>
      </c>
      <c r="G47" s="6" t="n">
        <v>8</v>
      </c>
      <c r="H47" s="6" t="n">
        <v>121</v>
      </c>
      <c r="I47" s="6"/>
      <c r="J47" s="6" t="n">
        <v>0.5</v>
      </c>
      <c r="K47" s="6"/>
      <c r="L47" s="6"/>
      <c r="M47" s="6"/>
    </row>
    <row r="48" customFormat="false" ht="15.75" hidden="false" customHeight="false" outlineLevel="0" collapsed="false">
      <c r="A48" s="0" t="s">
        <v>52</v>
      </c>
      <c r="B48" s="1" t="n">
        <v>43908</v>
      </c>
      <c r="C48" s="6" t="n">
        <v>172</v>
      </c>
      <c r="D48" s="6" t="n">
        <v>38</v>
      </c>
      <c r="E48" s="6" t="n">
        <v>7</v>
      </c>
      <c r="F48" s="6" t="n">
        <v>2</v>
      </c>
      <c r="G48" s="6" t="n">
        <v>9</v>
      </c>
      <c r="H48" s="6" t="n">
        <v>156</v>
      </c>
      <c r="I48" s="6"/>
      <c r="J48" s="6" t="n">
        <v>0.6</v>
      </c>
      <c r="K48" s="6"/>
      <c r="L48" s="6"/>
      <c r="M48" s="6"/>
    </row>
    <row r="49" customFormat="false" ht="15.75" hidden="false" customHeight="false" outlineLevel="0" collapsed="false">
      <c r="A49" s="0" t="s">
        <v>52</v>
      </c>
      <c r="B49" s="1" t="n">
        <v>43909</v>
      </c>
      <c r="C49" s="6" t="n">
        <v>227</v>
      </c>
      <c r="D49" s="6" t="n">
        <v>55</v>
      </c>
      <c r="E49" s="6" t="n">
        <v>19</v>
      </c>
      <c r="F49" s="6" t="n">
        <v>12</v>
      </c>
      <c r="G49" s="6" t="n">
        <v>11</v>
      </c>
      <c r="H49" s="6" t="n">
        <v>197</v>
      </c>
      <c r="I49" s="6"/>
      <c r="J49" s="6" t="n">
        <v>0.8</v>
      </c>
      <c r="K49" s="6"/>
      <c r="L49" s="6"/>
      <c r="M49" s="6"/>
    </row>
    <row r="50" customFormat="false" ht="15.75" hidden="false" customHeight="false" outlineLevel="0" collapsed="false">
      <c r="A50" s="0" t="s">
        <v>52</v>
      </c>
      <c r="B50" s="1" t="n">
        <v>43910</v>
      </c>
      <c r="C50" s="6" t="n">
        <v>308</v>
      </c>
      <c r="D50" s="6" t="n">
        <v>81</v>
      </c>
      <c r="E50" s="6" t="n">
        <v>25</v>
      </c>
      <c r="F50" s="6" t="n">
        <v>6</v>
      </c>
      <c r="G50" s="6" t="n">
        <v>15</v>
      </c>
      <c r="H50" s="6" t="n">
        <v>268</v>
      </c>
      <c r="I50" s="6"/>
      <c r="J50" s="6" t="n">
        <v>1</v>
      </c>
      <c r="K50" s="6"/>
      <c r="L50" s="6"/>
      <c r="M50" s="6"/>
    </row>
    <row r="51" customFormat="false" ht="15.75" hidden="false" customHeight="false" outlineLevel="0" collapsed="false">
      <c r="A51" s="0" t="s">
        <v>52</v>
      </c>
      <c r="B51" s="1" t="n">
        <v>43911</v>
      </c>
      <c r="C51" s="6" t="n">
        <v>450</v>
      </c>
      <c r="D51" s="6" t="n">
        <v>142</v>
      </c>
      <c r="E51" s="6" t="n">
        <v>38</v>
      </c>
      <c r="F51" s="6" t="n">
        <v>13</v>
      </c>
      <c r="G51" s="6" t="n">
        <v>20</v>
      </c>
      <c r="H51" s="6" t="n">
        <v>392</v>
      </c>
      <c r="I51" s="6"/>
      <c r="J51" s="6" t="n">
        <v>2</v>
      </c>
      <c r="K51" s="6"/>
      <c r="L51" s="6"/>
      <c r="M51" s="6"/>
    </row>
    <row r="52" customFormat="false" ht="15.75" hidden="false" customHeight="false" outlineLevel="0" collapsed="false">
      <c r="A52" s="0" t="s">
        <v>52</v>
      </c>
      <c r="B52" s="1" t="n">
        <v>43912</v>
      </c>
      <c r="C52" s="6" t="n">
        <v>450</v>
      </c>
      <c r="D52" s="6" t="n">
        <v>0</v>
      </c>
      <c r="E52" s="6" t="n">
        <v>38</v>
      </c>
      <c r="F52" s="6" t="n">
        <v>0</v>
      </c>
      <c r="G52" s="6" t="n">
        <v>20</v>
      </c>
      <c r="H52" s="6" t="n">
        <v>392</v>
      </c>
      <c r="I52" s="6"/>
      <c r="J52" s="6" t="n">
        <v>2</v>
      </c>
      <c r="K52" s="6"/>
      <c r="L52" s="6"/>
      <c r="M52" s="6"/>
    </row>
    <row r="53" customFormat="false" ht="15.75" hidden="false" customHeight="false" outlineLevel="0" collapsed="false">
      <c r="A53" s="0" t="s">
        <v>52</v>
      </c>
      <c r="B53" s="1" t="n">
        <v>43913</v>
      </c>
      <c r="C53" s="6" t="n">
        <v>514</v>
      </c>
      <c r="D53" s="6" t="n">
        <v>64</v>
      </c>
      <c r="E53" s="6" t="n">
        <v>48</v>
      </c>
      <c r="F53" s="6" t="n">
        <v>10</v>
      </c>
      <c r="G53" s="6" t="n">
        <v>29</v>
      </c>
      <c r="H53" s="6" t="n">
        <v>437</v>
      </c>
      <c r="I53" s="6"/>
      <c r="J53" s="6" t="n">
        <v>2</v>
      </c>
      <c r="K53" s="6"/>
      <c r="L53" s="6"/>
      <c r="M53" s="6"/>
    </row>
    <row r="54" customFormat="false" ht="15.75" hidden="false" customHeight="false" outlineLevel="0" collapsed="false">
      <c r="A54" s="0" t="s">
        <v>52</v>
      </c>
      <c r="B54" s="1" t="n">
        <v>43914</v>
      </c>
      <c r="C54" s="6" t="n">
        <v>579</v>
      </c>
      <c r="D54" s="6" t="n">
        <v>65</v>
      </c>
      <c r="E54" s="6" t="n">
        <v>49</v>
      </c>
      <c r="F54" s="6" t="n">
        <v>1</v>
      </c>
      <c r="G54" s="6" t="n">
        <v>30</v>
      </c>
      <c r="H54" s="6" t="n">
        <v>500</v>
      </c>
      <c r="I54" s="6"/>
      <c r="J54" s="6" t="n">
        <v>2</v>
      </c>
      <c r="K54" s="6"/>
      <c r="L54" s="6"/>
      <c r="M54" s="6"/>
    </row>
    <row r="55" customFormat="false" ht="15.75" hidden="false" customHeight="false" outlineLevel="0" collapsed="false">
      <c r="A55" s="0" t="s">
        <v>52</v>
      </c>
      <c r="B55" s="1" t="n">
        <v>43915</v>
      </c>
      <c r="C55" s="6" t="n">
        <v>686</v>
      </c>
      <c r="D55" s="6" t="n">
        <v>107</v>
      </c>
      <c r="E55" s="6" t="n">
        <v>55</v>
      </c>
      <c r="F55" s="6" t="n">
        <v>6</v>
      </c>
      <c r="G55" s="6" t="n">
        <v>30</v>
      </c>
      <c r="H55" s="6" t="n">
        <v>601</v>
      </c>
      <c r="I55" s="6"/>
      <c r="J55" s="6" t="n">
        <v>3</v>
      </c>
      <c r="K55" s="9" t="n">
        <v>0.2</v>
      </c>
      <c r="L55" s="6"/>
      <c r="M55" s="6"/>
    </row>
    <row r="56" customFormat="false" ht="15.75" hidden="false" customHeight="false" outlineLevel="0" collapsed="false">
      <c r="A56" s="0" t="s">
        <v>52</v>
      </c>
      <c r="B56" s="1" t="n">
        <v>43916</v>
      </c>
      <c r="C56" s="7" t="n">
        <v>790</v>
      </c>
      <c r="D56" s="7" t="n">
        <v>104</v>
      </c>
      <c r="E56" s="7" t="n">
        <v>58</v>
      </c>
      <c r="F56" s="7" t="n">
        <v>3</v>
      </c>
      <c r="G56" s="7" t="n">
        <v>31</v>
      </c>
      <c r="H56" s="7" t="n">
        <v>701</v>
      </c>
      <c r="I56" s="7"/>
      <c r="J56" s="7" t="n">
        <v>3</v>
      </c>
      <c r="K56" s="9" t="n">
        <v>0.2</v>
      </c>
      <c r="L56" s="7"/>
      <c r="M56" s="7"/>
    </row>
    <row r="57" customFormat="false" ht="15.75" hidden="false" customHeight="false" outlineLevel="0" collapsed="false">
      <c r="A57" s="0" t="s">
        <v>52</v>
      </c>
      <c r="B57" s="1" t="n">
        <v>43917</v>
      </c>
      <c r="C57" s="7" t="n">
        <v>893</v>
      </c>
      <c r="D57" s="7" t="n">
        <v>103</v>
      </c>
      <c r="E57" s="7" t="n">
        <v>78</v>
      </c>
      <c r="F57" s="7" t="n">
        <v>20</v>
      </c>
      <c r="G57" s="7" t="n">
        <v>35</v>
      </c>
      <c r="H57" s="7" t="n">
        <v>780</v>
      </c>
      <c r="I57" s="7"/>
      <c r="J57" s="7" t="n">
        <v>3</v>
      </c>
      <c r="K57" s="9" t="n">
        <v>0.3</v>
      </c>
      <c r="M57" s="7"/>
    </row>
    <row r="58" customFormat="false" ht="15.75" hidden="false" customHeight="false" outlineLevel="0" collapsed="false">
      <c r="A58" s="0" t="s">
        <v>52</v>
      </c>
      <c r="B58" s="1" t="n">
        <v>43918</v>
      </c>
      <c r="C58" s="7" t="n">
        <v>1046</v>
      </c>
      <c r="D58" s="7" t="n">
        <v>153</v>
      </c>
      <c r="E58" s="7" t="n">
        <v>87</v>
      </c>
      <c r="F58" s="7" t="n">
        <v>9</v>
      </c>
      <c r="G58" s="7" t="n">
        <v>46</v>
      </c>
      <c r="H58" s="7" t="n">
        <v>913</v>
      </c>
      <c r="I58" s="7"/>
      <c r="J58" s="7" t="n">
        <v>4</v>
      </c>
      <c r="K58" s="9" t="n">
        <v>0.3</v>
      </c>
      <c r="M58" s="7"/>
    </row>
    <row r="59" customFormat="false" ht="15.75" hidden="false" customHeight="false" outlineLevel="0" collapsed="false">
      <c r="A59" s="0" t="s">
        <v>52</v>
      </c>
      <c r="B59" s="1" t="n">
        <v>43919</v>
      </c>
      <c r="C59" s="7" t="n">
        <v>1155</v>
      </c>
      <c r="D59" s="7" t="n">
        <v>109</v>
      </c>
      <c r="E59" s="7" t="n">
        <v>102</v>
      </c>
      <c r="F59" s="7" t="n">
        <v>15</v>
      </c>
      <c r="G59" s="7" t="n">
        <v>59</v>
      </c>
      <c r="H59" s="7" t="n">
        <v>994</v>
      </c>
      <c r="I59" s="7"/>
      <c r="J59" s="7" t="n">
        <v>4</v>
      </c>
      <c r="K59" s="9" t="n">
        <v>0.4</v>
      </c>
      <c r="M59" s="7"/>
    </row>
    <row r="60" customFormat="false" ht="15.75" hidden="false" customHeight="false" outlineLevel="0" collapsed="false">
      <c r="A60" s="0" t="s">
        <v>52</v>
      </c>
      <c r="B60" s="1" t="n">
        <v>43920</v>
      </c>
      <c r="C60" s="7" t="n">
        <v>1285</v>
      </c>
      <c r="D60" s="7" t="n">
        <v>130</v>
      </c>
      <c r="E60" s="7" t="n">
        <v>114</v>
      </c>
      <c r="F60" s="7" t="n">
        <v>12</v>
      </c>
      <c r="G60" s="7" t="n">
        <v>64</v>
      </c>
      <c r="H60" s="7" t="n">
        <v>1107</v>
      </c>
      <c r="I60" s="7"/>
      <c r="J60" s="7" t="n">
        <v>5</v>
      </c>
      <c r="K60" s="9" t="n">
        <v>0.4</v>
      </c>
      <c r="M60" s="7"/>
    </row>
    <row r="61" customFormat="false" ht="15.75" hidden="false" customHeight="false" outlineLevel="0" collapsed="false">
      <c r="A61" s="0" t="s">
        <v>52</v>
      </c>
      <c r="B61" s="1" t="n">
        <v>43921</v>
      </c>
      <c r="C61" s="7" t="n">
        <v>1414</v>
      </c>
      <c r="D61" s="7" t="n">
        <v>129</v>
      </c>
      <c r="E61" s="7" t="n">
        <v>122</v>
      </c>
      <c r="F61" s="7" t="n">
        <v>8</v>
      </c>
      <c r="G61" s="7" t="n">
        <v>75</v>
      </c>
      <c r="H61" s="7" t="n">
        <v>1217</v>
      </c>
      <c r="I61" s="7"/>
      <c r="J61" s="7" t="n">
        <v>5</v>
      </c>
      <c r="K61" s="9" t="n">
        <v>0.4</v>
      </c>
      <c r="M61" s="7"/>
    </row>
    <row r="62" customFormat="false" ht="15.75" hidden="false" customHeight="false" outlineLevel="0" collapsed="false">
      <c r="A62" s="0" t="s">
        <v>52</v>
      </c>
      <c r="B62" s="1" t="n">
        <v>43922</v>
      </c>
      <c r="C62" s="7" t="n">
        <v>1528</v>
      </c>
      <c r="D62" s="7" t="n">
        <v>114</v>
      </c>
      <c r="E62" s="7" t="n">
        <v>136</v>
      </c>
      <c r="F62" s="7" t="n">
        <v>14</v>
      </c>
      <c r="G62" s="7" t="n">
        <v>81</v>
      </c>
      <c r="H62" s="7" t="n">
        <v>1311</v>
      </c>
      <c r="I62" s="7"/>
      <c r="J62" s="7" t="n">
        <v>6</v>
      </c>
      <c r="K62" s="9" t="n">
        <v>0.5</v>
      </c>
      <c r="M62" s="7"/>
    </row>
    <row r="63" customFormat="false" ht="15.75" hidden="false" customHeight="false" outlineLevel="0" collapsed="false">
      <c r="A63" s="0" t="s">
        <v>52</v>
      </c>
      <c r="B63" s="1" t="n">
        <v>43923</v>
      </c>
      <c r="C63" s="7" t="n">
        <v>1677</v>
      </c>
      <c r="D63" s="7" t="n">
        <v>149</v>
      </c>
      <c r="E63" s="7" t="n">
        <v>157</v>
      </c>
      <c r="F63" s="7" t="n">
        <v>21</v>
      </c>
      <c r="G63" s="7" t="n">
        <v>103</v>
      </c>
      <c r="H63" s="7" t="n">
        <v>1417</v>
      </c>
      <c r="I63" s="7"/>
      <c r="J63" s="7" t="n">
        <v>6</v>
      </c>
      <c r="K63" s="9" t="n">
        <v>0.6</v>
      </c>
      <c r="M63" s="7"/>
    </row>
    <row r="64" customFormat="false" ht="15.75" hidden="false" customHeight="false" outlineLevel="0" collapsed="false">
      <c r="A64" s="0" t="s">
        <v>52</v>
      </c>
      <c r="B64" s="1" t="n">
        <v>43924</v>
      </c>
      <c r="C64" s="7" t="n">
        <v>1790</v>
      </c>
      <c r="D64" s="7" t="n">
        <v>113</v>
      </c>
      <c r="E64" s="7" t="n">
        <v>170</v>
      </c>
      <c r="F64" s="7" t="n">
        <v>13</v>
      </c>
      <c r="G64" s="7" t="n">
        <v>112</v>
      </c>
      <c r="H64" s="7" t="n">
        <v>1508</v>
      </c>
      <c r="I64" s="7"/>
      <c r="J64" s="7" t="n">
        <v>7</v>
      </c>
      <c r="K64" s="9" t="n">
        <v>0.6</v>
      </c>
      <c r="M64" s="7"/>
    </row>
    <row r="65" customFormat="false" ht="15.75" hidden="false" customHeight="false" outlineLevel="0" collapsed="false">
      <c r="A65" s="0" t="s">
        <v>52</v>
      </c>
      <c r="B65" s="1" t="n">
        <v>43925</v>
      </c>
      <c r="C65" s="7" t="n">
        <v>1986</v>
      </c>
      <c r="D65" s="7" t="n">
        <v>196</v>
      </c>
      <c r="E65" s="7" t="n">
        <v>181</v>
      </c>
      <c r="F65" s="7" t="n">
        <v>11</v>
      </c>
      <c r="G65" s="7" t="n">
        <v>134</v>
      </c>
      <c r="H65" s="7" t="n">
        <v>1671</v>
      </c>
      <c r="I65" s="7"/>
      <c r="J65" s="7" t="n">
        <v>7</v>
      </c>
      <c r="K65" s="9" t="n">
        <v>0.7</v>
      </c>
      <c r="L65" s="7"/>
      <c r="M65" s="7"/>
    </row>
    <row r="66" customFormat="false" ht="15.75" hidden="false" customHeight="false" outlineLevel="0" collapsed="false">
      <c r="A66" s="0" t="s">
        <v>52</v>
      </c>
      <c r="B66" s="1" t="n">
        <v>43926</v>
      </c>
      <c r="C66" s="7" t="n">
        <v>2092</v>
      </c>
      <c r="D66" s="7" t="n">
        <v>106</v>
      </c>
      <c r="E66" s="7" t="n">
        <v>191</v>
      </c>
      <c r="F66" s="7" t="n">
        <v>10</v>
      </c>
      <c r="G66" s="7" t="n">
        <v>150</v>
      </c>
      <c r="H66" s="7" t="n">
        <v>1751</v>
      </c>
      <c r="I66" s="7"/>
      <c r="J66" s="7" t="n">
        <v>8</v>
      </c>
      <c r="K66" s="9" t="n">
        <v>0.7</v>
      </c>
      <c r="L66" s="7" t="n">
        <v>7193</v>
      </c>
      <c r="M66" s="7" t="n">
        <v>26</v>
      </c>
    </row>
    <row r="67" customFormat="false" ht="15.75" hidden="false" customHeight="false" outlineLevel="0" collapsed="false">
      <c r="A67" s="0" t="s">
        <v>52</v>
      </c>
      <c r="B67" s="1" t="n">
        <v>43927</v>
      </c>
      <c r="C67" s="7" t="n">
        <v>2273</v>
      </c>
      <c r="D67" s="7" t="n">
        <v>181</v>
      </c>
      <c r="E67" s="7" t="n">
        <v>198</v>
      </c>
      <c r="F67" s="7" t="n">
        <v>7</v>
      </c>
      <c r="G67" s="7" t="n">
        <v>164</v>
      </c>
      <c r="H67" s="7" t="n">
        <v>1911</v>
      </c>
      <c r="I67" s="7"/>
      <c r="J67" s="7" t="n">
        <v>8</v>
      </c>
      <c r="K67" s="9" t="n">
        <v>0.7</v>
      </c>
      <c r="L67" s="7" t="n">
        <v>9712</v>
      </c>
      <c r="M67" s="7" t="n">
        <v>36</v>
      </c>
    </row>
    <row r="68" customFormat="false" ht="15.75" hidden="false" customHeight="false" outlineLevel="0" collapsed="false">
      <c r="A68" s="0" t="s">
        <v>52</v>
      </c>
      <c r="B68" s="1" t="n">
        <v>43928</v>
      </c>
      <c r="C68" s="7" t="n">
        <v>2491</v>
      </c>
      <c r="D68" s="7" t="n">
        <v>218</v>
      </c>
      <c r="E68" s="7" t="n">
        <v>209</v>
      </c>
      <c r="F68" s="7" t="n">
        <v>11</v>
      </c>
      <c r="G68" s="7" t="n">
        <v>192</v>
      </c>
      <c r="H68" s="7" t="n">
        <v>2090</v>
      </c>
      <c r="I68" s="7"/>
      <c r="J68" s="7" t="n">
        <v>9</v>
      </c>
      <c r="K68" s="9" t="n">
        <v>0.8</v>
      </c>
      <c r="L68" s="7" t="n">
        <v>11460</v>
      </c>
      <c r="M68" s="7" t="n">
        <v>42</v>
      </c>
    </row>
    <row r="69" customFormat="false" ht="15.75" hidden="false" customHeight="false" outlineLevel="0" collapsed="false">
      <c r="A69" s="0" t="s">
        <v>52</v>
      </c>
      <c r="B69" s="1" t="n">
        <v>43929</v>
      </c>
      <c r="C69" s="12" t="n">
        <v>2738</v>
      </c>
      <c r="D69" s="12" t="n">
        <v>247</v>
      </c>
      <c r="E69" s="12" t="n">
        <v>221</v>
      </c>
      <c r="F69" s="12" t="n">
        <v>12</v>
      </c>
      <c r="G69" s="12" t="n">
        <v>204</v>
      </c>
      <c r="H69" s="12" t="n">
        <v>2313</v>
      </c>
      <c r="I69" s="12" t="n">
        <v>0</v>
      </c>
      <c r="J69" s="12" t="n">
        <v>10</v>
      </c>
      <c r="K69" s="13" t="n">
        <v>0.8</v>
      </c>
      <c r="L69" s="12" t="n">
        <v>14354</v>
      </c>
      <c r="M69" s="12" t="n">
        <v>52</v>
      </c>
    </row>
    <row r="70" customFormat="false" ht="15.75" hidden="false" customHeight="false" outlineLevel="0" collapsed="false">
      <c r="A70" s="0" t="s">
        <v>52</v>
      </c>
      <c r="B70" s="1" t="n">
        <v>43930</v>
      </c>
      <c r="C70" s="14" t="n">
        <v>2956</v>
      </c>
      <c r="D70" s="14" t="n">
        <v>218</v>
      </c>
      <c r="E70" s="14" t="n">
        <v>240</v>
      </c>
      <c r="F70" s="14" t="n">
        <v>19</v>
      </c>
      <c r="G70" s="14" t="n">
        <v>222</v>
      </c>
      <c r="H70" s="14" t="n">
        <v>2494</v>
      </c>
      <c r="I70" s="14" t="n">
        <v>0</v>
      </c>
      <c r="J70" s="14" t="n">
        <v>11</v>
      </c>
      <c r="K70" s="13" t="n">
        <v>0.9</v>
      </c>
      <c r="L70" s="14" t="n">
        <v>14354</v>
      </c>
      <c r="M70" s="14" t="n">
        <v>52</v>
      </c>
    </row>
    <row r="71" customFormat="false" ht="15.75" hidden="false" customHeight="false" outlineLevel="0" collapsed="false">
      <c r="A71" s="0" t="s">
        <v>52</v>
      </c>
      <c r="B71" s="1" t="n">
        <v>43931</v>
      </c>
      <c r="C71" s="14" t="n">
        <v>3293</v>
      </c>
      <c r="D71" s="14" t="n">
        <v>337</v>
      </c>
      <c r="E71" s="14" t="n">
        <v>280</v>
      </c>
      <c r="F71" s="14" t="n">
        <v>40</v>
      </c>
      <c r="G71" s="14" t="n">
        <v>252</v>
      </c>
      <c r="H71" s="14" t="n">
        <v>2761</v>
      </c>
      <c r="I71" s="14" t="n">
        <v>0</v>
      </c>
      <c r="J71" s="14" t="n">
        <v>12</v>
      </c>
      <c r="K71" s="14" t="n">
        <v>1</v>
      </c>
      <c r="L71" s="14" t="n">
        <v>14354</v>
      </c>
      <c r="M71" s="14" t="n">
        <v>52</v>
      </c>
    </row>
    <row r="72" customFormat="false" ht="15.75" hidden="false" customHeight="false" outlineLevel="0" collapsed="false">
      <c r="A72" s="0" t="s">
        <v>52</v>
      </c>
      <c r="B72" s="1" t="n">
        <v>43932</v>
      </c>
      <c r="C72" s="14" t="n">
        <v>3512</v>
      </c>
      <c r="D72" s="14" t="n">
        <v>219</v>
      </c>
      <c r="E72" s="14" t="n">
        <v>306</v>
      </c>
      <c r="F72" s="14" t="n">
        <v>26</v>
      </c>
      <c r="G72" s="14" t="n">
        <v>282</v>
      </c>
      <c r="H72" s="14" t="n">
        <v>2924</v>
      </c>
      <c r="I72" s="14" t="n">
        <v>0</v>
      </c>
      <c r="J72" s="14" t="n">
        <v>13</v>
      </c>
      <c r="K72" s="14" t="n">
        <v>1</v>
      </c>
      <c r="L72" s="14" t="n">
        <v>17679</v>
      </c>
      <c r="M72" s="14" t="n">
        <v>65</v>
      </c>
    </row>
    <row r="73" customFormat="false" ht="15.75" hidden="false" customHeight="false" outlineLevel="0" collapsed="false">
      <c r="A73" s="0" t="s">
        <v>52</v>
      </c>
      <c r="B73" s="1" t="n">
        <v>43933</v>
      </c>
      <c r="C73" s="14" t="n">
        <v>3842</v>
      </c>
      <c r="D73" s="14" t="n">
        <v>330</v>
      </c>
      <c r="E73" s="14" t="n">
        <v>327</v>
      </c>
      <c r="F73" s="14" t="n">
        <v>21</v>
      </c>
      <c r="G73" s="14" t="n">
        <v>286</v>
      </c>
      <c r="H73" s="14" t="n">
        <v>3229</v>
      </c>
      <c r="I73" s="14" t="n">
        <v>0</v>
      </c>
      <c r="J73" s="14" t="n">
        <v>14</v>
      </c>
      <c r="K73" s="14" t="n">
        <v>1</v>
      </c>
      <c r="L73" s="14" t="n">
        <v>19452</v>
      </c>
      <c r="M73" s="14" t="n">
        <v>71</v>
      </c>
    </row>
    <row r="74" customFormat="false" ht="15.75" hidden="false" customHeight="false" outlineLevel="0" collapsed="false">
      <c r="A74" s="0" t="s">
        <v>52</v>
      </c>
      <c r="B74" s="1" t="n">
        <v>43934</v>
      </c>
      <c r="C74" s="14" t="n">
        <v>4241</v>
      </c>
      <c r="D74" s="14" t="n">
        <v>399</v>
      </c>
      <c r="E74" s="14" t="n">
        <v>373</v>
      </c>
      <c r="F74" s="14" t="n">
        <v>46</v>
      </c>
      <c r="G74" s="14" t="n">
        <v>359</v>
      </c>
      <c r="H74" s="14" t="n">
        <v>3509</v>
      </c>
      <c r="I74" s="14" t="n">
        <v>0</v>
      </c>
      <c r="J74" s="14" t="n">
        <v>16</v>
      </c>
      <c r="K74" s="14" t="n">
        <v>1</v>
      </c>
      <c r="L74" s="14" t="n">
        <v>27075</v>
      </c>
      <c r="M74" s="14" t="n">
        <v>99</v>
      </c>
    </row>
    <row r="75" customFormat="false" ht="15.75" hidden="false" customHeight="false" outlineLevel="0" collapsed="false">
      <c r="A75" s="0" t="s">
        <v>52</v>
      </c>
      <c r="B75" s="1" t="n">
        <v>43935</v>
      </c>
      <c r="C75" s="14" t="n">
        <v>4557</v>
      </c>
      <c r="D75" s="14" t="n">
        <v>316</v>
      </c>
      <c r="E75" s="14" t="n">
        <v>399</v>
      </c>
      <c r="F75" s="14" t="n">
        <v>26</v>
      </c>
      <c r="G75" s="14" t="n">
        <v>380</v>
      </c>
      <c r="H75" s="14" t="n">
        <v>3778</v>
      </c>
      <c r="I75" s="14" t="n">
        <v>0</v>
      </c>
      <c r="J75" s="14" t="n">
        <v>17</v>
      </c>
      <c r="K75" s="14" t="n">
        <v>1</v>
      </c>
      <c r="L75" s="14" t="n">
        <v>27075</v>
      </c>
      <c r="M75" s="14" t="n">
        <v>99</v>
      </c>
    </row>
    <row r="76" customFormat="false" ht="15.75" hidden="false" customHeight="false" outlineLevel="0" collapsed="false">
      <c r="A76" s="0" t="s">
        <v>52</v>
      </c>
      <c r="B76" s="1" t="n">
        <v>43936</v>
      </c>
      <c r="C76" s="14" t="n">
        <v>4839</v>
      </c>
      <c r="D76" s="14" t="n">
        <v>282</v>
      </c>
      <c r="E76" s="14" t="n">
        <v>459</v>
      </c>
      <c r="F76" s="14" t="n">
        <v>60</v>
      </c>
      <c r="G76" s="14" t="n">
        <v>426</v>
      </c>
      <c r="H76" s="14" t="n">
        <v>3954</v>
      </c>
      <c r="I76" s="14" t="n">
        <v>0</v>
      </c>
      <c r="J76" s="14" t="n">
        <v>18</v>
      </c>
      <c r="K76" s="14" t="n">
        <v>2</v>
      </c>
      <c r="L76" s="14" t="n">
        <v>31628</v>
      </c>
      <c r="M76" s="14" t="n">
        <v>116</v>
      </c>
    </row>
    <row r="77" customFormat="false" ht="15.75" hidden="false" customHeight="false" outlineLevel="0" collapsed="false">
      <c r="A77" s="0" t="s">
        <v>52</v>
      </c>
      <c r="B77" s="1" t="n">
        <v>43937</v>
      </c>
      <c r="C77" s="14" t="n">
        <v>5136</v>
      </c>
      <c r="D77" s="14" t="n">
        <v>297</v>
      </c>
      <c r="E77" s="14" t="n">
        <v>469</v>
      </c>
      <c r="F77" s="14" t="n">
        <v>10</v>
      </c>
      <c r="G77" s="14" t="n">
        <v>446</v>
      </c>
      <c r="H77" s="14" t="n">
        <v>4221</v>
      </c>
      <c r="I77" s="14" t="n">
        <v>0</v>
      </c>
      <c r="J77" s="14" t="n">
        <v>19</v>
      </c>
      <c r="K77" s="14" t="n">
        <v>2</v>
      </c>
      <c r="L77" s="14" t="n">
        <v>36000</v>
      </c>
      <c r="M77" s="14" t="n">
        <v>132</v>
      </c>
    </row>
    <row r="78" customFormat="false" ht="15.75" hidden="false" customHeight="false" outlineLevel="0" collapsed="false">
      <c r="A78" s="0" t="s">
        <v>52</v>
      </c>
      <c r="B78" s="1" t="n">
        <v>43938</v>
      </c>
      <c r="C78" s="14" t="n">
        <v>5516</v>
      </c>
      <c r="D78" s="14" t="n">
        <v>380</v>
      </c>
      <c r="E78" s="14" t="n">
        <v>496</v>
      </c>
      <c r="F78" s="14" t="n">
        <v>27</v>
      </c>
      <c r="G78" s="14" t="n">
        <v>548</v>
      </c>
      <c r="H78" s="14" t="n">
        <v>4472</v>
      </c>
      <c r="I78" s="14" t="n">
        <v>0</v>
      </c>
      <c r="J78" s="14" t="n">
        <v>20</v>
      </c>
      <c r="K78" s="14" t="n">
        <v>2</v>
      </c>
      <c r="L78" s="14" t="n">
        <v>36000</v>
      </c>
      <c r="M78" s="14" t="n">
        <v>132</v>
      </c>
    </row>
    <row r="79" customFormat="false" ht="15.75" hidden="false" customHeight="false" outlineLevel="0" collapsed="false">
      <c r="A79" s="0" t="s">
        <v>52</v>
      </c>
      <c r="B79" s="1" t="n">
        <v>43939</v>
      </c>
      <c r="C79" s="14" t="n">
        <v>5923</v>
      </c>
      <c r="D79" s="14" t="n">
        <v>407</v>
      </c>
      <c r="E79" s="14" t="n">
        <v>520</v>
      </c>
      <c r="F79" s="14" t="n">
        <v>24</v>
      </c>
      <c r="G79" s="14" t="n">
        <v>607</v>
      </c>
      <c r="H79" s="14" t="n">
        <v>4796</v>
      </c>
      <c r="I79" s="14" t="n">
        <v>0</v>
      </c>
      <c r="J79" s="14" t="n">
        <v>22</v>
      </c>
      <c r="K79" s="14" t="n">
        <v>2</v>
      </c>
      <c r="L79" s="14" t="n">
        <v>37134</v>
      </c>
      <c r="M79" s="14" t="n">
        <v>136</v>
      </c>
    </row>
    <row r="80" customFormat="false" ht="15.75" hidden="false" customHeight="false" outlineLevel="0" collapsed="false">
      <c r="A80" s="0" t="s">
        <v>52</v>
      </c>
      <c r="B80" s="1" t="n">
        <v>43940</v>
      </c>
      <c r="C80" s="14" t="n">
        <v>6248</v>
      </c>
      <c r="D80" s="14" t="n">
        <v>325</v>
      </c>
      <c r="E80" s="14" t="n">
        <v>535</v>
      </c>
      <c r="F80" s="14" t="n">
        <v>15</v>
      </c>
      <c r="G80" s="14" t="n">
        <v>631</v>
      </c>
      <c r="H80" s="14" t="n">
        <v>5082</v>
      </c>
      <c r="I80" s="14" t="n">
        <v>0</v>
      </c>
      <c r="J80" s="14" t="n">
        <v>23</v>
      </c>
      <c r="K80" s="14" t="n">
        <v>2</v>
      </c>
      <c r="L80" s="14" t="n">
        <v>39422</v>
      </c>
      <c r="M80" s="14" t="n">
        <v>144</v>
      </c>
    </row>
    <row r="81" customFormat="false" ht="15.75" hidden="false" customHeight="false" outlineLevel="0" collapsed="false">
      <c r="A81" s="0" t="s">
        <v>52</v>
      </c>
      <c r="B81" s="1" t="n">
        <v>43941</v>
      </c>
      <c r="C81" s="14" t="n">
        <v>6575</v>
      </c>
      <c r="D81" s="14" t="n">
        <v>327</v>
      </c>
      <c r="E81" s="14" t="n">
        <v>582</v>
      </c>
      <c r="F81" s="14" t="n">
        <v>47</v>
      </c>
      <c r="G81" s="14" t="n">
        <v>686</v>
      </c>
      <c r="H81" s="14" t="n">
        <v>5307</v>
      </c>
      <c r="I81" s="14" t="n">
        <v>0</v>
      </c>
      <c r="J81" s="14" t="n">
        <v>24</v>
      </c>
      <c r="K81" s="14" t="n">
        <v>2</v>
      </c>
      <c r="L81" s="14" t="n">
        <v>42219</v>
      </c>
      <c r="M81" s="14" t="n">
        <v>154</v>
      </c>
    </row>
    <row r="82" customFormat="false" ht="15.75" hidden="false" customHeight="false" outlineLevel="0" collapsed="false">
      <c r="A82" s="0" t="s">
        <v>52</v>
      </c>
      <c r="B82" s="1" t="n">
        <v>43942</v>
      </c>
      <c r="C82" s="6" t="n">
        <v>6760</v>
      </c>
      <c r="D82" s="6" t="n">
        <v>185</v>
      </c>
      <c r="E82" s="6" t="n">
        <v>590</v>
      </c>
      <c r="F82" s="6" t="n">
        <v>8</v>
      </c>
      <c r="G82" s="6" t="n">
        <v>747</v>
      </c>
      <c r="H82" s="6" t="n">
        <v>5423</v>
      </c>
      <c r="I82" s="6" t="n">
        <v>0</v>
      </c>
      <c r="J82" s="6" t="n">
        <v>25</v>
      </c>
      <c r="K82" s="6" t="n">
        <v>2</v>
      </c>
      <c r="L82" s="6" t="n">
        <v>43749</v>
      </c>
      <c r="M82" s="6" t="n">
        <v>160</v>
      </c>
    </row>
    <row r="83" customFormat="false" ht="15.75" hidden="false" customHeight="false" outlineLevel="0" collapsed="false">
      <c r="A83" s="0" t="s">
        <v>52</v>
      </c>
      <c r="B83" s="1" t="n">
        <v>43943</v>
      </c>
      <c r="C83" s="6" t="n">
        <v>7135</v>
      </c>
      <c r="D83" s="6" t="n">
        <v>375</v>
      </c>
      <c r="E83" s="6" t="n">
        <v>616</v>
      </c>
      <c r="F83" s="6" t="n">
        <v>26</v>
      </c>
      <c r="G83" s="6" t="n">
        <v>842</v>
      </c>
      <c r="H83" s="6" t="n">
        <v>5677</v>
      </c>
      <c r="I83" s="6" t="n">
        <v>0</v>
      </c>
      <c r="J83" s="6" t="n">
        <v>26</v>
      </c>
      <c r="K83" s="6" t="n">
        <v>2</v>
      </c>
      <c r="L83" s="6" t="n">
        <v>50370</v>
      </c>
      <c r="M83" s="6" t="n">
        <v>184</v>
      </c>
    </row>
    <row r="84" customFormat="false" ht="15.75" hidden="false" customHeight="false" outlineLevel="0" collapsed="false">
      <c r="A84" s="0" t="s">
        <v>52</v>
      </c>
      <c r="B84" s="1" t="n">
        <v>43944</v>
      </c>
      <c r="C84" s="6" t="n">
        <v>7418</v>
      </c>
      <c r="D84" s="6" t="n">
        <v>283</v>
      </c>
      <c r="E84" s="6" t="n">
        <v>635</v>
      </c>
      <c r="F84" s="6" t="n">
        <v>19</v>
      </c>
      <c r="G84" s="6" t="n">
        <v>913</v>
      </c>
      <c r="H84" s="6" t="n">
        <v>5870</v>
      </c>
      <c r="I84" s="6" t="n">
        <v>0</v>
      </c>
      <c r="J84" s="6" t="n">
        <v>27</v>
      </c>
      <c r="K84" s="6" t="n">
        <v>2</v>
      </c>
      <c r="L84" s="6" t="n">
        <v>55732</v>
      </c>
      <c r="M84" s="6" t="n">
        <v>204</v>
      </c>
    </row>
    <row r="85" customFormat="false" ht="15.75" hidden="false" customHeight="false" outlineLevel="0" collapsed="false">
      <c r="A85" s="0" t="s">
        <v>52</v>
      </c>
      <c r="B85" s="1" t="n">
        <v>43945</v>
      </c>
      <c r="C85" s="6" t="n">
        <v>7775</v>
      </c>
      <c r="D85" s="6" t="n">
        <v>357</v>
      </c>
      <c r="E85" s="6" t="n">
        <v>647</v>
      </c>
      <c r="F85" s="6" t="n">
        <v>12</v>
      </c>
      <c r="G85" s="6" t="n">
        <v>960</v>
      </c>
      <c r="H85" s="6" t="n">
        <v>6168</v>
      </c>
      <c r="I85" s="6" t="n">
        <v>0</v>
      </c>
      <c r="J85" s="6" t="n">
        <v>28</v>
      </c>
      <c r="K85" s="6" t="n">
        <v>2</v>
      </c>
      <c r="L85" s="6" t="n">
        <v>59935</v>
      </c>
      <c r="M85" s="6" t="n">
        <v>219</v>
      </c>
    </row>
    <row r="86" customFormat="false" ht="15.75" hidden="false" customHeight="false" outlineLevel="0" collapsed="false">
      <c r="A86" s="0" t="s">
        <v>52</v>
      </c>
      <c r="B86" s="1" t="n">
        <v>43946</v>
      </c>
      <c r="C86" s="6" t="n">
        <v>8211</v>
      </c>
      <c r="D86" s="6" t="n">
        <v>436</v>
      </c>
      <c r="E86" s="6" t="n">
        <v>689</v>
      </c>
      <c r="F86" s="6" t="n">
        <v>42</v>
      </c>
      <c r="G86" s="6" t="n">
        <v>1002</v>
      </c>
      <c r="H86" s="6" t="n">
        <v>6520</v>
      </c>
      <c r="I86" s="6" t="n">
        <v>0</v>
      </c>
      <c r="J86" s="6" t="n">
        <v>30</v>
      </c>
      <c r="K86" s="6" t="n">
        <v>3</v>
      </c>
      <c r="L86" s="6" t="n">
        <v>64054</v>
      </c>
      <c r="M86" s="6" t="n">
        <v>234</v>
      </c>
    </row>
    <row r="87" customFormat="false" ht="15.75" hidden="false" customHeight="false" outlineLevel="0" collapsed="false">
      <c r="A87" s="0" t="s">
        <v>52</v>
      </c>
      <c r="B87" s="1" t="n">
        <v>43947</v>
      </c>
      <c r="C87" s="6" t="n">
        <v>8607</v>
      </c>
      <c r="D87" s="6" t="n">
        <v>396</v>
      </c>
      <c r="E87" s="6" t="n">
        <v>720</v>
      </c>
      <c r="F87" s="6" t="n">
        <v>31</v>
      </c>
      <c r="G87" s="6" t="n">
        <v>1042</v>
      </c>
      <c r="H87" s="6" t="n">
        <v>6845</v>
      </c>
      <c r="I87" s="6" t="n">
        <v>0</v>
      </c>
      <c r="J87" s="6" t="n">
        <v>31</v>
      </c>
      <c r="K87" s="6" t="n">
        <v>3</v>
      </c>
      <c r="L87" s="6" t="n">
        <v>67828</v>
      </c>
      <c r="M87" s="6" t="n">
        <v>248</v>
      </c>
    </row>
    <row r="88" customFormat="false" ht="15.75" hidden="false" customHeight="false" outlineLevel="0" collapsed="false">
      <c r="A88" s="0" t="s">
        <v>52</v>
      </c>
      <c r="B88" s="1" t="n">
        <v>43948</v>
      </c>
      <c r="C88" s="6" t="n">
        <v>8882</v>
      </c>
      <c r="D88" s="6" t="n">
        <v>275</v>
      </c>
      <c r="E88" s="6" t="n">
        <v>743</v>
      </c>
      <c r="F88" s="6" t="n">
        <v>23</v>
      </c>
      <c r="G88" s="6" t="n">
        <v>1107</v>
      </c>
      <c r="H88" s="6" t="n">
        <v>7032</v>
      </c>
      <c r="I88" s="6" t="n">
        <v>0</v>
      </c>
      <c r="J88" s="6" t="n">
        <v>32</v>
      </c>
      <c r="K88" s="6" t="n">
        <v>3</v>
      </c>
      <c r="L88" s="6" t="n">
        <v>72099</v>
      </c>
      <c r="M88" s="6" t="n">
        <v>264</v>
      </c>
    </row>
    <row r="89" customFormat="false" ht="13.5" hidden="false" customHeight="false" outlineLevel="0" collapsed="false">
      <c r="A89" s="0" t="s">
        <v>52</v>
      </c>
      <c r="B89" s="1" t="n">
        <v>43949</v>
      </c>
      <c r="C89" s="2" t="n">
        <v>9096</v>
      </c>
      <c r="D89" s="2" t="n">
        <v>214</v>
      </c>
      <c r="E89" s="2" t="n">
        <v>765</v>
      </c>
      <c r="F89" s="2" t="n">
        <v>22</v>
      </c>
      <c r="G89" s="2" t="n">
        <v>1151</v>
      </c>
      <c r="H89" s="2" t="n">
        <v>7180</v>
      </c>
      <c r="I89" s="2" t="n">
        <v>0</v>
      </c>
      <c r="J89" s="2" t="n">
        <v>33</v>
      </c>
      <c r="K89" s="2" t="n">
        <v>3</v>
      </c>
      <c r="L89" s="2" t="n">
        <v>75157</v>
      </c>
      <c r="M89" s="2" t="n">
        <v>275</v>
      </c>
    </row>
    <row r="90" customFormat="false" ht="13.5" hidden="false" customHeight="false" outlineLevel="0" collapsed="false">
      <c r="A90" s="0" t="s">
        <v>52</v>
      </c>
      <c r="B90" s="1" t="n">
        <v>43950</v>
      </c>
      <c r="C90" s="2" t="n">
        <v>9511</v>
      </c>
      <c r="D90" s="2" t="n">
        <v>415</v>
      </c>
      <c r="E90" s="2" t="n">
        <v>773</v>
      </c>
      <c r="F90" s="2" t="n">
        <v>8</v>
      </c>
      <c r="G90" s="2" t="n">
        <v>1254</v>
      </c>
      <c r="H90" s="2" t="n">
        <v>7484</v>
      </c>
      <c r="I90" s="2" t="n">
        <v>0</v>
      </c>
      <c r="J90" s="2" t="n">
        <v>35</v>
      </c>
      <c r="K90" s="2" t="n">
        <v>3</v>
      </c>
      <c r="L90" s="2" t="n">
        <v>79618</v>
      </c>
      <c r="M90" s="2" t="n">
        <v>291</v>
      </c>
    </row>
    <row r="91" customFormat="false" ht="13.5" hidden="false" customHeight="false" outlineLevel="0" collapsed="false">
      <c r="A91" s="0" t="s">
        <v>52</v>
      </c>
      <c r="B91" s="1" t="n">
        <v>43951</v>
      </c>
      <c r="C91" s="2" t="n">
        <v>9771</v>
      </c>
      <c r="D91" s="2" t="n">
        <v>260</v>
      </c>
      <c r="E91" s="2" t="n">
        <v>784</v>
      </c>
      <c r="F91" s="2" t="n">
        <v>11</v>
      </c>
      <c r="G91" s="2" t="n">
        <v>1391</v>
      </c>
      <c r="H91" s="2" t="n">
        <v>7596</v>
      </c>
      <c r="I91" s="2" t="n">
        <v>0</v>
      </c>
      <c r="J91" s="2" t="n">
        <v>36</v>
      </c>
      <c r="K91" s="2" t="n">
        <v>3</v>
      </c>
      <c r="L91" s="2" t="n">
        <v>86985</v>
      </c>
      <c r="M91" s="2" t="n">
        <v>318</v>
      </c>
    </row>
    <row r="92" customFormat="false" ht="14.25" hidden="false" customHeight="false" outlineLevel="0" collapsed="false">
      <c r="A92" s="0" t="s">
        <v>52</v>
      </c>
      <c r="B92" s="1" t="n">
        <v>43952</v>
      </c>
      <c r="C92" s="2" t="n">
        <v>10118</v>
      </c>
      <c r="D92" s="2" t="n">
        <v>347</v>
      </c>
      <c r="E92" s="2" t="n">
        <v>792</v>
      </c>
      <c r="F92" s="2" t="n">
        <v>8</v>
      </c>
      <c r="G92" s="2" t="n">
        <v>1522</v>
      </c>
      <c r="H92" s="2" t="n">
        <v>7804</v>
      </c>
      <c r="I92" s="2" t="n">
        <v>0</v>
      </c>
      <c r="J92" s="2" t="n">
        <v>37</v>
      </c>
      <c r="K92" s="2" t="n">
        <v>3</v>
      </c>
      <c r="L92" s="2" t="n">
        <v>94599</v>
      </c>
      <c r="M92" s="2" t="n">
        <v>346</v>
      </c>
    </row>
    <row r="93" customFormat="false" ht="15.75" hidden="false" customHeight="false" outlineLevel="0" collapsed="false">
      <c r="A93" s="0" t="s">
        <v>52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52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52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52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52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52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52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52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52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52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52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52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52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52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52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52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52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52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52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52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52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52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52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52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52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52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52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52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52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52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52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52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52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52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52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52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52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52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52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52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52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52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52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52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52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n">
        <v>0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52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52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52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52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52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52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52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52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52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52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52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52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52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52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52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52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52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52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52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52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52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52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52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52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52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52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52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52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52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52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52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52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52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52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52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52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52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52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52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52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52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52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52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52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52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52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52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52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52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52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53</v>
      </c>
      <c r="B37" s="1" t="n">
        <v>43897</v>
      </c>
      <c r="C37" s="8" t="n">
        <v>45</v>
      </c>
      <c r="D37" s="8" t="n">
        <v>17</v>
      </c>
      <c r="E37" s="8"/>
      <c r="F37" s="8"/>
      <c r="G37" s="8" t="n">
        <v>5</v>
      </c>
      <c r="H37" s="8" t="n">
        <v>40</v>
      </c>
      <c r="I37" s="8" t="n">
        <v>2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53</v>
      </c>
      <c r="B38" s="1" t="n">
        <v>43898</v>
      </c>
      <c r="C38" s="6" t="n">
        <v>45</v>
      </c>
      <c r="D38" s="6" t="n">
        <v>0</v>
      </c>
      <c r="E38" s="6"/>
      <c r="F38" s="6"/>
      <c r="G38" s="6" t="n">
        <v>7</v>
      </c>
      <c r="H38" s="6" t="n">
        <v>38</v>
      </c>
      <c r="I38" s="6" t="n">
        <v>2</v>
      </c>
      <c r="J38" s="6" t="n">
        <v>4.5</v>
      </c>
      <c r="K38" s="6"/>
      <c r="L38" s="6"/>
      <c r="M38" s="6"/>
    </row>
    <row r="39" customFormat="false" ht="15.75" hidden="false" customHeight="false" outlineLevel="0" collapsed="false">
      <c r="A39" s="0" t="s">
        <v>53</v>
      </c>
      <c r="B39" s="1" t="n">
        <v>43899</v>
      </c>
      <c r="C39" s="6" t="n">
        <v>45</v>
      </c>
      <c r="D39" s="6" t="n">
        <v>0</v>
      </c>
      <c r="E39" s="6"/>
      <c r="F39" s="6"/>
      <c r="G39" s="6" t="n">
        <v>7</v>
      </c>
      <c r="H39" s="6" t="n">
        <v>38</v>
      </c>
      <c r="I39" s="6" t="n">
        <v>2</v>
      </c>
      <c r="J39" s="6" t="n">
        <v>4.5</v>
      </c>
      <c r="K39" s="6"/>
      <c r="L39" s="6"/>
      <c r="M39" s="6"/>
    </row>
    <row r="40" customFormat="false" ht="15.75" hidden="false" customHeight="false" outlineLevel="0" collapsed="false">
      <c r="A40" s="0" t="s">
        <v>53</v>
      </c>
      <c r="B40" s="1" t="n">
        <v>43900</v>
      </c>
      <c r="C40" s="6" t="n">
        <v>59</v>
      </c>
      <c r="D40" s="6" t="n">
        <v>14</v>
      </c>
      <c r="E40" s="6"/>
      <c r="F40" s="6"/>
      <c r="G40" s="6" t="n">
        <v>12</v>
      </c>
      <c r="H40" s="6" t="n">
        <v>47</v>
      </c>
      <c r="I40" s="6" t="n">
        <v>2</v>
      </c>
      <c r="J40" s="6" t="n">
        <v>6</v>
      </c>
      <c r="K40" s="6"/>
      <c r="L40" s="6"/>
      <c r="M40" s="6"/>
    </row>
    <row r="41" customFormat="false" ht="15.75" hidden="false" customHeight="false" outlineLevel="0" collapsed="false">
      <c r="A41" s="0" t="s">
        <v>53</v>
      </c>
      <c r="B41" s="1" t="n">
        <v>43901</v>
      </c>
      <c r="C41" s="6" t="n">
        <v>74</v>
      </c>
      <c r="D41" s="6" t="n">
        <v>15</v>
      </c>
      <c r="E41" s="6"/>
      <c r="F41" s="6"/>
      <c r="G41" s="6" t="n">
        <v>12</v>
      </c>
      <c r="H41" s="6" t="n">
        <v>62</v>
      </c>
      <c r="I41" s="6" t="n">
        <v>2</v>
      </c>
      <c r="J41" s="6" t="n">
        <v>7.5</v>
      </c>
      <c r="K41" s="6"/>
      <c r="L41" s="6"/>
      <c r="M41" s="6"/>
    </row>
    <row r="42" customFormat="false" ht="15.75" hidden="false" customHeight="false" outlineLevel="0" collapsed="false">
      <c r="A42" s="0" t="s">
        <v>53</v>
      </c>
      <c r="B42" s="1" t="n">
        <v>43902</v>
      </c>
      <c r="C42" s="6" t="n">
        <v>74</v>
      </c>
      <c r="D42" s="6" t="n">
        <v>0</v>
      </c>
      <c r="E42" s="6"/>
      <c r="F42" s="6"/>
      <c r="G42" s="6" t="n">
        <v>17</v>
      </c>
      <c r="H42" s="6" t="n">
        <v>57</v>
      </c>
      <c r="I42" s="6" t="n">
        <v>2</v>
      </c>
      <c r="J42" s="6" t="n">
        <v>7.5</v>
      </c>
      <c r="K42" s="6"/>
      <c r="L42" s="6"/>
      <c r="M42" s="6"/>
    </row>
    <row r="43" customFormat="false" ht="15.75" hidden="false" customHeight="false" outlineLevel="0" collapsed="false">
      <c r="A43" s="0" t="s">
        <v>53</v>
      </c>
      <c r="B43" s="1" t="n">
        <v>43903</v>
      </c>
      <c r="C43" s="6" t="n">
        <v>85</v>
      </c>
      <c r="D43" s="6" t="n">
        <v>11</v>
      </c>
      <c r="E43" s="6"/>
      <c r="F43" s="6"/>
      <c r="G43" s="6" t="n">
        <v>20</v>
      </c>
      <c r="H43" s="6" t="n">
        <v>65</v>
      </c>
      <c r="I43" s="6" t="n">
        <v>2</v>
      </c>
      <c r="J43" s="6" t="n">
        <v>8.6</v>
      </c>
      <c r="K43" s="6"/>
      <c r="L43" s="6"/>
      <c r="M43" s="6"/>
    </row>
    <row r="44" customFormat="false" ht="15.75" hidden="false" customHeight="false" outlineLevel="0" collapsed="false">
      <c r="A44" s="0" t="s">
        <v>53</v>
      </c>
      <c r="B44" s="1" t="n">
        <v>43904</v>
      </c>
      <c r="C44" s="6" t="n">
        <v>85</v>
      </c>
      <c r="D44" s="6" t="n">
        <v>0</v>
      </c>
      <c r="E44" s="6"/>
      <c r="F44" s="6"/>
      <c r="G44" s="6" t="n">
        <v>20</v>
      </c>
      <c r="H44" s="6" t="n">
        <v>65</v>
      </c>
      <c r="I44" s="6" t="n">
        <v>2</v>
      </c>
      <c r="J44" s="6" t="n">
        <v>8.6</v>
      </c>
      <c r="K44" s="6"/>
      <c r="L44" s="6"/>
      <c r="M44" s="6"/>
    </row>
    <row r="45" customFormat="false" ht="15.75" hidden="false" customHeight="false" outlineLevel="0" collapsed="false">
      <c r="A45" s="0" t="s">
        <v>53</v>
      </c>
      <c r="B45" s="1" t="n">
        <v>43905</v>
      </c>
      <c r="C45" s="6" t="n">
        <v>85</v>
      </c>
      <c r="D45" s="6" t="n">
        <v>0</v>
      </c>
      <c r="E45" s="6"/>
      <c r="F45" s="6"/>
      <c r="G45" s="6" t="n">
        <v>20</v>
      </c>
      <c r="H45" s="6" t="n">
        <v>65</v>
      </c>
      <c r="I45" s="6" t="n">
        <v>2</v>
      </c>
      <c r="J45" s="6" t="n">
        <v>8.6</v>
      </c>
      <c r="K45" s="6"/>
      <c r="L45" s="6"/>
      <c r="M45" s="6"/>
    </row>
    <row r="46" customFormat="false" ht="15.75" hidden="false" customHeight="false" outlineLevel="0" collapsed="false">
      <c r="A46" s="0" t="s">
        <v>53</v>
      </c>
      <c r="B46" s="1" t="n">
        <v>43906</v>
      </c>
      <c r="C46" s="6" t="n">
        <v>98</v>
      </c>
      <c r="D46" s="6" t="n">
        <v>13</v>
      </c>
      <c r="E46" s="6"/>
      <c r="F46" s="6"/>
      <c r="G46" s="6" t="n">
        <v>20</v>
      </c>
      <c r="H46" s="6" t="n">
        <v>78</v>
      </c>
      <c r="I46" s="6" t="n">
        <v>2</v>
      </c>
      <c r="J46" s="6" t="n">
        <v>9.9</v>
      </c>
      <c r="K46" s="6"/>
      <c r="L46" s="6"/>
      <c r="M46" s="6"/>
    </row>
    <row r="47" customFormat="false" ht="15.75" hidden="false" customHeight="false" outlineLevel="0" collapsed="false">
      <c r="A47" s="0" t="s">
        <v>53</v>
      </c>
      <c r="B47" s="1" t="n">
        <v>43907</v>
      </c>
      <c r="C47" s="6" t="n">
        <v>98</v>
      </c>
      <c r="D47" s="6" t="n">
        <v>0</v>
      </c>
      <c r="E47" s="6"/>
      <c r="F47" s="6"/>
      <c r="G47" s="6" t="n">
        <v>23</v>
      </c>
      <c r="H47" s="6" t="n">
        <v>75</v>
      </c>
      <c r="I47" s="6" t="n">
        <v>2</v>
      </c>
      <c r="J47" s="6" t="n">
        <v>9.9</v>
      </c>
      <c r="K47" s="6"/>
      <c r="L47" s="6"/>
      <c r="M47" s="6"/>
    </row>
    <row r="48" customFormat="false" ht="15.75" hidden="false" customHeight="false" outlineLevel="0" collapsed="false">
      <c r="A48" s="0" t="s">
        <v>53</v>
      </c>
      <c r="B48" s="1" t="n">
        <v>43908</v>
      </c>
      <c r="C48" s="6" t="n">
        <v>113</v>
      </c>
      <c r="D48" s="6" t="n">
        <v>15</v>
      </c>
      <c r="E48" s="6"/>
      <c r="F48" s="6"/>
      <c r="G48" s="6" t="n">
        <v>26</v>
      </c>
      <c r="H48" s="6" t="n">
        <v>87</v>
      </c>
      <c r="I48" s="6" t="n">
        <v>2</v>
      </c>
      <c r="J48" s="6" t="n">
        <v>11.4</v>
      </c>
      <c r="K48" s="6"/>
      <c r="L48" s="6"/>
      <c r="M48" s="6"/>
    </row>
    <row r="49" customFormat="false" ht="15.75" hidden="false" customHeight="false" outlineLevel="0" collapsed="false">
      <c r="A49" s="0" t="s">
        <v>53</v>
      </c>
      <c r="B49" s="1" t="n">
        <v>43909</v>
      </c>
      <c r="C49" s="6" t="n">
        <v>113</v>
      </c>
      <c r="D49" s="6" t="n">
        <v>0</v>
      </c>
      <c r="E49" s="6"/>
      <c r="F49" s="6"/>
      <c r="G49" s="6" t="n">
        <v>26</v>
      </c>
      <c r="H49" s="6" t="n">
        <v>87</v>
      </c>
      <c r="I49" s="6" t="n">
        <v>2</v>
      </c>
      <c r="J49" s="6" t="n">
        <v>11</v>
      </c>
      <c r="K49" s="6"/>
      <c r="L49" s="6"/>
      <c r="M49" s="6"/>
    </row>
    <row r="50" customFormat="false" ht="15.75" hidden="false" customHeight="false" outlineLevel="0" collapsed="false">
      <c r="A50" s="0" t="s">
        <v>53</v>
      </c>
      <c r="B50" s="1" t="n">
        <v>43910</v>
      </c>
      <c r="C50" s="6" t="n">
        <v>140</v>
      </c>
      <c r="D50" s="6" t="n">
        <v>27</v>
      </c>
      <c r="E50" s="6"/>
      <c r="F50" s="6"/>
      <c r="G50" s="6" t="n">
        <v>31</v>
      </c>
      <c r="H50" s="6" t="n">
        <v>109</v>
      </c>
      <c r="I50" s="6" t="n">
        <v>2</v>
      </c>
      <c r="J50" s="6" t="n">
        <v>14</v>
      </c>
      <c r="K50" s="6"/>
      <c r="L50" s="6"/>
      <c r="M50" s="6"/>
    </row>
    <row r="51" customFormat="false" ht="15.75" hidden="false" customHeight="false" outlineLevel="0" collapsed="false">
      <c r="A51" s="0" t="s">
        <v>53</v>
      </c>
      <c r="B51" s="1" t="n">
        <v>43911</v>
      </c>
      <c r="C51" s="6" t="n">
        <v>140</v>
      </c>
      <c r="D51" s="6" t="n">
        <v>0</v>
      </c>
      <c r="E51" s="6" t="n">
        <v>2</v>
      </c>
      <c r="F51" s="6"/>
      <c r="G51" s="6" t="n">
        <v>31</v>
      </c>
      <c r="H51" s="6" t="n">
        <v>107</v>
      </c>
      <c r="I51" s="6" t="n">
        <v>2</v>
      </c>
      <c r="J51" s="6" t="n">
        <v>14</v>
      </c>
      <c r="K51" s="6"/>
      <c r="L51" s="6"/>
      <c r="M51" s="6"/>
    </row>
    <row r="52" customFormat="false" ht="15.75" hidden="false" customHeight="false" outlineLevel="0" collapsed="false">
      <c r="A52" s="0" t="s">
        <v>53</v>
      </c>
      <c r="B52" s="1" t="n">
        <v>43912</v>
      </c>
      <c r="C52" s="6" t="n">
        <v>153</v>
      </c>
      <c r="D52" s="6" t="n">
        <v>13</v>
      </c>
      <c r="E52" s="6" t="n">
        <v>2</v>
      </c>
      <c r="F52" s="6"/>
      <c r="G52" s="6" t="n">
        <v>38</v>
      </c>
      <c r="H52" s="6" t="n">
        <v>113</v>
      </c>
      <c r="I52" s="6" t="n">
        <v>2</v>
      </c>
      <c r="J52" s="6" t="n">
        <v>15</v>
      </c>
      <c r="K52" s="6"/>
      <c r="L52" s="6"/>
      <c r="M52" s="6"/>
    </row>
    <row r="53" customFormat="false" ht="15.75" hidden="false" customHeight="false" outlineLevel="0" collapsed="false">
      <c r="A53" s="0" t="s">
        <v>53</v>
      </c>
      <c r="B53" s="1" t="n">
        <v>43913</v>
      </c>
      <c r="C53" s="6" t="n">
        <v>153</v>
      </c>
      <c r="D53" s="6" t="n">
        <v>0</v>
      </c>
      <c r="E53" s="6" t="n">
        <v>2</v>
      </c>
      <c r="F53" s="6"/>
      <c r="G53" s="6" t="n">
        <v>38</v>
      </c>
      <c r="H53" s="6" t="n">
        <v>113</v>
      </c>
      <c r="I53" s="6" t="n">
        <v>2</v>
      </c>
      <c r="J53" s="6" t="n">
        <v>15</v>
      </c>
      <c r="K53" s="6"/>
      <c r="L53" s="6"/>
      <c r="M53" s="6"/>
    </row>
    <row r="54" customFormat="false" ht="15.75" hidden="false" customHeight="false" outlineLevel="0" collapsed="false">
      <c r="A54" s="0" t="s">
        <v>53</v>
      </c>
      <c r="B54" s="1" t="n">
        <v>43914</v>
      </c>
      <c r="C54" s="6" t="n">
        <v>198</v>
      </c>
      <c r="D54" s="6" t="n">
        <v>45</v>
      </c>
      <c r="E54" s="6" t="n">
        <v>2</v>
      </c>
      <c r="F54" s="6"/>
      <c r="G54" s="6" t="n">
        <v>41</v>
      </c>
      <c r="H54" s="6" t="n">
        <v>155</v>
      </c>
      <c r="I54" s="6" t="n">
        <v>2</v>
      </c>
      <c r="J54" s="6" t="n">
        <v>20</v>
      </c>
      <c r="K54" s="6"/>
      <c r="L54" s="6"/>
      <c r="M54" s="6"/>
    </row>
    <row r="55" customFormat="false" ht="15.75" hidden="false" customHeight="false" outlineLevel="0" collapsed="false">
      <c r="A55" s="0" t="s">
        <v>53</v>
      </c>
      <c r="B55" s="1" t="n">
        <v>43915</v>
      </c>
      <c r="C55" s="7" t="n">
        <v>248</v>
      </c>
      <c r="D55" s="7" t="n">
        <v>50</v>
      </c>
      <c r="E55" s="7" t="n">
        <v>2</v>
      </c>
      <c r="F55" s="7"/>
      <c r="G55" s="7" t="n">
        <v>45</v>
      </c>
      <c r="H55" s="7" t="n">
        <v>201</v>
      </c>
      <c r="I55" s="7" t="n">
        <v>2</v>
      </c>
      <c r="J55" s="7" t="n">
        <v>25</v>
      </c>
      <c r="K55" s="10" t="n">
        <v>0.2</v>
      </c>
      <c r="L55" s="7"/>
      <c r="M55" s="7"/>
    </row>
    <row r="56" customFormat="false" ht="15.75" hidden="false" customHeight="false" outlineLevel="0" collapsed="false">
      <c r="A56" s="0" t="s">
        <v>53</v>
      </c>
      <c r="B56" s="1" t="n">
        <v>43916</v>
      </c>
      <c r="C56" s="7" t="n">
        <v>333</v>
      </c>
      <c r="D56" s="7" t="n">
        <v>85</v>
      </c>
      <c r="E56" s="7" t="n">
        <v>2</v>
      </c>
      <c r="F56" s="7"/>
      <c r="G56" s="7" t="n">
        <v>52</v>
      </c>
      <c r="H56" s="7" t="n">
        <v>279</v>
      </c>
      <c r="I56" s="7" t="n">
        <v>2</v>
      </c>
      <c r="J56" s="7" t="n">
        <v>34</v>
      </c>
      <c r="K56" s="10" t="n">
        <v>0.2</v>
      </c>
      <c r="L56" s="7"/>
      <c r="M56" s="7"/>
    </row>
    <row r="57" customFormat="false" ht="15.75" hidden="false" customHeight="false" outlineLevel="0" collapsed="false">
      <c r="A57" s="0" t="s">
        <v>53</v>
      </c>
      <c r="B57" s="1" t="n">
        <v>43917</v>
      </c>
      <c r="C57" s="7" t="n">
        <v>333</v>
      </c>
      <c r="D57" s="7" t="n">
        <v>0</v>
      </c>
      <c r="E57" s="7" t="n">
        <v>2</v>
      </c>
      <c r="F57" s="7"/>
      <c r="G57" s="7" t="n">
        <v>52</v>
      </c>
      <c r="H57" s="7" t="n">
        <v>279</v>
      </c>
      <c r="I57" s="7" t="n">
        <v>2</v>
      </c>
      <c r="J57" s="7" t="n">
        <v>34</v>
      </c>
      <c r="K57" s="10" t="n">
        <v>0.2</v>
      </c>
      <c r="L57" s="7"/>
      <c r="M57" s="7"/>
    </row>
    <row r="58" customFormat="false" ht="15.75" hidden="false" customHeight="false" outlineLevel="0" collapsed="false">
      <c r="A58" s="0" t="s">
        <v>53</v>
      </c>
      <c r="B58" s="1" t="n">
        <v>43918</v>
      </c>
      <c r="C58" s="7" t="n">
        <v>405</v>
      </c>
      <c r="D58" s="7" t="n">
        <v>72</v>
      </c>
      <c r="E58" s="7" t="n">
        <v>2</v>
      </c>
      <c r="F58" s="7"/>
      <c r="G58" s="7" t="n">
        <v>52</v>
      </c>
      <c r="H58" s="7" t="n">
        <v>351</v>
      </c>
      <c r="I58" s="7" t="n">
        <v>2</v>
      </c>
      <c r="J58" s="7" t="n">
        <v>41</v>
      </c>
      <c r="K58" s="10" t="n">
        <v>0.2</v>
      </c>
      <c r="M58" s="7"/>
    </row>
    <row r="59" customFormat="false" ht="15.75" hidden="false" customHeight="false" outlineLevel="0" collapsed="false">
      <c r="A59" s="0" t="s">
        <v>53</v>
      </c>
      <c r="B59" s="1" t="n">
        <v>43919</v>
      </c>
      <c r="C59" s="7" t="n">
        <v>468</v>
      </c>
      <c r="D59" s="7" t="n">
        <v>63</v>
      </c>
      <c r="E59" s="7" t="n">
        <v>2</v>
      </c>
      <c r="F59" s="7"/>
      <c r="G59" s="7" t="n">
        <v>52</v>
      </c>
      <c r="H59" s="7" t="n">
        <v>414</v>
      </c>
      <c r="I59" s="7" t="n">
        <v>2</v>
      </c>
      <c r="J59" s="7" t="n">
        <v>47</v>
      </c>
      <c r="K59" s="10" t="n">
        <v>0.2</v>
      </c>
      <c r="M59" s="7"/>
    </row>
    <row r="60" customFormat="false" ht="15.75" hidden="false" customHeight="false" outlineLevel="0" collapsed="false">
      <c r="A60" s="0" t="s">
        <v>53</v>
      </c>
      <c r="B60" s="1" t="n">
        <v>43920</v>
      </c>
      <c r="C60" s="7" t="n">
        <v>570</v>
      </c>
      <c r="D60" s="7" t="n">
        <v>102</v>
      </c>
      <c r="E60" s="7" t="n">
        <v>3</v>
      </c>
      <c r="F60" s="7" t="n">
        <v>1</v>
      </c>
      <c r="G60" s="7" t="n">
        <v>58</v>
      </c>
      <c r="H60" s="7" t="n">
        <v>509</v>
      </c>
      <c r="I60" s="7" t="n">
        <v>2</v>
      </c>
      <c r="J60" s="7" t="n">
        <v>58</v>
      </c>
      <c r="K60" s="10" t="n">
        <v>0.3</v>
      </c>
      <c r="M60" s="7"/>
    </row>
    <row r="61" customFormat="false" ht="15.75" hidden="false" customHeight="false" outlineLevel="0" collapsed="false">
      <c r="A61" s="0" t="s">
        <v>53</v>
      </c>
      <c r="B61" s="1" t="n">
        <v>43921</v>
      </c>
      <c r="C61" s="7" t="n">
        <v>611</v>
      </c>
      <c r="D61" s="7" t="n">
        <v>41</v>
      </c>
      <c r="E61" s="7" t="n">
        <v>5</v>
      </c>
      <c r="F61" s="7" t="n">
        <v>2</v>
      </c>
      <c r="G61" s="7" t="n">
        <v>61</v>
      </c>
      <c r="H61" s="7" t="n">
        <v>545</v>
      </c>
      <c r="I61" s="7" t="n">
        <v>2</v>
      </c>
      <c r="J61" s="7" t="n">
        <v>62</v>
      </c>
      <c r="K61" s="10" t="n">
        <v>0.5</v>
      </c>
      <c r="M61" s="7"/>
    </row>
    <row r="62" customFormat="false" ht="15.75" hidden="false" customHeight="false" outlineLevel="0" collapsed="false">
      <c r="A62" s="0" t="s">
        <v>53</v>
      </c>
      <c r="B62" s="1" t="n">
        <v>43922</v>
      </c>
      <c r="C62" s="7" t="n">
        <v>664</v>
      </c>
      <c r="D62" s="7" t="n">
        <v>53</v>
      </c>
      <c r="E62" s="7" t="n">
        <v>6</v>
      </c>
      <c r="F62" s="7" t="n">
        <v>1</v>
      </c>
      <c r="G62" s="7" t="n">
        <v>61</v>
      </c>
      <c r="H62" s="7" t="n">
        <v>597</v>
      </c>
      <c r="I62" s="7" t="n">
        <v>2</v>
      </c>
      <c r="J62" s="7" t="n">
        <v>67</v>
      </c>
      <c r="K62" s="10" t="n">
        <v>0.6</v>
      </c>
      <c r="M62" s="7"/>
    </row>
    <row r="63" customFormat="false" ht="15.75" hidden="false" customHeight="false" outlineLevel="0" collapsed="false">
      <c r="A63" s="0" t="s">
        <v>53</v>
      </c>
      <c r="B63" s="1" t="n">
        <v>43923</v>
      </c>
      <c r="C63" s="7" t="n">
        <v>814</v>
      </c>
      <c r="D63" s="7" t="n">
        <v>150</v>
      </c>
      <c r="E63" s="7" t="n">
        <v>8</v>
      </c>
      <c r="F63" s="7" t="n">
        <v>2</v>
      </c>
      <c r="G63" s="7" t="n">
        <v>61</v>
      </c>
      <c r="H63" s="7" t="n">
        <v>745</v>
      </c>
      <c r="I63" s="7" t="n">
        <v>2</v>
      </c>
      <c r="J63" s="7" t="n">
        <v>82</v>
      </c>
      <c r="K63" s="10" t="n">
        <v>0.8</v>
      </c>
      <c r="M63" s="7"/>
    </row>
    <row r="64" customFormat="false" ht="15.75" hidden="false" customHeight="false" outlineLevel="0" collapsed="false">
      <c r="A64" s="0" t="s">
        <v>53</v>
      </c>
      <c r="B64" s="1" t="n">
        <v>43924</v>
      </c>
      <c r="C64" s="7" t="n">
        <v>1024</v>
      </c>
      <c r="D64" s="7" t="n">
        <v>210</v>
      </c>
      <c r="E64" s="7" t="n">
        <v>8</v>
      </c>
      <c r="F64" s="7"/>
      <c r="G64" s="7" t="n">
        <v>96</v>
      </c>
      <c r="H64" s="7" t="n">
        <v>920</v>
      </c>
      <c r="I64" s="7" t="n">
        <v>2</v>
      </c>
      <c r="J64" s="7" t="n">
        <v>104</v>
      </c>
      <c r="K64" s="10" t="n">
        <v>0.8</v>
      </c>
      <c r="M64" s="7"/>
    </row>
    <row r="65" customFormat="false" ht="15.75" hidden="false" customHeight="false" outlineLevel="0" collapsed="false">
      <c r="A65" s="0" t="s">
        <v>53</v>
      </c>
      <c r="B65" s="1" t="n">
        <v>43925</v>
      </c>
      <c r="C65" s="7" t="n">
        <v>1264</v>
      </c>
      <c r="D65" s="7" t="n">
        <v>240</v>
      </c>
      <c r="E65" s="7" t="n">
        <v>9</v>
      </c>
      <c r="F65" s="7" t="n">
        <v>1</v>
      </c>
      <c r="G65" s="7" t="n">
        <v>108</v>
      </c>
      <c r="H65" s="7" t="n">
        <v>1147</v>
      </c>
      <c r="I65" s="7" t="n">
        <v>2</v>
      </c>
      <c r="J65" s="7" t="n">
        <v>128</v>
      </c>
      <c r="K65" s="10" t="n">
        <v>0.9</v>
      </c>
      <c r="M65" s="7"/>
    </row>
    <row r="66" customFormat="false" ht="15.75" hidden="false" customHeight="false" outlineLevel="0" collapsed="false">
      <c r="A66" s="0" t="s">
        <v>53</v>
      </c>
      <c r="B66" s="1" t="n">
        <v>43926</v>
      </c>
      <c r="C66" s="7" t="n">
        <v>1505</v>
      </c>
      <c r="D66" s="7" t="n">
        <v>241</v>
      </c>
      <c r="E66" s="7" t="n">
        <v>10</v>
      </c>
      <c r="F66" s="7" t="n">
        <v>1</v>
      </c>
      <c r="G66" s="7" t="n">
        <v>125</v>
      </c>
      <c r="H66" s="7" t="n">
        <v>1370</v>
      </c>
      <c r="I66" s="7" t="n">
        <v>2</v>
      </c>
      <c r="J66" s="7" t="n">
        <v>152</v>
      </c>
      <c r="K66" s="7" t="n">
        <v>1</v>
      </c>
      <c r="L66" s="7" t="n">
        <v>220000</v>
      </c>
      <c r="M66" s="7" t="n">
        <v>22244</v>
      </c>
    </row>
    <row r="67" customFormat="false" ht="15.75" hidden="false" customHeight="false" outlineLevel="0" collapsed="false">
      <c r="A67" s="0" t="s">
        <v>53</v>
      </c>
      <c r="B67" s="1" t="n">
        <v>43927</v>
      </c>
      <c r="C67" s="7" t="n">
        <v>1799</v>
      </c>
      <c r="D67" s="7" t="n">
        <v>294</v>
      </c>
      <c r="E67" s="7" t="n">
        <v>10</v>
      </c>
      <c r="F67" s="7"/>
      <c r="G67" s="7" t="n">
        <v>144</v>
      </c>
      <c r="H67" s="7" t="n">
        <v>1645</v>
      </c>
      <c r="I67" s="7" t="n">
        <v>1</v>
      </c>
      <c r="J67" s="7" t="n">
        <v>182</v>
      </c>
      <c r="K67" s="7" t="n">
        <v>1</v>
      </c>
      <c r="L67" s="7" t="n">
        <v>220000</v>
      </c>
      <c r="M67" s="7" t="n">
        <v>22244</v>
      </c>
    </row>
    <row r="68" customFormat="false" ht="15.75" hidden="false" customHeight="false" outlineLevel="0" collapsed="false">
      <c r="A68" s="0" t="s">
        <v>53</v>
      </c>
      <c r="B68" s="1" t="n">
        <v>43928</v>
      </c>
      <c r="C68" s="12" t="n">
        <v>2076</v>
      </c>
      <c r="D68" s="12" t="n">
        <v>277</v>
      </c>
      <c r="E68" s="12" t="n">
        <v>11</v>
      </c>
      <c r="F68" s="12" t="n">
        <v>1</v>
      </c>
      <c r="G68" s="12" t="n">
        <v>167</v>
      </c>
      <c r="H68" s="12" t="n">
        <v>1898</v>
      </c>
      <c r="I68" s="12" t="n">
        <v>1</v>
      </c>
      <c r="J68" s="12" t="n">
        <v>210</v>
      </c>
      <c r="K68" s="12" t="n">
        <v>1</v>
      </c>
      <c r="L68" s="12" t="n">
        <v>220000</v>
      </c>
      <c r="M68" s="12" t="n">
        <v>22244</v>
      </c>
    </row>
    <row r="69" customFormat="false" ht="15.75" hidden="false" customHeight="false" outlineLevel="0" collapsed="false">
      <c r="A69" s="0" t="s">
        <v>53</v>
      </c>
      <c r="B69" s="1" t="n">
        <v>43929</v>
      </c>
      <c r="C69" s="14" t="n">
        <v>2359</v>
      </c>
      <c r="D69" s="14" t="n">
        <v>283</v>
      </c>
      <c r="E69" s="14" t="n">
        <v>12</v>
      </c>
      <c r="F69" s="14" t="n">
        <v>1</v>
      </c>
      <c r="G69" s="14" t="n">
        <v>186</v>
      </c>
      <c r="H69" s="14" t="n">
        <v>2161</v>
      </c>
      <c r="I69" s="14" t="n">
        <v>1</v>
      </c>
      <c r="J69" s="14" t="n">
        <v>239</v>
      </c>
      <c r="K69" s="14" t="n">
        <v>1</v>
      </c>
      <c r="L69" s="14" t="n">
        <v>220000</v>
      </c>
      <c r="M69" s="14" t="n">
        <v>22244</v>
      </c>
    </row>
    <row r="70" customFormat="false" ht="15.75" hidden="false" customHeight="false" outlineLevel="0" collapsed="false">
      <c r="A70" s="0" t="s">
        <v>53</v>
      </c>
      <c r="B70" s="1" t="n">
        <v>43930</v>
      </c>
      <c r="C70" s="14" t="n">
        <v>2659</v>
      </c>
      <c r="D70" s="14" t="n">
        <v>300</v>
      </c>
      <c r="E70" s="14" t="n">
        <v>12</v>
      </c>
      <c r="F70" s="14" t="n">
        <v>0</v>
      </c>
      <c r="G70" s="14" t="n">
        <v>239</v>
      </c>
      <c r="H70" s="14" t="n">
        <v>2408</v>
      </c>
      <c r="I70" s="14" t="n">
        <v>1</v>
      </c>
      <c r="J70" s="14" t="n">
        <v>269</v>
      </c>
      <c r="K70" s="14" t="n">
        <v>1</v>
      </c>
      <c r="L70" s="14" t="n">
        <v>593095</v>
      </c>
      <c r="M70" s="14" t="n">
        <v>59967</v>
      </c>
    </row>
    <row r="71" customFormat="false" ht="15.75" hidden="false" customHeight="false" outlineLevel="0" collapsed="false">
      <c r="A71" s="0" t="s">
        <v>53</v>
      </c>
      <c r="B71" s="1" t="n">
        <v>43931</v>
      </c>
      <c r="C71" s="14" t="n">
        <v>2990</v>
      </c>
      <c r="D71" s="14" t="n">
        <v>331</v>
      </c>
      <c r="E71" s="14" t="n">
        <v>14</v>
      </c>
      <c r="F71" s="14" t="n">
        <v>2</v>
      </c>
      <c r="G71" s="14" t="n">
        <v>268</v>
      </c>
      <c r="H71" s="14" t="n">
        <v>2708</v>
      </c>
      <c r="I71" s="14" t="n">
        <v>1</v>
      </c>
      <c r="J71" s="14" t="n">
        <v>302</v>
      </c>
      <c r="K71" s="14" t="n">
        <v>1</v>
      </c>
      <c r="L71" s="14" t="n">
        <v>593095</v>
      </c>
      <c r="M71" s="14" t="n">
        <v>59967</v>
      </c>
    </row>
    <row r="72" customFormat="false" ht="15.75" hidden="false" customHeight="false" outlineLevel="0" collapsed="false">
      <c r="A72" s="0" t="s">
        <v>53</v>
      </c>
      <c r="B72" s="1" t="n">
        <v>43932</v>
      </c>
      <c r="C72" s="14" t="n">
        <v>3360</v>
      </c>
      <c r="D72" s="14" t="n">
        <v>370</v>
      </c>
      <c r="E72" s="14" t="n">
        <v>16</v>
      </c>
      <c r="F72" s="14" t="n">
        <v>2</v>
      </c>
      <c r="G72" s="14" t="n">
        <v>418</v>
      </c>
      <c r="H72" s="14" t="n">
        <v>2926</v>
      </c>
      <c r="I72" s="14" t="n">
        <v>1</v>
      </c>
      <c r="J72" s="14" t="n">
        <v>340</v>
      </c>
      <c r="K72" s="14" t="n">
        <v>2</v>
      </c>
      <c r="L72" s="14" t="n">
        <v>593095</v>
      </c>
      <c r="M72" s="14" t="n">
        <v>59967</v>
      </c>
    </row>
    <row r="73" customFormat="false" ht="15.75" hidden="false" customHeight="false" outlineLevel="0" collapsed="false">
      <c r="A73" s="0" t="s">
        <v>53</v>
      </c>
      <c r="B73" s="1" t="n">
        <v>43933</v>
      </c>
      <c r="C73" s="14" t="n">
        <v>3736</v>
      </c>
      <c r="D73" s="14" t="n">
        <v>376</v>
      </c>
      <c r="E73" s="14" t="n">
        <v>20</v>
      </c>
      <c r="F73" s="14" t="n">
        <v>4</v>
      </c>
      <c r="G73" s="14" t="n">
        <v>588</v>
      </c>
      <c r="H73" s="14" t="n">
        <v>3128</v>
      </c>
      <c r="I73" s="14" t="n">
        <v>1</v>
      </c>
      <c r="J73" s="14" t="n">
        <v>378</v>
      </c>
      <c r="K73" s="14" t="n">
        <v>2</v>
      </c>
      <c r="L73" s="14" t="n">
        <v>648195</v>
      </c>
      <c r="M73" s="14" t="n">
        <v>65538</v>
      </c>
    </row>
    <row r="74" customFormat="false" ht="15.75" hidden="false" customHeight="false" outlineLevel="0" collapsed="false">
      <c r="A74" s="0" t="s">
        <v>53</v>
      </c>
      <c r="B74" s="1" t="n">
        <v>43934</v>
      </c>
      <c r="C74" s="14" t="n">
        <v>4123</v>
      </c>
      <c r="D74" s="14" t="n">
        <v>387</v>
      </c>
      <c r="E74" s="14" t="n">
        <v>22</v>
      </c>
      <c r="F74" s="14" t="n">
        <v>2</v>
      </c>
      <c r="G74" s="14" t="n">
        <v>680</v>
      </c>
      <c r="H74" s="14" t="n">
        <v>3421</v>
      </c>
      <c r="I74" s="14" t="n">
        <v>1</v>
      </c>
      <c r="J74" s="14" t="n">
        <v>417</v>
      </c>
      <c r="K74" s="14" t="n">
        <v>2</v>
      </c>
      <c r="L74" s="14" t="n">
        <v>648195</v>
      </c>
      <c r="M74" s="14" t="n">
        <v>65538</v>
      </c>
    </row>
    <row r="75" customFormat="false" ht="15.75" hidden="false" customHeight="false" outlineLevel="0" collapsed="false">
      <c r="A75" s="0" t="s">
        <v>53</v>
      </c>
      <c r="B75" s="1" t="n">
        <v>43935</v>
      </c>
      <c r="C75" s="14" t="n">
        <v>4521</v>
      </c>
      <c r="D75" s="14" t="n">
        <v>398</v>
      </c>
      <c r="E75" s="14" t="n">
        <v>25</v>
      </c>
      <c r="F75" s="14" t="n">
        <v>3</v>
      </c>
      <c r="G75" s="14" t="n">
        <v>852</v>
      </c>
      <c r="H75" s="14" t="n">
        <v>3644</v>
      </c>
      <c r="I75" s="14" t="n">
        <v>1</v>
      </c>
      <c r="J75" s="14" t="n">
        <v>457</v>
      </c>
      <c r="K75" s="14" t="n">
        <v>3</v>
      </c>
      <c r="L75" s="14" t="n">
        <v>648195</v>
      </c>
      <c r="M75" s="14" t="n">
        <v>65538</v>
      </c>
    </row>
    <row r="76" customFormat="false" ht="15.75" hidden="false" customHeight="false" outlineLevel="0" collapsed="false">
      <c r="A76" s="0" t="s">
        <v>53</v>
      </c>
      <c r="B76" s="1" t="n">
        <v>43936</v>
      </c>
      <c r="C76" s="14" t="n">
        <v>4933</v>
      </c>
      <c r="D76" s="14" t="n">
        <v>412</v>
      </c>
      <c r="E76" s="14" t="n">
        <v>28</v>
      </c>
      <c r="F76" s="14" t="n">
        <v>3</v>
      </c>
      <c r="G76" s="14" t="n">
        <v>933</v>
      </c>
      <c r="H76" s="14" t="n">
        <v>3972</v>
      </c>
      <c r="I76" s="14" t="n">
        <v>1</v>
      </c>
      <c r="J76" s="14" t="n">
        <v>499</v>
      </c>
      <c r="K76" s="14" t="n">
        <v>3</v>
      </c>
      <c r="L76" s="14" t="n">
        <v>648195</v>
      </c>
      <c r="M76" s="14" t="n">
        <v>65538</v>
      </c>
    </row>
    <row r="77" customFormat="false" ht="15.75" hidden="false" customHeight="false" outlineLevel="0" collapsed="false">
      <c r="A77" s="0" t="s">
        <v>53</v>
      </c>
      <c r="B77" s="1" t="n">
        <v>43937</v>
      </c>
      <c r="C77" s="14" t="n">
        <v>5365</v>
      </c>
      <c r="D77" s="14" t="n">
        <v>432</v>
      </c>
      <c r="E77" s="14" t="n">
        <v>33</v>
      </c>
      <c r="F77" s="14" t="n">
        <v>5</v>
      </c>
      <c r="G77" s="14" t="n">
        <v>1034</v>
      </c>
      <c r="H77" s="14" t="n">
        <v>4298</v>
      </c>
      <c r="I77" s="14" t="n">
        <v>1</v>
      </c>
      <c r="J77" s="14" t="n">
        <v>542</v>
      </c>
      <c r="K77" s="14" t="n">
        <v>3</v>
      </c>
      <c r="L77" s="14" t="n">
        <v>767000</v>
      </c>
      <c r="M77" s="14" t="n">
        <v>77550</v>
      </c>
    </row>
    <row r="78" customFormat="false" ht="15.75" hidden="false" customHeight="false" outlineLevel="0" collapsed="false">
      <c r="A78" s="0" t="s">
        <v>53</v>
      </c>
      <c r="B78" s="1" t="n">
        <v>43938</v>
      </c>
      <c r="C78" s="14" t="n">
        <v>5825</v>
      </c>
      <c r="D78" s="14" t="n">
        <v>460</v>
      </c>
      <c r="E78" s="14" t="n">
        <v>35</v>
      </c>
      <c r="F78" s="14" t="n">
        <v>2</v>
      </c>
      <c r="G78" s="14" t="n">
        <v>1095</v>
      </c>
      <c r="H78" s="14" t="n">
        <v>4695</v>
      </c>
      <c r="I78" s="14" t="n">
        <v>1</v>
      </c>
      <c r="J78" s="14" t="n">
        <v>589</v>
      </c>
      <c r="K78" s="14" t="n">
        <v>4</v>
      </c>
      <c r="L78" s="14" t="n">
        <v>767000</v>
      </c>
      <c r="M78" s="14" t="n">
        <v>77550</v>
      </c>
    </row>
    <row r="79" customFormat="false" ht="15.75" hidden="false" customHeight="false" outlineLevel="0" collapsed="false">
      <c r="A79" s="0" t="s">
        <v>53</v>
      </c>
      <c r="B79" s="1" t="n">
        <v>43939</v>
      </c>
      <c r="C79" s="14" t="n">
        <v>6302</v>
      </c>
      <c r="D79" s="14" t="n">
        <v>477</v>
      </c>
      <c r="E79" s="14" t="n">
        <v>37</v>
      </c>
      <c r="F79" s="14" t="n">
        <v>2</v>
      </c>
      <c r="G79" s="14" t="n">
        <v>1188</v>
      </c>
      <c r="H79" s="14" t="n">
        <v>5077</v>
      </c>
      <c r="I79" s="14" t="n">
        <v>1</v>
      </c>
      <c r="J79" s="14" t="n">
        <v>637</v>
      </c>
      <c r="K79" s="14" t="n">
        <v>4</v>
      </c>
      <c r="L79" s="14" t="n">
        <v>767000</v>
      </c>
      <c r="M79" s="14" t="n">
        <v>77550</v>
      </c>
    </row>
    <row r="80" customFormat="false" ht="15.75" hidden="false" customHeight="false" outlineLevel="0" collapsed="false">
      <c r="A80" s="0" t="s">
        <v>53</v>
      </c>
      <c r="B80" s="1" t="n">
        <v>43940</v>
      </c>
      <c r="C80" s="14" t="n">
        <v>6302</v>
      </c>
      <c r="D80" s="14" t="n">
        <v>0</v>
      </c>
      <c r="E80" s="14" t="n">
        <v>37</v>
      </c>
      <c r="F80" s="14" t="n">
        <v>0</v>
      </c>
      <c r="G80" s="14" t="n">
        <v>1188</v>
      </c>
      <c r="H80" s="14" t="n">
        <v>5077</v>
      </c>
      <c r="I80" s="14" t="n">
        <v>1</v>
      </c>
      <c r="J80" s="14" t="n">
        <v>637</v>
      </c>
      <c r="K80" s="14" t="n">
        <v>4</v>
      </c>
      <c r="L80" s="14" t="n">
        <v>767000</v>
      </c>
      <c r="M80" s="14" t="n">
        <v>77550</v>
      </c>
    </row>
    <row r="81" customFormat="false" ht="15.75" hidden="false" customHeight="false" outlineLevel="0" collapsed="false">
      <c r="A81" s="0" t="s">
        <v>53</v>
      </c>
      <c r="B81" s="1" t="n">
        <v>43941</v>
      </c>
      <c r="C81" s="14" t="n">
        <v>6781</v>
      </c>
      <c r="D81" s="14" t="n">
        <v>479</v>
      </c>
      <c r="E81" s="14" t="n">
        <v>41</v>
      </c>
      <c r="F81" s="14" t="n">
        <v>4</v>
      </c>
      <c r="G81" s="14" t="n">
        <v>1286</v>
      </c>
      <c r="H81" s="14" t="n">
        <v>5454</v>
      </c>
      <c r="I81" s="14" t="n">
        <v>1</v>
      </c>
      <c r="J81" s="14" t="n">
        <v>686</v>
      </c>
      <c r="K81" s="14" t="n">
        <v>4</v>
      </c>
      <c r="L81" s="14" t="n">
        <v>767000</v>
      </c>
      <c r="M81" s="14" t="n">
        <v>77550</v>
      </c>
    </row>
    <row r="82" customFormat="false" ht="15.75" hidden="false" customHeight="false" outlineLevel="0" collapsed="false">
      <c r="A82" s="0" t="s">
        <v>53</v>
      </c>
      <c r="B82" s="1" t="n">
        <v>43942</v>
      </c>
      <c r="C82" s="6" t="n">
        <v>7265</v>
      </c>
      <c r="D82" s="6" t="n">
        <v>484</v>
      </c>
      <c r="E82" s="6" t="n">
        <v>43</v>
      </c>
      <c r="F82" s="6" t="n">
        <v>2</v>
      </c>
      <c r="G82" s="6" t="n">
        <v>1360</v>
      </c>
      <c r="H82" s="6" t="n">
        <v>5862</v>
      </c>
      <c r="I82" s="6" t="n">
        <v>1</v>
      </c>
      <c r="J82" s="6" t="n">
        <v>735</v>
      </c>
      <c r="K82" s="6" t="n">
        <v>4</v>
      </c>
      <c r="L82" s="6" t="n">
        <v>767000</v>
      </c>
      <c r="M82" s="6" t="n">
        <v>77550</v>
      </c>
    </row>
    <row r="83" customFormat="false" ht="15.75" hidden="false" customHeight="false" outlineLevel="0" collapsed="false">
      <c r="A83" s="0" t="s">
        <v>53</v>
      </c>
      <c r="B83" s="1" t="n">
        <v>43943</v>
      </c>
      <c r="C83" s="6" t="n">
        <v>7755</v>
      </c>
      <c r="D83" s="6" t="n">
        <v>490</v>
      </c>
      <c r="E83" s="6" t="n">
        <v>46</v>
      </c>
      <c r="F83" s="6" t="n">
        <v>3</v>
      </c>
      <c r="G83" s="6" t="n">
        <v>1443</v>
      </c>
      <c r="H83" s="6" t="n">
        <v>6266</v>
      </c>
      <c r="I83" s="6" t="n">
        <v>1</v>
      </c>
      <c r="J83" s="6" t="n">
        <v>784</v>
      </c>
      <c r="K83" s="6" t="n">
        <v>5</v>
      </c>
      <c r="L83" s="6" t="n">
        <v>790000</v>
      </c>
      <c r="M83" s="6" t="n">
        <v>79875</v>
      </c>
    </row>
    <row r="84" customFormat="false" ht="15.75" hidden="false" customHeight="false" outlineLevel="0" collapsed="false">
      <c r="A84" s="0" t="s">
        <v>53</v>
      </c>
      <c r="B84" s="1" t="n">
        <v>43944</v>
      </c>
      <c r="C84" s="6" t="n">
        <v>8238</v>
      </c>
      <c r="D84" s="6" t="n">
        <v>483</v>
      </c>
      <c r="E84" s="6" t="n">
        <v>52</v>
      </c>
      <c r="F84" s="6" t="n">
        <v>6</v>
      </c>
      <c r="G84" s="6" t="n">
        <v>1546</v>
      </c>
      <c r="H84" s="6" t="n">
        <v>6640</v>
      </c>
      <c r="I84" s="6" t="n">
        <v>1</v>
      </c>
      <c r="J84" s="6" t="n">
        <v>833</v>
      </c>
      <c r="K84" s="6" t="n">
        <v>5</v>
      </c>
      <c r="L84" s="6" t="n">
        <v>790000</v>
      </c>
      <c r="M84" s="6" t="n">
        <v>79875</v>
      </c>
    </row>
    <row r="85" customFormat="false" ht="15.75" hidden="false" customHeight="false" outlineLevel="0" collapsed="false">
      <c r="A85" s="0" t="s">
        <v>53</v>
      </c>
      <c r="B85" s="1" t="n">
        <v>43945</v>
      </c>
      <c r="C85" s="6" t="n">
        <v>8756</v>
      </c>
      <c r="D85" s="6" t="n">
        <v>518</v>
      </c>
      <c r="E85" s="6" t="n">
        <v>56</v>
      </c>
      <c r="F85" s="6" t="n">
        <v>4</v>
      </c>
      <c r="G85" s="6" t="n">
        <v>1637</v>
      </c>
      <c r="H85" s="6" t="n">
        <v>7063</v>
      </c>
      <c r="I85" s="6" t="n">
        <v>1</v>
      </c>
      <c r="J85" s="6" t="n">
        <v>885</v>
      </c>
      <c r="K85" s="6" t="n">
        <v>6</v>
      </c>
      <c r="L85" s="6" t="n">
        <v>790000</v>
      </c>
      <c r="M85" s="6" t="n">
        <v>79875</v>
      </c>
    </row>
    <row r="86" customFormat="false" ht="15.75" hidden="false" customHeight="false" outlineLevel="0" collapsed="false">
      <c r="A86" s="0" t="s">
        <v>53</v>
      </c>
      <c r="B86" s="1" t="n">
        <v>43946</v>
      </c>
      <c r="C86" s="6" t="n">
        <v>9281</v>
      </c>
      <c r="D86" s="6" t="n">
        <v>525</v>
      </c>
      <c r="E86" s="6" t="n">
        <v>64</v>
      </c>
      <c r="F86" s="6" t="n">
        <v>8</v>
      </c>
      <c r="G86" s="6" t="n">
        <v>1760</v>
      </c>
      <c r="H86" s="6" t="n">
        <v>7457</v>
      </c>
      <c r="I86" s="6" t="n">
        <v>1</v>
      </c>
      <c r="J86" s="6" t="n">
        <v>938</v>
      </c>
      <c r="K86" s="6" t="n">
        <v>6</v>
      </c>
      <c r="L86" s="6" t="n">
        <v>790000</v>
      </c>
      <c r="M86" s="6" t="n">
        <v>79875</v>
      </c>
    </row>
    <row r="87" customFormat="false" ht="15.75" hidden="false" customHeight="false" outlineLevel="0" collapsed="false">
      <c r="A87" s="0" t="s">
        <v>53</v>
      </c>
      <c r="B87" s="1" t="n">
        <v>43947</v>
      </c>
      <c r="C87" s="6" t="n">
        <v>9813</v>
      </c>
      <c r="D87" s="6" t="n">
        <v>532</v>
      </c>
      <c r="E87" s="6" t="n">
        <v>71</v>
      </c>
      <c r="F87" s="6" t="n">
        <v>7</v>
      </c>
      <c r="G87" s="6" t="n">
        <v>1887</v>
      </c>
      <c r="H87" s="6" t="n">
        <v>7855</v>
      </c>
      <c r="I87" s="6" t="n">
        <v>1</v>
      </c>
      <c r="J87" s="6" t="n">
        <v>992</v>
      </c>
      <c r="K87" s="6" t="n">
        <v>7</v>
      </c>
      <c r="L87" s="6" t="n">
        <v>1022326</v>
      </c>
      <c r="M87" s="6" t="n">
        <v>103365</v>
      </c>
    </row>
    <row r="88" customFormat="false" ht="15.75" hidden="false" customHeight="false" outlineLevel="0" collapsed="false">
      <c r="A88" s="0" t="s">
        <v>53</v>
      </c>
      <c r="B88" s="1" t="n">
        <v>43948</v>
      </c>
      <c r="C88" s="6" t="n">
        <v>10349</v>
      </c>
      <c r="D88" s="6" t="n">
        <v>536</v>
      </c>
      <c r="E88" s="6" t="n">
        <v>76</v>
      </c>
      <c r="F88" s="6" t="n">
        <v>5</v>
      </c>
      <c r="G88" s="6" t="n">
        <v>1978</v>
      </c>
      <c r="H88" s="6" t="n">
        <v>8295</v>
      </c>
      <c r="I88" s="6" t="n">
        <v>1</v>
      </c>
      <c r="J88" s="6" t="n">
        <v>1046</v>
      </c>
      <c r="K88" s="6" t="n">
        <v>8</v>
      </c>
      <c r="L88" s="6" t="n">
        <v>1022326</v>
      </c>
      <c r="M88" s="6" t="n">
        <v>103365</v>
      </c>
    </row>
    <row r="89" customFormat="false" ht="13.5" hidden="false" customHeight="false" outlineLevel="0" collapsed="false">
      <c r="A89" s="0" t="s">
        <v>53</v>
      </c>
      <c r="B89" s="1" t="n">
        <v>43949</v>
      </c>
      <c r="C89" s="2" t="n">
        <v>10839</v>
      </c>
      <c r="D89" s="2" t="n">
        <v>490</v>
      </c>
      <c r="E89" s="2" t="n">
        <v>82</v>
      </c>
      <c r="F89" s="2" t="n">
        <v>6</v>
      </c>
      <c r="G89" s="2" t="n">
        <v>2090</v>
      </c>
      <c r="H89" s="2" t="n">
        <v>8667</v>
      </c>
      <c r="I89" s="2" t="n">
        <v>1</v>
      </c>
      <c r="J89" s="2" t="n">
        <v>1096</v>
      </c>
      <c r="K89" s="2" t="n">
        <v>8</v>
      </c>
      <c r="L89" s="2" t="n">
        <v>1057326</v>
      </c>
      <c r="M89" s="2" t="n">
        <v>106904</v>
      </c>
    </row>
    <row r="90" customFormat="false" ht="13.5" hidden="false" customHeight="false" outlineLevel="0" collapsed="false">
      <c r="A90" s="0" t="s">
        <v>53</v>
      </c>
      <c r="B90" s="1" t="n">
        <v>43950</v>
      </c>
      <c r="C90" s="2" t="n">
        <v>11380</v>
      </c>
      <c r="D90" s="2" t="n">
        <v>541</v>
      </c>
      <c r="E90" s="2" t="n">
        <v>89</v>
      </c>
      <c r="F90" s="2" t="n">
        <v>7</v>
      </c>
      <c r="G90" s="2" t="n">
        <v>2181</v>
      </c>
      <c r="H90" s="2" t="n">
        <v>9110</v>
      </c>
      <c r="I90" s="2" t="n">
        <v>1</v>
      </c>
      <c r="J90" s="2" t="n">
        <v>1151</v>
      </c>
      <c r="K90" s="2" t="n">
        <v>9</v>
      </c>
      <c r="L90" s="2" t="n">
        <v>1057326</v>
      </c>
      <c r="M90" s="2" t="n">
        <v>106904</v>
      </c>
    </row>
    <row r="91" customFormat="false" ht="13.5" hidden="false" customHeight="false" outlineLevel="0" collapsed="false">
      <c r="A91" s="0" t="s">
        <v>53</v>
      </c>
      <c r="B91" s="1" t="n">
        <v>43951</v>
      </c>
      <c r="C91" s="2" t="n">
        <v>11929</v>
      </c>
      <c r="D91" s="2" t="n">
        <v>549</v>
      </c>
      <c r="E91" s="2" t="n">
        <v>98</v>
      </c>
      <c r="F91" s="2" t="n">
        <v>9</v>
      </c>
      <c r="G91" s="2" t="n">
        <v>2329</v>
      </c>
      <c r="H91" s="2" t="n">
        <v>9502</v>
      </c>
      <c r="I91" s="2" t="n">
        <v>1</v>
      </c>
      <c r="J91" s="2" t="n">
        <v>1206</v>
      </c>
      <c r="K91" s="2" t="n">
        <v>10</v>
      </c>
      <c r="L91" s="2" t="n">
        <v>1122000</v>
      </c>
      <c r="M91" s="2" t="n">
        <v>113443</v>
      </c>
    </row>
    <row r="92" customFormat="false" ht="14.25" hidden="false" customHeight="false" outlineLevel="0" collapsed="false">
      <c r="A92" s="0" t="s">
        <v>53</v>
      </c>
      <c r="B92" s="1" t="n">
        <v>43952</v>
      </c>
      <c r="C92" s="2" t="n">
        <v>12481</v>
      </c>
      <c r="D92" s="2" t="n">
        <v>552</v>
      </c>
      <c r="E92" s="2" t="n">
        <v>105</v>
      </c>
      <c r="F92" s="2" t="n">
        <v>7</v>
      </c>
      <c r="G92" s="2" t="n">
        <v>2429</v>
      </c>
      <c r="H92" s="2" t="n">
        <v>9947</v>
      </c>
      <c r="I92" s="2" t="n">
        <v>1</v>
      </c>
      <c r="J92" s="2" t="n">
        <v>1262</v>
      </c>
      <c r="K92" s="2" t="n">
        <v>11</v>
      </c>
      <c r="L92" s="2" t="n">
        <v>1122000</v>
      </c>
      <c r="M92" s="2" t="n">
        <v>113443</v>
      </c>
    </row>
    <row r="93" customFormat="false" ht="15.75" hidden="false" customHeight="false" outlineLevel="0" collapsed="false">
      <c r="A93" s="0" t="s">
        <v>53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53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53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53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53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53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53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53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53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53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53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53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53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53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53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53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53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53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53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53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53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53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53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53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53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53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53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53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53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53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53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53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53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53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53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53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53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53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53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53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53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53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53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53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53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53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53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53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53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53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53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53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53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53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53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53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53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53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53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53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53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53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53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53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53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53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53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53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53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53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53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53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53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53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53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53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53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53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53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53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53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53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53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53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53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53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53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53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53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53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53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53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53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53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53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54</v>
      </c>
      <c r="B37" s="1" t="n">
        <v>43897</v>
      </c>
      <c r="C37" s="8" t="n">
        <v>1</v>
      </c>
      <c r="D37" s="8" t="n">
        <v>1</v>
      </c>
      <c r="E37" s="8"/>
      <c r="F37" s="8"/>
      <c r="G37" s="8"/>
      <c r="H37" s="8" t="n">
        <v>1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54</v>
      </c>
      <c r="B38" s="1" t="n">
        <v>43898</v>
      </c>
      <c r="C38" s="6" t="n">
        <v>1</v>
      </c>
      <c r="D38" s="6" t="n">
        <v>0</v>
      </c>
      <c r="E38" s="6"/>
      <c r="F38" s="6"/>
      <c r="G38" s="6"/>
      <c r="H38" s="6" t="n">
        <v>1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54</v>
      </c>
      <c r="B39" s="1" t="n">
        <v>43899</v>
      </c>
      <c r="C39" s="6" t="n">
        <v>1</v>
      </c>
      <c r="D39" s="6" t="n">
        <v>0</v>
      </c>
      <c r="E39" s="6"/>
      <c r="F39" s="6"/>
      <c r="G39" s="6"/>
      <c r="H39" s="6" t="n">
        <v>1</v>
      </c>
      <c r="I39" s="6"/>
      <c r="J39" s="6" t="n">
        <v>0.1</v>
      </c>
      <c r="K39" s="6"/>
      <c r="L39" s="6"/>
      <c r="M39" s="6"/>
    </row>
    <row r="40" customFormat="false" ht="15.75" hidden="false" customHeight="false" outlineLevel="0" collapsed="false">
      <c r="A40" s="0" t="s">
        <v>54</v>
      </c>
      <c r="B40" s="1" t="n">
        <v>43900</v>
      </c>
      <c r="C40" s="6" t="n">
        <v>2</v>
      </c>
      <c r="D40" s="6" t="n">
        <v>1</v>
      </c>
      <c r="E40" s="6"/>
      <c r="F40" s="6"/>
      <c r="G40" s="6"/>
      <c r="H40" s="6" t="n">
        <v>2</v>
      </c>
      <c r="I40" s="6"/>
      <c r="J40" s="6" t="n">
        <v>0.2</v>
      </c>
      <c r="K40" s="6"/>
      <c r="L40" s="6"/>
      <c r="M40" s="6"/>
    </row>
    <row r="41" customFormat="false" ht="15.75" hidden="false" customHeight="false" outlineLevel="0" collapsed="false">
      <c r="A41" s="0" t="s">
        <v>54</v>
      </c>
      <c r="B41" s="1" t="n">
        <v>43901</v>
      </c>
      <c r="C41" s="6" t="n">
        <v>5</v>
      </c>
      <c r="D41" s="6" t="n">
        <v>3</v>
      </c>
      <c r="E41" s="6"/>
      <c r="F41" s="6"/>
      <c r="G41" s="6"/>
      <c r="H41" s="6" t="n">
        <v>5</v>
      </c>
      <c r="I41" s="6"/>
      <c r="J41" s="6" t="n">
        <v>0.6</v>
      </c>
      <c r="K41" s="6"/>
      <c r="L41" s="6"/>
      <c r="M41" s="6"/>
    </row>
    <row r="42" customFormat="false" ht="15.75" hidden="false" customHeight="false" outlineLevel="0" collapsed="false">
      <c r="A42" s="0" t="s">
        <v>54</v>
      </c>
      <c r="B42" s="1" t="n">
        <v>43902</v>
      </c>
      <c r="C42" s="6" t="n">
        <v>12</v>
      </c>
      <c r="D42" s="6" t="n">
        <v>7</v>
      </c>
      <c r="E42" s="6"/>
      <c r="F42" s="6"/>
      <c r="G42" s="6"/>
      <c r="H42" s="6" t="n">
        <v>12</v>
      </c>
      <c r="I42" s="6"/>
      <c r="J42" s="6" t="n">
        <v>1.4</v>
      </c>
      <c r="K42" s="6"/>
      <c r="L42" s="6"/>
      <c r="M42" s="6"/>
    </row>
    <row r="43" customFormat="false" ht="15.75" hidden="false" customHeight="false" outlineLevel="0" collapsed="false">
      <c r="A43" s="0" t="s">
        <v>54</v>
      </c>
      <c r="B43" s="1" t="n">
        <v>43903</v>
      </c>
      <c r="C43" s="6" t="n">
        <v>24</v>
      </c>
      <c r="D43" s="6" t="n">
        <v>12</v>
      </c>
      <c r="E43" s="6"/>
      <c r="F43" s="6"/>
      <c r="G43" s="6"/>
      <c r="H43" s="6" t="n">
        <v>24</v>
      </c>
      <c r="I43" s="6"/>
      <c r="J43" s="6" t="n">
        <v>2.7</v>
      </c>
      <c r="K43" s="6"/>
      <c r="L43" s="6"/>
      <c r="M43" s="6"/>
    </row>
    <row r="44" customFormat="false" ht="15.75" hidden="false" customHeight="false" outlineLevel="0" collapsed="false">
      <c r="A44" s="0" t="s">
        <v>54</v>
      </c>
      <c r="B44" s="1" t="n">
        <v>43904</v>
      </c>
      <c r="C44" s="6" t="n">
        <v>35</v>
      </c>
      <c r="D44" s="6" t="n">
        <v>11</v>
      </c>
      <c r="E44" s="6"/>
      <c r="F44" s="6"/>
      <c r="G44" s="6"/>
      <c r="H44" s="6" t="n">
        <v>35</v>
      </c>
      <c r="I44" s="6" t="n">
        <v>1</v>
      </c>
      <c r="J44" s="6" t="n">
        <v>4</v>
      </c>
      <c r="K44" s="6"/>
      <c r="L44" s="6"/>
      <c r="M44" s="6"/>
    </row>
    <row r="45" customFormat="false" ht="15.75" hidden="false" customHeight="false" outlineLevel="0" collapsed="false">
      <c r="A45" s="0" t="s">
        <v>54</v>
      </c>
      <c r="B45" s="1" t="n">
        <v>43905</v>
      </c>
      <c r="C45" s="6" t="n">
        <v>46</v>
      </c>
      <c r="D45" s="6" t="n">
        <v>11</v>
      </c>
      <c r="E45" s="6"/>
      <c r="F45" s="6"/>
      <c r="G45" s="6"/>
      <c r="H45" s="6" t="n">
        <v>46</v>
      </c>
      <c r="I45" s="6" t="n">
        <v>1</v>
      </c>
      <c r="J45" s="6" t="n">
        <v>5.3</v>
      </c>
      <c r="K45" s="6"/>
      <c r="L45" s="6"/>
      <c r="M45" s="6"/>
    </row>
    <row r="46" customFormat="false" ht="15.75" hidden="false" customHeight="false" outlineLevel="0" collapsed="false">
      <c r="A46" s="0" t="s">
        <v>54</v>
      </c>
      <c r="B46" s="1" t="n">
        <v>43906</v>
      </c>
      <c r="C46" s="6" t="n">
        <v>48</v>
      </c>
      <c r="D46" s="6" t="n">
        <v>2</v>
      </c>
      <c r="E46" s="6"/>
      <c r="F46" s="6"/>
      <c r="G46" s="6" t="n">
        <v>1</v>
      </c>
      <c r="H46" s="6" t="n">
        <v>47</v>
      </c>
      <c r="I46" s="6" t="n">
        <v>1</v>
      </c>
      <c r="J46" s="6" t="n">
        <v>5.5</v>
      </c>
      <c r="K46" s="6"/>
      <c r="L46" s="6"/>
      <c r="M46" s="6"/>
    </row>
    <row r="47" customFormat="false" ht="15.75" hidden="false" customHeight="false" outlineLevel="0" collapsed="false">
      <c r="A47" s="0" t="s">
        <v>54</v>
      </c>
      <c r="B47" s="1" t="n">
        <v>43907</v>
      </c>
      <c r="C47" s="6" t="n">
        <v>57</v>
      </c>
      <c r="D47" s="6" t="n">
        <v>9</v>
      </c>
      <c r="E47" s="6"/>
      <c r="F47" s="6"/>
      <c r="G47" s="6" t="n">
        <v>1</v>
      </c>
      <c r="H47" s="6" t="n">
        <v>56</v>
      </c>
      <c r="I47" s="6" t="n">
        <v>2</v>
      </c>
      <c r="J47" s="6" t="n">
        <v>6.5</v>
      </c>
      <c r="K47" s="6"/>
      <c r="L47" s="6"/>
      <c r="M47" s="6"/>
    </row>
    <row r="48" customFormat="false" ht="15.75" hidden="false" customHeight="false" outlineLevel="0" collapsed="false">
      <c r="A48" s="0" t="s">
        <v>54</v>
      </c>
      <c r="B48" s="1" t="n">
        <v>43908</v>
      </c>
      <c r="C48" s="6" t="n">
        <v>72</v>
      </c>
      <c r="D48" s="6" t="n">
        <v>15</v>
      </c>
      <c r="E48" s="6"/>
      <c r="F48" s="6"/>
      <c r="G48" s="6" t="n">
        <v>1</v>
      </c>
      <c r="H48" s="6" t="n">
        <v>71</v>
      </c>
      <c r="I48" s="6" t="n">
        <v>4</v>
      </c>
      <c r="J48" s="6" t="n">
        <v>8.2</v>
      </c>
      <c r="K48" s="6"/>
      <c r="L48" s="6"/>
      <c r="M48" s="6"/>
    </row>
    <row r="49" customFormat="false" ht="15.75" hidden="false" customHeight="false" outlineLevel="0" collapsed="false">
      <c r="A49" s="0" t="s">
        <v>54</v>
      </c>
      <c r="B49" s="1" t="n">
        <v>43909</v>
      </c>
      <c r="C49" s="6" t="n">
        <v>89</v>
      </c>
      <c r="D49" s="6" t="n">
        <v>17</v>
      </c>
      <c r="E49" s="6"/>
      <c r="F49" s="6"/>
      <c r="G49" s="6" t="n">
        <v>1</v>
      </c>
      <c r="H49" s="6" t="n">
        <v>88</v>
      </c>
      <c r="I49" s="6" t="n">
        <v>4</v>
      </c>
      <c r="J49" s="6" t="n">
        <v>10</v>
      </c>
      <c r="K49" s="6"/>
      <c r="L49" s="6"/>
      <c r="M49" s="6"/>
    </row>
    <row r="50" customFormat="false" ht="15.75" hidden="false" customHeight="false" outlineLevel="0" collapsed="false">
      <c r="A50" s="0" t="s">
        <v>54</v>
      </c>
      <c r="B50" s="1" t="n">
        <v>43910</v>
      </c>
      <c r="C50" s="6" t="n">
        <v>103</v>
      </c>
      <c r="D50" s="6" t="n">
        <v>14</v>
      </c>
      <c r="E50" s="6"/>
      <c r="F50" s="6"/>
      <c r="G50" s="6" t="n">
        <v>1</v>
      </c>
      <c r="H50" s="6" t="n">
        <v>102</v>
      </c>
      <c r="I50" s="6" t="n">
        <v>4</v>
      </c>
      <c r="J50" s="6" t="n">
        <v>12</v>
      </c>
      <c r="K50" s="6"/>
      <c r="L50" s="6"/>
      <c r="M50" s="6"/>
    </row>
    <row r="51" customFormat="false" ht="15.75" hidden="false" customHeight="false" outlineLevel="0" collapsed="false">
      <c r="A51" s="0" t="s">
        <v>54</v>
      </c>
      <c r="B51" s="1" t="n">
        <v>43911</v>
      </c>
      <c r="C51" s="6" t="n">
        <v>149</v>
      </c>
      <c r="D51" s="6" t="n">
        <v>46</v>
      </c>
      <c r="E51" s="6" t="n">
        <v>1</v>
      </c>
      <c r="F51" s="6"/>
      <c r="G51" s="6" t="n">
        <v>2</v>
      </c>
      <c r="H51" s="6" t="n">
        <v>146</v>
      </c>
      <c r="I51" s="6" t="n">
        <v>4</v>
      </c>
      <c r="J51" s="6" t="n">
        <v>17</v>
      </c>
      <c r="K51" s="6"/>
      <c r="L51" s="6"/>
      <c r="M51" s="6"/>
    </row>
    <row r="52" customFormat="false" ht="15.75" hidden="false" customHeight="false" outlineLevel="0" collapsed="false">
      <c r="A52" s="0" t="s">
        <v>54</v>
      </c>
      <c r="B52" s="1" t="n">
        <v>43912</v>
      </c>
      <c r="C52" s="6" t="n">
        <v>171</v>
      </c>
      <c r="D52" s="6" t="n">
        <v>22</v>
      </c>
      <c r="E52" s="6" t="n">
        <v>1</v>
      </c>
      <c r="F52" s="6"/>
      <c r="G52" s="6" t="n">
        <v>2</v>
      </c>
      <c r="H52" s="6" t="n">
        <v>168</v>
      </c>
      <c r="I52" s="6" t="n">
        <v>4</v>
      </c>
      <c r="J52" s="6" t="n">
        <v>20</v>
      </c>
      <c r="K52" s="6"/>
      <c r="L52" s="6"/>
      <c r="M52" s="6"/>
    </row>
    <row r="53" customFormat="false" ht="15.75" hidden="false" customHeight="false" outlineLevel="0" collapsed="false">
      <c r="A53" s="0" t="s">
        <v>54</v>
      </c>
      <c r="B53" s="1" t="n">
        <v>43913</v>
      </c>
      <c r="C53" s="6" t="n">
        <v>222</v>
      </c>
      <c r="D53" s="6" t="n">
        <v>51</v>
      </c>
      <c r="E53" s="6" t="n">
        <v>2</v>
      </c>
      <c r="F53" s="6" t="n">
        <v>1</v>
      </c>
      <c r="G53" s="6" t="n">
        <v>2</v>
      </c>
      <c r="H53" s="6" t="n">
        <v>218</v>
      </c>
      <c r="I53" s="6" t="n">
        <v>4</v>
      </c>
      <c r="J53" s="6" t="n">
        <v>25</v>
      </c>
      <c r="K53" s="6"/>
      <c r="L53" s="6"/>
      <c r="M53" s="6"/>
    </row>
    <row r="54" customFormat="false" ht="15.75" hidden="false" customHeight="false" outlineLevel="0" collapsed="false">
      <c r="A54" s="0" t="s">
        <v>54</v>
      </c>
      <c r="B54" s="1" t="n">
        <v>43914</v>
      </c>
      <c r="C54" s="6" t="n">
        <v>249</v>
      </c>
      <c r="D54" s="6" t="n">
        <v>27</v>
      </c>
      <c r="E54" s="6" t="n">
        <v>3</v>
      </c>
      <c r="F54" s="6" t="n">
        <v>1</v>
      </c>
      <c r="G54" s="6" t="n">
        <v>3</v>
      </c>
      <c r="H54" s="6" t="n">
        <v>243</v>
      </c>
      <c r="I54" s="6" t="n">
        <v>12</v>
      </c>
      <c r="J54" s="6" t="n">
        <v>28</v>
      </c>
      <c r="K54" s="6"/>
      <c r="L54" s="6"/>
      <c r="M54" s="6"/>
    </row>
    <row r="55" customFormat="false" ht="15.75" hidden="false" customHeight="false" outlineLevel="0" collapsed="false">
      <c r="A55" s="0" t="s">
        <v>54</v>
      </c>
      <c r="B55" s="1" t="n">
        <v>43915</v>
      </c>
      <c r="C55" s="7" t="n">
        <v>303</v>
      </c>
      <c r="D55" s="7" t="n">
        <v>54</v>
      </c>
      <c r="E55" s="7" t="n">
        <v>3</v>
      </c>
      <c r="F55" s="7"/>
      <c r="G55" s="7" t="n">
        <v>15</v>
      </c>
      <c r="H55" s="7" t="n">
        <v>285</v>
      </c>
      <c r="I55" s="7" t="n">
        <v>21</v>
      </c>
      <c r="J55" s="7" t="n">
        <v>35</v>
      </c>
      <c r="K55" s="10" t="n">
        <v>0.3</v>
      </c>
      <c r="L55" s="7"/>
      <c r="M55" s="7"/>
    </row>
    <row r="56" customFormat="false" ht="15.75" hidden="false" customHeight="false" outlineLevel="0" collapsed="false">
      <c r="A56" s="0" t="s">
        <v>54</v>
      </c>
      <c r="B56" s="1" t="n">
        <v>43916</v>
      </c>
      <c r="C56" s="7" t="n">
        <v>384</v>
      </c>
      <c r="D56" s="7" t="n">
        <v>81</v>
      </c>
      <c r="E56" s="7" t="n">
        <v>4</v>
      </c>
      <c r="F56" s="7" t="n">
        <v>1</v>
      </c>
      <c r="G56" s="7" t="n">
        <v>15</v>
      </c>
      <c r="H56" s="7" t="n">
        <v>365</v>
      </c>
      <c r="I56" s="7" t="n">
        <v>21</v>
      </c>
      <c r="J56" s="7" t="n">
        <v>44</v>
      </c>
      <c r="K56" s="10" t="n">
        <v>0.5</v>
      </c>
      <c r="L56" s="7"/>
      <c r="M56" s="7"/>
    </row>
    <row r="57" customFormat="false" ht="15.75" hidden="false" customHeight="false" outlineLevel="0" collapsed="false">
      <c r="A57" s="0" t="s">
        <v>54</v>
      </c>
      <c r="B57" s="1" t="n">
        <v>43917</v>
      </c>
      <c r="C57" s="7" t="n">
        <v>457</v>
      </c>
      <c r="D57" s="7" t="n">
        <v>73</v>
      </c>
      <c r="E57" s="7" t="n">
        <v>7</v>
      </c>
      <c r="F57" s="7" t="n">
        <v>3</v>
      </c>
      <c r="G57" s="7" t="n">
        <v>15</v>
      </c>
      <c r="H57" s="7" t="n">
        <v>435</v>
      </c>
      <c r="I57" s="7" t="n">
        <v>21</v>
      </c>
      <c r="J57" s="7" t="n">
        <v>52</v>
      </c>
      <c r="K57" s="10" t="n">
        <v>0.8</v>
      </c>
      <c r="L57" s="7"/>
      <c r="M57" s="7"/>
    </row>
    <row r="58" customFormat="false" ht="15.75" hidden="false" customHeight="false" outlineLevel="0" collapsed="false">
      <c r="A58" s="0" t="s">
        <v>54</v>
      </c>
      <c r="B58" s="1" t="n">
        <v>43918</v>
      </c>
      <c r="C58" s="7" t="n">
        <v>528</v>
      </c>
      <c r="D58" s="7" t="n">
        <v>71</v>
      </c>
      <c r="E58" s="7" t="n">
        <v>8</v>
      </c>
      <c r="F58" s="7" t="n">
        <v>1</v>
      </c>
      <c r="G58" s="7" t="n">
        <v>42</v>
      </c>
      <c r="H58" s="7" t="n">
        <v>478</v>
      </c>
      <c r="I58" s="7" t="n">
        <v>25</v>
      </c>
      <c r="J58" s="7" t="n">
        <v>60</v>
      </c>
      <c r="K58" s="10" t="n">
        <v>0.9</v>
      </c>
      <c r="M58" s="7"/>
    </row>
    <row r="59" customFormat="false" ht="15.75" hidden="false" customHeight="false" outlineLevel="0" collapsed="false">
      <c r="A59" s="0" t="s">
        <v>54</v>
      </c>
      <c r="B59" s="1" t="n">
        <v>43919</v>
      </c>
      <c r="C59" s="7" t="n">
        <v>659</v>
      </c>
      <c r="D59" s="7" t="n">
        <v>131</v>
      </c>
      <c r="E59" s="7" t="n">
        <v>10</v>
      </c>
      <c r="F59" s="7" t="n">
        <v>2</v>
      </c>
      <c r="G59" s="7" t="n">
        <v>42</v>
      </c>
      <c r="H59" s="7" t="n">
        <v>607</v>
      </c>
      <c r="I59" s="7" t="n">
        <v>25</v>
      </c>
      <c r="J59" s="7" t="n">
        <v>75</v>
      </c>
      <c r="K59" s="7" t="n">
        <v>1</v>
      </c>
      <c r="M59" s="7"/>
    </row>
    <row r="60" customFormat="false" ht="15.75" hidden="false" customHeight="false" outlineLevel="0" collapsed="false">
      <c r="A60" s="0" t="s">
        <v>54</v>
      </c>
      <c r="B60" s="1" t="n">
        <v>43920</v>
      </c>
      <c r="C60" s="7" t="n">
        <v>741</v>
      </c>
      <c r="D60" s="7" t="n">
        <v>82</v>
      </c>
      <c r="E60" s="7" t="n">
        <v>13</v>
      </c>
      <c r="F60" s="7" t="n">
        <v>3</v>
      </c>
      <c r="G60" s="7" t="n">
        <v>42</v>
      </c>
      <c r="H60" s="7" t="n">
        <v>686</v>
      </c>
      <c r="I60" s="7" t="n">
        <v>25</v>
      </c>
      <c r="J60" s="7" t="n">
        <v>85</v>
      </c>
      <c r="K60" s="7" t="n">
        <v>1</v>
      </c>
      <c r="M60" s="7"/>
    </row>
    <row r="61" customFormat="false" ht="15.75" hidden="false" customHeight="false" outlineLevel="0" collapsed="false">
      <c r="A61" s="0" t="s">
        <v>54</v>
      </c>
      <c r="B61" s="1" t="n">
        <v>43921</v>
      </c>
      <c r="C61" s="7" t="n">
        <v>785</v>
      </c>
      <c r="D61" s="7" t="n">
        <v>44</v>
      </c>
      <c r="E61" s="7" t="n">
        <v>16</v>
      </c>
      <c r="F61" s="7" t="n">
        <v>3</v>
      </c>
      <c r="G61" s="7" t="n">
        <v>42</v>
      </c>
      <c r="H61" s="7" t="n">
        <v>727</v>
      </c>
      <c r="I61" s="7" t="n">
        <v>62</v>
      </c>
      <c r="J61" s="7" t="n">
        <v>90</v>
      </c>
      <c r="K61" s="7" t="n">
        <v>2</v>
      </c>
      <c r="M61" s="7"/>
    </row>
    <row r="62" customFormat="false" ht="15.75" hidden="false" customHeight="false" outlineLevel="0" collapsed="false">
      <c r="A62" s="0" t="s">
        <v>54</v>
      </c>
      <c r="B62" s="1" t="n">
        <v>43922</v>
      </c>
      <c r="C62" s="7" t="n">
        <v>900</v>
      </c>
      <c r="D62" s="7" t="n">
        <v>115</v>
      </c>
      <c r="E62" s="7" t="n">
        <v>23</v>
      </c>
      <c r="F62" s="7" t="n">
        <v>7</v>
      </c>
      <c r="G62" s="7" t="n">
        <v>42</v>
      </c>
      <c r="H62" s="7" t="n">
        <v>835</v>
      </c>
      <c r="I62" s="7" t="n">
        <v>62</v>
      </c>
      <c r="J62" s="7" t="n">
        <v>103</v>
      </c>
      <c r="K62" s="7" t="n">
        <v>3</v>
      </c>
      <c r="M62" s="7"/>
    </row>
    <row r="63" customFormat="false" ht="15.75" hidden="false" customHeight="false" outlineLevel="0" collapsed="false">
      <c r="A63" s="0" t="s">
        <v>54</v>
      </c>
      <c r="B63" s="1" t="n">
        <v>43923</v>
      </c>
      <c r="C63" s="7" t="n">
        <v>1060</v>
      </c>
      <c r="D63" s="7" t="n">
        <v>160</v>
      </c>
      <c r="E63" s="7" t="n">
        <v>28</v>
      </c>
      <c r="F63" s="7" t="n">
        <v>5</v>
      </c>
      <c r="G63" s="7" t="n">
        <v>42</v>
      </c>
      <c r="H63" s="7" t="n">
        <v>990</v>
      </c>
      <c r="I63" s="7" t="n">
        <v>62</v>
      </c>
      <c r="J63" s="7" t="n">
        <v>121</v>
      </c>
      <c r="K63" s="7" t="n">
        <v>3</v>
      </c>
      <c r="M63" s="7"/>
    </row>
    <row r="64" customFormat="false" ht="15.75" hidden="false" customHeight="false" outlineLevel="0" collapsed="false">
      <c r="A64" s="0" t="s">
        <v>54</v>
      </c>
      <c r="B64" s="1" t="n">
        <v>43924</v>
      </c>
      <c r="C64" s="7" t="n">
        <v>1171</v>
      </c>
      <c r="D64" s="7" t="n">
        <v>111</v>
      </c>
      <c r="E64" s="7" t="n">
        <v>31</v>
      </c>
      <c r="F64" s="7" t="n">
        <v>3</v>
      </c>
      <c r="G64" s="7" t="n">
        <v>42</v>
      </c>
      <c r="H64" s="7" t="n">
        <v>1098</v>
      </c>
      <c r="I64" s="7" t="n">
        <v>81</v>
      </c>
      <c r="J64" s="7" t="n">
        <v>134</v>
      </c>
      <c r="K64" s="7" t="n">
        <v>4</v>
      </c>
      <c r="M64" s="7"/>
    </row>
    <row r="65" customFormat="false" ht="15.75" hidden="false" customHeight="false" outlineLevel="0" collapsed="false">
      <c r="A65" s="0" t="s">
        <v>54</v>
      </c>
      <c r="B65" s="1" t="n">
        <v>43925</v>
      </c>
      <c r="C65" s="7" t="n">
        <v>1476</v>
      </c>
      <c r="D65" s="7" t="n">
        <v>305</v>
      </c>
      <c r="E65" s="7" t="n">
        <v>39</v>
      </c>
      <c r="F65" s="7" t="n">
        <v>8</v>
      </c>
      <c r="G65" s="7" t="n">
        <v>54</v>
      </c>
      <c r="H65" s="7" t="n">
        <v>1383</v>
      </c>
      <c r="I65" s="7" t="n">
        <v>81</v>
      </c>
      <c r="J65" s="7" t="n">
        <v>169</v>
      </c>
      <c r="K65" s="7" t="n">
        <v>4</v>
      </c>
      <c r="M65" s="7"/>
    </row>
    <row r="66" customFormat="false" ht="15.75" hidden="false" customHeight="false" outlineLevel="0" collapsed="false">
      <c r="A66" s="0" t="s">
        <v>54</v>
      </c>
      <c r="B66" s="1" t="n">
        <v>43926</v>
      </c>
      <c r="C66" s="7" t="n">
        <v>1624</v>
      </c>
      <c r="D66" s="7" t="n">
        <v>148</v>
      </c>
      <c r="E66" s="7" t="n">
        <v>44</v>
      </c>
      <c r="F66" s="7" t="n">
        <v>5</v>
      </c>
      <c r="G66" s="7" t="n">
        <v>54</v>
      </c>
      <c r="H66" s="7" t="n">
        <v>1526</v>
      </c>
      <c r="I66" s="7" t="n">
        <v>89</v>
      </c>
      <c r="J66" s="7" t="n">
        <v>186</v>
      </c>
      <c r="K66" s="7" t="n">
        <v>5</v>
      </c>
      <c r="L66" s="7" t="n">
        <v>6401</v>
      </c>
      <c r="M66" s="7" t="n">
        <v>733</v>
      </c>
    </row>
    <row r="67" customFormat="false" ht="15.75" hidden="false" customHeight="false" outlineLevel="0" collapsed="false">
      <c r="A67" s="0" t="s">
        <v>54</v>
      </c>
      <c r="B67" s="1" t="n">
        <v>43927</v>
      </c>
      <c r="C67" s="7" t="n">
        <v>1908</v>
      </c>
      <c r="D67" s="7" t="n">
        <v>284</v>
      </c>
      <c r="E67" s="7" t="n">
        <v>51</v>
      </c>
      <c r="F67" s="7" t="n">
        <v>7</v>
      </c>
      <c r="G67" s="7" t="n">
        <v>54</v>
      </c>
      <c r="H67" s="7" t="n">
        <v>1803</v>
      </c>
      <c r="I67" s="7" t="n">
        <v>98</v>
      </c>
      <c r="J67" s="7" t="n">
        <v>218</v>
      </c>
      <c r="K67" s="7" t="n">
        <v>6</v>
      </c>
      <c r="L67" s="7" t="n">
        <v>7360</v>
      </c>
      <c r="M67" s="7" t="n">
        <v>842</v>
      </c>
    </row>
    <row r="68" customFormat="false" ht="15.75" hidden="false" customHeight="false" outlineLevel="0" collapsed="false">
      <c r="A68" s="0" t="s">
        <v>54</v>
      </c>
      <c r="B68" s="1" t="n">
        <v>43928</v>
      </c>
      <c r="C68" s="12" t="n">
        <v>2200</v>
      </c>
      <c r="D68" s="12" t="n">
        <v>292</v>
      </c>
      <c r="E68" s="12" t="n">
        <v>58</v>
      </c>
      <c r="F68" s="12" t="n">
        <v>7</v>
      </c>
      <c r="G68" s="12" t="n">
        <v>118</v>
      </c>
      <c r="H68" s="12" t="n">
        <v>2024</v>
      </c>
      <c r="I68" s="12" t="n">
        <v>101</v>
      </c>
      <c r="J68" s="12" t="n">
        <v>252</v>
      </c>
      <c r="K68" s="12" t="n">
        <v>7</v>
      </c>
      <c r="L68" s="12" t="n">
        <v>8552</v>
      </c>
      <c r="M68" s="12" t="n">
        <v>979</v>
      </c>
    </row>
    <row r="69" customFormat="false" ht="15.75" hidden="false" customHeight="false" outlineLevel="0" collapsed="false">
      <c r="A69" s="0" t="s">
        <v>54</v>
      </c>
      <c r="B69" s="1" t="n">
        <v>43929</v>
      </c>
      <c r="C69" s="14" t="n">
        <v>2447</v>
      </c>
      <c r="D69" s="14" t="n">
        <v>247</v>
      </c>
      <c r="E69" s="14" t="n">
        <v>61</v>
      </c>
      <c r="F69" s="14" t="n">
        <v>3</v>
      </c>
      <c r="G69" s="14" t="n">
        <v>118</v>
      </c>
      <c r="H69" s="14" t="n">
        <v>2268</v>
      </c>
      <c r="I69" s="14" t="n">
        <v>109</v>
      </c>
      <c r="J69" s="14" t="n">
        <v>280</v>
      </c>
      <c r="K69" s="14" t="n">
        <v>7</v>
      </c>
      <c r="L69" s="14" t="n">
        <v>9626</v>
      </c>
      <c r="M69" s="14" t="n">
        <v>1102</v>
      </c>
    </row>
    <row r="70" customFormat="false" ht="15.75" hidden="false" customHeight="false" outlineLevel="0" collapsed="false">
      <c r="A70" s="0" t="s">
        <v>54</v>
      </c>
      <c r="B70" s="1" t="n">
        <v>43930</v>
      </c>
      <c r="C70" s="14" t="n">
        <v>2666</v>
      </c>
      <c r="D70" s="14" t="n">
        <v>219</v>
      </c>
      <c r="E70" s="14" t="n">
        <v>65</v>
      </c>
      <c r="F70" s="14" t="n">
        <v>4</v>
      </c>
      <c r="G70" s="14" t="n">
        <v>118</v>
      </c>
      <c r="H70" s="14" t="n">
        <v>2483</v>
      </c>
      <c r="I70" s="14" t="n">
        <v>112</v>
      </c>
      <c r="J70" s="14" t="n">
        <v>305</v>
      </c>
      <c r="K70" s="14" t="n">
        <v>7</v>
      </c>
      <c r="L70" s="14" t="n">
        <v>10761</v>
      </c>
      <c r="M70" s="14" t="n">
        <v>1232</v>
      </c>
    </row>
    <row r="71" customFormat="false" ht="15.75" hidden="false" customHeight="false" outlineLevel="0" collapsed="false">
      <c r="A71" s="0" t="s">
        <v>54</v>
      </c>
      <c r="B71" s="1" t="n">
        <v>43931</v>
      </c>
      <c r="C71" s="14" t="n">
        <v>2867</v>
      </c>
      <c r="D71" s="14" t="n">
        <v>201</v>
      </c>
      <c r="E71" s="14" t="n">
        <v>66</v>
      </c>
      <c r="F71" s="14" t="n">
        <v>1</v>
      </c>
      <c r="G71" s="14" t="n">
        <v>118</v>
      </c>
      <c r="H71" s="14" t="n">
        <v>2683</v>
      </c>
      <c r="I71" s="14" t="n">
        <v>127</v>
      </c>
      <c r="J71" s="14" t="n">
        <v>328</v>
      </c>
      <c r="K71" s="14" t="n">
        <v>8</v>
      </c>
      <c r="L71" s="14" t="n">
        <v>12347</v>
      </c>
      <c r="M71" s="14" t="n">
        <v>1413</v>
      </c>
    </row>
    <row r="72" customFormat="false" ht="15.75" hidden="false" customHeight="false" outlineLevel="0" collapsed="false">
      <c r="A72" s="0" t="s">
        <v>54</v>
      </c>
      <c r="B72" s="1" t="n">
        <v>43932</v>
      </c>
      <c r="C72" s="14" t="n">
        <v>3105</v>
      </c>
      <c r="D72" s="14" t="n">
        <v>238</v>
      </c>
      <c r="E72" s="14" t="n">
        <v>71</v>
      </c>
      <c r="F72" s="14" t="n">
        <v>5</v>
      </c>
      <c r="G72" s="14" t="n">
        <v>118</v>
      </c>
      <c r="H72" s="14" t="n">
        <v>2916</v>
      </c>
      <c r="I72" s="14" t="n">
        <v>136</v>
      </c>
      <c r="J72" s="14" t="n">
        <v>355</v>
      </c>
      <c r="K72" s="14" t="n">
        <v>8</v>
      </c>
      <c r="L72" s="14" t="n">
        <v>14240</v>
      </c>
      <c r="M72" s="14" t="n">
        <v>1630</v>
      </c>
    </row>
    <row r="73" customFormat="false" ht="15.75" hidden="false" customHeight="false" outlineLevel="0" collapsed="false">
      <c r="A73" s="0" t="s">
        <v>54</v>
      </c>
      <c r="B73" s="1" t="n">
        <v>43933</v>
      </c>
      <c r="C73" s="14" t="n">
        <v>3380</v>
      </c>
      <c r="D73" s="14" t="n">
        <v>275</v>
      </c>
      <c r="E73" s="14" t="n">
        <v>74</v>
      </c>
      <c r="F73" s="14" t="n">
        <v>3</v>
      </c>
      <c r="G73" s="14" t="n">
        <v>118</v>
      </c>
      <c r="H73" s="14" t="n">
        <v>3188</v>
      </c>
      <c r="I73" s="14" t="n">
        <v>145</v>
      </c>
      <c r="J73" s="14" t="n">
        <v>387</v>
      </c>
      <c r="K73" s="14" t="n">
        <v>8</v>
      </c>
      <c r="L73" s="14" t="n">
        <v>16399</v>
      </c>
      <c r="M73" s="14" t="n">
        <v>1877</v>
      </c>
    </row>
    <row r="74" customFormat="false" ht="15.75" hidden="false" customHeight="false" outlineLevel="0" collapsed="false">
      <c r="A74" s="0" t="s">
        <v>54</v>
      </c>
      <c r="B74" s="1" t="n">
        <v>43934</v>
      </c>
      <c r="C74" s="14" t="n">
        <v>3630</v>
      </c>
      <c r="D74" s="14" t="n">
        <v>250</v>
      </c>
      <c r="E74" s="14" t="n">
        <v>80</v>
      </c>
      <c r="F74" s="14" t="n">
        <v>6</v>
      </c>
      <c r="G74" s="14" t="n">
        <v>400</v>
      </c>
      <c r="H74" s="14" t="n">
        <v>3150</v>
      </c>
      <c r="I74" s="14" t="n">
        <v>146</v>
      </c>
      <c r="J74" s="14" t="n">
        <v>415</v>
      </c>
      <c r="K74" s="14" t="n">
        <v>9</v>
      </c>
      <c r="L74" s="14" t="n">
        <v>18312</v>
      </c>
      <c r="M74" s="14" t="n">
        <v>2096</v>
      </c>
    </row>
    <row r="75" customFormat="false" ht="15.75" hidden="false" customHeight="false" outlineLevel="0" collapsed="false">
      <c r="A75" s="0" t="s">
        <v>54</v>
      </c>
      <c r="B75" s="1" t="n">
        <v>43935</v>
      </c>
      <c r="C75" s="14" t="n">
        <v>4054</v>
      </c>
      <c r="D75" s="14" t="n">
        <v>424</v>
      </c>
      <c r="E75" s="14" t="n">
        <v>85</v>
      </c>
      <c r="F75" s="14" t="n">
        <v>5</v>
      </c>
      <c r="G75" s="14" t="n">
        <v>400</v>
      </c>
      <c r="H75" s="14" t="n">
        <v>3569</v>
      </c>
      <c r="I75" s="14" t="n">
        <v>138</v>
      </c>
      <c r="J75" s="14" t="n">
        <v>464</v>
      </c>
      <c r="K75" s="14" t="n">
        <v>10</v>
      </c>
      <c r="L75" s="14" t="n">
        <v>20958</v>
      </c>
      <c r="M75" s="14" t="n">
        <v>2399</v>
      </c>
    </row>
    <row r="76" customFormat="false" ht="15.75" hidden="false" customHeight="false" outlineLevel="0" collapsed="false">
      <c r="A76" s="0" t="s">
        <v>54</v>
      </c>
      <c r="B76" s="1" t="n">
        <v>43936</v>
      </c>
      <c r="C76" s="14" t="n">
        <v>4465</v>
      </c>
      <c r="D76" s="14" t="n">
        <v>411</v>
      </c>
      <c r="E76" s="14" t="n">
        <v>94</v>
      </c>
      <c r="F76" s="14" t="n">
        <v>9</v>
      </c>
      <c r="G76" s="14" t="n">
        <v>400</v>
      </c>
      <c r="H76" s="14" t="n">
        <v>3971</v>
      </c>
      <c r="I76" s="14" t="n">
        <v>131</v>
      </c>
      <c r="J76" s="14" t="n">
        <v>511</v>
      </c>
      <c r="K76" s="14" t="n">
        <v>11</v>
      </c>
      <c r="L76" s="14" t="n">
        <v>23398</v>
      </c>
      <c r="M76" s="14" t="n">
        <v>2678</v>
      </c>
    </row>
    <row r="77" customFormat="false" ht="15.75" hidden="false" customHeight="false" outlineLevel="0" collapsed="false">
      <c r="A77" s="0" t="s">
        <v>54</v>
      </c>
      <c r="B77" s="1" t="n">
        <v>43937</v>
      </c>
      <c r="C77" s="14" t="n">
        <v>4873</v>
      </c>
      <c r="D77" s="14" t="n">
        <v>408</v>
      </c>
      <c r="E77" s="14" t="n">
        <v>99</v>
      </c>
      <c r="F77" s="14" t="n">
        <v>5</v>
      </c>
      <c r="G77" s="14" t="n">
        <v>400</v>
      </c>
      <c r="H77" s="14" t="n">
        <v>4374</v>
      </c>
      <c r="I77" s="14" t="n">
        <v>128</v>
      </c>
      <c r="J77" s="14" t="n">
        <v>558</v>
      </c>
      <c r="K77" s="14" t="n">
        <v>11</v>
      </c>
      <c r="L77" s="14" t="n">
        <v>26278</v>
      </c>
      <c r="M77" s="14" t="n">
        <v>3008</v>
      </c>
    </row>
    <row r="78" customFormat="false" ht="15.75" hidden="false" customHeight="false" outlineLevel="0" collapsed="false">
      <c r="A78" s="0" t="s">
        <v>54</v>
      </c>
      <c r="B78" s="1" t="n">
        <v>43938</v>
      </c>
      <c r="C78" s="14" t="n">
        <v>5318</v>
      </c>
      <c r="D78" s="14" t="n">
        <v>445</v>
      </c>
      <c r="E78" s="14" t="n">
        <v>103</v>
      </c>
      <c r="F78" s="14" t="n">
        <v>4</v>
      </c>
      <c r="G78" s="14" t="n">
        <v>443</v>
      </c>
      <c r="H78" s="14" t="n">
        <v>4772</v>
      </c>
      <c r="I78" s="14" t="n">
        <v>120</v>
      </c>
      <c r="J78" s="14" t="n">
        <v>609</v>
      </c>
      <c r="K78" s="14" t="n">
        <v>12</v>
      </c>
      <c r="L78" s="14" t="n">
        <v>29472</v>
      </c>
      <c r="M78" s="14" t="n">
        <v>3373</v>
      </c>
    </row>
    <row r="79" customFormat="false" ht="15.75" hidden="false" customHeight="false" outlineLevel="0" collapsed="false">
      <c r="A79" s="0" t="s">
        <v>54</v>
      </c>
      <c r="B79" s="1" t="n">
        <v>43939</v>
      </c>
      <c r="C79" s="14" t="n">
        <v>5690</v>
      </c>
      <c r="D79" s="14" t="n">
        <v>372</v>
      </c>
      <c r="E79" s="14" t="n">
        <v>110</v>
      </c>
      <c r="F79" s="14" t="n">
        <v>7</v>
      </c>
      <c r="G79" s="14" t="n">
        <v>534</v>
      </c>
      <c r="H79" s="14" t="n">
        <v>5046</v>
      </c>
      <c r="I79" s="14" t="n">
        <v>120</v>
      </c>
      <c r="J79" s="14" t="n">
        <v>651</v>
      </c>
      <c r="K79" s="14" t="n">
        <v>13</v>
      </c>
      <c r="L79" s="14" t="n">
        <v>32566</v>
      </c>
      <c r="M79" s="14" t="n">
        <v>3727</v>
      </c>
    </row>
    <row r="80" customFormat="false" ht="15.75" hidden="false" customHeight="false" outlineLevel="0" collapsed="false">
      <c r="A80" s="0" t="s">
        <v>54</v>
      </c>
      <c r="B80" s="1" t="n">
        <v>43940</v>
      </c>
      <c r="C80" s="14" t="n">
        <v>5994</v>
      </c>
      <c r="D80" s="14" t="n">
        <v>304</v>
      </c>
      <c r="E80" s="14" t="n">
        <v>117</v>
      </c>
      <c r="F80" s="14" t="n">
        <v>7</v>
      </c>
      <c r="G80" s="14" t="n">
        <v>637</v>
      </c>
      <c r="H80" s="14" t="n">
        <v>5240</v>
      </c>
      <c r="I80" s="14" t="n">
        <v>126</v>
      </c>
      <c r="J80" s="14" t="n">
        <v>686</v>
      </c>
      <c r="K80" s="14" t="n">
        <v>13</v>
      </c>
      <c r="L80" s="14" t="n">
        <v>36028</v>
      </c>
      <c r="M80" s="14" t="n">
        <v>4123</v>
      </c>
    </row>
    <row r="81" customFormat="false" ht="15.75" hidden="false" customHeight="false" outlineLevel="0" collapsed="false">
      <c r="A81" s="0" t="s">
        <v>54</v>
      </c>
      <c r="B81" s="1" t="n">
        <v>43941</v>
      </c>
      <c r="C81" s="14" t="n">
        <v>6318</v>
      </c>
      <c r="D81" s="14" t="n">
        <v>324</v>
      </c>
      <c r="E81" s="14" t="n">
        <v>122</v>
      </c>
      <c r="F81" s="14" t="n">
        <v>5</v>
      </c>
      <c r="G81" s="14" t="n">
        <v>753</v>
      </c>
      <c r="H81" s="14" t="n">
        <v>5443</v>
      </c>
      <c r="I81" s="14" t="n">
        <v>120</v>
      </c>
      <c r="J81" s="14" t="n">
        <v>723</v>
      </c>
      <c r="K81" s="14" t="n">
        <v>14</v>
      </c>
      <c r="L81" s="14" t="n">
        <v>38701</v>
      </c>
      <c r="M81" s="14" t="n">
        <v>4429</v>
      </c>
    </row>
    <row r="82" customFormat="false" ht="15.75" hidden="false" customHeight="false" outlineLevel="0" collapsed="false">
      <c r="A82" s="0" t="s">
        <v>54</v>
      </c>
      <c r="B82" s="1" t="n">
        <v>43942</v>
      </c>
      <c r="C82" s="6" t="n">
        <v>6630</v>
      </c>
      <c r="D82" s="6" t="n">
        <v>312</v>
      </c>
      <c r="E82" s="6" t="n">
        <v>125</v>
      </c>
      <c r="F82" s="6" t="n">
        <v>3</v>
      </c>
      <c r="G82" s="6" t="n">
        <v>870</v>
      </c>
      <c r="H82" s="6" t="n">
        <v>5635</v>
      </c>
      <c r="I82" s="6" t="n">
        <v>108</v>
      </c>
      <c r="J82" s="6" t="n">
        <v>759</v>
      </c>
      <c r="K82" s="6" t="n">
        <v>14</v>
      </c>
      <c r="L82" s="6" t="n">
        <v>41812</v>
      </c>
      <c r="M82" s="6" t="n">
        <v>4785</v>
      </c>
    </row>
    <row r="83" customFormat="false" ht="15.75" hidden="false" customHeight="false" outlineLevel="0" collapsed="false">
      <c r="A83" s="0" t="s">
        <v>54</v>
      </c>
      <c r="B83" s="1" t="n">
        <v>43943</v>
      </c>
      <c r="C83" s="6" t="n">
        <v>6890</v>
      </c>
      <c r="D83" s="6" t="n">
        <v>260</v>
      </c>
      <c r="E83" s="6" t="n">
        <v>130</v>
      </c>
      <c r="F83" s="6" t="n">
        <v>5</v>
      </c>
      <c r="G83" s="6" t="n">
        <v>977</v>
      </c>
      <c r="H83" s="6" t="n">
        <v>5783</v>
      </c>
      <c r="I83" s="6" t="n">
        <v>101</v>
      </c>
      <c r="J83" s="6" t="n">
        <v>789</v>
      </c>
      <c r="K83" s="6" t="n">
        <v>15</v>
      </c>
      <c r="L83" s="6" t="n">
        <v>45355</v>
      </c>
      <c r="M83" s="6" t="n">
        <v>5191</v>
      </c>
    </row>
    <row r="84" customFormat="false" ht="15.75" hidden="false" customHeight="false" outlineLevel="0" collapsed="false">
      <c r="A84" s="0" t="s">
        <v>54</v>
      </c>
      <c r="B84" s="1" t="n">
        <v>43944</v>
      </c>
      <c r="C84" s="6" t="n">
        <v>7114</v>
      </c>
      <c r="D84" s="6" t="n">
        <v>224</v>
      </c>
      <c r="E84" s="6" t="n">
        <v>134</v>
      </c>
      <c r="F84" s="6" t="n">
        <v>4</v>
      </c>
      <c r="G84" s="6" t="n">
        <v>1025</v>
      </c>
      <c r="H84" s="6" t="n">
        <v>5955</v>
      </c>
      <c r="I84" s="6" t="n">
        <v>101</v>
      </c>
      <c r="J84" s="6" t="n">
        <v>814</v>
      </c>
      <c r="K84" s="6" t="n">
        <v>15</v>
      </c>
      <c r="L84" s="6" t="n">
        <v>48636</v>
      </c>
      <c r="M84" s="6" t="n">
        <v>5566</v>
      </c>
    </row>
    <row r="85" customFormat="false" ht="15.75" hidden="false" customHeight="false" outlineLevel="0" collapsed="false">
      <c r="A85" s="0" t="s">
        <v>54</v>
      </c>
      <c r="B85" s="1" t="n">
        <v>43945</v>
      </c>
      <c r="C85" s="6" t="n">
        <v>7276</v>
      </c>
      <c r="D85" s="6" t="n">
        <v>162</v>
      </c>
      <c r="E85" s="6" t="n">
        <v>139</v>
      </c>
      <c r="F85" s="6" t="n">
        <v>5</v>
      </c>
      <c r="G85" s="6" t="n">
        <v>1063</v>
      </c>
      <c r="H85" s="6" t="n">
        <v>6074</v>
      </c>
      <c r="I85" s="6" t="n">
        <v>96</v>
      </c>
      <c r="J85" s="6" t="n">
        <v>833</v>
      </c>
      <c r="K85" s="6" t="n">
        <v>16</v>
      </c>
      <c r="L85" s="6" t="n">
        <v>51324</v>
      </c>
      <c r="M85" s="6" t="n">
        <v>5874</v>
      </c>
    </row>
    <row r="86" customFormat="false" ht="15.75" hidden="false" customHeight="false" outlineLevel="0" collapsed="false">
      <c r="A86" s="0" t="s">
        <v>54</v>
      </c>
      <c r="B86" s="1" t="n">
        <v>43946</v>
      </c>
      <c r="C86" s="6" t="n">
        <v>7483</v>
      </c>
      <c r="D86" s="6" t="n">
        <v>207</v>
      </c>
      <c r="E86" s="6" t="n">
        <v>144</v>
      </c>
      <c r="F86" s="6" t="n">
        <v>5</v>
      </c>
      <c r="G86" s="6" t="n">
        <v>1094</v>
      </c>
      <c r="H86" s="6" t="n">
        <v>6245</v>
      </c>
      <c r="I86" s="6" t="n">
        <v>96</v>
      </c>
      <c r="J86" s="6" t="n">
        <v>856</v>
      </c>
      <c r="K86" s="6" t="n">
        <v>16</v>
      </c>
      <c r="L86" s="6" t="n">
        <v>54887</v>
      </c>
      <c r="M86" s="6" t="n">
        <v>6282</v>
      </c>
    </row>
    <row r="87" customFormat="false" ht="15.75" hidden="false" customHeight="false" outlineLevel="0" collapsed="false">
      <c r="A87" s="0" t="s">
        <v>54</v>
      </c>
      <c r="B87" s="1" t="n">
        <v>43947</v>
      </c>
      <c r="C87" s="6" t="n">
        <v>7779</v>
      </c>
      <c r="D87" s="6" t="n">
        <v>296</v>
      </c>
      <c r="E87" s="6" t="n">
        <v>151</v>
      </c>
      <c r="F87" s="6" t="n">
        <v>7</v>
      </c>
      <c r="G87" s="6" t="n">
        <v>1152</v>
      </c>
      <c r="H87" s="6" t="n">
        <v>6476</v>
      </c>
      <c r="I87" s="6" t="n">
        <v>91</v>
      </c>
      <c r="J87" s="6" t="n">
        <v>890</v>
      </c>
      <c r="K87" s="6" t="n">
        <v>17</v>
      </c>
      <c r="L87" s="6" t="n">
        <v>59938</v>
      </c>
      <c r="M87" s="6" t="n">
        <v>6860</v>
      </c>
    </row>
    <row r="88" customFormat="false" ht="15.75" hidden="false" customHeight="false" outlineLevel="0" collapsed="false">
      <c r="A88" s="0" t="s">
        <v>54</v>
      </c>
      <c r="B88" s="1" t="n">
        <v>43948</v>
      </c>
      <c r="C88" s="6" t="n">
        <v>8042</v>
      </c>
      <c r="D88" s="6" t="n">
        <v>263</v>
      </c>
      <c r="E88" s="6" t="n">
        <v>156</v>
      </c>
      <c r="F88" s="6" t="n">
        <v>5</v>
      </c>
      <c r="G88" s="6" t="n">
        <v>1182</v>
      </c>
      <c r="H88" s="6" t="n">
        <v>6704</v>
      </c>
      <c r="I88" s="6" t="n">
        <v>85</v>
      </c>
      <c r="J88" s="6" t="n">
        <v>920</v>
      </c>
      <c r="K88" s="6" t="n">
        <v>18</v>
      </c>
      <c r="L88" s="6" t="n">
        <v>64303</v>
      </c>
      <c r="M88" s="6" t="n">
        <v>7360</v>
      </c>
    </row>
    <row r="89" customFormat="false" ht="13.5" hidden="false" customHeight="false" outlineLevel="0" collapsed="false">
      <c r="A89" s="0" t="s">
        <v>54</v>
      </c>
      <c r="B89" s="1" t="n">
        <v>43949</v>
      </c>
      <c r="C89" s="2" t="n">
        <v>8275</v>
      </c>
      <c r="D89" s="2" t="n">
        <v>233</v>
      </c>
      <c r="E89" s="2" t="n">
        <v>162</v>
      </c>
      <c r="F89" s="2" t="n">
        <v>6</v>
      </c>
      <c r="G89" s="2" t="n">
        <v>1209</v>
      </c>
      <c r="H89" s="2" t="n">
        <v>6904</v>
      </c>
      <c r="I89" s="2" t="n">
        <v>85</v>
      </c>
      <c r="J89" s="2" t="n">
        <v>947</v>
      </c>
      <c r="K89" s="2" t="n">
        <v>19</v>
      </c>
      <c r="L89" s="2" t="n">
        <v>67917</v>
      </c>
      <c r="M89" s="2" t="n">
        <v>7773</v>
      </c>
    </row>
    <row r="90" customFormat="false" ht="13.5" hidden="false" customHeight="false" outlineLevel="0" collapsed="false">
      <c r="A90" s="0" t="s">
        <v>54</v>
      </c>
      <c r="B90" s="1" t="n">
        <v>43950</v>
      </c>
      <c r="C90" s="2" t="n">
        <v>8497</v>
      </c>
      <c r="D90" s="2" t="n">
        <v>222</v>
      </c>
      <c r="E90" s="2" t="n">
        <v>168</v>
      </c>
      <c r="F90" s="2" t="n">
        <v>6</v>
      </c>
      <c r="G90" s="2" t="n">
        <v>1260</v>
      </c>
      <c r="H90" s="2" t="n">
        <v>7069</v>
      </c>
      <c r="I90" s="2" t="n">
        <v>79</v>
      </c>
      <c r="J90" s="2" t="n">
        <v>972</v>
      </c>
      <c r="K90" s="2" t="n">
        <v>19</v>
      </c>
      <c r="L90" s="2" t="n">
        <v>73363</v>
      </c>
      <c r="M90" s="2" t="n">
        <v>8396</v>
      </c>
    </row>
    <row r="91" customFormat="false" ht="13.5" hidden="false" customHeight="false" outlineLevel="0" collapsed="false">
      <c r="A91" s="0" t="s">
        <v>54</v>
      </c>
      <c r="B91" s="1" t="n">
        <v>43951</v>
      </c>
      <c r="C91" s="2" t="n">
        <v>8724</v>
      </c>
      <c r="D91" s="2" t="n">
        <v>227</v>
      </c>
      <c r="E91" s="2" t="n">
        <v>173</v>
      </c>
      <c r="F91" s="2" t="n">
        <v>5</v>
      </c>
      <c r="G91" s="2" t="n">
        <v>1292</v>
      </c>
      <c r="H91" s="2" t="n">
        <v>7259</v>
      </c>
      <c r="I91" s="2" t="n">
        <v>78</v>
      </c>
      <c r="J91" s="2" t="n">
        <v>998</v>
      </c>
      <c r="K91" s="2" t="n">
        <v>20</v>
      </c>
      <c r="L91" s="2" t="n">
        <v>78942</v>
      </c>
      <c r="M91" s="2" t="n">
        <v>9035</v>
      </c>
    </row>
    <row r="92" customFormat="false" ht="14.25" hidden="false" customHeight="false" outlineLevel="0" collapsed="false">
      <c r="A92" s="0" t="s">
        <v>54</v>
      </c>
      <c r="B92" s="1" t="n">
        <v>43952</v>
      </c>
      <c r="C92" s="2" t="n">
        <v>9009</v>
      </c>
      <c r="D92" s="2" t="n">
        <v>285</v>
      </c>
      <c r="E92" s="2" t="n">
        <v>179</v>
      </c>
      <c r="F92" s="2" t="n">
        <v>6</v>
      </c>
      <c r="G92" s="2" t="n">
        <v>1343</v>
      </c>
      <c r="H92" s="2" t="n">
        <v>7487</v>
      </c>
      <c r="I92" s="2" t="n">
        <v>71</v>
      </c>
      <c r="J92" s="2" t="n">
        <v>1031</v>
      </c>
      <c r="K92" s="2" t="n">
        <v>20</v>
      </c>
      <c r="L92" s="2" t="n">
        <v>85645</v>
      </c>
      <c r="M92" s="2" t="n">
        <v>9802</v>
      </c>
    </row>
    <row r="93" customFormat="false" ht="15.75" hidden="false" customHeight="false" outlineLevel="0" collapsed="false">
      <c r="A93" s="0" t="s">
        <v>54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54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54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54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54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54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54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54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54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54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54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54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54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54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54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54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54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54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54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54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54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54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54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54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54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54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54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54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54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54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54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54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54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54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54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54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54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54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54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54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54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54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54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54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54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54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54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54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54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54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54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54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54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54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54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54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54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54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54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54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54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54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54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54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54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54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54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54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54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54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54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54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54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54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54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54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54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54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54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54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54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54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54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54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54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54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54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54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54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54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54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54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54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54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54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8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55</v>
      </c>
      <c r="B37" s="1" t="n">
        <v>43897</v>
      </c>
      <c r="C37" s="8" t="n">
        <v>0</v>
      </c>
      <c r="D37" s="8" t="n">
        <v>0</v>
      </c>
      <c r="E37" s="8" t="n">
        <v>0</v>
      </c>
      <c r="F37" s="8" t="n">
        <v>0</v>
      </c>
      <c r="G37" s="8"/>
      <c r="H37" s="8"/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55</v>
      </c>
      <c r="B38" s="1" t="n">
        <v>43898</v>
      </c>
      <c r="C38" s="6" t="n">
        <v>0</v>
      </c>
      <c r="D38" s="6" t="n">
        <v>0</v>
      </c>
      <c r="E38" s="6" t="n">
        <v>0</v>
      </c>
      <c r="F38" s="6" t="n">
        <v>0</v>
      </c>
      <c r="G38" s="6"/>
      <c r="H38" s="6"/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55</v>
      </c>
      <c r="B39" s="1" t="n">
        <v>43899</v>
      </c>
      <c r="C39" s="6" t="n">
        <v>0</v>
      </c>
      <c r="D39" s="6" t="n">
        <v>0</v>
      </c>
      <c r="E39" s="6" t="n">
        <v>0</v>
      </c>
      <c r="F39" s="6" t="n">
        <v>0</v>
      </c>
      <c r="G39" s="6"/>
      <c r="H39" s="6"/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55</v>
      </c>
      <c r="B40" s="1" t="n">
        <v>43900</v>
      </c>
      <c r="C40" s="6" t="n">
        <v>0</v>
      </c>
      <c r="D40" s="6" t="n">
        <v>0</v>
      </c>
      <c r="E40" s="6" t="n">
        <v>0</v>
      </c>
      <c r="F40" s="6" t="n">
        <v>0</v>
      </c>
      <c r="G40" s="6"/>
      <c r="H40" s="6"/>
      <c r="I40" s="6"/>
      <c r="J40" s="6"/>
      <c r="K40" s="6"/>
      <c r="L40" s="6"/>
      <c r="M40" s="6"/>
    </row>
    <row r="41" customFormat="false" ht="15.75" hidden="false" customHeight="false" outlineLevel="0" collapsed="false">
      <c r="A41" s="0" t="s">
        <v>55</v>
      </c>
      <c r="B41" s="1" t="n">
        <v>43901</v>
      </c>
      <c r="C41" s="6" t="n">
        <v>1</v>
      </c>
      <c r="D41" s="6" t="n">
        <v>1</v>
      </c>
      <c r="E41" s="6"/>
      <c r="F41" s="6"/>
      <c r="G41" s="6"/>
      <c r="H41" s="6" t="n">
        <v>1</v>
      </c>
      <c r="I41" s="6"/>
      <c r="J41" s="6" t="n">
        <v>0.2</v>
      </c>
      <c r="K41" s="6"/>
      <c r="L41" s="6"/>
      <c r="M41" s="6"/>
    </row>
    <row r="42" customFormat="false" ht="15.75" hidden="false" customHeight="false" outlineLevel="0" collapsed="false">
      <c r="A42" s="0" t="s">
        <v>55</v>
      </c>
      <c r="B42" s="1" t="n">
        <v>43902</v>
      </c>
      <c r="C42" s="6" t="n">
        <v>8</v>
      </c>
      <c r="D42" s="6" t="n">
        <v>7</v>
      </c>
      <c r="E42" s="6" t="n">
        <v>1</v>
      </c>
      <c r="F42" s="6" t="n">
        <v>1</v>
      </c>
      <c r="G42" s="6"/>
      <c r="H42" s="6" t="n">
        <v>7</v>
      </c>
      <c r="I42" s="6"/>
      <c r="J42" s="6" t="n">
        <v>1.9</v>
      </c>
      <c r="K42" s="6"/>
      <c r="L42" s="6"/>
      <c r="M42" s="6"/>
    </row>
    <row r="43" customFormat="false" ht="15.75" hidden="false" customHeight="false" outlineLevel="0" collapsed="false">
      <c r="A43" s="0" t="s">
        <v>55</v>
      </c>
      <c r="B43" s="1" t="n">
        <v>43903</v>
      </c>
      <c r="C43" s="6" t="n">
        <v>14</v>
      </c>
      <c r="D43" s="6" t="n">
        <v>6</v>
      </c>
      <c r="E43" s="6" t="n">
        <v>1</v>
      </c>
      <c r="F43" s="6" t="n">
        <v>0</v>
      </c>
      <c r="G43" s="6"/>
      <c r="H43" s="6" t="n">
        <v>13</v>
      </c>
      <c r="I43" s="6"/>
      <c r="J43" s="6" t="n">
        <v>3.2</v>
      </c>
      <c r="K43" s="6"/>
      <c r="L43" s="6"/>
      <c r="M43" s="6"/>
    </row>
    <row r="44" customFormat="false" ht="15.75" hidden="false" customHeight="false" outlineLevel="0" collapsed="false">
      <c r="A44" s="0" t="s">
        <v>55</v>
      </c>
      <c r="B44" s="1" t="n">
        <v>43904</v>
      </c>
      <c r="C44" s="6" t="n">
        <v>27</v>
      </c>
      <c r="D44" s="6" t="n">
        <v>13</v>
      </c>
      <c r="E44" s="6" t="n">
        <v>1</v>
      </c>
      <c r="F44" s="6" t="n">
        <v>0</v>
      </c>
      <c r="G44" s="6"/>
      <c r="H44" s="6" t="n">
        <v>26</v>
      </c>
      <c r="I44" s="6"/>
      <c r="J44" s="6" t="n">
        <v>6.3</v>
      </c>
      <c r="K44" s="6"/>
      <c r="L44" s="6"/>
      <c r="M44" s="6"/>
    </row>
    <row r="45" customFormat="false" ht="15.75" hidden="false" customHeight="false" outlineLevel="0" collapsed="false">
      <c r="A45" s="0" t="s">
        <v>55</v>
      </c>
      <c r="B45" s="1" t="n">
        <v>43905</v>
      </c>
      <c r="C45" s="6" t="n">
        <v>36</v>
      </c>
      <c r="D45" s="6" t="n">
        <v>9</v>
      </c>
      <c r="E45" s="6" t="n">
        <v>1</v>
      </c>
      <c r="F45" s="6" t="n">
        <v>0</v>
      </c>
      <c r="G45" s="6"/>
      <c r="H45" s="6" t="n">
        <v>35</v>
      </c>
      <c r="I45" s="6"/>
      <c r="J45" s="6" t="n">
        <v>8.3</v>
      </c>
      <c r="K45" s="6"/>
      <c r="L45" s="6"/>
      <c r="M45" s="6"/>
    </row>
    <row r="46" customFormat="false" ht="15.75" hidden="false" customHeight="false" outlineLevel="0" collapsed="false">
      <c r="A46" s="0" t="s">
        <v>55</v>
      </c>
      <c r="B46" s="1" t="n">
        <v>43906</v>
      </c>
      <c r="C46" s="6" t="n">
        <v>43</v>
      </c>
      <c r="D46" s="6" t="n">
        <v>7</v>
      </c>
      <c r="E46" s="6" t="n">
        <v>1</v>
      </c>
      <c r="F46" s="6" t="n">
        <v>0</v>
      </c>
      <c r="G46" s="6"/>
      <c r="H46" s="6" t="n">
        <v>42</v>
      </c>
      <c r="I46" s="6"/>
      <c r="J46" s="6" t="n">
        <v>10</v>
      </c>
      <c r="K46" s="6"/>
      <c r="L46" s="6"/>
      <c r="M46" s="6"/>
    </row>
    <row r="47" customFormat="false" ht="15.75" hidden="false" customHeight="false" outlineLevel="0" collapsed="false">
      <c r="A47" s="0" t="s">
        <v>55</v>
      </c>
      <c r="B47" s="1" t="n">
        <v>43907</v>
      </c>
      <c r="C47" s="6" t="n">
        <v>55</v>
      </c>
      <c r="D47" s="6" t="n">
        <v>12</v>
      </c>
      <c r="E47" s="6" t="n">
        <v>1</v>
      </c>
      <c r="F47" s="6" t="n">
        <v>0</v>
      </c>
      <c r="G47" s="6"/>
      <c r="H47" s="6" t="n">
        <v>54</v>
      </c>
      <c r="I47" s="6"/>
      <c r="J47" s="6" t="n">
        <v>12.7</v>
      </c>
      <c r="K47" s="6"/>
      <c r="L47" s="6"/>
      <c r="M47" s="6"/>
    </row>
    <row r="48" customFormat="false" ht="15.75" hidden="false" customHeight="false" outlineLevel="0" collapsed="false">
      <c r="A48" s="0" t="s">
        <v>55</v>
      </c>
      <c r="B48" s="1" t="n">
        <v>43908</v>
      </c>
      <c r="C48" s="6" t="n">
        <v>69</v>
      </c>
      <c r="D48" s="6" t="n">
        <v>14</v>
      </c>
      <c r="E48" s="6" t="n">
        <v>1</v>
      </c>
      <c r="F48" s="6" t="n">
        <v>0</v>
      </c>
      <c r="G48" s="6"/>
      <c r="H48" s="6" t="n">
        <v>68</v>
      </c>
      <c r="I48" s="6" t="n">
        <v>7</v>
      </c>
      <c r="J48" s="6" t="n">
        <v>16</v>
      </c>
      <c r="K48" s="6"/>
      <c r="L48" s="6"/>
      <c r="M48" s="6"/>
    </row>
    <row r="49" customFormat="false" ht="15.75" hidden="false" customHeight="false" outlineLevel="0" collapsed="false">
      <c r="A49" s="0" t="s">
        <v>55</v>
      </c>
      <c r="B49" s="1" t="n">
        <v>43909</v>
      </c>
      <c r="C49" s="6" t="n">
        <v>109</v>
      </c>
      <c r="D49" s="6" t="n">
        <v>40</v>
      </c>
      <c r="E49" s="6" t="n">
        <v>1</v>
      </c>
      <c r="F49" s="6" t="n">
        <v>0</v>
      </c>
      <c r="G49" s="6"/>
      <c r="H49" s="6" t="n">
        <v>108</v>
      </c>
      <c r="I49" s="6" t="n">
        <v>7</v>
      </c>
      <c r="J49" s="6" t="n">
        <v>25</v>
      </c>
      <c r="K49" s="6"/>
      <c r="L49" s="6"/>
      <c r="M49" s="6"/>
    </row>
    <row r="50" customFormat="false" ht="15.75" hidden="false" customHeight="false" outlineLevel="0" collapsed="false">
      <c r="A50" s="0" t="s">
        <v>55</v>
      </c>
      <c r="B50" s="1" t="n">
        <v>43910</v>
      </c>
      <c r="C50" s="6" t="n">
        <v>137</v>
      </c>
      <c r="D50" s="6" t="n">
        <v>28</v>
      </c>
      <c r="E50" s="6" t="n">
        <v>1</v>
      </c>
      <c r="F50" s="6" t="n">
        <v>0</v>
      </c>
      <c r="G50" s="6" t="n">
        <v>1</v>
      </c>
      <c r="H50" s="6" t="n">
        <v>135</v>
      </c>
      <c r="I50" s="6" t="n">
        <v>7</v>
      </c>
      <c r="J50" s="6" t="n">
        <v>32</v>
      </c>
      <c r="K50" s="6"/>
      <c r="L50" s="6"/>
      <c r="M50" s="6"/>
    </row>
    <row r="51" customFormat="false" ht="15.75" hidden="false" customHeight="false" outlineLevel="0" collapsed="false">
      <c r="A51" s="0" t="s">
        <v>55</v>
      </c>
      <c r="B51" s="1" t="n">
        <v>43911</v>
      </c>
      <c r="C51" s="6" t="n">
        <v>200</v>
      </c>
      <c r="D51" s="6" t="n">
        <v>63</v>
      </c>
      <c r="E51" s="6" t="n">
        <v>1</v>
      </c>
      <c r="F51" s="6" t="n">
        <v>0</v>
      </c>
      <c r="G51" s="6" t="n">
        <v>1</v>
      </c>
      <c r="H51" s="6" t="n">
        <v>198</v>
      </c>
      <c r="I51" s="6" t="n">
        <v>7</v>
      </c>
      <c r="J51" s="6" t="n">
        <v>46</v>
      </c>
      <c r="K51" s="6"/>
      <c r="L51" s="6"/>
      <c r="M51" s="6"/>
    </row>
    <row r="52" customFormat="false" ht="15.75" hidden="false" customHeight="false" outlineLevel="0" collapsed="false">
      <c r="A52" s="0" t="s">
        <v>55</v>
      </c>
      <c r="B52" s="1" t="n">
        <v>43912</v>
      </c>
      <c r="C52" s="6" t="n">
        <v>245</v>
      </c>
      <c r="D52" s="6" t="n">
        <v>45</v>
      </c>
      <c r="E52" s="6" t="n">
        <v>3</v>
      </c>
      <c r="F52" s="6" t="n">
        <v>2</v>
      </c>
      <c r="G52" s="6" t="n">
        <v>1</v>
      </c>
      <c r="H52" s="6" t="n">
        <v>241</v>
      </c>
      <c r="I52" s="6" t="n">
        <v>7</v>
      </c>
      <c r="J52" s="6" t="n">
        <v>57</v>
      </c>
      <c r="K52" s="6"/>
      <c r="L52" s="6"/>
      <c r="M52" s="6"/>
    </row>
    <row r="53" customFormat="false" ht="15.75" hidden="false" customHeight="false" outlineLevel="0" collapsed="false">
      <c r="A53" s="0" t="s">
        <v>55</v>
      </c>
      <c r="B53" s="1" t="n">
        <v>43913</v>
      </c>
      <c r="C53" s="6" t="n">
        <v>245</v>
      </c>
      <c r="D53" s="6" t="n">
        <v>0</v>
      </c>
      <c r="E53" s="6" t="n">
        <v>3</v>
      </c>
      <c r="F53" s="6" t="n">
        <v>0</v>
      </c>
      <c r="G53" s="6" t="n">
        <v>1</v>
      </c>
      <c r="H53" s="6" t="n">
        <v>241</v>
      </c>
      <c r="I53" s="6" t="n">
        <v>7</v>
      </c>
      <c r="J53" s="6" t="n">
        <v>57</v>
      </c>
      <c r="K53" s="6"/>
      <c r="L53" s="6"/>
      <c r="M53" s="6"/>
    </row>
    <row r="54" customFormat="false" ht="15.75" hidden="false" customHeight="false" outlineLevel="0" collapsed="false">
      <c r="A54" s="0" t="s">
        <v>55</v>
      </c>
      <c r="B54" s="1" t="n">
        <v>43914</v>
      </c>
      <c r="C54" s="6" t="n">
        <v>313</v>
      </c>
      <c r="D54" s="6" t="n">
        <v>68</v>
      </c>
      <c r="E54" s="6" t="n">
        <v>3</v>
      </c>
      <c r="F54" s="6" t="n">
        <v>0</v>
      </c>
      <c r="G54" s="6" t="n">
        <v>1</v>
      </c>
      <c r="H54" s="6" t="n">
        <v>309</v>
      </c>
      <c r="I54" s="6" t="n">
        <v>7</v>
      </c>
      <c r="J54" s="6" t="n">
        <v>73</v>
      </c>
      <c r="K54" s="6"/>
      <c r="L54" s="6"/>
      <c r="M54" s="6"/>
    </row>
    <row r="55" customFormat="false" ht="15.75" hidden="false" customHeight="false" outlineLevel="0" collapsed="false">
      <c r="A55" s="0" t="s">
        <v>55</v>
      </c>
      <c r="B55" s="1" t="n">
        <v>43915</v>
      </c>
      <c r="C55" s="7" t="n">
        <v>345</v>
      </c>
      <c r="D55" s="7" t="n">
        <v>32</v>
      </c>
      <c r="E55" s="7" t="n">
        <v>6</v>
      </c>
      <c r="F55" s="7" t="n">
        <v>3</v>
      </c>
      <c r="G55" s="7" t="n">
        <v>1</v>
      </c>
      <c r="H55" s="7" t="n">
        <v>338</v>
      </c>
      <c r="I55" s="7" t="n">
        <v>33</v>
      </c>
      <c r="J55" s="7" t="n">
        <v>80</v>
      </c>
      <c r="K55" s="7" t="n">
        <v>1</v>
      </c>
      <c r="L55" s="7"/>
      <c r="M55" s="7"/>
    </row>
    <row r="56" customFormat="false" ht="15.75" hidden="false" customHeight="false" outlineLevel="0" collapsed="false">
      <c r="A56" s="0" t="s">
        <v>55</v>
      </c>
      <c r="B56" s="1" t="n">
        <v>43916</v>
      </c>
      <c r="C56" s="7" t="n">
        <v>443</v>
      </c>
      <c r="D56" s="7" t="n">
        <v>98</v>
      </c>
      <c r="E56" s="7" t="n">
        <v>8</v>
      </c>
      <c r="F56" s="7" t="n">
        <v>2</v>
      </c>
      <c r="G56" s="7" t="n">
        <v>1</v>
      </c>
      <c r="H56" s="7" t="n">
        <v>434</v>
      </c>
      <c r="I56" s="7" t="n">
        <v>33</v>
      </c>
      <c r="J56" s="7" t="n">
        <v>103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55</v>
      </c>
      <c r="B57" s="1" t="n">
        <v>43917</v>
      </c>
      <c r="C57" s="7" t="n">
        <v>558</v>
      </c>
      <c r="D57" s="7" t="n">
        <v>115</v>
      </c>
      <c r="E57" s="7" t="n">
        <v>8</v>
      </c>
      <c r="F57" s="7" t="n">
        <v>0</v>
      </c>
      <c r="G57" s="7" t="n">
        <v>2</v>
      </c>
      <c r="H57" s="7" t="n">
        <v>548</v>
      </c>
      <c r="I57" s="7" t="n">
        <v>20</v>
      </c>
      <c r="J57" s="7" t="n">
        <v>129</v>
      </c>
      <c r="K57" s="7" t="n">
        <v>2</v>
      </c>
      <c r="L57" s="7"/>
      <c r="M57" s="7"/>
    </row>
    <row r="58" customFormat="false" ht="15.75" hidden="false" customHeight="false" outlineLevel="0" collapsed="false">
      <c r="A58" s="0" t="s">
        <v>55</v>
      </c>
      <c r="B58" s="1" t="n">
        <v>43918</v>
      </c>
      <c r="C58" s="7" t="n">
        <v>674</v>
      </c>
      <c r="D58" s="7" t="n">
        <v>116</v>
      </c>
      <c r="E58" s="7" t="n">
        <v>9</v>
      </c>
      <c r="F58" s="7" t="n">
        <v>1</v>
      </c>
      <c r="G58" s="7" t="n">
        <v>2</v>
      </c>
      <c r="H58" s="7" t="n">
        <v>663</v>
      </c>
      <c r="I58" s="7" t="n">
        <v>20</v>
      </c>
      <c r="J58" s="7" t="n">
        <v>156</v>
      </c>
      <c r="K58" s="7" t="n">
        <v>2</v>
      </c>
      <c r="L58" s="7"/>
      <c r="M58" s="7"/>
    </row>
    <row r="59" customFormat="false" ht="15.75" hidden="false" customHeight="false" outlineLevel="0" collapsed="false">
      <c r="A59" s="0" t="s">
        <v>55</v>
      </c>
      <c r="B59" s="1" t="n">
        <v>43919</v>
      </c>
      <c r="C59" s="7" t="n">
        <v>786</v>
      </c>
      <c r="D59" s="7" t="n">
        <v>112</v>
      </c>
      <c r="E59" s="7" t="n">
        <v>14</v>
      </c>
      <c r="F59" s="7" t="n">
        <v>5</v>
      </c>
      <c r="G59" s="7" t="n">
        <v>2</v>
      </c>
      <c r="H59" s="7" t="n">
        <v>770</v>
      </c>
      <c r="I59" s="7" t="n">
        <v>20</v>
      </c>
      <c r="J59" s="7" t="n">
        <v>182</v>
      </c>
      <c r="K59" s="7" t="n">
        <v>3</v>
      </c>
      <c r="M59" s="7"/>
    </row>
    <row r="60" customFormat="false" ht="15.75" hidden="false" customHeight="false" outlineLevel="0" collapsed="false">
      <c r="A60" s="0" t="s">
        <v>55</v>
      </c>
      <c r="B60" s="1" t="n">
        <v>43920</v>
      </c>
      <c r="C60" s="7" t="n">
        <v>901</v>
      </c>
      <c r="D60" s="7" t="n">
        <v>115</v>
      </c>
      <c r="E60" s="7" t="n">
        <v>17</v>
      </c>
      <c r="F60" s="7" t="n">
        <v>3</v>
      </c>
      <c r="G60" s="7" t="n">
        <v>4</v>
      </c>
      <c r="H60" s="7" t="n">
        <v>880</v>
      </c>
      <c r="I60" s="7" t="n">
        <v>32</v>
      </c>
      <c r="J60" s="7" t="n">
        <v>209</v>
      </c>
      <c r="K60" s="7" t="n">
        <v>4</v>
      </c>
      <c r="M60" s="7"/>
    </row>
    <row r="61" customFormat="false" ht="15.75" hidden="false" customHeight="false" outlineLevel="0" collapsed="false">
      <c r="A61" s="0" t="s">
        <v>55</v>
      </c>
      <c r="B61" s="1" t="n">
        <v>43921</v>
      </c>
      <c r="C61" s="7" t="n">
        <v>989</v>
      </c>
      <c r="D61" s="7" t="n">
        <v>88</v>
      </c>
      <c r="E61" s="7" t="n">
        <v>24</v>
      </c>
      <c r="F61" s="7" t="n">
        <v>7</v>
      </c>
      <c r="G61" s="7" t="n">
        <v>4</v>
      </c>
      <c r="H61" s="7" t="n">
        <v>961</v>
      </c>
      <c r="I61" s="7" t="n">
        <v>36</v>
      </c>
      <c r="J61" s="7" t="n">
        <v>229</v>
      </c>
      <c r="K61" s="7" t="n">
        <v>6</v>
      </c>
      <c r="M61" s="7"/>
    </row>
    <row r="62" customFormat="false" ht="15.75" hidden="false" customHeight="false" outlineLevel="0" collapsed="false">
      <c r="A62" s="0" t="s">
        <v>55</v>
      </c>
      <c r="B62" s="1" t="n">
        <v>43922</v>
      </c>
      <c r="C62" s="7" t="n">
        <v>1075</v>
      </c>
      <c r="D62" s="7" t="n">
        <v>86</v>
      </c>
      <c r="E62" s="7" t="n">
        <v>27</v>
      </c>
      <c r="F62" s="7" t="n">
        <v>3</v>
      </c>
      <c r="G62" s="7" t="n">
        <v>9</v>
      </c>
      <c r="H62" s="7" t="n">
        <v>1039</v>
      </c>
      <c r="I62" s="7" t="n">
        <v>43</v>
      </c>
      <c r="J62" s="7" t="n">
        <v>249</v>
      </c>
      <c r="K62" s="7" t="n">
        <v>6</v>
      </c>
      <c r="M62" s="7"/>
    </row>
    <row r="63" customFormat="false" ht="15.75" hidden="false" customHeight="false" outlineLevel="0" collapsed="false">
      <c r="A63" s="0" t="s">
        <v>55</v>
      </c>
      <c r="B63" s="1" t="n">
        <v>43923</v>
      </c>
      <c r="C63" s="7" t="n">
        <v>1181</v>
      </c>
      <c r="D63" s="7" t="n">
        <v>106</v>
      </c>
      <c r="E63" s="7" t="n">
        <v>30</v>
      </c>
      <c r="F63" s="7" t="n">
        <v>3</v>
      </c>
      <c r="G63" s="7" t="n">
        <v>9</v>
      </c>
      <c r="H63" s="7" t="n">
        <v>1142</v>
      </c>
      <c r="I63" s="7" t="n">
        <v>50</v>
      </c>
      <c r="J63" s="7" t="n">
        <v>274</v>
      </c>
      <c r="K63" s="7" t="n">
        <v>7</v>
      </c>
      <c r="M63" s="7"/>
    </row>
    <row r="64" customFormat="false" ht="15.75" hidden="false" customHeight="false" outlineLevel="0" collapsed="false">
      <c r="A64" s="0" t="s">
        <v>55</v>
      </c>
      <c r="B64" s="1" t="n">
        <v>43924</v>
      </c>
      <c r="C64" s="7" t="n">
        <v>1317</v>
      </c>
      <c r="D64" s="7" t="n">
        <v>136</v>
      </c>
      <c r="E64" s="7" t="n">
        <v>32</v>
      </c>
      <c r="F64" s="7" t="n">
        <v>2</v>
      </c>
      <c r="G64" s="7" t="n">
        <v>9</v>
      </c>
      <c r="H64" s="7" t="n">
        <v>1276</v>
      </c>
      <c r="I64" s="7" t="n">
        <v>50</v>
      </c>
      <c r="J64" s="7" t="n">
        <v>305</v>
      </c>
      <c r="K64" s="7" t="n">
        <v>7</v>
      </c>
      <c r="M64" s="7"/>
    </row>
    <row r="65" customFormat="false" ht="15.75" hidden="false" customHeight="false" outlineLevel="0" collapsed="false">
      <c r="A65" s="0" t="s">
        <v>55</v>
      </c>
      <c r="B65" s="1" t="n">
        <v>43925</v>
      </c>
      <c r="C65" s="7" t="n">
        <v>1475</v>
      </c>
      <c r="D65" s="7" t="n">
        <v>158</v>
      </c>
      <c r="E65" s="7" t="n">
        <v>37</v>
      </c>
      <c r="F65" s="7" t="n">
        <v>5</v>
      </c>
      <c r="G65" s="7" t="n">
        <v>10</v>
      </c>
      <c r="H65" s="7" t="n">
        <v>1428</v>
      </c>
      <c r="I65" s="7" t="n">
        <v>50</v>
      </c>
      <c r="J65" s="7" t="n">
        <v>342</v>
      </c>
      <c r="K65" s="7" t="n">
        <v>9</v>
      </c>
      <c r="M65" s="7"/>
    </row>
    <row r="66" customFormat="false" ht="15.75" hidden="false" customHeight="false" outlineLevel="0" collapsed="false">
      <c r="A66" s="0" t="s">
        <v>55</v>
      </c>
      <c r="B66" s="1" t="n">
        <v>43926</v>
      </c>
      <c r="C66" s="7" t="n">
        <v>1673</v>
      </c>
      <c r="D66" s="7" t="n">
        <v>198</v>
      </c>
      <c r="E66" s="7" t="n">
        <v>41</v>
      </c>
      <c r="F66" s="7" t="n">
        <v>4</v>
      </c>
      <c r="G66" s="7" t="n">
        <v>13</v>
      </c>
      <c r="H66" s="7" t="n">
        <v>1619</v>
      </c>
      <c r="I66" s="7" t="n">
        <v>50</v>
      </c>
      <c r="J66" s="7" t="n">
        <v>388</v>
      </c>
      <c r="K66" s="7" t="n">
        <v>10</v>
      </c>
      <c r="L66" s="7" t="n">
        <v>7333</v>
      </c>
      <c r="M66" s="7" t="n">
        <v>1700</v>
      </c>
    </row>
    <row r="67" customFormat="false" ht="15.75" hidden="false" customHeight="false" outlineLevel="0" collapsed="false">
      <c r="A67" s="0" t="s">
        <v>55</v>
      </c>
      <c r="B67" s="1" t="n">
        <v>43927</v>
      </c>
      <c r="C67" s="7" t="n">
        <v>1801</v>
      </c>
      <c r="D67" s="7" t="n">
        <v>128</v>
      </c>
      <c r="E67" s="7" t="n">
        <v>46</v>
      </c>
      <c r="F67" s="7" t="n">
        <v>5</v>
      </c>
      <c r="G67" s="7" t="n">
        <v>13</v>
      </c>
      <c r="H67" s="7" t="n">
        <v>1742</v>
      </c>
      <c r="I67" s="7" t="n">
        <v>75</v>
      </c>
      <c r="J67" s="7" t="n">
        <v>417</v>
      </c>
      <c r="K67" s="7" t="n">
        <v>11</v>
      </c>
      <c r="L67" s="7" t="n">
        <v>9256</v>
      </c>
      <c r="M67" s="7" t="n">
        <v>2145</v>
      </c>
    </row>
    <row r="68" customFormat="false" ht="15.75" hidden="false" customHeight="false" outlineLevel="0" collapsed="false">
      <c r="A68" s="0" t="s">
        <v>55</v>
      </c>
      <c r="B68" s="1" t="n">
        <v>43928</v>
      </c>
      <c r="C68" s="12" t="n">
        <v>1988</v>
      </c>
      <c r="D68" s="12" t="n">
        <v>187</v>
      </c>
      <c r="E68" s="12" t="n">
        <v>54</v>
      </c>
      <c r="F68" s="12" t="n">
        <v>8</v>
      </c>
      <c r="G68" s="12" t="n">
        <v>13</v>
      </c>
      <c r="H68" s="12" t="n">
        <v>1921</v>
      </c>
      <c r="I68" s="12" t="n">
        <v>78</v>
      </c>
      <c r="J68" s="12" t="n">
        <v>461</v>
      </c>
      <c r="K68" s="12" t="n">
        <v>13</v>
      </c>
      <c r="L68" s="12" t="n">
        <v>9749</v>
      </c>
      <c r="M68" s="12" t="n">
        <v>2259</v>
      </c>
    </row>
    <row r="69" customFormat="false" ht="15.75" hidden="false" customHeight="false" outlineLevel="0" collapsed="false">
      <c r="A69" s="0" t="s">
        <v>55</v>
      </c>
      <c r="B69" s="1" t="n">
        <v>43929</v>
      </c>
      <c r="C69" s="14" t="n">
        <v>2100</v>
      </c>
      <c r="D69" s="14" t="n">
        <v>112</v>
      </c>
      <c r="E69" s="14" t="n">
        <v>55</v>
      </c>
      <c r="F69" s="14" t="n">
        <v>1</v>
      </c>
      <c r="G69" s="14" t="n">
        <v>14</v>
      </c>
      <c r="H69" s="14" t="n">
        <v>2031</v>
      </c>
      <c r="I69" s="14" t="n">
        <v>88</v>
      </c>
      <c r="J69" s="14" t="n">
        <v>487</v>
      </c>
      <c r="K69" s="14" t="n">
        <v>13</v>
      </c>
      <c r="L69" s="14" t="n">
        <v>10297</v>
      </c>
      <c r="M69" s="14" t="n">
        <v>2386</v>
      </c>
    </row>
    <row r="70" customFormat="false" ht="15.75" hidden="false" customHeight="false" outlineLevel="0" collapsed="false">
      <c r="A70" s="0" t="s">
        <v>55</v>
      </c>
      <c r="B70" s="1" t="n">
        <v>43930</v>
      </c>
      <c r="C70" s="14" t="n">
        <v>2249</v>
      </c>
      <c r="D70" s="14" t="n">
        <v>149</v>
      </c>
      <c r="E70" s="14" t="n">
        <v>59</v>
      </c>
      <c r="F70" s="14" t="n">
        <v>4</v>
      </c>
      <c r="G70" s="14" t="n">
        <v>16</v>
      </c>
      <c r="H70" s="14" t="n">
        <v>2174</v>
      </c>
      <c r="I70" s="14" t="n">
        <v>91</v>
      </c>
      <c r="J70" s="14" t="n">
        <v>521</v>
      </c>
      <c r="K70" s="14" t="n">
        <v>14</v>
      </c>
      <c r="L70" s="14" t="n">
        <v>10297</v>
      </c>
      <c r="M70" s="14" t="n">
        <v>2386</v>
      </c>
    </row>
    <row r="71" customFormat="false" ht="15.75" hidden="false" customHeight="false" outlineLevel="0" collapsed="false">
      <c r="A71" s="0" t="s">
        <v>55</v>
      </c>
      <c r="B71" s="1" t="n">
        <v>43931</v>
      </c>
      <c r="C71" s="14" t="n">
        <v>2528</v>
      </c>
      <c r="D71" s="14" t="n">
        <v>279</v>
      </c>
      <c r="E71" s="14" t="n">
        <v>63</v>
      </c>
      <c r="F71" s="14" t="n">
        <v>4</v>
      </c>
      <c r="G71" s="14" t="n">
        <v>16</v>
      </c>
      <c r="H71" s="14" t="n">
        <v>2449</v>
      </c>
      <c r="I71" s="14" t="n">
        <v>101</v>
      </c>
      <c r="J71" s="14" t="n">
        <v>586</v>
      </c>
      <c r="K71" s="14" t="n">
        <v>15</v>
      </c>
      <c r="L71" s="14" t="n">
        <v>11776</v>
      </c>
      <c r="M71" s="14" t="n">
        <v>2729</v>
      </c>
    </row>
    <row r="72" customFormat="false" ht="15.75" hidden="false" customHeight="false" outlineLevel="0" collapsed="false">
      <c r="A72" s="0" t="s">
        <v>55</v>
      </c>
      <c r="B72" s="1" t="n">
        <v>43932</v>
      </c>
      <c r="C72" s="14" t="n">
        <v>2752</v>
      </c>
      <c r="D72" s="14" t="n">
        <v>224</v>
      </c>
      <c r="E72" s="14" t="n">
        <v>66</v>
      </c>
      <c r="F72" s="14" t="n">
        <v>3</v>
      </c>
      <c r="G72" s="14" t="n">
        <v>16</v>
      </c>
      <c r="H72" s="14" t="n">
        <v>2670</v>
      </c>
      <c r="I72" s="14" t="n">
        <v>107</v>
      </c>
      <c r="J72" s="14" t="n">
        <v>638</v>
      </c>
      <c r="K72" s="14" t="n">
        <v>15</v>
      </c>
      <c r="L72" s="14" t="n">
        <v>11776</v>
      </c>
      <c r="M72" s="14" t="n">
        <v>2729</v>
      </c>
    </row>
    <row r="73" customFormat="false" ht="15.75" hidden="false" customHeight="false" outlineLevel="0" collapsed="false">
      <c r="A73" s="0" t="s">
        <v>55</v>
      </c>
      <c r="B73" s="1" t="n">
        <v>43933</v>
      </c>
      <c r="C73" s="14" t="n">
        <v>2974</v>
      </c>
      <c r="D73" s="14" t="n">
        <v>222</v>
      </c>
      <c r="E73" s="14" t="n">
        <v>74</v>
      </c>
      <c r="F73" s="14" t="n">
        <v>8</v>
      </c>
      <c r="G73" s="14" t="n">
        <v>17</v>
      </c>
      <c r="H73" s="14" t="n">
        <v>2883</v>
      </c>
      <c r="I73" s="14" t="n">
        <v>104</v>
      </c>
      <c r="J73" s="14" t="n">
        <v>689</v>
      </c>
      <c r="K73" s="14" t="n">
        <v>17</v>
      </c>
      <c r="L73" s="14" t="n">
        <v>11776</v>
      </c>
      <c r="M73" s="14" t="n">
        <v>2729</v>
      </c>
    </row>
    <row r="74" customFormat="false" ht="15.75" hidden="false" customHeight="false" outlineLevel="0" collapsed="false">
      <c r="A74" s="0" t="s">
        <v>55</v>
      </c>
      <c r="B74" s="1" t="n">
        <v>43934</v>
      </c>
      <c r="C74" s="14" t="n">
        <v>3234</v>
      </c>
      <c r="D74" s="14" t="n">
        <v>260</v>
      </c>
      <c r="E74" s="14" t="n">
        <v>79</v>
      </c>
      <c r="F74" s="14" t="n">
        <v>5</v>
      </c>
      <c r="G74" s="14" t="n">
        <v>23</v>
      </c>
      <c r="H74" s="14" t="n">
        <v>3132</v>
      </c>
      <c r="I74" s="14" t="n">
        <v>104</v>
      </c>
      <c r="J74" s="14" t="n">
        <v>750</v>
      </c>
      <c r="K74" s="14" t="n">
        <v>18</v>
      </c>
      <c r="L74" s="14" t="n">
        <v>14588</v>
      </c>
      <c r="M74" s="14" t="n">
        <v>3381</v>
      </c>
    </row>
    <row r="75" customFormat="false" ht="15.75" hidden="false" customHeight="false" outlineLevel="0" collapsed="false">
      <c r="A75" s="0" t="s">
        <v>55</v>
      </c>
      <c r="B75" s="1" t="n">
        <v>43935</v>
      </c>
      <c r="C75" s="14" t="n">
        <v>3400</v>
      </c>
      <c r="D75" s="14" t="n">
        <v>166</v>
      </c>
      <c r="E75" s="14" t="n">
        <v>87</v>
      </c>
      <c r="F75" s="14" t="n">
        <v>8</v>
      </c>
      <c r="G75" s="14" t="n">
        <v>29</v>
      </c>
      <c r="H75" s="14" t="n">
        <v>3284</v>
      </c>
      <c r="I75" s="14" t="n">
        <v>106</v>
      </c>
      <c r="J75" s="14" t="n">
        <v>788</v>
      </c>
      <c r="K75" s="14" t="n">
        <v>20</v>
      </c>
      <c r="L75" s="14" t="n">
        <v>15147</v>
      </c>
      <c r="M75" s="14" t="n">
        <v>3511</v>
      </c>
    </row>
    <row r="76" customFormat="false" ht="15.75" hidden="false" customHeight="false" outlineLevel="0" collapsed="false">
      <c r="A76" s="0" t="s">
        <v>55</v>
      </c>
      <c r="B76" s="1" t="n">
        <v>43936</v>
      </c>
      <c r="C76" s="14" t="n">
        <v>3472</v>
      </c>
      <c r="D76" s="14" t="n">
        <v>72</v>
      </c>
      <c r="E76" s="14" t="n">
        <v>94</v>
      </c>
      <c r="F76" s="14" t="n">
        <v>7</v>
      </c>
      <c r="G76" s="14" t="n">
        <v>61</v>
      </c>
      <c r="H76" s="14" t="n">
        <v>3317</v>
      </c>
      <c r="I76" s="14" t="n">
        <v>106</v>
      </c>
      <c r="J76" s="14" t="n">
        <v>805</v>
      </c>
      <c r="K76" s="14" t="n">
        <v>22</v>
      </c>
      <c r="L76" s="14" t="n">
        <v>15567</v>
      </c>
      <c r="M76" s="14" t="n">
        <v>3608</v>
      </c>
    </row>
    <row r="77" customFormat="false" ht="15.75" hidden="false" customHeight="false" outlineLevel="0" collapsed="false">
      <c r="A77" s="0" t="s">
        <v>55</v>
      </c>
      <c r="B77" s="1" t="n">
        <v>43937</v>
      </c>
      <c r="C77" s="14" t="n">
        <v>3574</v>
      </c>
      <c r="D77" s="14" t="n">
        <v>102</v>
      </c>
      <c r="E77" s="14" t="n">
        <v>95</v>
      </c>
      <c r="F77" s="14" t="n">
        <v>1</v>
      </c>
      <c r="G77" s="14" t="n">
        <v>72</v>
      </c>
      <c r="H77" s="14" t="n">
        <v>3407</v>
      </c>
      <c r="I77" s="14" t="n">
        <v>106</v>
      </c>
      <c r="J77" s="14" t="n">
        <v>828</v>
      </c>
      <c r="K77" s="14" t="n">
        <v>22</v>
      </c>
      <c r="L77" s="14" t="n">
        <v>16053</v>
      </c>
      <c r="M77" s="14" t="n">
        <v>3720</v>
      </c>
    </row>
    <row r="78" customFormat="false" ht="15.75" hidden="false" customHeight="false" outlineLevel="0" collapsed="false">
      <c r="A78" s="0" t="s">
        <v>55</v>
      </c>
      <c r="B78" s="1" t="n">
        <v>43938</v>
      </c>
      <c r="C78" s="14" t="n">
        <v>3751</v>
      </c>
      <c r="D78" s="14" t="n">
        <v>177</v>
      </c>
      <c r="E78" s="14" t="n">
        <v>103</v>
      </c>
      <c r="F78" s="14" t="n">
        <v>8</v>
      </c>
      <c r="G78" s="14" t="n">
        <v>75</v>
      </c>
      <c r="H78" s="14" t="n">
        <v>3573</v>
      </c>
      <c r="I78" s="14" t="n">
        <v>106</v>
      </c>
      <c r="J78" s="14" t="n">
        <v>869</v>
      </c>
      <c r="K78" s="14" t="n">
        <v>24</v>
      </c>
      <c r="L78" s="14" t="n">
        <v>16854</v>
      </c>
      <c r="M78" s="14" t="n">
        <v>3906</v>
      </c>
    </row>
    <row r="79" customFormat="false" ht="15.75" hidden="false" customHeight="false" outlineLevel="0" collapsed="false">
      <c r="A79" s="0" t="s">
        <v>55</v>
      </c>
      <c r="B79" s="1" t="n">
        <v>43939</v>
      </c>
      <c r="C79" s="14" t="n">
        <v>4016</v>
      </c>
      <c r="D79" s="14" t="n">
        <v>265</v>
      </c>
      <c r="E79" s="14" t="n">
        <v>109</v>
      </c>
      <c r="F79" s="14" t="n">
        <v>6</v>
      </c>
      <c r="G79" s="14" t="n">
        <v>98</v>
      </c>
      <c r="H79" s="14" t="n">
        <v>3809</v>
      </c>
      <c r="I79" s="14" t="n">
        <v>99</v>
      </c>
      <c r="J79" s="14" t="n">
        <v>931</v>
      </c>
      <c r="K79" s="14" t="n">
        <v>25</v>
      </c>
      <c r="L79" s="14" t="n">
        <v>17850</v>
      </c>
      <c r="M79" s="14" t="n">
        <v>4137</v>
      </c>
    </row>
    <row r="80" customFormat="false" ht="15.75" hidden="false" customHeight="false" outlineLevel="0" collapsed="false">
      <c r="A80" s="0" t="s">
        <v>55</v>
      </c>
      <c r="B80" s="1" t="n">
        <v>43940</v>
      </c>
      <c r="C80" s="14" t="n">
        <v>4210</v>
      </c>
      <c r="D80" s="14" t="n">
        <v>194</v>
      </c>
      <c r="E80" s="14" t="n">
        <v>116</v>
      </c>
      <c r="F80" s="14" t="n">
        <v>7</v>
      </c>
      <c r="G80" s="14" t="n">
        <v>122</v>
      </c>
      <c r="H80" s="14" t="n">
        <v>3972</v>
      </c>
      <c r="I80" s="14" t="n">
        <v>96</v>
      </c>
      <c r="J80" s="14" t="n">
        <v>976</v>
      </c>
      <c r="K80" s="14" t="n">
        <v>27</v>
      </c>
      <c r="L80" s="14" t="n">
        <v>18559</v>
      </c>
      <c r="M80" s="14" t="n">
        <v>4301</v>
      </c>
    </row>
    <row r="81" customFormat="false" ht="15.75" hidden="false" customHeight="false" outlineLevel="0" collapsed="false">
      <c r="A81" s="0" t="s">
        <v>55</v>
      </c>
      <c r="B81" s="1" t="n">
        <v>43941</v>
      </c>
      <c r="C81" s="14" t="n">
        <v>4273</v>
      </c>
      <c r="D81" s="14" t="n">
        <v>63</v>
      </c>
      <c r="E81" s="14" t="n">
        <v>120</v>
      </c>
      <c r="F81" s="14" t="n">
        <v>4</v>
      </c>
      <c r="G81" s="14" t="n">
        <v>140</v>
      </c>
      <c r="H81" s="14" t="n">
        <v>4013</v>
      </c>
      <c r="I81" s="14" t="n">
        <v>96</v>
      </c>
      <c r="J81" s="14" t="n">
        <v>990</v>
      </c>
      <c r="K81" s="14" t="n">
        <v>28</v>
      </c>
      <c r="L81" s="14" t="n">
        <v>19091</v>
      </c>
      <c r="M81" s="14" t="n">
        <v>4425</v>
      </c>
    </row>
    <row r="82" customFormat="false" ht="15.75" hidden="false" customHeight="false" outlineLevel="0" collapsed="false">
      <c r="A82" s="0" t="s">
        <v>55</v>
      </c>
      <c r="B82" s="1" t="n">
        <v>43942</v>
      </c>
      <c r="C82" s="6" t="n">
        <v>4467</v>
      </c>
      <c r="D82" s="6" t="n">
        <v>194</v>
      </c>
      <c r="E82" s="6" t="n">
        <v>126</v>
      </c>
      <c r="F82" s="6" t="n">
        <v>6</v>
      </c>
      <c r="G82" s="6" t="n">
        <v>165</v>
      </c>
      <c r="H82" s="6" t="n">
        <v>4176</v>
      </c>
      <c r="I82" s="6" t="n">
        <v>98</v>
      </c>
      <c r="J82" s="6" t="n">
        <v>1035</v>
      </c>
      <c r="K82" s="6" t="n">
        <v>29</v>
      </c>
      <c r="L82" s="6" t="n">
        <v>19091</v>
      </c>
      <c r="M82" s="6" t="n">
        <v>4425</v>
      </c>
    </row>
    <row r="83" customFormat="false" ht="15.75" hidden="false" customHeight="false" outlineLevel="0" collapsed="false">
      <c r="A83" s="0" t="s">
        <v>55</v>
      </c>
      <c r="B83" s="1" t="n">
        <v>43943</v>
      </c>
      <c r="C83" s="6" t="n">
        <v>4658</v>
      </c>
      <c r="D83" s="6" t="n">
        <v>191</v>
      </c>
      <c r="E83" s="6" t="n">
        <v>136</v>
      </c>
      <c r="F83" s="6" t="n">
        <v>10</v>
      </c>
      <c r="G83" s="6" t="n">
        <v>204</v>
      </c>
      <c r="H83" s="6" t="n">
        <v>4318</v>
      </c>
      <c r="I83" s="6" t="n">
        <v>98</v>
      </c>
      <c r="J83" s="6" t="n">
        <v>1080</v>
      </c>
      <c r="K83" s="6" t="n">
        <v>32</v>
      </c>
      <c r="L83" s="6" t="n">
        <v>20996</v>
      </c>
      <c r="M83" s="6" t="n">
        <v>4866</v>
      </c>
    </row>
    <row r="84" customFormat="false" ht="15.75" hidden="false" customHeight="false" outlineLevel="0" collapsed="false">
      <c r="A84" s="0" t="s">
        <v>55</v>
      </c>
      <c r="B84" s="1" t="n">
        <v>43944</v>
      </c>
      <c r="C84" s="6" t="n">
        <v>4821</v>
      </c>
      <c r="D84" s="6" t="n">
        <v>163</v>
      </c>
      <c r="E84" s="6" t="n">
        <v>141</v>
      </c>
      <c r="F84" s="6" t="n">
        <v>5</v>
      </c>
      <c r="G84" s="6" t="n">
        <v>231</v>
      </c>
      <c r="H84" s="6" t="n">
        <v>4449</v>
      </c>
      <c r="I84" s="6" t="n">
        <v>94</v>
      </c>
      <c r="J84" s="6" t="n">
        <v>1117</v>
      </c>
      <c r="K84" s="6" t="n">
        <v>33</v>
      </c>
      <c r="L84" s="6" t="n">
        <v>21902</v>
      </c>
      <c r="M84" s="6" t="n">
        <v>5076</v>
      </c>
    </row>
    <row r="85" customFormat="false" ht="15.75" hidden="false" customHeight="false" outlineLevel="0" collapsed="false">
      <c r="A85" s="0" t="s">
        <v>55</v>
      </c>
      <c r="B85" s="1" t="n">
        <v>43945</v>
      </c>
      <c r="C85" s="6" t="n">
        <v>4992</v>
      </c>
      <c r="D85" s="6" t="n">
        <v>171</v>
      </c>
      <c r="E85" s="6" t="n">
        <v>144</v>
      </c>
      <c r="F85" s="6" t="n">
        <v>3</v>
      </c>
      <c r="G85" s="6" t="n">
        <v>255</v>
      </c>
      <c r="H85" s="6" t="n">
        <v>4593</v>
      </c>
      <c r="I85" s="6" t="n">
        <v>97</v>
      </c>
      <c r="J85" s="6" t="n">
        <v>1157</v>
      </c>
      <c r="K85" s="6" t="n">
        <v>33</v>
      </c>
      <c r="L85" s="6" t="n">
        <v>22702</v>
      </c>
      <c r="M85" s="6" t="n">
        <v>5261</v>
      </c>
    </row>
    <row r="86" customFormat="false" ht="15.75" hidden="false" customHeight="false" outlineLevel="0" collapsed="false">
      <c r="A86" s="0" t="s">
        <v>55</v>
      </c>
      <c r="B86" s="1" t="n">
        <v>43946</v>
      </c>
      <c r="C86" s="6" t="n">
        <v>5166</v>
      </c>
      <c r="D86" s="6" t="n">
        <v>174</v>
      </c>
      <c r="E86" s="6" t="n">
        <v>146</v>
      </c>
      <c r="F86" s="6" t="n">
        <v>2</v>
      </c>
      <c r="G86" s="6" t="n">
        <v>271</v>
      </c>
      <c r="H86" s="6" t="n">
        <v>4749</v>
      </c>
      <c r="I86" s="6" t="n">
        <v>86</v>
      </c>
      <c r="J86" s="6" t="n">
        <v>1197</v>
      </c>
      <c r="K86" s="6" t="n">
        <v>34</v>
      </c>
      <c r="L86" s="6" t="n">
        <v>23534</v>
      </c>
      <c r="M86" s="6" t="n">
        <v>5454</v>
      </c>
    </row>
    <row r="87" customFormat="false" ht="15.75" hidden="false" customHeight="false" outlineLevel="0" collapsed="false">
      <c r="A87" s="0" t="s">
        <v>55</v>
      </c>
      <c r="B87" s="1" t="n">
        <v>43947</v>
      </c>
      <c r="C87" s="6" t="n">
        <v>5338</v>
      </c>
      <c r="D87" s="6" t="n">
        <v>172</v>
      </c>
      <c r="E87" s="6" t="n">
        <v>154</v>
      </c>
      <c r="F87" s="6" t="n">
        <v>8</v>
      </c>
      <c r="G87" s="6" t="n">
        <v>319</v>
      </c>
      <c r="H87" s="6" t="n">
        <v>4865</v>
      </c>
      <c r="I87" s="6" t="n">
        <v>87</v>
      </c>
      <c r="J87" s="6" t="n">
        <v>1237</v>
      </c>
      <c r="K87" s="6" t="n">
        <v>36</v>
      </c>
      <c r="L87" s="6" t="n">
        <v>24304</v>
      </c>
      <c r="M87" s="6" t="n">
        <v>5633</v>
      </c>
    </row>
    <row r="88" customFormat="false" ht="15.75" hidden="false" customHeight="false" outlineLevel="0" collapsed="false">
      <c r="A88" s="0" t="s">
        <v>55</v>
      </c>
      <c r="B88" s="1" t="n">
        <v>43948</v>
      </c>
      <c r="C88" s="6" t="n">
        <v>5538</v>
      </c>
      <c r="D88" s="6" t="n">
        <v>200</v>
      </c>
      <c r="E88" s="6" t="n">
        <v>159</v>
      </c>
      <c r="F88" s="6" t="n">
        <v>5</v>
      </c>
      <c r="G88" s="6" t="n">
        <v>338</v>
      </c>
      <c r="H88" s="6" t="n">
        <v>5041</v>
      </c>
      <c r="I88" s="6" t="n">
        <v>85</v>
      </c>
      <c r="J88" s="6" t="n">
        <v>1283</v>
      </c>
      <c r="K88" s="6" t="n">
        <v>37</v>
      </c>
      <c r="L88" s="6" t="n">
        <v>25400</v>
      </c>
      <c r="M88" s="6" t="n">
        <v>5887</v>
      </c>
    </row>
    <row r="89" customFormat="false" ht="13.5" hidden="false" customHeight="false" outlineLevel="0" collapsed="false">
      <c r="A89" s="0" t="s">
        <v>55</v>
      </c>
      <c r="B89" s="1" t="n">
        <v>43949</v>
      </c>
      <c r="C89" s="2" t="n">
        <v>5779</v>
      </c>
      <c r="D89" s="2" t="n">
        <v>241</v>
      </c>
      <c r="E89" s="2" t="n">
        <v>165</v>
      </c>
      <c r="F89" s="2" t="n">
        <v>6</v>
      </c>
      <c r="G89" s="2" t="n">
        <v>369</v>
      </c>
      <c r="H89" s="2" t="n">
        <v>5245</v>
      </c>
      <c r="I89" s="2" t="n">
        <v>85</v>
      </c>
      <c r="J89" s="2" t="n">
        <v>1339</v>
      </c>
      <c r="K89" s="2" t="n">
        <v>38</v>
      </c>
      <c r="L89" s="2" t="n">
        <v>26642</v>
      </c>
      <c r="M89" s="2" t="n">
        <v>6175</v>
      </c>
    </row>
    <row r="90" customFormat="false" ht="13.5" hidden="false" customHeight="false" outlineLevel="0" collapsed="false">
      <c r="A90" s="0" t="s">
        <v>55</v>
      </c>
      <c r="B90" s="1" t="n">
        <v>43950</v>
      </c>
      <c r="C90" s="2" t="n">
        <v>6021</v>
      </c>
      <c r="D90" s="2" t="n">
        <v>242</v>
      </c>
      <c r="E90" s="2" t="n">
        <v>167</v>
      </c>
      <c r="F90" s="2" t="n">
        <v>2</v>
      </c>
      <c r="G90" s="2" t="n">
        <v>455</v>
      </c>
      <c r="H90" s="2" t="n">
        <v>5399</v>
      </c>
      <c r="I90" s="2" t="n">
        <v>89</v>
      </c>
      <c r="J90" s="2" t="n">
        <v>1395</v>
      </c>
      <c r="K90" s="2" t="n">
        <v>39</v>
      </c>
      <c r="L90" s="2" t="n">
        <v>27834</v>
      </c>
      <c r="M90" s="2" t="n">
        <v>6451</v>
      </c>
    </row>
    <row r="91" customFormat="false" ht="13.5" hidden="false" customHeight="false" outlineLevel="0" collapsed="false">
      <c r="A91" s="0" t="s">
        <v>55</v>
      </c>
      <c r="B91" s="1" t="n">
        <v>43951</v>
      </c>
      <c r="C91" s="2" t="n">
        <v>6200</v>
      </c>
      <c r="D91" s="2" t="n">
        <v>179</v>
      </c>
      <c r="E91" s="2" t="n">
        <v>176</v>
      </c>
      <c r="F91" s="2" t="n">
        <v>9</v>
      </c>
      <c r="G91" s="2" t="n">
        <v>484</v>
      </c>
      <c r="H91" s="2" t="n">
        <v>5540</v>
      </c>
      <c r="I91" s="2" t="n">
        <v>89</v>
      </c>
      <c r="J91" s="2" t="n">
        <v>1437</v>
      </c>
      <c r="K91" s="2" t="n">
        <v>41</v>
      </c>
      <c r="L91" s="2" t="n">
        <v>28795</v>
      </c>
      <c r="M91" s="2" t="n">
        <v>6674</v>
      </c>
    </row>
    <row r="92" customFormat="false" ht="14.25" hidden="false" customHeight="false" outlineLevel="0" collapsed="false">
      <c r="A92" s="0" t="s">
        <v>55</v>
      </c>
      <c r="B92" s="1" t="n">
        <v>43952</v>
      </c>
      <c r="C92" s="2" t="n">
        <v>6378</v>
      </c>
      <c r="D92" s="2" t="n">
        <v>178</v>
      </c>
      <c r="E92" s="2" t="n">
        <v>178</v>
      </c>
      <c r="F92" s="2" t="n">
        <v>2</v>
      </c>
      <c r="G92" s="2" t="n">
        <v>527</v>
      </c>
      <c r="H92" s="2" t="n">
        <v>5673</v>
      </c>
      <c r="I92" s="2" t="n">
        <v>92</v>
      </c>
      <c r="J92" s="2" t="n">
        <v>1478</v>
      </c>
      <c r="K92" s="2" t="n">
        <v>41</v>
      </c>
      <c r="L92" s="2" t="n">
        <v>29837</v>
      </c>
      <c r="M92" s="2" t="n">
        <v>6915</v>
      </c>
    </row>
    <row r="93" customFormat="false" ht="15.75" hidden="false" customHeight="false" outlineLevel="0" collapsed="false">
      <c r="A93" s="0" t="s">
        <v>55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sheet1!amk94</f>
        <v>#NAME?</v>
      </c>
      <c r="L93" s="6" t="e">
        <f aca="false">sheet1!aml94</f>
        <v>#NAME?</v>
      </c>
      <c r="M93" s="6" t="e">
        <f aca="false">sheet1!amm94</f>
        <v>#NAME?</v>
      </c>
    </row>
    <row r="94" customFormat="false" ht="15.75" hidden="false" customHeight="false" outlineLevel="0" collapsed="false">
      <c r="A94" s="0" t="s">
        <v>55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sheet1!amk95</f>
        <v>#NAME?</v>
      </c>
      <c r="L94" s="6" t="e">
        <f aca="false">sheet1!aml95</f>
        <v>#NAME?</v>
      </c>
      <c r="M94" s="6" t="e">
        <f aca="false">sheet1!amm95</f>
        <v>#NAME?</v>
      </c>
    </row>
    <row r="95" customFormat="false" ht="15.75" hidden="false" customHeight="false" outlineLevel="0" collapsed="false">
      <c r="A95" s="0" t="s">
        <v>55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sheet1!amk96</f>
        <v>#NAME?</v>
      </c>
      <c r="L95" s="6" t="e">
        <f aca="false">sheet1!aml96</f>
        <v>#NAME?</v>
      </c>
      <c r="M95" s="6" t="e">
        <f aca="false">sheet1!amm96</f>
        <v>#NAME?</v>
      </c>
    </row>
    <row r="96" customFormat="false" ht="15.75" hidden="false" customHeight="false" outlineLevel="0" collapsed="false">
      <c r="A96" s="0" t="s">
        <v>55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sheet1!amk97</f>
        <v>#NAME?</v>
      </c>
      <c r="L96" s="6" t="e">
        <f aca="false">sheet1!aml97</f>
        <v>#NAME?</v>
      </c>
      <c r="M96" s="6" t="e">
        <f aca="false">sheet1!amm97</f>
        <v>#NAME?</v>
      </c>
    </row>
    <row r="97" customFormat="false" ht="15.75" hidden="false" customHeight="false" outlineLevel="0" collapsed="false">
      <c r="A97" s="0" t="s">
        <v>55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sheet1!amk98</f>
        <v>#NAME?</v>
      </c>
      <c r="L97" s="6" t="e">
        <f aca="false">sheet1!aml98</f>
        <v>#NAME?</v>
      </c>
      <c r="M97" s="6" t="e">
        <f aca="false">sheet1!amm98</f>
        <v>#NAME?</v>
      </c>
    </row>
    <row r="98" customFormat="false" ht="15.75" hidden="false" customHeight="false" outlineLevel="0" collapsed="false">
      <c r="A98" s="0" t="s">
        <v>55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sheet1!amk99</f>
        <v>#NAME?</v>
      </c>
      <c r="L98" s="6" t="e">
        <f aca="false">sheet1!aml99</f>
        <v>#NAME?</v>
      </c>
      <c r="M98" s="6" t="e">
        <f aca="false">sheet1!amm99</f>
        <v>#NAME?</v>
      </c>
    </row>
    <row r="99" customFormat="false" ht="15.75" hidden="false" customHeight="false" outlineLevel="0" collapsed="false">
      <c r="A99" s="0" t="s">
        <v>55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sheet1!amk100</f>
        <v>#NAME?</v>
      </c>
      <c r="L99" s="6" t="e">
        <f aca="false">sheet1!aml100</f>
        <v>#NAME?</v>
      </c>
      <c r="M99" s="6" t="e">
        <f aca="false">sheet1!amm100</f>
        <v>#NAME?</v>
      </c>
    </row>
    <row r="100" customFormat="false" ht="15.75" hidden="false" customHeight="false" outlineLevel="0" collapsed="false">
      <c r="A100" s="0" t="s">
        <v>55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sheet1!amk101</f>
        <v>#NAME?</v>
      </c>
      <c r="L100" s="6" t="e">
        <f aca="false">sheet1!aml101</f>
        <v>#NAME?</v>
      </c>
      <c r="M100" s="6" t="e">
        <f aca="false">sheet1!amm101</f>
        <v>#NAME?</v>
      </c>
    </row>
    <row r="101" customFormat="false" ht="15.75" hidden="false" customHeight="false" outlineLevel="0" collapsed="false">
      <c r="A101" s="0" t="s">
        <v>55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sheet1!amk102</f>
        <v>#NAME?</v>
      </c>
      <c r="L101" s="6" t="e">
        <f aca="false">sheet1!aml102</f>
        <v>#NAME?</v>
      </c>
      <c r="M101" s="6" t="e">
        <f aca="false">sheet1!amm102</f>
        <v>#NAME?</v>
      </c>
    </row>
    <row r="102" customFormat="false" ht="15.75" hidden="false" customHeight="false" outlineLevel="0" collapsed="false">
      <c r="A102" s="0" t="s">
        <v>55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sheet1!amk103</f>
        <v>#NAME?</v>
      </c>
      <c r="L102" s="6" t="e">
        <f aca="false">sheet1!aml103</f>
        <v>#NAME?</v>
      </c>
      <c r="M102" s="6" t="e">
        <f aca="false">sheet1!amm103</f>
        <v>#NAME?</v>
      </c>
    </row>
    <row r="103" customFormat="false" ht="15.75" hidden="false" customHeight="false" outlineLevel="0" collapsed="false">
      <c r="A103" s="0" t="s">
        <v>55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sheet1!amk104</f>
        <v>#NAME?</v>
      </c>
      <c r="L103" s="6" t="e">
        <f aca="false">sheet1!aml104</f>
        <v>#NAME?</v>
      </c>
      <c r="M103" s="6" t="e">
        <f aca="false">sheet1!amm104</f>
        <v>#NAME?</v>
      </c>
    </row>
    <row r="104" customFormat="false" ht="15.75" hidden="false" customHeight="false" outlineLevel="0" collapsed="false">
      <c r="A104" s="0" t="s">
        <v>55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sheet1!amk105</f>
        <v>#NAME?</v>
      </c>
      <c r="L104" s="6" t="e">
        <f aca="false">sheet1!aml105</f>
        <v>#NAME?</v>
      </c>
      <c r="M104" s="6" t="e">
        <f aca="false">sheet1!amm105</f>
        <v>#NAME?</v>
      </c>
    </row>
    <row r="105" customFormat="false" ht="15.75" hidden="false" customHeight="false" outlineLevel="0" collapsed="false">
      <c r="A105" s="0" t="s">
        <v>55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sheet1!amk106</f>
        <v>#NAME?</v>
      </c>
      <c r="L105" s="6" t="e">
        <f aca="false">sheet1!aml106</f>
        <v>#NAME?</v>
      </c>
      <c r="M105" s="6" t="e">
        <f aca="false">sheet1!amm106</f>
        <v>#NAME?</v>
      </c>
    </row>
    <row r="106" customFormat="false" ht="15.75" hidden="false" customHeight="false" outlineLevel="0" collapsed="false">
      <c r="A106" s="0" t="s">
        <v>55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sheet1!amk107</f>
        <v>#NAME?</v>
      </c>
      <c r="L106" s="6" t="e">
        <f aca="false">sheet1!aml107</f>
        <v>#NAME?</v>
      </c>
      <c r="M106" s="6" t="e">
        <f aca="false">sheet1!amm107</f>
        <v>#NAME?</v>
      </c>
    </row>
    <row r="107" customFormat="false" ht="15.75" hidden="false" customHeight="false" outlineLevel="0" collapsed="false">
      <c r="A107" s="0" t="s">
        <v>55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sheet1!amk108</f>
        <v>#NAME?</v>
      </c>
      <c r="L107" s="6" t="e">
        <f aca="false">sheet1!aml108</f>
        <v>#NAME?</v>
      </c>
      <c r="M107" s="6" t="e">
        <f aca="false">sheet1!amm108</f>
        <v>#NAME?</v>
      </c>
    </row>
    <row r="108" customFormat="false" ht="15.75" hidden="false" customHeight="false" outlineLevel="0" collapsed="false">
      <c r="A108" s="0" t="s">
        <v>55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sheet1!amk109</f>
        <v>#NAME?</v>
      </c>
      <c r="L108" s="6" t="e">
        <f aca="false">sheet1!aml109</f>
        <v>#NAME?</v>
      </c>
      <c r="M108" s="6" t="e">
        <f aca="false">sheet1!amm109</f>
        <v>#NAME?</v>
      </c>
    </row>
    <row r="109" customFormat="false" ht="15.75" hidden="false" customHeight="false" outlineLevel="0" collapsed="false">
      <c r="A109" s="0" t="s">
        <v>55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sheet1!amk110</f>
        <v>#NAME?</v>
      </c>
      <c r="L109" s="6" t="e">
        <f aca="false">sheet1!aml110</f>
        <v>#NAME?</v>
      </c>
      <c r="M109" s="6" t="e">
        <f aca="false">sheet1!amm110</f>
        <v>#NAME?</v>
      </c>
    </row>
    <row r="110" customFormat="false" ht="15.75" hidden="false" customHeight="false" outlineLevel="0" collapsed="false">
      <c r="A110" s="0" t="s">
        <v>55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sheet1!amk111</f>
        <v>#NAME?</v>
      </c>
      <c r="L110" s="6" t="e">
        <f aca="false">sheet1!aml111</f>
        <v>#NAME?</v>
      </c>
      <c r="M110" s="6" t="e">
        <f aca="false">sheet1!amm111</f>
        <v>#NAME?</v>
      </c>
    </row>
    <row r="111" customFormat="false" ht="15.75" hidden="false" customHeight="false" outlineLevel="0" collapsed="false">
      <c r="A111" s="0" t="s">
        <v>55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sheet1!amk112</f>
        <v>#NAME?</v>
      </c>
      <c r="L111" s="6" t="e">
        <f aca="false">sheet1!aml112</f>
        <v>#NAME?</v>
      </c>
      <c r="M111" s="6" t="e">
        <f aca="false">sheet1!amm112</f>
        <v>#NAME?</v>
      </c>
    </row>
    <row r="112" customFormat="false" ht="15.75" hidden="false" customHeight="false" outlineLevel="0" collapsed="false">
      <c r="A112" s="0" t="s">
        <v>55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sheet1!amk113</f>
        <v>#NAME?</v>
      </c>
      <c r="L112" s="6" t="e">
        <f aca="false">sheet1!aml113</f>
        <v>#NAME?</v>
      </c>
      <c r="M112" s="6" t="e">
        <f aca="false">sheet1!amm113</f>
        <v>#NAME?</v>
      </c>
    </row>
    <row r="113" customFormat="false" ht="15.75" hidden="false" customHeight="false" outlineLevel="0" collapsed="false">
      <c r="A113" s="0" t="s">
        <v>55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sheet1!amk114</f>
        <v>#NAME?</v>
      </c>
      <c r="L113" s="6" t="e">
        <f aca="false">sheet1!aml114</f>
        <v>#NAME?</v>
      </c>
      <c r="M113" s="6" t="e">
        <f aca="false">sheet1!amm114</f>
        <v>#NAME?</v>
      </c>
    </row>
    <row r="114" customFormat="false" ht="15.75" hidden="false" customHeight="false" outlineLevel="0" collapsed="false">
      <c r="A114" s="0" t="s">
        <v>55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sheet1!amk115</f>
        <v>#NAME?</v>
      </c>
      <c r="L114" s="6" t="e">
        <f aca="false">sheet1!aml115</f>
        <v>#NAME?</v>
      </c>
      <c r="M114" s="6" t="e">
        <f aca="false">sheet1!amm115</f>
        <v>#NAME?</v>
      </c>
    </row>
    <row r="115" customFormat="false" ht="15.75" hidden="false" customHeight="false" outlineLevel="0" collapsed="false">
      <c r="A115" s="0" t="s">
        <v>55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sheet1!amk116</f>
        <v>#NAME?</v>
      </c>
      <c r="L115" s="6" t="e">
        <f aca="false">sheet1!aml116</f>
        <v>#NAME?</v>
      </c>
      <c r="M115" s="6" t="e">
        <f aca="false">sheet1!amm116</f>
        <v>#NAME?</v>
      </c>
    </row>
    <row r="116" customFormat="false" ht="15.75" hidden="false" customHeight="false" outlineLevel="0" collapsed="false">
      <c r="A116" s="0" t="s">
        <v>55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sheet1!amk117</f>
        <v>#NAME?</v>
      </c>
      <c r="L116" s="6" t="e">
        <f aca="false">sheet1!aml117</f>
        <v>#NAME?</v>
      </c>
      <c r="M116" s="6" t="e">
        <f aca="false">sheet1!amm117</f>
        <v>#NAME?</v>
      </c>
    </row>
    <row r="117" customFormat="false" ht="15.75" hidden="false" customHeight="false" outlineLevel="0" collapsed="false">
      <c r="A117" s="0" t="s">
        <v>55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sheet1!amk118</f>
        <v>#NAME?</v>
      </c>
      <c r="L117" s="6" t="e">
        <f aca="false">sheet1!aml118</f>
        <v>#NAME?</v>
      </c>
      <c r="M117" s="6" t="e">
        <f aca="false">sheet1!amm118</f>
        <v>#NAME?</v>
      </c>
    </row>
    <row r="118" customFormat="false" ht="15.75" hidden="false" customHeight="false" outlineLevel="0" collapsed="false">
      <c r="A118" s="0" t="s">
        <v>55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sheet1!amk119</f>
        <v>#NAME?</v>
      </c>
      <c r="L118" s="6" t="e">
        <f aca="false">sheet1!aml119</f>
        <v>#NAME?</v>
      </c>
      <c r="M118" s="6" t="e">
        <f aca="false">sheet1!amm119</f>
        <v>#NAME?</v>
      </c>
    </row>
    <row r="119" customFormat="false" ht="15.75" hidden="false" customHeight="false" outlineLevel="0" collapsed="false">
      <c r="A119" s="0" t="s">
        <v>55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sheet1!amk120</f>
        <v>#NAME?</v>
      </c>
      <c r="L119" s="6" t="e">
        <f aca="false">sheet1!aml120</f>
        <v>#NAME?</v>
      </c>
      <c r="M119" s="6" t="e">
        <f aca="false">sheet1!amm120</f>
        <v>#NAME?</v>
      </c>
    </row>
    <row r="120" customFormat="false" ht="15.75" hidden="false" customHeight="false" outlineLevel="0" collapsed="false">
      <c r="A120" s="0" t="s">
        <v>55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sheet1!amk121</f>
        <v>#NAME?</v>
      </c>
      <c r="L120" s="6" t="e">
        <f aca="false">sheet1!aml121</f>
        <v>#NAME?</v>
      </c>
      <c r="M120" s="6" t="e">
        <f aca="false">sheet1!amm121</f>
        <v>#NAME?</v>
      </c>
    </row>
    <row r="121" customFormat="false" ht="15.75" hidden="false" customHeight="false" outlineLevel="0" collapsed="false">
      <c r="A121" s="0" t="s">
        <v>55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sheet1!amk122</f>
        <v>#NAME?</v>
      </c>
      <c r="L121" s="6" t="e">
        <f aca="false">sheet1!aml122</f>
        <v>#NAME?</v>
      </c>
      <c r="M121" s="6" t="e">
        <f aca="false">sheet1!amm122</f>
        <v>#NAME?</v>
      </c>
    </row>
    <row r="122" customFormat="false" ht="15.75" hidden="false" customHeight="false" outlineLevel="0" collapsed="false">
      <c r="A122" s="0" t="s">
        <v>55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sheet1!amk123</f>
        <v>#NAME?</v>
      </c>
      <c r="L122" s="6" t="e">
        <f aca="false">sheet1!aml123</f>
        <v>#NAME?</v>
      </c>
      <c r="M122" s="6" t="e">
        <f aca="false">sheet1!amm123</f>
        <v>#NAME?</v>
      </c>
    </row>
    <row r="123" customFormat="false" ht="15.75" hidden="false" customHeight="false" outlineLevel="0" collapsed="false">
      <c r="A123" s="0" t="s">
        <v>55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sheet1!amk124</f>
        <v>#NAME?</v>
      </c>
      <c r="L123" s="6" t="e">
        <f aca="false">sheet1!aml124</f>
        <v>#NAME?</v>
      </c>
      <c r="M123" s="6" t="e">
        <f aca="false">sheet1!amm124</f>
        <v>#NAME?</v>
      </c>
    </row>
    <row r="124" customFormat="false" ht="15.75" hidden="false" customHeight="false" outlineLevel="0" collapsed="false">
      <c r="A124" s="0" t="s">
        <v>55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sheet1!amk125</f>
        <v>#NAME?</v>
      </c>
      <c r="L124" s="6" t="e">
        <f aca="false">sheet1!aml125</f>
        <v>#NAME?</v>
      </c>
      <c r="M124" s="6" t="e">
        <f aca="false">sheet1!amm125</f>
        <v>#NAME?</v>
      </c>
    </row>
    <row r="125" customFormat="false" ht="15.75" hidden="false" customHeight="false" outlineLevel="0" collapsed="false">
      <c r="A125" s="0" t="s">
        <v>55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sheet1!amk126</f>
        <v>#NAME?</v>
      </c>
      <c r="L125" s="6" t="e">
        <f aca="false">sheet1!aml126</f>
        <v>#NAME?</v>
      </c>
      <c r="M125" s="6" t="e">
        <f aca="false">sheet1!amm126</f>
        <v>#NAME?</v>
      </c>
    </row>
    <row r="126" customFormat="false" ht="15.75" hidden="false" customHeight="false" outlineLevel="0" collapsed="false">
      <c r="A126" s="0" t="s">
        <v>55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sheet1!amk127</f>
        <v>#NAME?</v>
      </c>
      <c r="L126" s="6" t="e">
        <f aca="false">sheet1!aml127</f>
        <v>#NAME?</v>
      </c>
      <c r="M126" s="6" t="e">
        <f aca="false">sheet1!amm127</f>
        <v>#NAME?</v>
      </c>
    </row>
    <row r="127" customFormat="false" ht="15.75" hidden="false" customHeight="false" outlineLevel="0" collapsed="false">
      <c r="A127" s="0" t="s">
        <v>55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sheet1!amk128</f>
        <v>#NAME?</v>
      </c>
      <c r="L127" s="6" t="e">
        <f aca="false">sheet1!aml128</f>
        <v>#NAME?</v>
      </c>
      <c r="M127" s="6" t="e">
        <f aca="false">sheet1!amm128</f>
        <v>#NAME?</v>
      </c>
    </row>
    <row r="128" customFormat="false" ht="15.75" hidden="false" customHeight="false" outlineLevel="0" collapsed="false">
      <c r="A128" s="0" t="s">
        <v>55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sheet1!amk129</f>
        <v>#NAME?</v>
      </c>
      <c r="L128" s="6" t="e">
        <f aca="false">sheet1!aml129</f>
        <v>#NAME?</v>
      </c>
      <c r="M128" s="6" t="e">
        <f aca="false">sheet1!amm129</f>
        <v>#NAME?</v>
      </c>
    </row>
    <row r="129" customFormat="false" ht="15.75" hidden="false" customHeight="false" outlineLevel="0" collapsed="false">
      <c r="A129" s="0" t="s">
        <v>55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sheet1!amk130</f>
        <v>#NAME?</v>
      </c>
      <c r="L129" s="6" t="e">
        <f aca="false">sheet1!aml130</f>
        <v>#NAME?</v>
      </c>
      <c r="M129" s="6" t="e">
        <f aca="false">sheet1!amm130</f>
        <v>#NAME?</v>
      </c>
    </row>
    <row r="130" customFormat="false" ht="15.75" hidden="false" customHeight="false" outlineLevel="0" collapsed="false">
      <c r="A130" s="0" t="s">
        <v>55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sheet1!amk131</f>
        <v>#NAME?</v>
      </c>
      <c r="L130" s="6" t="e">
        <f aca="false">sheet1!aml131</f>
        <v>#NAME?</v>
      </c>
      <c r="M130" s="6" t="e">
        <f aca="false">sheet1!amm131</f>
        <v>#NAME?</v>
      </c>
    </row>
    <row r="131" customFormat="false" ht="15.75" hidden="false" customHeight="false" outlineLevel="0" collapsed="false">
      <c r="A131" s="0" t="s">
        <v>55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sheet1!amk132</f>
        <v>#NAME?</v>
      </c>
      <c r="L131" s="6" t="e">
        <f aca="false">sheet1!aml132</f>
        <v>#NAME?</v>
      </c>
      <c r="M131" s="6" t="e">
        <f aca="false">sheet1!amm132</f>
        <v>#NAME?</v>
      </c>
    </row>
    <row r="132" customFormat="false" ht="15.75" hidden="false" customHeight="false" outlineLevel="0" collapsed="false">
      <c r="A132" s="0" t="s">
        <v>55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sheet1!amk133</f>
        <v>#NAME?</v>
      </c>
      <c r="L132" s="6" t="e">
        <f aca="false">sheet1!aml133</f>
        <v>#NAME?</v>
      </c>
      <c r="M132" s="6" t="e">
        <f aca="false">sheet1!amm133</f>
        <v>#NAME?</v>
      </c>
    </row>
    <row r="133" customFormat="false" ht="15.75" hidden="false" customHeight="false" outlineLevel="0" collapsed="false">
      <c r="A133" s="0" t="s">
        <v>55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sheet1!amk134</f>
        <v>#NAME?</v>
      </c>
      <c r="L133" s="6" t="e">
        <f aca="false">sheet1!aml134</f>
        <v>#NAME?</v>
      </c>
      <c r="M133" s="6" t="e">
        <f aca="false">sheet1!amm134</f>
        <v>#NAME?</v>
      </c>
    </row>
    <row r="134" customFormat="false" ht="15.75" hidden="false" customHeight="false" outlineLevel="0" collapsed="false">
      <c r="A134" s="0" t="s">
        <v>55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sheet1!amk135</f>
        <v>#NAME?</v>
      </c>
      <c r="L134" s="6" t="e">
        <f aca="false">sheet1!aml135</f>
        <v>#NAME?</v>
      </c>
      <c r="M134" s="6" t="e">
        <f aca="false">sheet1!amm135</f>
        <v>#NAME?</v>
      </c>
    </row>
    <row r="135" customFormat="false" ht="15.75" hidden="false" customHeight="false" outlineLevel="0" collapsed="false">
      <c r="A135" s="0" t="s">
        <v>55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sheet1!amk136</f>
        <v>#NAME?</v>
      </c>
      <c r="L135" s="6" t="e">
        <f aca="false">sheet1!aml136</f>
        <v>#NAME?</v>
      </c>
      <c r="M135" s="6" t="e">
        <f aca="false">sheet1!amm136</f>
        <v>#NAME?</v>
      </c>
    </row>
    <row r="136" customFormat="false" ht="15.75" hidden="false" customHeight="false" outlineLevel="0" collapsed="false">
      <c r="A136" s="0" t="s">
        <v>55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sheet1!amk137</f>
        <v>#NAME?</v>
      </c>
      <c r="L136" s="6" t="e">
        <f aca="false">sheet1!aml137</f>
        <v>#NAME?</v>
      </c>
      <c r="M136" s="6" t="e">
        <f aca="false">sheet1!amm137</f>
        <v>#NAME?</v>
      </c>
    </row>
    <row r="137" customFormat="false" ht="15.75" hidden="false" customHeight="false" outlineLevel="0" collapsed="false">
      <c r="A137" s="0" t="s">
        <v>55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sheet1!amk138</f>
        <v>#NAME?</v>
      </c>
      <c r="L137" s="6" t="e">
        <f aca="false">sheet1!aml138</f>
        <v>#NAME?</v>
      </c>
      <c r="M137" s="6" t="e">
        <f aca="false">sheet1!amm138</f>
        <v>#NAME?</v>
      </c>
    </row>
    <row r="138" customFormat="false" ht="15.75" hidden="false" customHeight="false" outlineLevel="0" collapsed="false">
      <c r="A138" s="0" t="s">
        <v>55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sheet1!amk139</f>
        <v>#NAME?</v>
      </c>
      <c r="L138" s="6" t="e">
        <f aca="false">sheet1!aml139</f>
        <v>#NAME?</v>
      </c>
      <c r="M138" s="6" t="e">
        <f aca="false">sheet1!amm139</f>
        <v>#NAME?</v>
      </c>
    </row>
    <row r="139" customFormat="false" ht="15.75" hidden="false" customHeight="false" outlineLevel="0" collapsed="false">
      <c r="A139" s="0" t="s">
        <v>55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sheet1!amk140</f>
        <v>#NAME?</v>
      </c>
      <c r="L139" s="6" t="e">
        <f aca="false">sheet1!aml140</f>
        <v>#NAME?</v>
      </c>
      <c r="M139" s="6" t="e">
        <f aca="false">sheet1!amm140</f>
        <v>#NAME?</v>
      </c>
    </row>
    <row r="140" customFormat="false" ht="15.75" hidden="false" customHeight="false" outlineLevel="0" collapsed="false">
      <c r="A140" s="0" t="s">
        <v>55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sheet1!amk141</f>
        <v>#NAME?</v>
      </c>
      <c r="L140" s="6" t="e">
        <f aca="false">sheet1!aml141</f>
        <v>#NAME?</v>
      </c>
      <c r="M140" s="6" t="e">
        <f aca="false">sheet1!amm141</f>
        <v>#NAME?</v>
      </c>
    </row>
    <row r="141" customFormat="false" ht="15.75" hidden="false" customHeight="false" outlineLevel="0" collapsed="false">
      <c r="A141" s="0" t="s">
        <v>55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sheet1!amk142</f>
        <v>#NAME?</v>
      </c>
      <c r="L141" s="6" t="e">
        <f aca="false">sheet1!aml142</f>
        <v>#NAME?</v>
      </c>
      <c r="M141" s="6" t="e">
        <f aca="false">sheet1!amm142</f>
        <v>#NAME?</v>
      </c>
    </row>
    <row r="142" customFormat="false" ht="15.75" hidden="false" customHeight="false" outlineLevel="0" collapsed="false">
      <c r="A142" s="0" t="s">
        <v>55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sheet1!amk143</f>
        <v>#NAME?</v>
      </c>
      <c r="L142" s="6" t="e">
        <f aca="false">sheet1!aml143</f>
        <v>#NAME?</v>
      </c>
      <c r="M142" s="6" t="e">
        <f aca="false">sheet1!amm143</f>
        <v>#NAME?</v>
      </c>
    </row>
    <row r="143" customFormat="false" ht="15.75" hidden="false" customHeight="false" outlineLevel="0" collapsed="false">
      <c r="A143" s="0" t="s">
        <v>55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sheet1!amk144</f>
        <v>#NAME?</v>
      </c>
      <c r="L143" s="6" t="e">
        <f aca="false">sheet1!aml144</f>
        <v>#NAME?</v>
      </c>
      <c r="M143" s="6" t="e">
        <f aca="false">sheet1!amm144</f>
        <v>#NAME?</v>
      </c>
    </row>
    <row r="144" customFormat="false" ht="15.75" hidden="false" customHeight="false" outlineLevel="0" collapsed="false">
      <c r="A144" s="0" t="s">
        <v>55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sheet1!amk145</f>
        <v>#NAME?</v>
      </c>
      <c r="L144" s="6" t="e">
        <f aca="false">sheet1!aml145</f>
        <v>#NAME?</v>
      </c>
      <c r="M144" s="6" t="e">
        <f aca="false">sheet1!amm145</f>
        <v>#NAME?</v>
      </c>
    </row>
    <row r="145" customFormat="false" ht="15.75" hidden="false" customHeight="false" outlineLevel="0" collapsed="false">
      <c r="A145" s="0" t="s">
        <v>55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sheet1!amk146</f>
        <v>#NAME?</v>
      </c>
      <c r="L145" s="6" t="e">
        <f aca="false">sheet1!aml146</f>
        <v>#NAME?</v>
      </c>
      <c r="M145" s="6" t="e">
        <f aca="false">sheet1!amm146</f>
        <v>#NAME?</v>
      </c>
    </row>
    <row r="146" customFormat="false" ht="15.75" hidden="false" customHeight="false" outlineLevel="0" collapsed="false">
      <c r="A146" s="0" t="s">
        <v>55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sheet1!amk147</f>
        <v>#NAME?</v>
      </c>
      <c r="L146" s="6" t="e">
        <f aca="false">sheet1!aml147</f>
        <v>#NAME?</v>
      </c>
      <c r="M146" s="6" t="e">
        <f aca="false">sheet1!amm147</f>
        <v>#NAME?</v>
      </c>
    </row>
    <row r="147" customFormat="false" ht="15.75" hidden="false" customHeight="false" outlineLevel="0" collapsed="false">
      <c r="A147" s="0" t="s">
        <v>55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sheet1!amk148</f>
        <v>#NAME?</v>
      </c>
      <c r="L147" s="6" t="e">
        <f aca="false">sheet1!aml148</f>
        <v>#NAME?</v>
      </c>
      <c r="M147" s="6" t="e">
        <f aca="false">sheet1!amm148</f>
        <v>#NAME?</v>
      </c>
    </row>
    <row r="148" customFormat="false" ht="15.75" hidden="false" customHeight="false" outlineLevel="0" collapsed="false">
      <c r="A148" s="0" t="s">
        <v>55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sheet1!amk149</f>
        <v>#NAME?</v>
      </c>
      <c r="L148" s="6" t="e">
        <f aca="false">sheet1!aml149</f>
        <v>#NAME?</v>
      </c>
      <c r="M148" s="6" t="e">
        <f aca="false">sheet1!amm149</f>
        <v>#NAME?</v>
      </c>
    </row>
    <row r="149" customFormat="false" ht="15.75" hidden="false" customHeight="false" outlineLevel="0" collapsed="false">
      <c r="A149" s="0" t="s">
        <v>55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sheet1!amk150</f>
        <v>#NAME?</v>
      </c>
      <c r="L149" s="6" t="e">
        <f aca="false">sheet1!aml150</f>
        <v>#NAME?</v>
      </c>
      <c r="M149" s="6" t="e">
        <f aca="false">sheet1!amm150</f>
        <v>#NAME?</v>
      </c>
    </row>
    <row r="150" customFormat="false" ht="15.75" hidden="false" customHeight="false" outlineLevel="0" collapsed="false">
      <c r="A150" s="0" t="s">
        <v>55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sheet1!amk151</f>
        <v>#NAME?</v>
      </c>
      <c r="L150" s="6" t="e">
        <f aca="false">sheet1!aml151</f>
        <v>#NAME?</v>
      </c>
      <c r="M150" s="6" t="e">
        <f aca="false">sheet1!amm151</f>
        <v>#NAME?</v>
      </c>
    </row>
    <row r="151" customFormat="false" ht="15.75" hidden="false" customHeight="false" outlineLevel="0" collapsed="false">
      <c r="A151" s="0" t="s">
        <v>55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sheet1!amk152</f>
        <v>#NAME?</v>
      </c>
      <c r="L151" s="6" t="e">
        <f aca="false">sheet1!aml152</f>
        <v>#NAME?</v>
      </c>
      <c r="M151" s="6" t="e">
        <f aca="false">sheet1!amm152</f>
        <v>#NAME?</v>
      </c>
    </row>
    <row r="152" customFormat="false" ht="15.75" hidden="false" customHeight="false" outlineLevel="0" collapsed="false">
      <c r="A152" s="0" t="s">
        <v>55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sheet1!amk153</f>
        <v>#NAME?</v>
      </c>
      <c r="L152" s="6" t="e">
        <f aca="false">sheet1!aml153</f>
        <v>#NAME?</v>
      </c>
      <c r="M152" s="6" t="e">
        <f aca="false">sheet1!amm153</f>
        <v>#NAME?</v>
      </c>
    </row>
    <row r="153" customFormat="false" ht="15.75" hidden="false" customHeight="false" outlineLevel="0" collapsed="false">
      <c r="A153" s="0" t="s">
        <v>55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sheet1!amk154</f>
        <v>#NAME?</v>
      </c>
      <c r="L153" s="6" t="e">
        <f aca="false">sheet1!aml154</f>
        <v>#NAME?</v>
      </c>
      <c r="M153" s="6" t="e">
        <f aca="false">sheet1!amm154</f>
        <v>#NAME?</v>
      </c>
    </row>
    <row r="154" customFormat="false" ht="15.75" hidden="false" customHeight="false" outlineLevel="0" collapsed="false">
      <c r="A154" s="0" t="s">
        <v>55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sheet1!amk155</f>
        <v>#NAME?</v>
      </c>
      <c r="L154" s="6" t="e">
        <f aca="false">sheet1!aml155</f>
        <v>#NAME?</v>
      </c>
      <c r="M154" s="6" t="e">
        <f aca="false">sheet1!amm155</f>
        <v>#NAME?</v>
      </c>
    </row>
    <row r="155" customFormat="false" ht="15.75" hidden="false" customHeight="false" outlineLevel="0" collapsed="false">
      <c r="A155" s="0" t="s">
        <v>55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sheet1!amk156</f>
        <v>#NAME?</v>
      </c>
      <c r="L155" s="6" t="e">
        <f aca="false">sheet1!aml156</f>
        <v>#NAME?</v>
      </c>
      <c r="M155" s="6" t="e">
        <f aca="false">sheet1!amm156</f>
        <v>#NAME?</v>
      </c>
    </row>
    <row r="156" customFormat="false" ht="15.75" hidden="false" customHeight="false" outlineLevel="0" collapsed="false">
      <c r="A156" s="0" t="s">
        <v>55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sheet1!amk157</f>
        <v>#NAME?</v>
      </c>
      <c r="L156" s="6" t="e">
        <f aca="false">sheet1!aml157</f>
        <v>#NAME?</v>
      </c>
      <c r="M156" s="6" t="e">
        <f aca="false">sheet1!amm157</f>
        <v>#NAME?</v>
      </c>
    </row>
    <row r="157" customFormat="false" ht="15.75" hidden="false" customHeight="false" outlineLevel="0" collapsed="false">
      <c r="A157" s="0" t="s">
        <v>55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sheet1!amk158</f>
        <v>#NAME?</v>
      </c>
      <c r="L157" s="6" t="e">
        <f aca="false">sheet1!aml158</f>
        <v>#NAME?</v>
      </c>
      <c r="M157" s="6" t="e">
        <f aca="false">sheet1!amm158</f>
        <v>#NAME?</v>
      </c>
    </row>
    <row r="158" customFormat="false" ht="15.75" hidden="false" customHeight="false" outlineLevel="0" collapsed="false">
      <c r="A158" s="0" t="s">
        <v>55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sheet1!amk159</f>
        <v>#NAME?</v>
      </c>
      <c r="L158" s="6" t="e">
        <f aca="false">sheet1!aml159</f>
        <v>#NAME?</v>
      </c>
      <c r="M158" s="6" t="e">
        <f aca="false">sheet1!amm159</f>
        <v>#NAME?</v>
      </c>
    </row>
    <row r="159" customFormat="false" ht="15.75" hidden="false" customHeight="false" outlineLevel="0" collapsed="false">
      <c r="A159" s="0" t="s">
        <v>55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sheet1!amk160</f>
        <v>#NAME?</v>
      </c>
      <c r="L159" s="6" t="e">
        <f aca="false">sheet1!aml160</f>
        <v>#NAME?</v>
      </c>
      <c r="M159" s="6" t="e">
        <f aca="false">sheet1!amm160</f>
        <v>#NAME?</v>
      </c>
    </row>
    <row r="160" customFormat="false" ht="15.75" hidden="false" customHeight="false" outlineLevel="0" collapsed="false">
      <c r="A160" s="0" t="s">
        <v>55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sheet1!amk161</f>
        <v>#NAME?</v>
      </c>
      <c r="L160" s="6" t="e">
        <f aca="false">sheet1!aml161</f>
        <v>#NAME?</v>
      </c>
      <c r="M160" s="6" t="e">
        <f aca="false">sheet1!amm161</f>
        <v>#NAME?</v>
      </c>
    </row>
    <row r="161" customFormat="false" ht="15.75" hidden="false" customHeight="false" outlineLevel="0" collapsed="false">
      <c r="A161" s="0" t="s">
        <v>55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sheet1!amk162</f>
        <v>#NAME?</v>
      </c>
      <c r="L161" s="6" t="e">
        <f aca="false">sheet1!aml162</f>
        <v>#NAME?</v>
      </c>
      <c r="M161" s="6" t="e">
        <f aca="false">sheet1!amm162</f>
        <v>#NAME?</v>
      </c>
    </row>
    <row r="162" customFormat="false" ht="15.75" hidden="false" customHeight="false" outlineLevel="0" collapsed="false">
      <c r="A162" s="0" t="s">
        <v>55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sheet1!amk163</f>
        <v>#NAME?</v>
      </c>
      <c r="L162" s="6" t="e">
        <f aca="false">sheet1!aml163</f>
        <v>#NAME?</v>
      </c>
      <c r="M162" s="6" t="e">
        <f aca="false">sheet1!amm163</f>
        <v>#NAME?</v>
      </c>
    </row>
    <row r="163" customFormat="false" ht="15.75" hidden="false" customHeight="false" outlineLevel="0" collapsed="false">
      <c r="A163" s="0" t="s">
        <v>55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sheet1!amk164</f>
        <v>#NAME?</v>
      </c>
      <c r="L163" s="6" t="e">
        <f aca="false">sheet1!aml164</f>
        <v>#NAME?</v>
      </c>
      <c r="M163" s="6" t="e">
        <f aca="false">sheet1!amm164</f>
        <v>#NAME?</v>
      </c>
    </row>
    <row r="164" customFormat="false" ht="15.75" hidden="false" customHeight="false" outlineLevel="0" collapsed="false">
      <c r="A164" s="0" t="s">
        <v>55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sheet1!amk165</f>
        <v>#NAME?</v>
      </c>
      <c r="L164" s="6" t="e">
        <f aca="false">sheet1!aml165</f>
        <v>#NAME?</v>
      </c>
      <c r="M164" s="6" t="e">
        <f aca="false">sheet1!amm165</f>
        <v>#NAME?</v>
      </c>
    </row>
    <row r="165" customFormat="false" ht="15.75" hidden="false" customHeight="false" outlineLevel="0" collapsed="false">
      <c r="A165" s="0" t="s">
        <v>55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sheet1!amk166</f>
        <v>#NAME?</v>
      </c>
      <c r="L165" s="6" t="e">
        <f aca="false">sheet1!aml166</f>
        <v>#NAME?</v>
      </c>
      <c r="M165" s="6" t="e">
        <f aca="false">sheet1!amm166</f>
        <v>#NAME?</v>
      </c>
    </row>
    <row r="166" customFormat="false" ht="15.75" hidden="false" customHeight="false" outlineLevel="0" collapsed="false">
      <c r="A166" s="0" t="s">
        <v>55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sheet1!amk167</f>
        <v>#NAME?</v>
      </c>
      <c r="L166" s="6" t="e">
        <f aca="false">sheet1!aml167</f>
        <v>#NAME?</v>
      </c>
      <c r="M166" s="6" t="e">
        <f aca="false">sheet1!amm167</f>
        <v>#NAME?</v>
      </c>
    </row>
    <row r="167" customFormat="false" ht="15.75" hidden="false" customHeight="false" outlineLevel="0" collapsed="false">
      <c r="A167" s="0" t="s">
        <v>55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sheet1!amk168</f>
        <v>#NAME?</v>
      </c>
      <c r="L167" s="6" t="e">
        <f aca="false">sheet1!aml168</f>
        <v>#NAME?</v>
      </c>
      <c r="M167" s="6" t="e">
        <f aca="false">sheet1!amm168</f>
        <v>#NAME?</v>
      </c>
    </row>
    <row r="168" customFormat="false" ht="15.75" hidden="false" customHeight="false" outlineLevel="0" collapsed="false">
      <c r="A168" s="0" t="s">
        <v>55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sheet1!amk169</f>
        <v>#NAME?</v>
      </c>
      <c r="L168" s="6" t="e">
        <f aca="false">sheet1!aml169</f>
        <v>#NAME?</v>
      </c>
      <c r="M168" s="6" t="e">
        <f aca="false">sheet1!amm169</f>
        <v>#NAME?</v>
      </c>
    </row>
    <row r="169" customFormat="false" ht="15.75" hidden="false" customHeight="false" outlineLevel="0" collapsed="false">
      <c r="A169" s="0" t="s">
        <v>55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sheet1!amk170</f>
        <v>#NAME?</v>
      </c>
      <c r="L169" s="6" t="e">
        <f aca="false">sheet1!aml170</f>
        <v>#NAME?</v>
      </c>
      <c r="M169" s="6" t="e">
        <f aca="false">sheet1!amm170</f>
        <v>#NAME?</v>
      </c>
    </row>
    <row r="170" customFormat="false" ht="15.75" hidden="false" customHeight="false" outlineLevel="0" collapsed="false">
      <c r="A170" s="0" t="s">
        <v>55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sheet1!amk171</f>
        <v>#NAME?</v>
      </c>
      <c r="L170" s="6" t="e">
        <f aca="false">sheet1!aml171</f>
        <v>#NAME?</v>
      </c>
      <c r="M170" s="6" t="e">
        <f aca="false">sheet1!amm171</f>
        <v>#NAME?</v>
      </c>
    </row>
    <row r="171" customFormat="false" ht="15.75" hidden="false" customHeight="false" outlineLevel="0" collapsed="false">
      <c r="A171" s="0" t="s">
        <v>55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sheet1!amk172</f>
        <v>#NAME?</v>
      </c>
      <c r="L171" s="6" t="e">
        <f aca="false">sheet1!aml172</f>
        <v>#NAME?</v>
      </c>
      <c r="M171" s="6" t="e">
        <f aca="false">sheet1!amm172</f>
        <v>#NAME?</v>
      </c>
    </row>
    <row r="172" customFormat="false" ht="15.75" hidden="false" customHeight="false" outlineLevel="0" collapsed="false">
      <c r="A172" s="0" t="s">
        <v>55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sheet1!amk173</f>
        <v>#NAME?</v>
      </c>
      <c r="L172" s="6" t="e">
        <f aca="false">sheet1!aml173</f>
        <v>#NAME?</v>
      </c>
      <c r="M172" s="6" t="e">
        <f aca="false">sheet1!amm173</f>
        <v>#NAME?</v>
      </c>
    </row>
    <row r="173" customFormat="false" ht="15.75" hidden="false" customHeight="false" outlineLevel="0" collapsed="false">
      <c r="A173" s="0" t="s">
        <v>55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sheet1!amk174</f>
        <v>#NAME?</v>
      </c>
      <c r="L173" s="6" t="e">
        <f aca="false">sheet1!aml174</f>
        <v>#NAME?</v>
      </c>
      <c r="M173" s="6" t="e">
        <f aca="false">sheet1!amm174</f>
        <v>#NAME?</v>
      </c>
    </row>
    <row r="174" customFormat="false" ht="15.75" hidden="false" customHeight="false" outlineLevel="0" collapsed="false">
      <c r="A174" s="0" t="s">
        <v>55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sheet1!amk175</f>
        <v>#NAME?</v>
      </c>
      <c r="L174" s="6" t="e">
        <f aca="false">sheet1!aml175</f>
        <v>#NAME?</v>
      </c>
      <c r="M174" s="6" t="e">
        <f aca="false">sheet1!amm175</f>
        <v>#NAME?</v>
      </c>
    </row>
    <row r="175" customFormat="false" ht="15.75" hidden="false" customHeight="false" outlineLevel="0" collapsed="false">
      <c r="A175" s="0" t="s">
        <v>55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sheet1!amk176</f>
        <v>#NAME?</v>
      </c>
      <c r="L175" s="6" t="e">
        <f aca="false">sheet1!aml176</f>
        <v>#NAME?</v>
      </c>
      <c r="M175" s="6" t="e">
        <f aca="false">sheet1!amm176</f>
        <v>#NAME?</v>
      </c>
    </row>
    <row r="176" customFormat="false" ht="15.75" hidden="false" customHeight="false" outlineLevel="0" collapsed="false">
      <c r="A176" s="0" t="s">
        <v>55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sheet1!amk177</f>
        <v>#NAME?</v>
      </c>
      <c r="L176" s="6" t="e">
        <f aca="false">sheet1!aml177</f>
        <v>#NAME?</v>
      </c>
      <c r="M176" s="6" t="e">
        <f aca="false">sheet1!amm177</f>
        <v>#NAME?</v>
      </c>
    </row>
    <row r="177" customFormat="false" ht="15.75" hidden="false" customHeight="false" outlineLevel="0" collapsed="false">
      <c r="A177" s="0" t="s">
        <v>55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sheet1!amk178</f>
        <v>#NAME?</v>
      </c>
      <c r="L177" s="6" t="e">
        <f aca="false">sheet1!aml178</f>
        <v>#NAME?</v>
      </c>
      <c r="M177" s="6" t="e">
        <f aca="false">sheet1!amm178</f>
        <v>#NAME?</v>
      </c>
    </row>
    <row r="178" customFormat="false" ht="15.75" hidden="false" customHeight="false" outlineLevel="0" collapsed="false">
      <c r="A178" s="0" t="s">
        <v>55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sheet1!amk179</f>
        <v>#NAME?</v>
      </c>
      <c r="L178" s="6" t="e">
        <f aca="false">sheet1!aml179</f>
        <v>#NAME?</v>
      </c>
      <c r="M178" s="6" t="e">
        <f aca="false">sheet1!amm179</f>
        <v>#NAME?</v>
      </c>
    </row>
    <row r="179" customFormat="false" ht="15.75" hidden="false" customHeight="false" outlineLevel="0" collapsed="false">
      <c r="A179" s="0" t="s">
        <v>55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sheet1!amk180</f>
        <v>#NAME?</v>
      </c>
      <c r="L179" s="6" t="e">
        <f aca="false">sheet1!aml180</f>
        <v>#NAME?</v>
      </c>
      <c r="M179" s="6" t="e">
        <f aca="false">sheet1!amm180</f>
        <v>#NAME?</v>
      </c>
    </row>
    <row r="180" customFormat="false" ht="15.75" hidden="false" customHeight="false" outlineLevel="0" collapsed="false">
      <c r="A180" s="0" t="s">
        <v>55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sheet1!amk181</f>
        <v>#NAME?</v>
      </c>
      <c r="L180" s="6" t="e">
        <f aca="false">sheet1!aml181</f>
        <v>#NAME?</v>
      </c>
      <c r="M180" s="6" t="e">
        <f aca="false">sheet1!amm181</f>
        <v>#NAME?</v>
      </c>
    </row>
    <row r="181" customFormat="false" ht="15.75" hidden="false" customHeight="false" outlineLevel="0" collapsed="false">
      <c r="A181" s="0" t="s">
        <v>55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sheet1!amk182</f>
        <v>#NAME?</v>
      </c>
      <c r="L181" s="6" t="e">
        <f aca="false">sheet1!aml182</f>
        <v>#NAME?</v>
      </c>
      <c r="M181" s="6" t="e">
        <f aca="false">sheet1!amm182</f>
        <v>#NAME?</v>
      </c>
    </row>
    <row r="182" customFormat="false" ht="15.75" hidden="false" customHeight="false" outlineLevel="0" collapsed="false">
      <c r="A182" s="0" t="s">
        <v>55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sheet1!amk183</f>
        <v>#NAME?</v>
      </c>
      <c r="L182" s="6" t="e">
        <f aca="false">sheet1!aml183</f>
        <v>#NAME?</v>
      </c>
      <c r="M182" s="6" t="e">
        <f aca="false">sheet1!amm183</f>
        <v>#NAME?</v>
      </c>
    </row>
    <row r="183" customFormat="false" ht="15.75" hidden="false" customHeight="false" outlineLevel="0" collapsed="false">
      <c r="A183" s="0" t="s">
        <v>55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sheet1!amk184</f>
        <v>#NAME?</v>
      </c>
      <c r="L183" s="6" t="e">
        <f aca="false">sheet1!aml184</f>
        <v>#NAME?</v>
      </c>
      <c r="M183" s="6" t="e">
        <f aca="false">sheet1!amm184</f>
        <v>#NAME?</v>
      </c>
    </row>
    <row r="184" customFormat="false" ht="15.75" hidden="false" customHeight="false" outlineLevel="0" collapsed="false">
      <c r="A184" s="0" t="s">
        <v>55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sheet1!amk185</f>
        <v>#NAME?</v>
      </c>
      <c r="L184" s="6" t="e">
        <f aca="false">sheet1!aml185</f>
        <v>#NAME?</v>
      </c>
      <c r="M184" s="6" t="e">
        <f aca="false">sheet1!amm185</f>
        <v>#NAME?</v>
      </c>
    </row>
    <row r="185" customFormat="false" ht="15.75" hidden="false" customHeight="false" outlineLevel="0" collapsed="false">
      <c r="A185" s="0" t="s">
        <v>55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sheet1!amk186</f>
        <v>#NAME?</v>
      </c>
      <c r="L185" s="6" t="e">
        <f aca="false">sheet1!aml186</f>
        <v>#NAME?</v>
      </c>
      <c r="M185" s="6" t="e">
        <f aca="false">sheet1!amm186</f>
        <v>#NAME?</v>
      </c>
    </row>
    <row r="186" customFormat="false" ht="15.75" hidden="false" customHeight="false" outlineLevel="0" collapsed="false">
      <c r="A186" s="0" t="s">
        <v>55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sheet1!amk187</f>
        <v>#NAME?</v>
      </c>
      <c r="L186" s="6" t="e">
        <f aca="false">sheet1!aml187</f>
        <v>#NAME?</v>
      </c>
      <c r="M186" s="6" t="e">
        <f aca="false">sheet1!amm187</f>
        <v>#NAME?</v>
      </c>
    </row>
    <row r="187" customFormat="false" ht="15.75" hidden="false" customHeight="false" outlineLevel="0" collapsed="false">
      <c r="A187" s="0" t="s">
        <v>55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sheet1!amk188</f>
        <v>#NAME?</v>
      </c>
      <c r="L187" s="6" t="e">
        <f aca="false">sheet1!aml188</f>
        <v>#NAME?</v>
      </c>
      <c r="M187" s="6" t="e">
        <f aca="false">sheet1!amm188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56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56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56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56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56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56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56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56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56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56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56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56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56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56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56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56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56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56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56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56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56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56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56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56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56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56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56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56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56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56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56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56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56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56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56</v>
      </c>
      <c r="B37" s="1" t="n">
        <v>43897</v>
      </c>
      <c r="C37" s="8" t="n">
        <v>3</v>
      </c>
      <c r="D37" s="8" t="n">
        <v>1</v>
      </c>
      <c r="E37" s="8"/>
      <c r="F37" s="8"/>
      <c r="G37" s="8"/>
      <c r="H37" s="8" t="n">
        <v>3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56</v>
      </c>
      <c r="B38" s="1" t="n">
        <v>43898</v>
      </c>
      <c r="C38" s="6" t="n">
        <v>3</v>
      </c>
      <c r="D38" s="6" t="n">
        <v>0</v>
      </c>
      <c r="E38" s="6"/>
      <c r="F38" s="6"/>
      <c r="G38" s="6"/>
      <c r="H38" s="6" t="n">
        <v>3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56</v>
      </c>
      <c r="B39" s="1" t="n">
        <v>43899</v>
      </c>
      <c r="C39" s="6" t="n">
        <v>5</v>
      </c>
      <c r="D39" s="6" t="n">
        <v>2</v>
      </c>
      <c r="E39" s="6"/>
      <c r="F39" s="6"/>
      <c r="G39" s="6"/>
      <c r="H39" s="6" t="n">
        <v>5</v>
      </c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56</v>
      </c>
      <c r="B40" s="1" t="n">
        <v>43900</v>
      </c>
      <c r="C40" s="6" t="n">
        <v>5</v>
      </c>
      <c r="D40" s="6" t="n">
        <v>0</v>
      </c>
      <c r="E40" s="6"/>
      <c r="F40" s="6"/>
      <c r="G40" s="6"/>
      <c r="H40" s="6" t="n">
        <v>5</v>
      </c>
      <c r="I40" s="6"/>
      <c r="J40" s="6"/>
      <c r="K40" s="6"/>
      <c r="L40" s="6"/>
      <c r="M40" s="6"/>
    </row>
    <row r="41" customFormat="false" ht="15.75" hidden="false" customHeight="false" outlineLevel="0" collapsed="false">
      <c r="A41" s="0" t="s">
        <v>56</v>
      </c>
      <c r="B41" s="1" t="n">
        <v>43901</v>
      </c>
      <c r="C41" s="6" t="n">
        <v>7</v>
      </c>
      <c r="D41" s="6" t="n">
        <v>2</v>
      </c>
      <c r="E41" s="6"/>
      <c r="F41" s="6"/>
      <c r="G41" s="6"/>
      <c r="H41" s="6" t="n">
        <v>7</v>
      </c>
      <c r="I41" s="6"/>
      <c r="J41" s="6"/>
      <c r="K41" s="6"/>
      <c r="L41" s="6"/>
      <c r="M41" s="6"/>
    </row>
    <row r="42" customFormat="false" ht="15.75" hidden="false" customHeight="false" outlineLevel="0" collapsed="false">
      <c r="A42" s="0" t="s">
        <v>56</v>
      </c>
      <c r="B42" s="1" t="n">
        <v>43902</v>
      </c>
      <c r="C42" s="6" t="n">
        <v>7</v>
      </c>
      <c r="D42" s="6" t="n">
        <v>0</v>
      </c>
      <c r="E42" s="6"/>
      <c r="F42" s="6"/>
      <c r="G42" s="6"/>
      <c r="H42" s="6" t="n">
        <v>7</v>
      </c>
      <c r="I42" s="6"/>
      <c r="J42" s="6"/>
      <c r="K42" s="6"/>
      <c r="L42" s="6"/>
      <c r="M42" s="6"/>
    </row>
    <row r="43" customFormat="false" ht="15.75" hidden="false" customHeight="false" outlineLevel="0" collapsed="false">
      <c r="A43" s="0" t="s">
        <v>56</v>
      </c>
      <c r="B43" s="1" t="n">
        <v>43903</v>
      </c>
      <c r="C43" s="6" t="n">
        <v>26</v>
      </c>
      <c r="D43" s="6" t="n">
        <v>19</v>
      </c>
      <c r="E43" s="6"/>
      <c r="F43" s="6"/>
      <c r="G43" s="6"/>
      <c r="H43" s="6" t="n">
        <v>26</v>
      </c>
      <c r="I43" s="6" t="n">
        <v>1</v>
      </c>
      <c r="J43" s="6"/>
      <c r="K43" s="6"/>
      <c r="L43" s="6"/>
      <c r="M43" s="6"/>
    </row>
    <row r="44" customFormat="false" ht="15.75" hidden="false" customHeight="false" outlineLevel="0" collapsed="false">
      <c r="A44" s="0" t="s">
        <v>56</v>
      </c>
      <c r="B44" s="1" t="n">
        <v>43904</v>
      </c>
      <c r="C44" s="6" t="n">
        <v>34</v>
      </c>
      <c r="D44" s="6" t="n">
        <v>8</v>
      </c>
      <c r="E44" s="6"/>
      <c r="F44" s="6"/>
      <c r="G44" s="6"/>
      <c r="H44" s="6" t="n">
        <v>34</v>
      </c>
      <c r="I44" s="6" t="n">
        <v>1</v>
      </c>
      <c r="J44" s="6"/>
      <c r="K44" s="6"/>
      <c r="L44" s="6"/>
      <c r="M44" s="6"/>
    </row>
    <row r="45" customFormat="false" ht="15.75" hidden="false" customHeight="false" outlineLevel="0" collapsed="false">
      <c r="A45" s="0" t="s">
        <v>56</v>
      </c>
      <c r="B45" s="1" t="n">
        <v>43905</v>
      </c>
      <c r="C45" s="6" t="n">
        <v>51</v>
      </c>
      <c r="D45" s="6" t="n">
        <v>17</v>
      </c>
      <c r="E45" s="6" t="n">
        <v>1</v>
      </c>
      <c r="F45" s="6"/>
      <c r="G45" s="6"/>
      <c r="H45" s="6" t="n">
        <v>50</v>
      </c>
      <c r="I45" s="6"/>
      <c r="J45" s="6"/>
      <c r="K45" s="6"/>
      <c r="L45" s="6"/>
      <c r="M45" s="6"/>
    </row>
    <row r="46" customFormat="false" ht="15.75" hidden="false" customHeight="false" outlineLevel="0" collapsed="false">
      <c r="A46" s="0" t="s">
        <v>56</v>
      </c>
      <c r="B46" s="1" t="n">
        <v>43906</v>
      </c>
      <c r="C46" s="6" t="n">
        <v>77</v>
      </c>
      <c r="D46" s="6" t="n">
        <v>26</v>
      </c>
      <c r="E46" s="6" t="n">
        <v>1</v>
      </c>
      <c r="F46" s="6"/>
      <c r="G46" s="6"/>
      <c r="H46" s="6" t="n">
        <v>76</v>
      </c>
      <c r="I46" s="6"/>
      <c r="J46" s="6"/>
      <c r="K46" s="6"/>
      <c r="L46" s="6"/>
      <c r="M46" s="6"/>
    </row>
    <row r="47" customFormat="false" ht="15.75" hidden="false" customHeight="false" outlineLevel="0" collapsed="false">
      <c r="A47" s="0" t="s">
        <v>56</v>
      </c>
      <c r="B47" s="1" t="n">
        <v>43907</v>
      </c>
      <c r="C47" s="6" t="n">
        <v>81</v>
      </c>
      <c r="D47" s="6" t="n">
        <v>4</v>
      </c>
      <c r="E47" s="6" t="n">
        <v>1</v>
      </c>
      <c r="F47" s="6"/>
      <c r="G47" s="6"/>
      <c r="H47" s="6" t="n">
        <v>80</v>
      </c>
      <c r="I47" s="6" t="n">
        <v>10</v>
      </c>
      <c r="J47" s="6"/>
      <c r="K47" s="6"/>
      <c r="L47" s="6"/>
      <c r="M47" s="6"/>
    </row>
    <row r="48" customFormat="false" ht="15.75" hidden="false" customHeight="false" outlineLevel="0" collapsed="false">
      <c r="A48" s="0" t="s">
        <v>56</v>
      </c>
      <c r="B48" s="1" t="n">
        <v>43908</v>
      </c>
      <c r="C48" s="6" t="n">
        <v>140</v>
      </c>
      <c r="D48" s="6" t="n">
        <v>59</v>
      </c>
      <c r="E48" s="6" t="n">
        <v>1</v>
      </c>
      <c r="F48" s="6"/>
      <c r="G48" s="6"/>
      <c r="H48" s="6" t="n">
        <v>139</v>
      </c>
      <c r="I48" s="6" t="n">
        <v>1</v>
      </c>
      <c r="J48" s="6"/>
      <c r="K48" s="6"/>
      <c r="L48" s="6"/>
      <c r="M48" s="6"/>
    </row>
    <row r="49" customFormat="false" ht="15.75" hidden="false" customHeight="false" outlineLevel="0" collapsed="false">
      <c r="A49" s="0" t="s">
        <v>56</v>
      </c>
      <c r="B49" s="1" t="n">
        <v>43909</v>
      </c>
      <c r="C49" s="6" t="n">
        <v>203</v>
      </c>
      <c r="D49" s="6" t="n">
        <v>63</v>
      </c>
      <c r="E49" s="6" t="n">
        <v>2</v>
      </c>
      <c r="F49" s="6" t="n">
        <v>1</v>
      </c>
      <c r="G49" s="6"/>
      <c r="H49" s="6" t="n">
        <v>201</v>
      </c>
      <c r="I49" s="6" t="n">
        <v>1</v>
      </c>
      <c r="J49" s="6" t="n">
        <v>324</v>
      </c>
      <c r="K49" s="6"/>
      <c r="L49" s="6"/>
      <c r="M49" s="6"/>
    </row>
    <row r="50" customFormat="false" ht="15.75" hidden="false" customHeight="false" outlineLevel="0" collapsed="false">
      <c r="A50" s="0" t="s">
        <v>56</v>
      </c>
      <c r="B50" s="1" t="n">
        <v>43910</v>
      </c>
      <c r="C50" s="6" t="n">
        <v>335</v>
      </c>
      <c r="D50" s="6" t="n">
        <v>132</v>
      </c>
      <c r="E50" s="6" t="n">
        <v>4</v>
      </c>
      <c r="F50" s="6" t="n">
        <v>2</v>
      </c>
      <c r="G50" s="6" t="n">
        <v>6</v>
      </c>
      <c r="H50" s="6" t="n">
        <v>325</v>
      </c>
      <c r="I50" s="6" t="n">
        <v>1</v>
      </c>
      <c r="J50" s="6" t="n">
        <v>535</v>
      </c>
      <c r="K50" s="6"/>
      <c r="L50" s="6"/>
      <c r="M50" s="6"/>
    </row>
    <row r="51" customFormat="false" ht="15.75" hidden="false" customHeight="false" outlineLevel="0" collapsed="false">
      <c r="A51" s="0" t="s">
        <v>56</v>
      </c>
      <c r="B51" s="1" t="n">
        <v>43911</v>
      </c>
      <c r="C51" s="6" t="n">
        <v>484</v>
      </c>
      <c r="D51" s="6" t="n">
        <v>149</v>
      </c>
      <c r="E51" s="6" t="n">
        <v>5</v>
      </c>
      <c r="F51" s="6"/>
      <c r="G51" s="6" t="n">
        <v>6</v>
      </c>
      <c r="H51" s="6" t="n">
        <v>473</v>
      </c>
      <c r="I51" s="6" t="n">
        <v>1</v>
      </c>
      <c r="J51" s="6" t="n">
        <v>773</v>
      </c>
      <c r="K51" s="6"/>
      <c r="L51" s="6"/>
      <c r="M51" s="6"/>
    </row>
    <row r="52" customFormat="false" ht="15.75" hidden="false" customHeight="false" outlineLevel="0" collapsed="false">
      <c r="A52" s="0" t="s">
        <v>56</v>
      </c>
      <c r="B52" s="1" t="n">
        <v>43912</v>
      </c>
      <c r="C52" s="6" t="n">
        <v>670</v>
      </c>
      <c r="D52" s="6" t="n">
        <v>186</v>
      </c>
      <c r="E52" s="6" t="n">
        <v>8</v>
      </c>
      <c r="F52" s="6" t="n">
        <v>3</v>
      </c>
      <c r="G52" s="6" t="n">
        <v>6</v>
      </c>
      <c r="H52" s="6" t="n">
        <v>656</v>
      </c>
      <c r="I52" s="6" t="n">
        <v>3</v>
      </c>
      <c r="J52" s="6" t="n">
        <v>1070</v>
      </c>
      <c r="K52" s="6"/>
      <c r="L52" s="6"/>
      <c r="M52" s="6"/>
    </row>
    <row r="53" customFormat="false" ht="15.75" hidden="false" customHeight="false" outlineLevel="0" collapsed="false">
      <c r="A53" s="0" t="s">
        <v>56</v>
      </c>
      <c r="B53" s="1" t="n">
        <v>43913</v>
      </c>
      <c r="C53" s="6" t="n">
        <v>798</v>
      </c>
      <c r="D53" s="6" t="n">
        <v>128</v>
      </c>
      <c r="E53" s="6" t="n">
        <v>8</v>
      </c>
      <c r="F53" s="6"/>
      <c r="G53" s="6" t="n">
        <v>6</v>
      </c>
      <c r="H53" s="6" t="n">
        <v>784</v>
      </c>
      <c r="I53" s="6" t="n">
        <v>3</v>
      </c>
      <c r="J53" s="6" t="n">
        <v>1275</v>
      </c>
      <c r="K53" s="6"/>
      <c r="L53" s="6"/>
      <c r="M53" s="6"/>
    </row>
    <row r="54" customFormat="false" ht="15.75" hidden="false" customHeight="false" outlineLevel="0" collapsed="false">
      <c r="A54" s="0" t="s">
        <v>56</v>
      </c>
      <c r="B54" s="1" t="n">
        <v>43914</v>
      </c>
      <c r="C54" s="6" t="n">
        <v>875</v>
      </c>
      <c r="D54" s="6" t="n">
        <v>77</v>
      </c>
      <c r="E54" s="6" t="n">
        <v>8</v>
      </c>
      <c r="F54" s="6"/>
      <c r="G54" s="6" t="n">
        <v>6</v>
      </c>
      <c r="H54" s="6" t="n">
        <v>861</v>
      </c>
      <c r="I54" s="6" t="n">
        <v>3</v>
      </c>
      <c r="J54" s="6" t="n">
        <v>1398</v>
      </c>
      <c r="K54" s="6"/>
      <c r="L54" s="6"/>
      <c r="M54" s="6"/>
    </row>
    <row r="55" customFormat="false" ht="15.75" hidden="false" customHeight="false" outlineLevel="0" collapsed="false">
      <c r="A55" s="0" t="s">
        <v>56</v>
      </c>
      <c r="B55" s="1" t="n">
        <v>43915</v>
      </c>
      <c r="C55" s="7" t="n">
        <v>1099</v>
      </c>
      <c r="D55" s="7" t="n">
        <v>224</v>
      </c>
      <c r="E55" s="7" t="n">
        <v>8</v>
      </c>
      <c r="F55" s="7"/>
      <c r="G55" s="7" t="n">
        <v>6</v>
      </c>
      <c r="H55" s="7" t="n">
        <v>1085</v>
      </c>
      <c r="I55" s="7" t="n">
        <v>3</v>
      </c>
      <c r="J55" s="7" t="n">
        <v>1756</v>
      </c>
      <c r="K55" s="7" t="n">
        <v>13</v>
      </c>
      <c r="L55" s="7"/>
      <c r="M55" s="7"/>
    </row>
    <row r="56" customFormat="false" ht="15.75" hidden="false" customHeight="false" outlineLevel="0" collapsed="false">
      <c r="A56" s="0" t="s">
        <v>56</v>
      </c>
      <c r="B56" s="1" t="n">
        <v>43916</v>
      </c>
      <c r="C56" s="7" t="n">
        <v>1333</v>
      </c>
      <c r="D56" s="7" t="n">
        <v>234</v>
      </c>
      <c r="E56" s="7" t="n">
        <v>8</v>
      </c>
      <c r="F56" s="7"/>
      <c r="G56" s="7" t="n">
        <v>6</v>
      </c>
      <c r="H56" s="7" t="n">
        <v>1319</v>
      </c>
      <c r="I56" s="7" t="n">
        <v>3</v>
      </c>
      <c r="J56" s="7" t="n">
        <v>2129</v>
      </c>
      <c r="K56" s="7" t="n">
        <v>13</v>
      </c>
      <c r="L56" s="7"/>
      <c r="M56" s="7"/>
    </row>
    <row r="57" customFormat="false" ht="15.75" hidden="false" customHeight="false" outlineLevel="0" collapsed="false">
      <c r="A57" s="0" t="s">
        <v>56</v>
      </c>
      <c r="B57" s="1" t="n">
        <v>43917</v>
      </c>
      <c r="C57" s="7" t="n">
        <v>1453</v>
      </c>
      <c r="D57" s="7" t="n">
        <v>120</v>
      </c>
      <c r="E57" s="7" t="n">
        <v>9</v>
      </c>
      <c r="F57" s="7" t="n">
        <v>1</v>
      </c>
      <c r="G57" s="7" t="n">
        <v>6</v>
      </c>
      <c r="H57" s="7" t="n">
        <v>1438</v>
      </c>
      <c r="I57" s="7" t="n">
        <v>3</v>
      </c>
      <c r="J57" s="7" t="n">
        <v>2321</v>
      </c>
      <c r="K57" s="7" t="n">
        <v>14</v>
      </c>
      <c r="L57" s="7"/>
      <c r="M57" s="7"/>
    </row>
    <row r="58" customFormat="false" ht="15.75" hidden="false" customHeight="false" outlineLevel="0" collapsed="false">
      <c r="A58" s="0" t="s">
        <v>56</v>
      </c>
      <c r="B58" s="1" t="n">
        <v>43918</v>
      </c>
      <c r="C58" s="7" t="n">
        <v>1605</v>
      </c>
      <c r="D58" s="7" t="n">
        <v>152</v>
      </c>
      <c r="E58" s="7" t="n">
        <v>15</v>
      </c>
      <c r="F58" s="7" t="n">
        <v>6</v>
      </c>
      <c r="G58" s="7" t="n">
        <v>40</v>
      </c>
      <c r="H58" s="7" t="n">
        <v>1550</v>
      </c>
      <c r="I58" s="7" t="n">
        <v>25</v>
      </c>
      <c r="J58" s="7" t="n">
        <v>2564</v>
      </c>
      <c r="K58" s="7" t="n">
        <v>24</v>
      </c>
      <c r="L58" s="7"/>
      <c r="M58" s="7"/>
    </row>
    <row r="59" customFormat="false" ht="15.75" hidden="false" customHeight="false" outlineLevel="0" collapsed="false">
      <c r="A59" s="0" t="s">
        <v>56</v>
      </c>
      <c r="B59" s="1" t="n">
        <v>43919</v>
      </c>
      <c r="C59" s="7" t="n">
        <v>1831</v>
      </c>
      <c r="D59" s="7" t="n">
        <v>226</v>
      </c>
      <c r="E59" s="7" t="n">
        <v>18</v>
      </c>
      <c r="F59" s="7" t="n">
        <v>3</v>
      </c>
      <c r="G59" s="7" t="n">
        <v>40</v>
      </c>
      <c r="H59" s="7" t="n">
        <v>1773</v>
      </c>
      <c r="I59" s="7" t="n">
        <v>25</v>
      </c>
      <c r="J59" s="7" t="n">
        <v>2925</v>
      </c>
      <c r="K59" s="7" t="n">
        <v>29</v>
      </c>
      <c r="M59" s="7"/>
    </row>
    <row r="60" customFormat="false" ht="15.75" hidden="false" customHeight="false" outlineLevel="0" collapsed="false">
      <c r="A60" s="0" t="s">
        <v>56</v>
      </c>
      <c r="B60" s="1" t="n">
        <v>43920</v>
      </c>
      <c r="C60" s="7" t="n">
        <v>1950</v>
      </c>
      <c r="D60" s="7" t="n">
        <v>119</v>
      </c>
      <c r="E60" s="7" t="n">
        <v>21</v>
      </c>
      <c r="F60" s="7" t="n">
        <v>3</v>
      </c>
      <c r="G60" s="7" t="n">
        <v>40</v>
      </c>
      <c r="H60" s="7" t="n">
        <v>1889</v>
      </c>
      <c r="I60" s="7" t="n">
        <v>25</v>
      </c>
      <c r="J60" s="7" t="n">
        <v>3115</v>
      </c>
      <c r="K60" s="7" t="n">
        <v>34</v>
      </c>
      <c r="M60" s="7"/>
    </row>
    <row r="61" customFormat="false" ht="15.75" hidden="false" customHeight="false" outlineLevel="0" collapsed="false">
      <c r="A61" s="0" t="s">
        <v>56</v>
      </c>
      <c r="B61" s="1" t="n">
        <v>43921</v>
      </c>
      <c r="C61" s="7" t="n">
        <v>1988</v>
      </c>
      <c r="D61" s="7" t="n">
        <v>38</v>
      </c>
      <c r="E61" s="7" t="n">
        <v>22</v>
      </c>
      <c r="F61" s="7" t="n">
        <v>1</v>
      </c>
      <c r="G61" s="7" t="n">
        <v>40</v>
      </c>
      <c r="H61" s="7" t="n">
        <v>1926</v>
      </c>
      <c r="I61" s="7" t="n">
        <v>25</v>
      </c>
      <c r="J61" s="7" t="n">
        <v>3176</v>
      </c>
      <c r="K61" s="7" t="n">
        <v>35</v>
      </c>
      <c r="M61" s="7"/>
    </row>
    <row r="62" customFormat="false" ht="15.75" hidden="false" customHeight="false" outlineLevel="0" collapsed="false">
      <c r="A62" s="0" t="s">
        <v>56</v>
      </c>
      <c r="B62" s="1" t="n">
        <v>43922</v>
      </c>
      <c r="C62" s="7" t="n">
        <v>2178</v>
      </c>
      <c r="D62" s="7" t="n">
        <v>190</v>
      </c>
      <c r="E62" s="7" t="n">
        <v>23</v>
      </c>
      <c r="F62" s="7" t="n">
        <v>1</v>
      </c>
      <c r="G62" s="7" t="n">
        <v>80</v>
      </c>
      <c r="H62" s="7" t="n">
        <v>2075</v>
      </c>
      <c r="I62" s="7" t="n">
        <v>31</v>
      </c>
      <c r="J62" s="7" t="n">
        <v>3479</v>
      </c>
      <c r="K62" s="7" t="n">
        <v>37</v>
      </c>
      <c r="M62" s="7"/>
    </row>
    <row r="63" customFormat="false" ht="15.75" hidden="false" customHeight="false" outlineLevel="0" collapsed="false">
      <c r="A63" s="0" t="s">
        <v>56</v>
      </c>
      <c r="B63" s="1" t="n">
        <v>43923</v>
      </c>
      <c r="C63" s="7" t="n">
        <v>2319</v>
      </c>
      <c r="D63" s="7" t="n">
        <v>141</v>
      </c>
      <c r="E63" s="7" t="n">
        <v>29</v>
      </c>
      <c r="F63" s="7" t="n">
        <v>6</v>
      </c>
      <c r="G63" s="7" t="n">
        <v>80</v>
      </c>
      <c r="H63" s="7" t="n">
        <v>2210</v>
      </c>
      <c r="I63" s="7" t="n">
        <v>31</v>
      </c>
      <c r="J63" s="7" t="n">
        <v>3705</v>
      </c>
      <c r="K63" s="7" t="n">
        <v>46</v>
      </c>
      <c r="M63" s="7"/>
    </row>
    <row r="64" customFormat="false" ht="15.75" hidden="false" customHeight="false" outlineLevel="0" collapsed="false">
      <c r="A64" s="0" t="s">
        <v>56</v>
      </c>
      <c r="B64" s="1" t="n">
        <v>43924</v>
      </c>
      <c r="C64" s="7" t="n">
        <v>2487</v>
      </c>
      <c r="D64" s="7" t="n">
        <v>168</v>
      </c>
      <c r="E64" s="7" t="n">
        <v>30</v>
      </c>
      <c r="F64" s="7" t="n">
        <v>1</v>
      </c>
      <c r="G64" s="7" t="n">
        <v>80</v>
      </c>
      <c r="H64" s="7" t="n">
        <v>2377</v>
      </c>
      <c r="I64" s="7" t="n">
        <v>31</v>
      </c>
      <c r="J64" s="7" t="n">
        <v>3973</v>
      </c>
      <c r="K64" s="7" t="n">
        <v>48</v>
      </c>
      <c r="M64" s="7"/>
    </row>
    <row r="65" customFormat="false" ht="15.75" hidden="false" customHeight="false" outlineLevel="0" collapsed="false">
      <c r="A65" s="0" t="s">
        <v>56</v>
      </c>
      <c r="B65" s="1" t="n">
        <v>43925</v>
      </c>
      <c r="C65" s="7" t="n">
        <v>2612</v>
      </c>
      <c r="D65" s="7" t="n">
        <v>125</v>
      </c>
      <c r="E65" s="7" t="n">
        <v>31</v>
      </c>
      <c r="F65" s="7" t="n">
        <v>1</v>
      </c>
      <c r="G65" s="7" t="n">
        <v>500</v>
      </c>
      <c r="H65" s="7" t="n">
        <v>2081</v>
      </c>
      <c r="I65" s="7" t="n">
        <v>33</v>
      </c>
      <c r="J65" s="7" t="n">
        <v>4173</v>
      </c>
      <c r="K65" s="7" t="n">
        <v>50</v>
      </c>
      <c r="M65" s="7"/>
    </row>
    <row r="66" customFormat="false" ht="15.75" hidden="false" customHeight="false" outlineLevel="0" collapsed="false">
      <c r="A66" s="0" t="s">
        <v>56</v>
      </c>
      <c r="B66" s="1" t="n">
        <v>43926</v>
      </c>
      <c r="C66" s="7" t="n">
        <v>2729</v>
      </c>
      <c r="D66" s="7" t="n">
        <v>117</v>
      </c>
      <c r="E66" s="7" t="n">
        <v>31</v>
      </c>
      <c r="F66" s="7"/>
      <c r="G66" s="7" t="n">
        <v>500</v>
      </c>
      <c r="H66" s="7" t="n">
        <v>2198</v>
      </c>
      <c r="I66" s="7" t="n">
        <v>35</v>
      </c>
      <c r="J66" s="7" t="n">
        <v>4360</v>
      </c>
      <c r="K66" s="7" t="n">
        <v>50</v>
      </c>
      <c r="L66" s="7" t="n">
        <v>22793</v>
      </c>
      <c r="M66" s="7" t="n">
        <v>36412</v>
      </c>
    </row>
    <row r="67" customFormat="false" ht="15.75" hidden="false" customHeight="false" outlineLevel="0" collapsed="false">
      <c r="A67" s="0" t="s">
        <v>56</v>
      </c>
      <c r="B67" s="1" t="n">
        <v>43927</v>
      </c>
      <c r="C67" s="7" t="n">
        <v>2804</v>
      </c>
      <c r="D67" s="7" t="n">
        <v>75</v>
      </c>
      <c r="E67" s="7" t="n">
        <v>36</v>
      </c>
      <c r="F67" s="7" t="n">
        <v>5</v>
      </c>
      <c r="G67" s="7" t="n">
        <v>500</v>
      </c>
      <c r="H67" s="7" t="n">
        <v>2268</v>
      </c>
      <c r="I67" s="7" t="n">
        <v>33</v>
      </c>
      <c r="J67" s="7" t="n">
        <v>4479</v>
      </c>
      <c r="K67" s="7" t="n">
        <v>58</v>
      </c>
      <c r="L67" s="7" t="n">
        <v>23687</v>
      </c>
      <c r="M67" s="7" t="n">
        <v>37840</v>
      </c>
    </row>
    <row r="68" customFormat="false" ht="15.75" hidden="false" customHeight="false" outlineLevel="0" collapsed="false">
      <c r="A68" s="0" t="s">
        <v>56</v>
      </c>
      <c r="B68" s="1" t="n">
        <v>43928</v>
      </c>
      <c r="C68" s="12" t="n">
        <v>2843</v>
      </c>
      <c r="D68" s="12" t="n">
        <v>39</v>
      </c>
      <c r="E68" s="12" t="n">
        <v>41</v>
      </c>
      <c r="F68" s="12" t="n">
        <v>5</v>
      </c>
      <c r="G68" s="12" t="n">
        <v>500</v>
      </c>
      <c r="H68" s="12" t="n">
        <v>2302</v>
      </c>
      <c r="I68" s="12" t="n">
        <v>33</v>
      </c>
      <c r="J68" s="12" t="n">
        <v>4542</v>
      </c>
      <c r="K68" s="12" t="n">
        <v>65</v>
      </c>
      <c r="L68" s="12" t="n">
        <v>24291</v>
      </c>
      <c r="M68" s="12" t="n">
        <v>38805</v>
      </c>
    </row>
    <row r="69" customFormat="false" ht="15.75" hidden="false" customHeight="false" outlineLevel="0" collapsed="false">
      <c r="A69" s="0" t="s">
        <v>56</v>
      </c>
      <c r="B69" s="1" t="n">
        <v>43929</v>
      </c>
      <c r="C69" s="14" t="n">
        <v>2970</v>
      </c>
      <c r="D69" s="14" t="n">
        <v>127</v>
      </c>
      <c r="E69" s="14" t="n">
        <v>44</v>
      </c>
      <c r="F69" s="14" t="n">
        <v>3</v>
      </c>
      <c r="G69" s="14" t="n">
        <v>500</v>
      </c>
      <c r="H69" s="14" t="n">
        <v>2426</v>
      </c>
      <c r="I69" s="14" t="n">
        <v>35</v>
      </c>
      <c r="J69" s="14" t="n">
        <v>4745</v>
      </c>
      <c r="K69" s="14" t="n">
        <v>70</v>
      </c>
      <c r="L69" s="14" t="n">
        <v>25702</v>
      </c>
      <c r="M69" s="14" t="n">
        <v>41059</v>
      </c>
    </row>
    <row r="70" customFormat="false" ht="15.75" hidden="false" customHeight="false" outlineLevel="0" collapsed="false">
      <c r="A70" s="0" t="s">
        <v>56</v>
      </c>
      <c r="B70" s="1" t="n">
        <v>43930</v>
      </c>
      <c r="C70" s="14" t="n">
        <v>3034</v>
      </c>
      <c r="D70" s="14" t="n">
        <v>64</v>
      </c>
      <c r="E70" s="14" t="n">
        <v>46</v>
      </c>
      <c r="F70" s="14" t="n">
        <v>2</v>
      </c>
      <c r="G70" s="14" t="n">
        <v>500</v>
      </c>
      <c r="H70" s="14" t="n">
        <v>2488</v>
      </c>
      <c r="I70" s="14" t="n">
        <v>34</v>
      </c>
      <c r="J70" s="14" t="n">
        <v>4847</v>
      </c>
      <c r="K70" s="14" t="n">
        <v>73</v>
      </c>
      <c r="L70" s="14" t="n">
        <v>26573</v>
      </c>
      <c r="M70" s="14" t="n">
        <v>42450</v>
      </c>
    </row>
    <row r="71" customFormat="false" ht="15.75" hidden="false" customHeight="false" outlineLevel="0" collapsed="false">
      <c r="A71" s="0" t="s">
        <v>56</v>
      </c>
      <c r="B71" s="1" t="n">
        <v>43931</v>
      </c>
      <c r="C71" s="14" t="n">
        <v>3115</v>
      </c>
      <c r="D71" s="14" t="n">
        <v>81</v>
      </c>
      <c r="E71" s="14" t="n">
        <v>52</v>
      </c>
      <c r="F71" s="14" t="n">
        <v>6</v>
      </c>
      <c r="G71" s="14" t="n">
        <v>500</v>
      </c>
      <c r="H71" s="14" t="n">
        <v>2563</v>
      </c>
      <c r="I71" s="14" t="n">
        <v>30</v>
      </c>
      <c r="J71" s="14" t="n">
        <v>4976</v>
      </c>
      <c r="K71" s="14" t="n">
        <v>83</v>
      </c>
      <c r="L71" s="14" t="n">
        <v>27521</v>
      </c>
      <c r="M71" s="14" t="n">
        <v>43965</v>
      </c>
    </row>
    <row r="72" customFormat="false" ht="15.75" hidden="false" customHeight="false" outlineLevel="0" collapsed="false">
      <c r="A72" s="0" t="s">
        <v>56</v>
      </c>
      <c r="B72" s="1" t="n">
        <v>43932</v>
      </c>
      <c r="C72" s="14" t="n">
        <v>3223</v>
      </c>
      <c r="D72" s="14" t="n">
        <v>108</v>
      </c>
      <c r="E72" s="14" t="n">
        <v>54</v>
      </c>
      <c r="F72" s="14" t="n">
        <v>2</v>
      </c>
      <c r="G72" s="14" t="n">
        <v>500</v>
      </c>
      <c r="H72" s="14" t="n">
        <v>2669</v>
      </c>
      <c r="I72" s="14" t="n">
        <v>30</v>
      </c>
      <c r="J72" s="14" t="n">
        <v>5149</v>
      </c>
      <c r="K72" s="14" t="n">
        <v>86</v>
      </c>
      <c r="L72" s="14" t="n">
        <v>28273</v>
      </c>
      <c r="M72" s="14" t="n">
        <v>45166</v>
      </c>
    </row>
    <row r="73" customFormat="false" ht="15.75" hidden="false" customHeight="false" outlineLevel="0" collapsed="false">
      <c r="A73" s="0" t="s">
        <v>56</v>
      </c>
      <c r="B73" s="1" t="n">
        <v>43933</v>
      </c>
      <c r="C73" s="14" t="n">
        <v>3270</v>
      </c>
      <c r="D73" s="14" t="n">
        <v>47</v>
      </c>
      <c r="E73" s="14" t="n">
        <v>62</v>
      </c>
      <c r="F73" s="14" t="n">
        <v>8</v>
      </c>
      <c r="G73" s="14" t="n">
        <v>500</v>
      </c>
      <c r="H73" s="14" t="n">
        <v>2708</v>
      </c>
      <c r="I73" s="14" t="n">
        <v>30</v>
      </c>
      <c r="J73" s="14" t="n">
        <v>5224</v>
      </c>
      <c r="K73" s="14" t="n">
        <v>99</v>
      </c>
      <c r="L73" s="14" t="n">
        <v>28965</v>
      </c>
      <c r="M73" s="14" t="n">
        <v>46272</v>
      </c>
    </row>
    <row r="74" customFormat="false" ht="15.75" hidden="false" customHeight="false" outlineLevel="0" collapsed="false">
      <c r="A74" s="0" t="s">
        <v>56</v>
      </c>
      <c r="B74" s="1" t="n">
        <v>43934</v>
      </c>
      <c r="C74" s="14" t="n">
        <v>3281</v>
      </c>
      <c r="D74" s="14" t="n">
        <v>11</v>
      </c>
      <c r="E74" s="14" t="n">
        <v>66</v>
      </c>
      <c r="F74" s="14" t="n">
        <v>4</v>
      </c>
      <c r="G74" s="14" t="n">
        <v>500</v>
      </c>
      <c r="H74" s="14" t="n">
        <v>2715</v>
      </c>
      <c r="I74" s="14" t="n">
        <v>30</v>
      </c>
      <c r="J74" s="14" t="n">
        <v>5241</v>
      </c>
      <c r="K74" s="14" t="n">
        <v>105</v>
      </c>
      <c r="L74" s="14" t="n">
        <v>29165</v>
      </c>
      <c r="M74" s="14" t="n">
        <v>46591</v>
      </c>
    </row>
    <row r="75" customFormat="false" ht="15.75" hidden="false" customHeight="false" outlineLevel="0" collapsed="false">
      <c r="A75" s="0" t="s">
        <v>56</v>
      </c>
      <c r="B75" s="1" t="n">
        <v>43935</v>
      </c>
      <c r="C75" s="14" t="n">
        <v>3292</v>
      </c>
      <c r="D75" s="14" t="n">
        <v>11</v>
      </c>
      <c r="E75" s="14" t="n">
        <v>69</v>
      </c>
      <c r="F75" s="14" t="n">
        <v>3</v>
      </c>
      <c r="G75" s="14" t="n">
        <v>500</v>
      </c>
      <c r="H75" s="14" t="n">
        <v>2723</v>
      </c>
      <c r="I75" s="14" t="n">
        <v>30</v>
      </c>
      <c r="J75" s="14" t="n">
        <v>5259</v>
      </c>
      <c r="K75" s="14" t="n">
        <v>110</v>
      </c>
      <c r="L75" s="14" t="n">
        <v>29315</v>
      </c>
      <c r="M75" s="14" t="n">
        <v>46831</v>
      </c>
    </row>
    <row r="76" customFormat="false" ht="15.75" hidden="false" customHeight="false" outlineLevel="0" collapsed="false">
      <c r="A76" s="0" t="s">
        <v>56</v>
      </c>
      <c r="B76" s="1" t="n">
        <v>43936</v>
      </c>
      <c r="C76" s="14" t="n">
        <v>3307</v>
      </c>
      <c r="D76" s="14" t="n">
        <v>15</v>
      </c>
      <c r="E76" s="14" t="n">
        <v>67</v>
      </c>
      <c r="F76" s="14" t="n">
        <v>-2</v>
      </c>
      <c r="G76" s="14" t="n">
        <v>500</v>
      </c>
      <c r="H76" s="14" t="n">
        <v>2740</v>
      </c>
      <c r="I76" s="14" t="n">
        <v>30</v>
      </c>
      <c r="J76" s="14" t="n">
        <v>5283</v>
      </c>
      <c r="K76" s="14" t="n">
        <v>107</v>
      </c>
      <c r="L76" s="14" t="n">
        <v>29523</v>
      </c>
      <c r="M76" s="14" t="n">
        <v>47163</v>
      </c>
    </row>
    <row r="77" customFormat="false" ht="15.75" hidden="false" customHeight="false" outlineLevel="0" collapsed="false">
      <c r="A77" s="0" t="s">
        <v>56</v>
      </c>
      <c r="B77" s="1" t="n">
        <v>43937</v>
      </c>
      <c r="C77" s="14" t="n">
        <v>3373</v>
      </c>
      <c r="D77" s="14" t="n">
        <v>66</v>
      </c>
      <c r="E77" s="14" t="n">
        <v>69</v>
      </c>
      <c r="F77" s="14" t="n">
        <v>2</v>
      </c>
      <c r="G77" s="14" t="n">
        <v>526</v>
      </c>
      <c r="H77" s="14" t="n">
        <v>2778</v>
      </c>
      <c r="I77" s="14" t="n">
        <v>33</v>
      </c>
      <c r="J77" s="14" t="n">
        <v>5388</v>
      </c>
      <c r="K77" s="14" t="n">
        <v>110</v>
      </c>
      <c r="L77" s="14" t="n">
        <v>30723</v>
      </c>
      <c r="M77" s="14" t="n">
        <v>49080</v>
      </c>
    </row>
    <row r="78" customFormat="false" ht="15.75" hidden="false" customHeight="false" outlineLevel="0" collapsed="false">
      <c r="A78" s="0" t="s">
        <v>56</v>
      </c>
      <c r="B78" s="1" t="n">
        <v>43938</v>
      </c>
      <c r="C78" s="14" t="n">
        <v>3444</v>
      </c>
      <c r="D78" s="14" t="n">
        <v>71</v>
      </c>
      <c r="E78" s="14" t="n">
        <v>69</v>
      </c>
      <c r="F78" s="14" t="n">
        <v>0</v>
      </c>
      <c r="G78" s="14" t="n">
        <v>552</v>
      </c>
      <c r="H78" s="14" t="n">
        <v>2823</v>
      </c>
      <c r="I78" s="14" t="n">
        <v>35</v>
      </c>
      <c r="J78" s="14" t="n">
        <v>5502</v>
      </c>
      <c r="K78" s="14" t="n">
        <v>110</v>
      </c>
      <c r="L78" s="14" t="n">
        <v>31660</v>
      </c>
      <c r="M78" s="14" t="n">
        <v>50577</v>
      </c>
    </row>
    <row r="79" customFormat="false" ht="15.75" hidden="false" customHeight="false" outlineLevel="0" collapsed="false">
      <c r="A79" s="0" t="s">
        <v>56</v>
      </c>
      <c r="B79" s="1" t="n">
        <v>43939</v>
      </c>
      <c r="C79" s="14" t="n">
        <v>3480</v>
      </c>
      <c r="D79" s="14" t="n">
        <v>36</v>
      </c>
      <c r="E79" s="14" t="n">
        <v>72</v>
      </c>
      <c r="F79" s="14" t="n">
        <v>3</v>
      </c>
      <c r="G79" s="14" t="n">
        <v>579</v>
      </c>
      <c r="H79" s="14" t="n">
        <v>2829</v>
      </c>
      <c r="I79" s="14" t="n">
        <v>29</v>
      </c>
      <c r="J79" s="14" t="n">
        <v>5559</v>
      </c>
      <c r="K79" s="14" t="n">
        <v>115</v>
      </c>
      <c r="L79" s="14" t="n">
        <v>32394</v>
      </c>
      <c r="M79" s="14" t="n">
        <v>51749</v>
      </c>
    </row>
    <row r="80" customFormat="false" ht="15.75" hidden="false" customHeight="false" outlineLevel="0" collapsed="false">
      <c r="A80" s="0" t="s">
        <v>56</v>
      </c>
      <c r="B80" s="1" t="n">
        <v>43940</v>
      </c>
      <c r="C80" s="14" t="n">
        <v>3537</v>
      </c>
      <c r="D80" s="14" t="n">
        <v>57</v>
      </c>
      <c r="E80" s="14" t="n">
        <v>72</v>
      </c>
      <c r="F80" s="14" t="n">
        <v>0</v>
      </c>
      <c r="G80" s="14" t="n">
        <v>601</v>
      </c>
      <c r="H80" s="14" t="n">
        <v>2864</v>
      </c>
      <c r="I80" s="14" t="n">
        <v>32</v>
      </c>
      <c r="J80" s="14" t="n">
        <v>5650</v>
      </c>
      <c r="K80" s="14" t="n">
        <v>115</v>
      </c>
      <c r="L80" s="14" t="n">
        <v>33252</v>
      </c>
      <c r="M80" s="14" t="n">
        <v>53120</v>
      </c>
    </row>
    <row r="81" customFormat="false" ht="15.75" hidden="false" customHeight="false" outlineLevel="0" collapsed="false">
      <c r="A81" s="0" t="s">
        <v>56</v>
      </c>
      <c r="B81" s="1" t="n">
        <v>43941</v>
      </c>
      <c r="C81" s="14" t="n">
        <v>3550</v>
      </c>
      <c r="D81" s="14" t="n">
        <v>13</v>
      </c>
      <c r="E81" s="14" t="n">
        <v>73</v>
      </c>
      <c r="F81" s="14" t="n">
        <v>1</v>
      </c>
      <c r="G81" s="14" t="n">
        <v>627</v>
      </c>
      <c r="H81" s="14" t="n">
        <v>2850</v>
      </c>
      <c r="I81" s="14" t="n">
        <v>31</v>
      </c>
      <c r="J81" s="14" t="n">
        <v>5671</v>
      </c>
      <c r="K81" s="14" t="n">
        <v>117</v>
      </c>
      <c r="L81" s="14" t="n">
        <v>33666</v>
      </c>
      <c r="M81" s="14" t="n">
        <v>53781</v>
      </c>
    </row>
    <row r="82" customFormat="false" ht="15.75" hidden="false" customHeight="false" outlineLevel="0" collapsed="false">
      <c r="A82" s="0" t="s">
        <v>56</v>
      </c>
      <c r="B82" s="1" t="n">
        <v>43942</v>
      </c>
      <c r="C82" s="6" t="n">
        <v>3558</v>
      </c>
      <c r="D82" s="6" t="n">
        <v>8</v>
      </c>
      <c r="E82" s="6" t="n">
        <v>75</v>
      </c>
      <c r="F82" s="6" t="n">
        <v>2</v>
      </c>
      <c r="G82" s="6" t="n">
        <v>637</v>
      </c>
      <c r="H82" s="6" t="n">
        <v>2846</v>
      </c>
      <c r="I82" s="6" t="n">
        <v>32</v>
      </c>
      <c r="J82" s="6" t="n">
        <v>5684</v>
      </c>
      <c r="K82" s="6" t="n">
        <v>120</v>
      </c>
      <c r="L82" s="6" t="n">
        <v>33798</v>
      </c>
      <c r="M82" s="6" t="n">
        <v>53992</v>
      </c>
    </row>
    <row r="83" customFormat="false" ht="15.75" hidden="false" customHeight="false" outlineLevel="0" collapsed="false">
      <c r="A83" s="0" t="s">
        <v>56</v>
      </c>
      <c r="B83" s="1" t="n">
        <v>43943</v>
      </c>
      <c r="C83" s="6" t="n">
        <v>3618</v>
      </c>
      <c r="D83" s="6" t="n">
        <v>60</v>
      </c>
      <c r="E83" s="6" t="n">
        <v>78</v>
      </c>
      <c r="F83" s="6" t="n">
        <v>3</v>
      </c>
      <c r="G83" s="6" t="n">
        <v>670</v>
      </c>
      <c r="H83" s="6" t="n">
        <v>2870</v>
      </c>
      <c r="I83" s="6" t="n">
        <v>32</v>
      </c>
      <c r="J83" s="6" t="n">
        <v>5780</v>
      </c>
      <c r="K83" s="6" t="n">
        <v>125</v>
      </c>
      <c r="L83" s="6" t="n">
        <v>34962</v>
      </c>
      <c r="M83" s="6" t="n">
        <v>55852</v>
      </c>
    </row>
    <row r="84" customFormat="false" ht="15.75" hidden="false" customHeight="false" outlineLevel="0" collapsed="false">
      <c r="A84" s="0" t="s">
        <v>56</v>
      </c>
      <c r="B84" s="1" t="n">
        <v>43944</v>
      </c>
      <c r="C84" s="6" t="n">
        <v>3654</v>
      </c>
      <c r="D84" s="6" t="n">
        <v>36</v>
      </c>
      <c r="E84" s="6" t="n">
        <v>80</v>
      </c>
      <c r="F84" s="6" t="n">
        <v>2</v>
      </c>
      <c r="G84" s="6" t="n">
        <v>711</v>
      </c>
      <c r="H84" s="6" t="n">
        <v>2863</v>
      </c>
      <c r="I84" s="6" t="n">
        <v>32</v>
      </c>
      <c r="J84" s="6" t="n">
        <v>5837</v>
      </c>
      <c r="K84" s="6" t="n">
        <v>128</v>
      </c>
      <c r="L84" s="6" t="n">
        <v>36087</v>
      </c>
      <c r="M84" s="6" t="n">
        <v>57649</v>
      </c>
    </row>
    <row r="85" customFormat="false" ht="15.75" hidden="false" customHeight="false" outlineLevel="0" collapsed="false">
      <c r="A85" s="0" t="s">
        <v>56</v>
      </c>
      <c r="B85" s="1" t="n">
        <v>43945</v>
      </c>
      <c r="C85" s="6" t="n">
        <v>3665</v>
      </c>
      <c r="D85" s="6" t="n">
        <v>11</v>
      </c>
      <c r="E85" s="6" t="n">
        <v>83</v>
      </c>
      <c r="F85" s="6" t="n">
        <v>3</v>
      </c>
      <c r="G85" s="6" t="n">
        <v>728</v>
      </c>
      <c r="H85" s="6" t="n">
        <v>2854</v>
      </c>
      <c r="I85" s="6" t="n">
        <v>27</v>
      </c>
      <c r="J85" s="6" t="n">
        <v>5855</v>
      </c>
      <c r="K85" s="6" t="n">
        <v>133</v>
      </c>
      <c r="L85" s="6" t="n">
        <v>36891</v>
      </c>
      <c r="M85" s="6" t="n">
        <v>58933</v>
      </c>
    </row>
    <row r="86" customFormat="false" ht="15.75" hidden="false" customHeight="false" outlineLevel="0" collapsed="false">
      <c r="A86" s="0" t="s">
        <v>56</v>
      </c>
      <c r="B86" s="1" t="n">
        <v>43946</v>
      </c>
      <c r="C86" s="6" t="n">
        <v>3695</v>
      </c>
      <c r="D86" s="6" t="n">
        <v>30</v>
      </c>
      <c r="E86" s="6" t="n">
        <v>85</v>
      </c>
      <c r="F86" s="6" t="n">
        <v>2</v>
      </c>
      <c r="G86" s="6" t="n">
        <v>3007</v>
      </c>
      <c r="H86" s="6" t="n">
        <v>603</v>
      </c>
      <c r="I86" s="6" t="n">
        <v>25</v>
      </c>
      <c r="J86" s="6" t="n">
        <v>5903</v>
      </c>
      <c r="K86" s="6" t="n">
        <v>136</v>
      </c>
      <c r="L86" s="6" t="n">
        <v>37782</v>
      </c>
      <c r="M86" s="6" t="n">
        <v>60357</v>
      </c>
    </row>
    <row r="87" customFormat="false" ht="15.75" hidden="false" customHeight="false" outlineLevel="0" collapsed="false">
      <c r="A87" s="0" t="s">
        <v>56</v>
      </c>
      <c r="B87" s="1" t="n">
        <v>43947</v>
      </c>
      <c r="C87" s="6" t="n">
        <v>3711</v>
      </c>
      <c r="D87" s="6" t="n">
        <v>16</v>
      </c>
      <c r="E87" s="6" t="n">
        <v>85</v>
      </c>
      <c r="F87" s="6" t="n">
        <v>0</v>
      </c>
      <c r="G87" s="6" t="n">
        <v>3088</v>
      </c>
      <c r="H87" s="6" t="n">
        <v>538</v>
      </c>
      <c r="I87" s="6" t="n">
        <v>26</v>
      </c>
      <c r="J87" s="6" t="n">
        <v>5928</v>
      </c>
      <c r="K87" s="6" t="n">
        <v>136</v>
      </c>
      <c r="L87" s="6" t="n">
        <v>38514</v>
      </c>
      <c r="M87" s="6" t="n">
        <v>61526</v>
      </c>
    </row>
    <row r="88" customFormat="false" ht="15.75" hidden="false" customHeight="false" outlineLevel="0" collapsed="false">
      <c r="A88" s="0" t="s">
        <v>56</v>
      </c>
      <c r="B88" s="1" t="n">
        <v>43948</v>
      </c>
      <c r="C88" s="6" t="n">
        <v>3723</v>
      </c>
      <c r="D88" s="6" t="n">
        <v>12</v>
      </c>
      <c r="E88" s="6" t="n">
        <v>88</v>
      </c>
      <c r="F88" s="6" t="n">
        <v>3</v>
      </c>
      <c r="G88" s="6" t="n">
        <v>3104</v>
      </c>
      <c r="H88" s="6" t="n">
        <v>531</v>
      </c>
      <c r="I88" s="6" t="n">
        <v>22</v>
      </c>
      <c r="J88" s="6" t="n">
        <v>5947</v>
      </c>
      <c r="K88" s="6" t="n">
        <v>141</v>
      </c>
      <c r="L88" s="6" t="n">
        <v>39003</v>
      </c>
      <c r="M88" s="6" t="n">
        <v>62307</v>
      </c>
    </row>
    <row r="89" customFormat="false" ht="13.5" hidden="false" customHeight="false" outlineLevel="0" collapsed="false">
      <c r="A89" s="0" t="s">
        <v>56</v>
      </c>
      <c r="B89" s="1" t="n">
        <v>43949</v>
      </c>
      <c r="C89" s="2" t="n">
        <v>3729</v>
      </c>
      <c r="D89" s="2" t="n">
        <v>6</v>
      </c>
      <c r="E89" s="2" t="n">
        <v>88</v>
      </c>
      <c r="F89" s="2" t="n">
        <v>0</v>
      </c>
      <c r="G89" s="2" t="n">
        <v>3123</v>
      </c>
      <c r="H89" s="2" t="n">
        <v>518</v>
      </c>
      <c r="I89" s="2" t="n">
        <v>20</v>
      </c>
      <c r="J89" s="2" t="n">
        <v>5957</v>
      </c>
      <c r="K89" s="2" t="n">
        <v>141</v>
      </c>
      <c r="L89" s="2" t="n">
        <v>39102</v>
      </c>
      <c r="M89" s="2" t="n">
        <v>62465</v>
      </c>
    </row>
    <row r="90" customFormat="false" ht="13.5" hidden="false" customHeight="false" outlineLevel="0" collapsed="false">
      <c r="A90" s="0" t="s">
        <v>56</v>
      </c>
      <c r="B90" s="1" t="n">
        <v>43950</v>
      </c>
      <c r="C90" s="2" t="n">
        <v>3741</v>
      </c>
      <c r="D90" s="2" t="n">
        <v>12</v>
      </c>
      <c r="E90" s="2" t="n">
        <v>89</v>
      </c>
      <c r="F90" s="2" t="n">
        <v>1</v>
      </c>
      <c r="G90" s="2" t="n">
        <v>3123</v>
      </c>
      <c r="H90" s="2" t="n">
        <v>529</v>
      </c>
      <c r="I90" s="2" t="n">
        <v>19</v>
      </c>
      <c r="J90" s="2" t="n">
        <v>5976</v>
      </c>
      <c r="K90" s="2" t="n">
        <v>142</v>
      </c>
      <c r="L90" s="2" t="n">
        <v>39741</v>
      </c>
      <c r="M90" s="2" t="n">
        <v>63486</v>
      </c>
    </row>
    <row r="91" customFormat="false" ht="13.5" hidden="false" customHeight="false" outlineLevel="0" collapsed="false">
      <c r="A91" s="0" t="s">
        <v>56</v>
      </c>
      <c r="B91" s="1" t="n">
        <v>43951</v>
      </c>
      <c r="C91" s="2" t="n">
        <v>3769</v>
      </c>
      <c r="D91" s="2" t="n">
        <v>28</v>
      </c>
      <c r="E91" s="2" t="n">
        <v>89</v>
      </c>
      <c r="F91" s="2" t="n">
        <v>0</v>
      </c>
      <c r="G91" s="2" t="n">
        <v>3134</v>
      </c>
      <c r="H91" s="2" t="n">
        <v>546</v>
      </c>
      <c r="I91" s="2" t="n">
        <v>21</v>
      </c>
      <c r="J91" s="2" t="n">
        <v>6021</v>
      </c>
      <c r="K91" s="2" t="n">
        <v>142</v>
      </c>
      <c r="L91" s="2" t="n">
        <v>41758</v>
      </c>
      <c r="M91" s="2" t="n">
        <v>66708</v>
      </c>
    </row>
    <row r="92" customFormat="false" ht="14.25" hidden="false" customHeight="false" outlineLevel="0" collapsed="false">
      <c r="A92" s="0" t="s">
        <v>56</v>
      </c>
      <c r="B92" s="1" t="n">
        <v>43952</v>
      </c>
      <c r="C92" s="2" t="n">
        <v>3784</v>
      </c>
      <c r="D92" s="2" t="n">
        <v>15</v>
      </c>
      <c r="E92" s="2" t="n">
        <v>90</v>
      </c>
      <c r="F92" s="2" t="n">
        <v>1</v>
      </c>
      <c r="G92" s="2" t="n">
        <v>3213</v>
      </c>
      <c r="H92" s="2" t="n">
        <v>481</v>
      </c>
      <c r="I92" s="2" t="n">
        <v>23</v>
      </c>
      <c r="J92" s="2" t="n">
        <v>6045</v>
      </c>
      <c r="K92" s="2" t="n">
        <v>144</v>
      </c>
      <c r="L92" s="2" t="n">
        <v>42643</v>
      </c>
      <c r="M92" s="2" t="n">
        <v>68122</v>
      </c>
    </row>
    <row r="93" customFormat="false" ht="15.75" hidden="false" customHeight="false" outlineLevel="0" collapsed="false">
      <c r="A93" s="0" t="s">
        <v>56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56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56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56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56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56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56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56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56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56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56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56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56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56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56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56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56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56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56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56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56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56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56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56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56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56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56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56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56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56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56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56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56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56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56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56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56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56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56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56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56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56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56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56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56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n">
        <v>0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56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56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56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56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56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56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56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56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56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56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56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56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56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56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56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56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56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56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56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56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56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56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56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56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56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56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56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56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56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56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56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56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56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56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56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56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56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56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56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56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56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56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56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56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56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56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56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56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56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56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57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57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57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57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57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57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57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57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57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57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57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57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57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57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57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57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57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57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57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57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57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57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57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57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57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57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57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57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57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57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57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57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57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57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57</v>
      </c>
      <c r="B37" s="1" t="n">
        <v>43897</v>
      </c>
      <c r="C37" s="8" t="n">
        <v>11</v>
      </c>
      <c r="D37" s="8" t="n">
        <v>3</v>
      </c>
      <c r="E37" s="8" t="n">
        <v>0</v>
      </c>
      <c r="F37" s="8" t="n">
        <v>0</v>
      </c>
      <c r="G37" s="8" t="n">
        <v>0</v>
      </c>
      <c r="H37" s="8" t="n">
        <v>11</v>
      </c>
      <c r="I37" s="8" t="n">
        <v>0</v>
      </c>
      <c r="J37" s="8"/>
      <c r="K37" s="9"/>
      <c r="L37" s="8"/>
      <c r="M37" s="8"/>
    </row>
    <row r="38" customFormat="false" ht="15.75" hidden="false" customHeight="false" outlineLevel="0" collapsed="false">
      <c r="A38" s="0" t="s">
        <v>57</v>
      </c>
      <c r="B38" s="1" t="n">
        <v>43898</v>
      </c>
      <c r="C38" s="6" t="n">
        <v>12</v>
      </c>
      <c r="D38" s="6" t="n">
        <v>1</v>
      </c>
      <c r="E38" s="6" t="n">
        <v>0</v>
      </c>
      <c r="F38" s="6" t="n">
        <v>0</v>
      </c>
      <c r="G38" s="6" t="n">
        <v>0</v>
      </c>
      <c r="H38" s="6" t="n">
        <v>12</v>
      </c>
      <c r="I38" s="6" t="n">
        <v>0</v>
      </c>
      <c r="J38" s="6" t="n">
        <v>4.2</v>
      </c>
      <c r="K38" s="9"/>
      <c r="L38" s="6"/>
      <c r="M38" s="6"/>
    </row>
    <row r="39" customFormat="false" ht="15.75" hidden="false" customHeight="false" outlineLevel="0" collapsed="false">
      <c r="A39" s="0" t="s">
        <v>57</v>
      </c>
      <c r="B39" s="1" t="n">
        <v>43899</v>
      </c>
      <c r="C39" s="6" t="n">
        <v>15</v>
      </c>
      <c r="D39" s="6" t="n">
        <v>3</v>
      </c>
      <c r="E39" s="6" t="n">
        <v>0</v>
      </c>
      <c r="F39" s="6" t="n">
        <v>0</v>
      </c>
      <c r="G39" s="6" t="n">
        <v>0</v>
      </c>
      <c r="H39" s="6" t="n">
        <v>15</v>
      </c>
      <c r="I39" s="6" t="n">
        <v>0</v>
      </c>
      <c r="J39" s="6" t="n">
        <v>5.2</v>
      </c>
      <c r="K39" s="9"/>
      <c r="L39" s="6"/>
      <c r="M39" s="6"/>
    </row>
    <row r="40" customFormat="false" ht="15.75" hidden="false" customHeight="false" outlineLevel="0" collapsed="false">
      <c r="A40" s="0" t="s">
        <v>57</v>
      </c>
      <c r="B40" s="1" t="n">
        <v>43900</v>
      </c>
      <c r="C40" s="6" t="n">
        <v>18</v>
      </c>
      <c r="D40" s="6" t="n">
        <v>3</v>
      </c>
      <c r="E40" s="6" t="n">
        <v>0</v>
      </c>
      <c r="F40" s="6" t="n">
        <v>0</v>
      </c>
      <c r="G40" s="6" t="n">
        <v>0</v>
      </c>
      <c r="H40" s="6" t="n">
        <v>18</v>
      </c>
      <c r="I40" s="6" t="n">
        <v>0</v>
      </c>
      <c r="J40" s="6" t="n">
        <v>6.2</v>
      </c>
      <c r="K40" s="9"/>
      <c r="L40" s="6"/>
      <c r="M40" s="6"/>
    </row>
    <row r="41" customFormat="false" ht="15.75" hidden="false" customHeight="false" outlineLevel="0" collapsed="false">
      <c r="A41" s="0" t="s">
        <v>57</v>
      </c>
      <c r="B41" s="1" t="n">
        <v>43901</v>
      </c>
      <c r="C41" s="6" t="n">
        <v>24</v>
      </c>
      <c r="D41" s="6" t="n">
        <v>6</v>
      </c>
      <c r="E41" s="6" t="n">
        <v>0</v>
      </c>
      <c r="F41" s="6" t="n">
        <v>0</v>
      </c>
      <c r="G41" s="6" t="n">
        <v>0</v>
      </c>
      <c r="H41" s="6" t="n">
        <v>24</v>
      </c>
      <c r="I41" s="6" t="n">
        <v>0</v>
      </c>
      <c r="J41" s="6" t="n">
        <v>8.3</v>
      </c>
      <c r="K41" s="9"/>
      <c r="L41" s="6"/>
      <c r="M41" s="6"/>
    </row>
    <row r="42" customFormat="false" ht="15.75" hidden="false" customHeight="false" outlineLevel="0" collapsed="false">
      <c r="A42" s="0" t="s">
        <v>57</v>
      </c>
      <c r="B42" s="1" t="n">
        <v>43902</v>
      </c>
      <c r="C42" s="6" t="n">
        <v>262</v>
      </c>
      <c r="D42" s="6" t="n">
        <v>238</v>
      </c>
      <c r="E42" s="6" t="n">
        <v>0</v>
      </c>
      <c r="F42" s="6" t="n">
        <v>0</v>
      </c>
      <c r="G42" s="6" t="n">
        <v>0</v>
      </c>
      <c r="H42" s="6" t="n">
        <v>262</v>
      </c>
      <c r="I42" s="6" t="n">
        <v>0</v>
      </c>
      <c r="J42" s="6" t="n">
        <v>90.9</v>
      </c>
      <c r="K42" s="9"/>
      <c r="L42" s="6"/>
      <c r="M42" s="6"/>
    </row>
    <row r="43" customFormat="false" ht="15.75" hidden="false" customHeight="false" outlineLevel="0" collapsed="false">
      <c r="A43" s="0" t="s">
        <v>57</v>
      </c>
      <c r="B43" s="1" t="n">
        <v>43903</v>
      </c>
      <c r="C43" s="6" t="n">
        <v>262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262</v>
      </c>
      <c r="I43" s="6" t="n">
        <v>0</v>
      </c>
      <c r="J43" s="6" t="n">
        <v>90.9</v>
      </c>
      <c r="K43" s="9"/>
      <c r="L43" s="6"/>
      <c r="M43" s="6"/>
    </row>
    <row r="44" customFormat="false" ht="15.75" hidden="false" customHeight="false" outlineLevel="0" collapsed="false">
      <c r="A44" s="0" t="s">
        <v>57</v>
      </c>
      <c r="B44" s="1" t="n">
        <v>43904</v>
      </c>
      <c r="C44" s="6" t="n">
        <v>320</v>
      </c>
      <c r="D44" s="6" t="n">
        <v>58</v>
      </c>
      <c r="E44" s="6" t="n">
        <v>0</v>
      </c>
      <c r="F44" s="6" t="n">
        <v>0</v>
      </c>
      <c r="G44" s="6" t="n">
        <v>0</v>
      </c>
      <c r="H44" s="6" t="n">
        <v>320</v>
      </c>
      <c r="I44" s="6" t="n">
        <v>0</v>
      </c>
      <c r="J44" s="6" t="n">
        <v>111.1</v>
      </c>
      <c r="K44" s="9"/>
      <c r="L44" s="6"/>
      <c r="M44" s="6"/>
    </row>
    <row r="45" customFormat="false" ht="15.75" hidden="false" customHeight="false" outlineLevel="0" collapsed="false">
      <c r="A45" s="0" t="s">
        <v>57</v>
      </c>
      <c r="B45" s="1" t="n">
        <v>43905</v>
      </c>
      <c r="C45" s="6" t="n">
        <v>337</v>
      </c>
      <c r="D45" s="6" t="n">
        <v>17</v>
      </c>
      <c r="E45" s="6" t="n">
        <v>0</v>
      </c>
      <c r="F45" s="6" t="n">
        <v>0</v>
      </c>
      <c r="G45" s="6" t="n">
        <v>4</v>
      </c>
      <c r="H45" s="6" t="n">
        <v>333</v>
      </c>
      <c r="I45" s="6" t="n">
        <v>0</v>
      </c>
      <c r="J45" s="6" t="n">
        <v>117</v>
      </c>
      <c r="K45" s="9"/>
      <c r="L45" s="6"/>
      <c r="M45" s="6"/>
    </row>
    <row r="46" customFormat="false" ht="15.75" hidden="false" customHeight="false" outlineLevel="0" collapsed="false">
      <c r="A46" s="0" t="s">
        <v>57</v>
      </c>
      <c r="B46" s="1" t="n">
        <v>43906</v>
      </c>
      <c r="C46" s="6" t="n">
        <v>401</v>
      </c>
      <c r="D46" s="6" t="n">
        <v>64</v>
      </c>
      <c r="E46" s="6" t="n">
        <v>0</v>
      </c>
      <c r="F46" s="6" t="n">
        <v>0</v>
      </c>
      <c r="G46" s="6" t="n">
        <v>4</v>
      </c>
      <c r="H46" s="6" t="n">
        <v>397</v>
      </c>
      <c r="I46" s="6" t="n">
        <v>0</v>
      </c>
      <c r="J46" s="6" t="n">
        <v>139.2</v>
      </c>
      <c r="K46" s="9"/>
      <c r="L46" s="6"/>
      <c r="M46" s="6"/>
    </row>
    <row r="47" customFormat="false" ht="15.75" hidden="false" customHeight="false" outlineLevel="0" collapsed="false">
      <c r="A47" s="0" t="s">
        <v>57</v>
      </c>
      <c r="B47" s="1" t="n">
        <v>43907</v>
      </c>
      <c r="C47" s="6" t="n">
        <v>439</v>
      </c>
      <c r="D47" s="6" t="n">
        <v>38</v>
      </c>
      <c r="E47" s="6" t="n">
        <v>0</v>
      </c>
      <c r="F47" s="6" t="n">
        <v>0</v>
      </c>
      <c r="G47" s="6" t="n">
        <v>4</v>
      </c>
      <c r="H47" s="6" t="n">
        <v>435</v>
      </c>
      <c r="I47" s="6" t="n">
        <v>0</v>
      </c>
      <c r="J47" s="6" t="n">
        <v>152.4</v>
      </c>
      <c r="K47" s="9"/>
      <c r="L47" s="6"/>
      <c r="M47" s="6"/>
    </row>
    <row r="48" customFormat="false" ht="15.75" hidden="false" customHeight="false" outlineLevel="0" collapsed="false">
      <c r="A48" s="0" t="s">
        <v>57</v>
      </c>
      <c r="B48" s="1" t="n">
        <v>43908</v>
      </c>
      <c r="C48" s="6" t="n">
        <v>442</v>
      </c>
      <c r="D48" s="6" t="n">
        <v>3</v>
      </c>
      <c r="E48" s="6" t="n">
        <v>0</v>
      </c>
      <c r="F48" s="6" t="n">
        <v>0</v>
      </c>
      <c r="G48" s="6" t="n">
        <v>4</v>
      </c>
      <c r="H48" s="6" t="n">
        <v>438</v>
      </c>
      <c r="I48" s="6" t="n">
        <v>0</v>
      </c>
      <c r="J48" s="6" t="n">
        <v>153.4</v>
      </c>
      <c r="K48" s="9"/>
      <c r="L48" s="6"/>
      <c r="M48" s="6"/>
    </row>
    <row r="49" customFormat="false" ht="15.75" hidden="false" customHeight="false" outlineLevel="0" collapsed="false">
      <c r="A49" s="0" t="s">
        <v>57</v>
      </c>
      <c r="B49" s="1" t="n">
        <v>43909</v>
      </c>
      <c r="C49" s="6" t="n">
        <v>452</v>
      </c>
      <c r="D49" s="6" t="n">
        <v>10</v>
      </c>
      <c r="E49" s="6" t="n">
        <v>0</v>
      </c>
      <c r="F49" s="6" t="n">
        <v>0</v>
      </c>
      <c r="G49" s="6" t="n">
        <v>4</v>
      </c>
      <c r="H49" s="6" t="n">
        <v>448</v>
      </c>
      <c r="I49" s="6" t="n">
        <v>0</v>
      </c>
      <c r="J49" s="6" t="n">
        <v>157</v>
      </c>
      <c r="K49" s="9"/>
      <c r="L49" s="6"/>
      <c r="M49" s="6"/>
    </row>
    <row r="50" customFormat="false" ht="15.75" hidden="false" customHeight="false" outlineLevel="0" collapsed="false">
      <c r="A50" s="0" t="s">
        <v>57</v>
      </c>
      <c r="B50" s="1" t="n">
        <v>43910</v>
      </c>
      <c r="C50" s="6" t="n">
        <v>460</v>
      </c>
      <c r="D50" s="6" t="n">
        <v>8</v>
      </c>
      <c r="E50" s="6" t="n">
        <v>0</v>
      </c>
      <c r="F50" s="6" t="n">
        <v>0</v>
      </c>
      <c r="G50" s="6" t="n">
        <v>10</v>
      </c>
      <c r="H50" s="6" t="n">
        <v>450</v>
      </c>
      <c r="I50" s="6" t="n">
        <v>6</v>
      </c>
      <c r="J50" s="6" t="n">
        <v>160</v>
      </c>
      <c r="K50" s="9"/>
      <c r="L50" s="6"/>
      <c r="M50" s="6"/>
    </row>
    <row r="51" customFormat="false" ht="15.75" hidden="false" customHeight="false" outlineLevel="0" collapsed="false">
      <c r="A51" s="0" t="s">
        <v>57</v>
      </c>
      <c r="B51" s="1" t="n">
        <v>43911</v>
      </c>
      <c r="C51" s="6" t="n">
        <v>470</v>
      </c>
      <c r="D51" s="6" t="n">
        <v>10</v>
      </c>
      <c r="E51" s="6"/>
      <c r="F51" s="6" t="n">
        <v>0</v>
      </c>
      <c r="G51" s="6" t="n">
        <v>10</v>
      </c>
      <c r="H51" s="6" t="n">
        <v>460</v>
      </c>
      <c r="I51" s="6" t="n">
        <v>6</v>
      </c>
      <c r="J51" s="6" t="n">
        <v>163</v>
      </c>
      <c r="K51" s="9"/>
      <c r="L51" s="6"/>
      <c r="M51" s="6"/>
    </row>
    <row r="52" customFormat="false" ht="15.75" hidden="false" customHeight="false" outlineLevel="0" collapsed="false">
      <c r="A52" s="0" t="s">
        <v>57</v>
      </c>
      <c r="B52" s="1" t="n">
        <v>43912</v>
      </c>
      <c r="C52" s="6" t="n">
        <v>481</v>
      </c>
      <c r="D52" s="6" t="n">
        <v>11</v>
      </c>
      <c r="E52" s="6" t="n">
        <v>0</v>
      </c>
      <c r="F52" s="6" t="n">
        <v>0</v>
      </c>
      <c r="G52" s="6" t="n">
        <v>27</v>
      </c>
      <c r="H52" s="6" t="n">
        <v>454</v>
      </c>
      <c r="I52" s="6" t="n">
        <v>6</v>
      </c>
      <c r="J52" s="6" t="n">
        <v>167</v>
      </c>
      <c r="K52" s="9"/>
      <c r="L52" s="6"/>
      <c r="M52" s="6"/>
    </row>
    <row r="53" customFormat="false" ht="15.75" hidden="false" customHeight="false" outlineLevel="0" collapsed="false">
      <c r="A53" s="0" t="s">
        <v>57</v>
      </c>
      <c r="B53" s="1" t="n">
        <v>43913</v>
      </c>
      <c r="C53" s="6" t="n">
        <v>494</v>
      </c>
      <c r="D53" s="6" t="n">
        <v>13</v>
      </c>
      <c r="E53" s="6" t="n">
        <v>0</v>
      </c>
      <c r="F53" s="6" t="n">
        <v>0</v>
      </c>
      <c r="G53" s="6" t="n">
        <v>33</v>
      </c>
      <c r="H53" s="6" t="n">
        <v>461</v>
      </c>
      <c r="I53" s="6" t="n">
        <v>6</v>
      </c>
      <c r="J53" s="6" t="n">
        <v>171</v>
      </c>
      <c r="K53" s="9"/>
      <c r="L53" s="6"/>
      <c r="M53" s="6"/>
    </row>
    <row r="54" customFormat="false" ht="15.75" hidden="false" customHeight="false" outlineLevel="0" collapsed="false">
      <c r="A54" s="0" t="s">
        <v>57</v>
      </c>
      <c r="B54" s="1" t="n">
        <v>43914</v>
      </c>
      <c r="C54" s="6" t="n">
        <v>501</v>
      </c>
      <c r="D54" s="6" t="n">
        <v>7</v>
      </c>
      <c r="E54" s="6" t="n">
        <v>0</v>
      </c>
      <c r="F54" s="6" t="n">
        <v>0</v>
      </c>
      <c r="G54" s="6" t="n">
        <v>33</v>
      </c>
      <c r="H54" s="6" t="n">
        <v>468</v>
      </c>
      <c r="I54" s="6" t="n">
        <v>6</v>
      </c>
      <c r="J54" s="6" t="n">
        <v>174</v>
      </c>
      <c r="K54" s="9"/>
      <c r="L54" s="6"/>
      <c r="M54" s="6"/>
    </row>
    <row r="55" customFormat="false" ht="15.75" hidden="false" customHeight="false" outlineLevel="0" collapsed="false">
      <c r="A55" s="0" t="s">
        <v>57</v>
      </c>
      <c r="B55" s="1" t="n">
        <v>43915</v>
      </c>
      <c r="C55" s="7" t="n">
        <v>526</v>
      </c>
      <c r="D55" s="7" t="n">
        <v>25</v>
      </c>
      <c r="E55" s="7" t="n">
        <v>0</v>
      </c>
      <c r="F55" s="7" t="n">
        <v>0</v>
      </c>
      <c r="G55" s="7" t="n">
        <v>41</v>
      </c>
      <c r="H55" s="7" t="n">
        <v>485</v>
      </c>
      <c r="I55" s="7" t="n">
        <v>6</v>
      </c>
      <c r="J55" s="7" t="n">
        <v>183</v>
      </c>
      <c r="K55" s="9"/>
      <c r="L55" s="7"/>
      <c r="M55" s="7"/>
    </row>
    <row r="56" customFormat="false" ht="15.75" hidden="false" customHeight="false" outlineLevel="0" collapsed="false">
      <c r="A56" s="0" t="s">
        <v>57</v>
      </c>
      <c r="B56" s="1" t="n">
        <v>43916</v>
      </c>
      <c r="C56" s="7" t="n">
        <v>537</v>
      </c>
      <c r="D56" s="7" t="n">
        <v>11</v>
      </c>
      <c r="E56" s="7" t="n">
        <v>0</v>
      </c>
      <c r="F56" s="7" t="n">
        <v>0</v>
      </c>
      <c r="G56" s="7" t="n">
        <v>41</v>
      </c>
      <c r="H56" s="7" t="n">
        <v>496</v>
      </c>
      <c r="I56" s="7" t="n">
        <v>6</v>
      </c>
      <c r="J56" s="7" t="n">
        <v>186</v>
      </c>
      <c r="K56" s="9"/>
      <c r="L56" s="7"/>
      <c r="M56" s="7"/>
    </row>
    <row r="57" customFormat="false" ht="15.75" hidden="false" customHeight="false" outlineLevel="0" collapsed="false">
      <c r="A57" s="0" t="s">
        <v>57</v>
      </c>
      <c r="B57" s="1" t="n">
        <v>43917</v>
      </c>
      <c r="C57" s="7" t="n">
        <v>549</v>
      </c>
      <c r="D57" s="7" t="n">
        <v>12</v>
      </c>
      <c r="E57" s="7" t="n">
        <v>0</v>
      </c>
      <c r="F57" s="7" t="n">
        <v>0</v>
      </c>
      <c r="G57" s="7" t="n">
        <v>43</v>
      </c>
      <c r="H57" s="7" t="n">
        <v>506</v>
      </c>
      <c r="I57" s="7" t="n">
        <v>6</v>
      </c>
      <c r="J57" s="7" t="n">
        <v>191</v>
      </c>
      <c r="K57" s="9"/>
      <c r="L57" s="7"/>
      <c r="M57" s="7"/>
    </row>
    <row r="58" customFormat="false" ht="15.75" hidden="false" customHeight="false" outlineLevel="0" collapsed="false">
      <c r="A58" s="0" t="s">
        <v>57</v>
      </c>
      <c r="B58" s="1" t="n">
        <v>43918</v>
      </c>
      <c r="C58" s="7" t="n">
        <v>562</v>
      </c>
      <c r="D58" s="7" t="n">
        <v>13</v>
      </c>
      <c r="E58" s="7"/>
      <c r="F58" s="7" t="n">
        <v>0</v>
      </c>
      <c r="G58" s="7" t="n">
        <v>43</v>
      </c>
      <c r="H58" s="7" t="n">
        <v>519</v>
      </c>
      <c r="I58" s="7" t="n">
        <v>6</v>
      </c>
      <c r="J58" s="7" t="n">
        <v>195</v>
      </c>
      <c r="K58" s="9"/>
      <c r="L58" s="7"/>
      <c r="M58" s="7"/>
    </row>
    <row r="59" customFormat="false" ht="15.75" hidden="false" customHeight="false" outlineLevel="0" collapsed="false">
      <c r="A59" s="0" t="s">
        <v>57</v>
      </c>
      <c r="B59" s="1" t="n">
        <v>43919</v>
      </c>
      <c r="C59" s="7" t="n">
        <v>590</v>
      </c>
      <c r="D59" s="7" t="n">
        <v>28</v>
      </c>
      <c r="E59" s="7" t="n">
        <v>1</v>
      </c>
      <c r="F59" s="7" t="n">
        <v>1</v>
      </c>
      <c r="G59" s="7" t="n">
        <v>45</v>
      </c>
      <c r="H59" s="7" t="n">
        <v>544</v>
      </c>
      <c r="I59" s="7" t="n">
        <v>6</v>
      </c>
      <c r="J59" s="7" t="n">
        <v>205</v>
      </c>
      <c r="K59" s="9" t="n">
        <v>0.3</v>
      </c>
      <c r="M59" s="7"/>
    </row>
    <row r="60" customFormat="false" ht="15.75" hidden="false" customHeight="false" outlineLevel="0" collapsed="false">
      <c r="A60" s="0" t="s">
        <v>57</v>
      </c>
      <c r="B60" s="1" t="n">
        <v>43920</v>
      </c>
      <c r="C60" s="7" t="n">
        <v>634</v>
      </c>
      <c r="D60" s="7" t="n">
        <v>44</v>
      </c>
      <c r="E60" s="7" t="n">
        <v>1</v>
      </c>
      <c r="F60" s="7" t="n">
        <v>0</v>
      </c>
      <c r="G60" s="7" t="n">
        <v>48</v>
      </c>
      <c r="H60" s="7" t="n">
        <v>585</v>
      </c>
      <c r="I60" s="7" t="n">
        <v>6</v>
      </c>
      <c r="J60" s="7" t="n">
        <v>220</v>
      </c>
      <c r="K60" s="9" t="n">
        <v>0.3</v>
      </c>
      <c r="M60" s="7"/>
    </row>
    <row r="61" customFormat="false" ht="15.75" hidden="false" customHeight="false" outlineLevel="0" collapsed="false">
      <c r="A61" s="0" t="s">
        <v>57</v>
      </c>
      <c r="B61" s="1" t="n">
        <v>43921</v>
      </c>
      <c r="C61" s="7" t="n">
        <v>693</v>
      </c>
      <c r="D61" s="7" t="n">
        <v>59</v>
      </c>
      <c r="E61" s="7" t="n">
        <v>1</v>
      </c>
      <c r="F61" s="7" t="n">
        <v>0</v>
      </c>
      <c r="G61" s="7" t="n">
        <v>51</v>
      </c>
      <c r="H61" s="7" t="n">
        <v>641</v>
      </c>
      <c r="I61" s="7" t="n">
        <v>6</v>
      </c>
      <c r="J61" s="7" t="n">
        <v>241</v>
      </c>
      <c r="K61" s="9" t="n">
        <v>0.3</v>
      </c>
      <c r="M61" s="7"/>
    </row>
    <row r="62" customFormat="false" ht="15.75" hidden="false" customHeight="false" outlineLevel="0" collapsed="false">
      <c r="A62" s="0" t="s">
        <v>57</v>
      </c>
      <c r="B62" s="1" t="n">
        <v>43922</v>
      </c>
      <c r="C62" s="7" t="n">
        <v>781</v>
      </c>
      <c r="D62" s="7" t="n">
        <v>88</v>
      </c>
      <c r="E62" s="7" t="n">
        <v>2</v>
      </c>
      <c r="F62" s="7" t="n">
        <v>1</v>
      </c>
      <c r="G62" s="7" t="n">
        <v>62</v>
      </c>
      <c r="H62" s="7" t="n">
        <v>717</v>
      </c>
      <c r="I62" s="7" t="n">
        <v>6</v>
      </c>
      <c r="J62" s="7" t="n">
        <v>271</v>
      </c>
      <c r="K62" s="9" t="n">
        <v>0.7</v>
      </c>
      <c r="M62" s="7"/>
    </row>
    <row r="63" customFormat="false" ht="15.75" hidden="false" customHeight="false" outlineLevel="0" collapsed="false">
      <c r="A63" s="0" t="s">
        <v>57</v>
      </c>
      <c r="B63" s="1" t="n">
        <v>43923</v>
      </c>
      <c r="C63" s="7" t="n">
        <v>835</v>
      </c>
      <c r="D63" s="7" t="n">
        <v>54</v>
      </c>
      <c r="E63" s="7" t="n">
        <v>2</v>
      </c>
      <c r="F63" s="7" t="n">
        <v>0</v>
      </c>
      <c r="G63" s="7" t="n">
        <v>71</v>
      </c>
      <c r="H63" s="7" t="n">
        <v>762</v>
      </c>
      <c r="I63" s="7" t="n">
        <v>37</v>
      </c>
      <c r="J63" s="7" t="n">
        <v>290</v>
      </c>
      <c r="K63" s="9" t="n">
        <v>0.7</v>
      </c>
      <c r="M63" s="7"/>
    </row>
    <row r="64" customFormat="false" ht="15.75" hidden="false" customHeight="false" outlineLevel="0" collapsed="false">
      <c r="A64" s="0" t="s">
        <v>57</v>
      </c>
      <c r="B64" s="1" t="n">
        <v>43924</v>
      </c>
      <c r="C64" s="7" t="n">
        <v>949</v>
      </c>
      <c r="D64" s="7" t="n">
        <v>114</v>
      </c>
      <c r="E64" s="7" t="n">
        <v>3</v>
      </c>
      <c r="F64" s="7" t="n">
        <v>1</v>
      </c>
      <c r="G64" s="7" t="n">
        <v>72</v>
      </c>
      <c r="H64" s="7" t="n">
        <v>874</v>
      </c>
      <c r="I64" s="7" t="n">
        <v>37</v>
      </c>
      <c r="J64" s="7" t="n">
        <v>329</v>
      </c>
      <c r="K64" s="11" t="n">
        <v>1</v>
      </c>
      <c r="M64" s="7"/>
    </row>
    <row r="65" customFormat="false" ht="15.75" hidden="false" customHeight="false" outlineLevel="0" collapsed="false">
      <c r="A65" s="0" t="s">
        <v>57</v>
      </c>
      <c r="B65" s="1" t="n">
        <v>43925</v>
      </c>
      <c r="C65" s="7" t="n">
        <v>1075</v>
      </c>
      <c r="D65" s="7" t="n">
        <v>126</v>
      </c>
      <c r="E65" s="7" t="n">
        <v>3</v>
      </c>
      <c r="F65" s="7" t="n">
        <v>0</v>
      </c>
      <c r="G65" s="7" t="n">
        <v>93</v>
      </c>
      <c r="H65" s="7" t="n">
        <v>979</v>
      </c>
      <c r="I65" s="7" t="n">
        <v>37</v>
      </c>
      <c r="J65" s="7" t="n">
        <v>373</v>
      </c>
      <c r="K65" s="11" t="n">
        <v>1</v>
      </c>
      <c r="M65" s="7"/>
    </row>
    <row r="66" customFormat="false" ht="15.75" hidden="false" customHeight="false" outlineLevel="0" collapsed="false">
      <c r="A66" s="0" t="s">
        <v>57</v>
      </c>
      <c r="B66" s="1" t="n">
        <v>43926</v>
      </c>
      <c r="C66" s="7" t="n">
        <v>1325</v>
      </c>
      <c r="D66" s="7" t="n">
        <v>250</v>
      </c>
      <c r="E66" s="7" t="n">
        <v>3</v>
      </c>
      <c r="F66" s="7" t="n">
        <v>0</v>
      </c>
      <c r="G66" s="7" t="n">
        <v>109</v>
      </c>
      <c r="H66" s="7" t="n">
        <v>1213</v>
      </c>
      <c r="I66" s="7" t="n">
        <v>37</v>
      </c>
      <c r="J66" s="7" t="n">
        <v>460</v>
      </c>
      <c r="K66" s="11" t="n">
        <v>1</v>
      </c>
      <c r="L66" s="7" t="n">
        <v>31951</v>
      </c>
      <c r="M66" s="7" t="n">
        <v>11090</v>
      </c>
    </row>
    <row r="67" customFormat="false" ht="15.75" hidden="false" customHeight="false" outlineLevel="0" collapsed="false">
      <c r="A67" s="0" t="s">
        <v>57</v>
      </c>
      <c r="B67" s="1" t="n">
        <v>43927</v>
      </c>
      <c r="C67" s="7" t="n">
        <v>1604</v>
      </c>
      <c r="D67" s="7" t="n">
        <v>279</v>
      </c>
      <c r="E67" s="7" t="n">
        <v>4</v>
      </c>
      <c r="F67" s="7" t="n">
        <v>1</v>
      </c>
      <c r="G67" s="7" t="n">
        <v>123</v>
      </c>
      <c r="H67" s="7" t="n">
        <v>1477</v>
      </c>
      <c r="I67" s="7" t="n">
        <v>37</v>
      </c>
      <c r="J67" s="7" t="n">
        <v>557</v>
      </c>
      <c r="K67" s="11" t="n">
        <v>1</v>
      </c>
      <c r="L67" s="7" t="n">
        <v>35757</v>
      </c>
      <c r="M67" s="7" t="n">
        <v>12411</v>
      </c>
    </row>
    <row r="68" customFormat="false" ht="15.75" hidden="false" customHeight="false" outlineLevel="0" collapsed="false">
      <c r="A68" s="0" t="s">
        <v>57</v>
      </c>
      <c r="B68" s="1" t="n">
        <v>43928</v>
      </c>
      <c r="C68" s="12" t="n">
        <v>1832</v>
      </c>
      <c r="D68" s="12" t="n">
        <v>228</v>
      </c>
      <c r="E68" s="12" t="n">
        <v>4</v>
      </c>
      <c r="F68" s="12" t="n">
        <v>0</v>
      </c>
      <c r="G68" s="12" t="n">
        <v>131</v>
      </c>
      <c r="H68" s="12" t="n">
        <v>1697</v>
      </c>
      <c r="I68" s="12" t="n">
        <v>37</v>
      </c>
      <c r="J68" s="12" t="n">
        <v>636</v>
      </c>
      <c r="K68" s="28" t="n">
        <v>1</v>
      </c>
      <c r="L68" s="12" t="n">
        <v>38108</v>
      </c>
      <c r="M68" s="12" t="n">
        <v>13227</v>
      </c>
    </row>
    <row r="69" customFormat="false" ht="15.75" hidden="false" customHeight="false" outlineLevel="0" collapsed="false">
      <c r="A69" s="0" t="s">
        <v>57</v>
      </c>
      <c r="B69" s="1" t="n">
        <v>43929</v>
      </c>
      <c r="C69" s="14" t="n">
        <v>2057</v>
      </c>
      <c r="D69" s="14" t="n">
        <v>225</v>
      </c>
      <c r="E69" s="14" t="n">
        <v>6</v>
      </c>
      <c r="F69" s="14" t="n">
        <v>2</v>
      </c>
      <c r="G69" s="14" t="n">
        <v>150</v>
      </c>
      <c r="H69" s="14" t="n">
        <v>1901</v>
      </c>
      <c r="I69" s="14" t="n">
        <v>37</v>
      </c>
      <c r="J69" s="14" t="n">
        <v>714</v>
      </c>
      <c r="K69" s="28" t="n">
        <v>2</v>
      </c>
      <c r="L69" s="14" t="n">
        <v>41818</v>
      </c>
      <c r="M69" s="14" t="n">
        <v>14515</v>
      </c>
    </row>
    <row r="70" customFormat="false" ht="15.75" hidden="false" customHeight="false" outlineLevel="0" collapsed="false">
      <c r="A70" s="0" t="s">
        <v>57</v>
      </c>
      <c r="B70" s="1" t="n">
        <v>43930</v>
      </c>
      <c r="C70" s="14" t="n">
        <v>2210</v>
      </c>
      <c r="D70" s="14" t="n">
        <v>153</v>
      </c>
      <c r="E70" s="14" t="n">
        <v>6</v>
      </c>
      <c r="F70" s="14" t="n">
        <v>0</v>
      </c>
      <c r="G70" s="14" t="n">
        <v>178</v>
      </c>
      <c r="H70" s="14" t="n">
        <v>2026</v>
      </c>
      <c r="I70" s="14" t="n">
        <v>37</v>
      </c>
      <c r="J70" s="14" t="n">
        <v>767</v>
      </c>
      <c r="K70" s="28" t="n">
        <v>2</v>
      </c>
      <c r="L70" s="14" t="n">
        <v>41818</v>
      </c>
      <c r="M70" s="14" t="n">
        <v>14515</v>
      </c>
    </row>
    <row r="71" customFormat="false" ht="15.75" hidden="false" customHeight="false" outlineLevel="0" collapsed="false">
      <c r="A71" s="0" t="s">
        <v>57</v>
      </c>
      <c r="B71" s="1" t="n">
        <v>43931</v>
      </c>
      <c r="C71" s="14" t="n">
        <v>2376</v>
      </c>
      <c r="D71" s="14" t="n">
        <v>166</v>
      </c>
      <c r="E71" s="14" t="n">
        <v>6</v>
      </c>
      <c r="F71" s="14" t="n">
        <v>0</v>
      </c>
      <c r="G71" s="14" t="n">
        <v>206</v>
      </c>
      <c r="H71" s="14" t="n">
        <v>2164</v>
      </c>
      <c r="I71" s="14" t="n">
        <v>37</v>
      </c>
      <c r="J71" s="14" t="n">
        <v>825</v>
      </c>
      <c r="K71" s="28" t="n">
        <v>2</v>
      </c>
      <c r="L71" s="14" t="n">
        <v>43144</v>
      </c>
      <c r="M71" s="14" t="n">
        <v>14975</v>
      </c>
    </row>
    <row r="72" customFormat="false" ht="15.75" hidden="false" customHeight="false" outlineLevel="0" collapsed="false">
      <c r="A72" s="0" t="s">
        <v>57</v>
      </c>
      <c r="B72" s="1" t="n">
        <v>43932</v>
      </c>
      <c r="C72" s="14" t="n">
        <v>2512</v>
      </c>
      <c r="D72" s="14" t="n">
        <v>136</v>
      </c>
      <c r="E72" s="14" t="n">
        <v>6</v>
      </c>
      <c r="F72" s="14" t="n">
        <v>0</v>
      </c>
      <c r="G72" s="14" t="n">
        <v>227</v>
      </c>
      <c r="H72" s="14" t="n">
        <v>2279</v>
      </c>
      <c r="I72" s="14" t="n">
        <v>37</v>
      </c>
      <c r="J72" s="14" t="n">
        <v>872</v>
      </c>
      <c r="K72" s="28" t="n">
        <v>2</v>
      </c>
      <c r="L72" s="14" t="n">
        <v>45339</v>
      </c>
      <c r="M72" s="14" t="n">
        <v>15737</v>
      </c>
    </row>
    <row r="73" customFormat="false" ht="15.75" hidden="false" customHeight="false" outlineLevel="0" collapsed="false">
      <c r="A73" s="0" t="s">
        <v>57</v>
      </c>
      <c r="B73" s="1" t="n">
        <v>43933</v>
      </c>
      <c r="C73" s="14" t="n">
        <v>2728</v>
      </c>
      <c r="D73" s="14" t="n">
        <v>216</v>
      </c>
      <c r="E73" s="14" t="n">
        <v>6</v>
      </c>
      <c r="F73" s="14" t="n">
        <v>0</v>
      </c>
      <c r="G73" s="14" t="n">
        <v>247</v>
      </c>
      <c r="H73" s="14" t="n">
        <v>2475</v>
      </c>
      <c r="I73" s="14" t="n">
        <v>37</v>
      </c>
      <c r="J73" s="14" t="n">
        <v>947</v>
      </c>
      <c r="K73" s="28" t="n">
        <v>2</v>
      </c>
      <c r="L73" s="14" t="n">
        <v>47751</v>
      </c>
      <c r="M73" s="14" t="n">
        <v>16574</v>
      </c>
    </row>
    <row r="74" customFormat="false" ht="15.75" hidden="false" customHeight="false" outlineLevel="0" collapsed="false">
      <c r="A74" s="0" t="s">
        <v>57</v>
      </c>
      <c r="B74" s="1" t="n">
        <v>43934</v>
      </c>
      <c r="C74" s="14" t="n">
        <v>2979</v>
      </c>
      <c r="D74" s="14" t="n">
        <v>251</v>
      </c>
      <c r="E74" s="14" t="n">
        <v>7</v>
      </c>
      <c r="F74" s="14" t="n">
        <v>1</v>
      </c>
      <c r="G74" s="14" t="n">
        <v>275</v>
      </c>
      <c r="H74" s="14" t="n">
        <v>2697</v>
      </c>
      <c r="I74" s="14" t="n">
        <v>37</v>
      </c>
      <c r="J74" s="14" t="n">
        <v>1034</v>
      </c>
      <c r="K74" s="28" t="n">
        <v>2</v>
      </c>
      <c r="L74" s="14" t="n">
        <v>49102</v>
      </c>
      <c r="M74" s="14" t="n">
        <v>17043</v>
      </c>
    </row>
    <row r="75" customFormat="false" ht="15.75" hidden="false" customHeight="false" outlineLevel="0" collapsed="false">
      <c r="A75" s="0" t="s">
        <v>57</v>
      </c>
      <c r="B75" s="1" t="n">
        <v>43935</v>
      </c>
      <c r="C75" s="14" t="n">
        <v>3231</v>
      </c>
      <c r="D75" s="14" t="n">
        <v>252</v>
      </c>
      <c r="E75" s="14" t="n">
        <v>7</v>
      </c>
      <c r="F75" s="14" t="n">
        <v>0</v>
      </c>
      <c r="G75" s="14" t="n">
        <v>334</v>
      </c>
      <c r="H75" s="14" t="n">
        <v>2890</v>
      </c>
      <c r="I75" s="14" t="n">
        <v>37</v>
      </c>
      <c r="J75" s="14" t="n">
        <v>1121</v>
      </c>
      <c r="K75" s="28" t="n">
        <v>2</v>
      </c>
      <c r="L75" s="14" t="n">
        <v>50828</v>
      </c>
      <c r="M75" s="14" t="n">
        <v>17642</v>
      </c>
    </row>
    <row r="76" customFormat="false" ht="15.75" hidden="false" customHeight="false" outlineLevel="0" collapsed="false">
      <c r="A76" s="0" t="s">
        <v>57</v>
      </c>
      <c r="B76" s="1" t="n">
        <v>43936</v>
      </c>
      <c r="C76" s="14" t="n">
        <v>3428</v>
      </c>
      <c r="D76" s="14" t="n">
        <v>197</v>
      </c>
      <c r="E76" s="14" t="n">
        <v>7</v>
      </c>
      <c r="F76" s="14" t="n">
        <v>0</v>
      </c>
      <c r="G76" s="14" t="n">
        <v>373</v>
      </c>
      <c r="H76" s="14" t="n">
        <v>3048</v>
      </c>
      <c r="I76" s="14" t="n">
        <v>37</v>
      </c>
      <c r="J76" s="14" t="n">
        <v>1190</v>
      </c>
      <c r="K76" s="28" t="n">
        <v>2</v>
      </c>
      <c r="L76" s="14" t="n">
        <v>52622</v>
      </c>
      <c r="M76" s="14" t="n">
        <v>18265</v>
      </c>
    </row>
    <row r="77" customFormat="false" ht="15.75" hidden="false" customHeight="false" outlineLevel="0" collapsed="false">
      <c r="A77" s="0" t="s">
        <v>57</v>
      </c>
      <c r="B77" s="1" t="n">
        <v>43937</v>
      </c>
      <c r="C77" s="14" t="n">
        <v>3711</v>
      </c>
      <c r="D77" s="14" t="n">
        <v>283</v>
      </c>
      <c r="E77" s="14" t="n">
        <v>7</v>
      </c>
      <c r="F77" s="14" t="n">
        <v>0</v>
      </c>
      <c r="G77" s="14" t="n">
        <v>406</v>
      </c>
      <c r="H77" s="14" t="n">
        <v>3298</v>
      </c>
      <c r="I77" s="14" t="n">
        <v>37</v>
      </c>
      <c r="J77" s="14" t="n">
        <v>1288</v>
      </c>
      <c r="K77" s="28" t="n">
        <v>2</v>
      </c>
      <c r="L77" s="14" t="n">
        <v>54484</v>
      </c>
      <c r="M77" s="14" t="n">
        <v>18911</v>
      </c>
    </row>
    <row r="78" customFormat="false" ht="15.75" hidden="false" customHeight="false" outlineLevel="0" collapsed="false">
      <c r="A78" s="0" t="s">
        <v>57</v>
      </c>
      <c r="B78" s="1" t="n">
        <v>43938</v>
      </c>
      <c r="C78" s="14" t="n">
        <v>4103</v>
      </c>
      <c r="D78" s="14" t="n">
        <v>392</v>
      </c>
      <c r="E78" s="14" t="n">
        <v>7</v>
      </c>
      <c r="F78" s="14" t="n">
        <v>0</v>
      </c>
      <c r="G78" s="14" t="n">
        <v>415</v>
      </c>
      <c r="H78" s="14" t="n">
        <v>3681</v>
      </c>
      <c r="I78" s="14" t="n">
        <v>37</v>
      </c>
      <c r="J78" s="14" t="n">
        <v>1424</v>
      </c>
      <c r="K78" s="28" t="n">
        <v>2</v>
      </c>
      <c r="L78" s="14" t="n">
        <v>56381</v>
      </c>
      <c r="M78" s="14" t="n">
        <v>19570</v>
      </c>
    </row>
    <row r="79" customFormat="false" ht="15.75" hidden="false" customHeight="false" outlineLevel="0" collapsed="false">
      <c r="A79" s="0" t="s">
        <v>57</v>
      </c>
      <c r="B79" s="1" t="n">
        <v>43939</v>
      </c>
      <c r="C79" s="14" t="n">
        <v>4663</v>
      </c>
      <c r="D79" s="14" t="n">
        <v>560</v>
      </c>
      <c r="E79" s="14" t="n">
        <v>7</v>
      </c>
      <c r="F79" s="14" t="n">
        <v>0</v>
      </c>
      <c r="G79" s="14" t="n">
        <v>464</v>
      </c>
      <c r="H79" s="14" t="n">
        <v>4192</v>
      </c>
      <c r="I79" s="14" t="n">
        <v>37</v>
      </c>
      <c r="J79" s="14" t="n">
        <v>1619</v>
      </c>
      <c r="K79" s="28" t="n">
        <v>2</v>
      </c>
      <c r="L79" s="14" t="n">
        <v>58328</v>
      </c>
      <c r="M79" s="14" t="n">
        <v>20245</v>
      </c>
    </row>
    <row r="80" customFormat="false" ht="15.75" hidden="false" customHeight="false" outlineLevel="0" collapsed="false">
      <c r="A80" s="0" t="s">
        <v>57</v>
      </c>
      <c r="B80" s="1" t="n">
        <v>43940</v>
      </c>
      <c r="C80" s="14" t="n">
        <v>5008</v>
      </c>
      <c r="D80" s="14" t="n">
        <v>345</v>
      </c>
      <c r="E80" s="14" t="n">
        <v>8</v>
      </c>
      <c r="F80" s="14" t="n">
        <v>1</v>
      </c>
      <c r="G80" s="14" t="n">
        <v>510</v>
      </c>
      <c r="H80" s="14" t="n">
        <v>4490</v>
      </c>
      <c r="I80" s="14" t="n">
        <v>37</v>
      </c>
      <c r="J80" s="14" t="n">
        <v>1738</v>
      </c>
      <c r="K80" s="28" t="n">
        <v>3</v>
      </c>
      <c r="L80" s="14" t="n">
        <v>60139</v>
      </c>
      <c r="M80" s="14" t="n">
        <v>20874</v>
      </c>
    </row>
    <row r="81" customFormat="false" ht="15.75" hidden="false" customHeight="false" outlineLevel="0" collapsed="false">
      <c r="A81" s="0" t="s">
        <v>57</v>
      </c>
      <c r="B81" s="1" t="n">
        <v>43941</v>
      </c>
      <c r="C81" s="14" t="n">
        <v>5448</v>
      </c>
      <c r="D81" s="14" t="n">
        <v>440</v>
      </c>
      <c r="E81" s="14" t="n">
        <v>8</v>
      </c>
      <c r="F81" s="14" t="n">
        <v>0</v>
      </c>
      <c r="G81" s="14" t="n">
        <v>518</v>
      </c>
      <c r="H81" s="14" t="n">
        <v>4922</v>
      </c>
      <c r="I81" s="14" t="n">
        <v>37</v>
      </c>
      <c r="J81" s="14" t="n">
        <v>1891</v>
      </c>
      <c r="K81" s="28" t="n">
        <v>3</v>
      </c>
      <c r="L81" s="14" t="n">
        <v>62538</v>
      </c>
      <c r="M81" s="14" t="n">
        <v>21707</v>
      </c>
    </row>
    <row r="82" customFormat="false" ht="15.75" hidden="false" customHeight="false" outlineLevel="0" collapsed="false">
      <c r="A82" s="0" t="s">
        <v>57</v>
      </c>
      <c r="B82" s="1" t="n">
        <v>43942</v>
      </c>
      <c r="C82" s="6" t="n">
        <v>6015</v>
      </c>
      <c r="D82" s="6" t="n">
        <v>567</v>
      </c>
      <c r="E82" s="6" t="n">
        <v>9</v>
      </c>
      <c r="F82" s="6" t="n">
        <v>1</v>
      </c>
      <c r="G82" s="6" t="n">
        <v>555</v>
      </c>
      <c r="H82" s="6" t="n">
        <v>5451</v>
      </c>
      <c r="I82" s="6" t="n">
        <v>37</v>
      </c>
      <c r="J82" s="6" t="n">
        <v>2088</v>
      </c>
      <c r="K82" s="11" t="n">
        <v>3</v>
      </c>
      <c r="L82" s="6" t="n">
        <v>64620</v>
      </c>
      <c r="M82" s="6" t="n">
        <v>22429</v>
      </c>
    </row>
    <row r="83" customFormat="false" ht="15.75" hidden="false" customHeight="false" outlineLevel="0" collapsed="false">
      <c r="A83" s="0" t="s">
        <v>57</v>
      </c>
      <c r="B83" s="1" t="n">
        <v>43943</v>
      </c>
      <c r="C83" s="6" t="n">
        <v>6533</v>
      </c>
      <c r="D83" s="6" t="n">
        <v>518</v>
      </c>
      <c r="E83" s="6" t="n">
        <v>9</v>
      </c>
      <c r="F83" s="6" t="n">
        <v>0</v>
      </c>
      <c r="G83" s="6" t="n">
        <v>614</v>
      </c>
      <c r="H83" s="6" t="n">
        <v>5910</v>
      </c>
      <c r="I83" s="6" t="n">
        <v>37</v>
      </c>
      <c r="J83" s="6" t="n">
        <v>2268</v>
      </c>
      <c r="K83" s="11" t="n">
        <v>3</v>
      </c>
      <c r="L83" s="6" t="n">
        <v>66725</v>
      </c>
      <c r="M83" s="6" t="n">
        <v>23160</v>
      </c>
    </row>
    <row r="84" customFormat="false" ht="15.75" hidden="false" customHeight="false" outlineLevel="0" collapsed="false">
      <c r="A84" s="0" t="s">
        <v>57</v>
      </c>
      <c r="B84" s="1" t="n">
        <v>43944</v>
      </c>
      <c r="C84" s="6" t="n">
        <v>7141</v>
      </c>
      <c r="D84" s="6" t="n">
        <v>608</v>
      </c>
      <c r="E84" s="6" t="n">
        <v>10</v>
      </c>
      <c r="F84" s="6" t="n">
        <v>1</v>
      </c>
      <c r="G84" s="6" t="n">
        <v>689</v>
      </c>
      <c r="H84" s="6" t="n">
        <v>6442</v>
      </c>
      <c r="I84" s="6" t="n">
        <v>37</v>
      </c>
      <c r="J84" s="6" t="n">
        <v>2479</v>
      </c>
      <c r="K84" s="11" t="n">
        <v>3</v>
      </c>
      <c r="L84" s="6" t="n">
        <v>70012</v>
      </c>
      <c r="M84" s="6" t="n">
        <v>24301</v>
      </c>
    </row>
    <row r="85" customFormat="false" ht="15.75" hidden="false" customHeight="false" outlineLevel="0" collapsed="false">
      <c r="A85" s="0" t="s">
        <v>57</v>
      </c>
      <c r="B85" s="1" t="n">
        <v>43945</v>
      </c>
      <c r="C85" s="6" t="n">
        <v>7764</v>
      </c>
      <c r="D85" s="6" t="n">
        <v>623</v>
      </c>
      <c r="E85" s="6" t="n">
        <v>10</v>
      </c>
      <c r="F85" s="6" t="n">
        <v>0</v>
      </c>
      <c r="G85" s="6" t="n">
        <v>750</v>
      </c>
      <c r="H85" s="6" t="n">
        <v>7004</v>
      </c>
      <c r="I85" s="6" t="n">
        <v>72</v>
      </c>
      <c r="J85" s="6" t="n">
        <v>2695</v>
      </c>
      <c r="K85" s="11" t="n">
        <v>3</v>
      </c>
      <c r="L85" s="6" t="n">
        <v>73457</v>
      </c>
      <c r="M85" s="6" t="n">
        <v>25497</v>
      </c>
    </row>
    <row r="86" customFormat="false" ht="15.75" hidden="false" customHeight="false" outlineLevel="0" collapsed="false">
      <c r="A86" s="0" t="s">
        <v>57</v>
      </c>
      <c r="B86" s="1" t="n">
        <v>43946</v>
      </c>
      <c r="C86" s="6" t="n">
        <v>8525</v>
      </c>
      <c r="D86" s="6" t="n">
        <v>761</v>
      </c>
      <c r="E86" s="6" t="n">
        <v>10</v>
      </c>
      <c r="F86" s="6" t="n">
        <v>0</v>
      </c>
      <c r="G86" s="6" t="n">
        <v>809</v>
      </c>
      <c r="H86" s="6" t="n">
        <v>7706</v>
      </c>
      <c r="I86" s="6" t="n">
        <v>72</v>
      </c>
      <c r="J86" s="6" t="n">
        <v>2959</v>
      </c>
      <c r="K86" s="11" t="n">
        <v>3</v>
      </c>
      <c r="L86" s="6" t="n">
        <v>75888</v>
      </c>
      <c r="M86" s="6" t="n">
        <v>26340</v>
      </c>
    </row>
    <row r="87" customFormat="false" ht="15.75" hidden="false" customHeight="false" outlineLevel="0" collapsed="false">
      <c r="A87" s="0" t="s">
        <v>57</v>
      </c>
      <c r="B87" s="1" t="n">
        <v>43947</v>
      </c>
      <c r="C87" s="6" t="n">
        <v>9358</v>
      </c>
      <c r="D87" s="6" t="n">
        <v>833</v>
      </c>
      <c r="E87" s="6" t="n">
        <v>10</v>
      </c>
      <c r="F87" s="6" t="n">
        <v>0</v>
      </c>
      <c r="G87" s="6" t="n">
        <v>929</v>
      </c>
      <c r="H87" s="6" t="n">
        <v>8419</v>
      </c>
      <c r="I87" s="6" t="n">
        <v>72</v>
      </c>
      <c r="J87" s="6" t="n">
        <v>3248</v>
      </c>
      <c r="K87" s="11" t="n">
        <v>3</v>
      </c>
      <c r="L87" s="6" t="n">
        <v>79705</v>
      </c>
      <c r="M87" s="6" t="n">
        <v>27665</v>
      </c>
    </row>
    <row r="88" customFormat="false" ht="15.75" hidden="false" customHeight="false" outlineLevel="0" collapsed="false">
      <c r="A88" s="0" t="s">
        <v>57</v>
      </c>
      <c r="B88" s="1" t="n">
        <v>43948</v>
      </c>
      <c r="C88" s="6" t="n">
        <v>10287</v>
      </c>
      <c r="D88" s="6" t="n">
        <v>929</v>
      </c>
      <c r="E88" s="6" t="n">
        <v>10</v>
      </c>
      <c r="F88" s="6" t="n">
        <v>0</v>
      </c>
      <c r="G88" s="6" t="n">
        <v>1012</v>
      </c>
      <c r="H88" s="6" t="n">
        <v>9265</v>
      </c>
      <c r="I88" s="6" t="n">
        <v>72</v>
      </c>
      <c r="J88" s="6" t="n">
        <v>3571</v>
      </c>
      <c r="K88" s="11" t="n">
        <v>3</v>
      </c>
      <c r="L88" s="6" t="n">
        <v>82289</v>
      </c>
      <c r="M88" s="6" t="n">
        <v>28562</v>
      </c>
    </row>
    <row r="89" customFormat="false" ht="13.5" hidden="false" customHeight="false" outlineLevel="0" collapsed="false">
      <c r="A89" s="0" t="s">
        <v>57</v>
      </c>
      <c r="B89" s="1" t="n">
        <v>43949</v>
      </c>
      <c r="C89" s="2" t="n">
        <v>11244</v>
      </c>
      <c r="D89" s="2" t="n">
        <v>957</v>
      </c>
      <c r="E89" s="2" t="n">
        <v>10</v>
      </c>
      <c r="F89" s="2" t="n">
        <v>0</v>
      </c>
      <c r="G89" s="2" t="n">
        <v>1066</v>
      </c>
      <c r="H89" s="2" t="n">
        <v>10168</v>
      </c>
      <c r="I89" s="2" t="n">
        <v>72</v>
      </c>
      <c r="J89" s="2" t="n">
        <v>3903</v>
      </c>
      <c r="K89" s="2" t="n">
        <v>3</v>
      </c>
      <c r="L89" s="2" t="n">
        <v>85709</v>
      </c>
      <c r="M89" s="2" t="n">
        <v>29749</v>
      </c>
    </row>
    <row r="90" customFormat="false" ht="13.5" hidden="false" customHeight="false" outlineLevel="0" collapsed="false">
      <c r="A90" s="0" t="s">
        <v>57</v>
      </c>
      <c r="B90" s="1" t="n">
        <v>43950</v>
      </c>
      <c r="C90" s="2" t="n">
        <v>11921</v>
      </c>
      <c r="D90" s="2" t="n">
        <v>677</v>
      </c>
      <c r="E90" s="2" t="n">
        <v>10</v>
      </c>
      <c r="F90" s="2" t="n">
        <v>0</v>
      </c>
      <c r="G90" s="2" t="n">
        <v>1134</v>
      </c>
      <c r="H90" s="2" t="n">
        <v>10777</v>
      </c>
      <c r="I90" s="2" t="n">
        <v>72</v>
      </c>
      <c r="J90" s="2" t="n">
        <v>4138</v>
      </c>
      <c r="K90" s="2" t="n">
        <v>3</v>
      </c>
      <c r="L90" s="2" t="n">
        <v>88607</v>
      </c>
      <c r="M90" s="2" t="n">
        <v>30755</v>
      </c>
    </row>
    <row r="91" customFormat="false" ht="13.5" hidden="false" customHeight="false" outlineLevel="0" collapsed="false">
      <c r="A91" s="0" t="s">
        <v>57</v>
      </c>
      <c r="B91" s="1" t="n">
        <v>43951</v>
      </c>
      <c r="C91" s="2" t="n">
        <v>12564</v>
      </c>
      <c r="D91" s="2" t="n">
        <v>643</v>
      </c>
      <c r="E91" s="2" t="n">
        <v>10</v>
      </c>
      <c r="F91" s="2" t="n">
        <v>0</v>
      </c>
      <c r="G91" s="2" t="n">
        <v>1243</v>
      </c>
      <c r="H91" s="2" t="n">
        <v>11311</v>
      </c>
      <c r="I91" s="2" t="n">
        <v>72</v>
      </c>
      <c r="J91" s="2" t="n">
        <v>4361</v>
      </c>
      <c r="K91" s="2" t="n">
        <v>3</v>
      </c>
      <c r="L91" s="2" t="n">
        <v>91415</v>
      </c>
      <c r="M91" s="2" t="n">
        <v>31730</v>
      </c>
    </row>
    <row r="92" customFormat="false" ht="14.25" hidden="false" customHeight="false" outlineLevel="0" collapsed="false">
      <c r="A92" s="0" t="s">
        <v>57</v>
      </c>
      <c r="B92" s="1" t="n">
        <v>43952</v>
      </c>
      <c r="C92" s="2" t="n">
        <v>13409</v>
      </c>
      <c r="D92" s="2" t="n">
        <v>845</v>
      </c>
      <c r="E92" s="2" t="n">
        <v>10</v>
      </c>
      <c r="F92" s="2" t="n">
        <v>0</v>
      </c>
      <c r="G92" s="2" t="n">
        <v>1372</v>
      </c>
      <c r="H92" s="2" t="n">
        <v>12027</v>
      </c>
      <c r="I92" s="2" t="n">
        <v>72</v>
      </c>
      <c r="J92" s="2" t="n">
        <v>4654</v>
      </c>
      <c r="K92" s="2" t="n">
        <v>3</v>
      </c>
      <c r="L92" s="2" t="n">
        <v>94500</v>
      </c>
      <c r="M92" s="2" t="n">
        <v>32801</v>
      </c>
    </row>
    <row r="93" customFormat="false" ht="15.75" hidden="false" customHeight="false" outlineLevel="0" collapsed="false">
      <c r="A93" s="0" t="s">
        <v>57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57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57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57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57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57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57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57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57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57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57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57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57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57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57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57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57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57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57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57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57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57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57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57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57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57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57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57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57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57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57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57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57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57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57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57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57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57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57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57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57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57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57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57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57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57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57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57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57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57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57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57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57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57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57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57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57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57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57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57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57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57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57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57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57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57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57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57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57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57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57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57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57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57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57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57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57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57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57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57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57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57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57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57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57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57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57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57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57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57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57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57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57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57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57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58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58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58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58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58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58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58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58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58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58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58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58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58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58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58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58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58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58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58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58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58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58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58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58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58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58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58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58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58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58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58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58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58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58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58</v>
      </c>
      <c r="B37" s="1" t="n">
        <v>43897</v>
      </c>
      <c r="C37" s="8" t="n">
        <v>2</v>
      </c>
      <c r="D37" s="8" t="n">
        <v>1</v>
      </c>
      <c r="E37" s="8"/>
      <c r="F37" s="8"/>
      <c r="G37" s="8"/>
      <c r="H37" s="8" t="n">
        <v>2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58</v>
      </c>
      <c r="B38" s="1" t="n">
        <v>43898</v>
      </c>
      <c r="C38" s="6" t="n">
        <v>2</v>
      </c>
      <c r="D38" s="6" t="n">
        <v>0</v>
      </c>
      <c r="E38" s="6"/>
      <c r="F38" s="6"/>
      <c r="G38" s="6"/>
      <c r="H38" s="6" t="n">
        <v>2</v>
      </c>
      <c r="I38" s="6"/>
      <c r="J38" s="6"/>
      <c r="K38" s="9"/>
      <c r="L38" s="6"/>
      <c r="M38" s="6"/>
    </row>
    <row r="39" customFormat="false" ht="15.75" hidden="false" customHeight="false" outlineLevel="0" collapsed="false">
      <c r="A39" s="0" t="s">
        <v>58</v>
      </c>
      <c r="B39" s="1" t="n">
        <v>43899</v>
      </c>
      <c r="C39" s="6" t="n">
        <v>5</v>
      </c>
      <c r="D39" s="6" t="n">
        <v>3</v>
      </c>
      <c r="E39" s="6"/>
      <c r="F39" s="6"/>
      <c r="G39" s="6"/>
      <c r="H39" s="6" t="n">
        <v>5</v>
      </c>
      <c r="I39" s="6"/>
      <c r="J39" s="6" t="n">
        <v>0.5</v>
      </c>
      <c r="K39" s="9"/>
      <c r="L39" s="6"/>
      <c r="M39" s="6"/>
    </row>
    <row r="40" customFormat="false" ht="15.75" hidden="false" customHeight="false" outlineLevel="0" collapsed="false">
      <c r="A40" s="0" t="s">
        <v>58</v>
      </c>
      <c r="B40" s="1" t="n">
        <v>43900</v>
      </c>
      <c r="C40" s="6" t="n">
        <v>5</v>
      </c>
      <c r="D40" s="6" t="n">
        <v>0</v>
      </c>
      <c r="E40" s="6"/>
      <c r="F40" s="6"/>
      <c r="G40" s="6"/>
      <c r="H40" s="6" t="n">
        <v>5</v>
      </c>
      <c r="I40" s="6"/>
      <c r="J40" s="6" t="n">
        <v>0.5</v>
      </c>
      <c r="K40" s="9"/>
      <c r="L40" s="6"/>
      <c r="M40" s="6"/>
    </row>
    <row r="41" customFormat="false" ht="15.75" hidden="false" customHeight="false" outlineLevel="0" collapsed="false">
      <c r="A41" s="0" t="s">
        <v>58</v>
      </c>
      <c r="B41" s="1" t="n">
        <v>43901</v>
      </c>
      <c r="C41" s="6" t="n">
        <v>5</v>
      </c>
      <c r="D41" s="6" t="n">
        <v>0</v>
      </c>
      <c r="E41" s="6"/>
      <c r="F41" s="6"/>
      <c r="G41" s="6"/>
      <c r="H41" s="6" t="n">
        <v>5</v>
      </c>
      <c r="I41" s="6"/>
      <c r="J41" s="6" t="n">
        <v>0.5</v>
      </c>
      <c r="K41" s="9"/>
      <c r="L41" s="6"/>
      <c r="M41" s="6"/>
    </row>
    <row r="42" customFormat="false" ht="15.75" hidden="false" customHeight="false" outlineLevel="0" collapsed="false">
      <c r="A42" s="0" t="s">
        <v>58</v>
      </c>
      <c r="B42" s="1" t="n">
        <v>43902</v>
      </c>
      <c r="C42" s="6" t="n">
        <v>5</v>
      </c>
      <c r="D42" s="6" t="n">
        <v>0</v>
      </c>
      <c r="E42" s="6"/>
      <c r="F42" s="6"/>
      <c r="G42" s="6"/>
      <c r="H42" s="6" t="n">
        <v>5</v>
      </c>
      <c r="I42" s="6"/>
      <c r="J42" s="6" t="n">
        <v>0.5</v>
      </c>
      <c r="K42" s="9"/>
      <c r="L42" s="6"/>
      <c r="M42" s="6"/>
    </row>
    <row r="43" customFormat="false" ht="15.75" hidden="false" customHeight="false" outlineLevel="0" collapsed="false">
      <c r="A43" s="0" t="s">
        <v>58</v>
      </c>
      <c r="B43" s="1" t="n">
        <v>43903</v>
      </c>
      <c r="C43" s="6" t="n">
        <v>5</v>
      </c>
      <c r="D43" s="6" t="n">
        <v>0</v>
      </c>
      <c r="E43" s="6"/>
      <c r="F43" s="6"/>
      <c r="G43" s="6"/>
      <c r="H43" s="6" t="n">
        <v>5</v>
      </c>
      <c r="I43" s="6"/>
      <c r="J43" s="6" t="n">
        <v>0.5</v>
      </c>
      <c r="K43" s="9"/>
      <c r="L43" s="6"/>
      <c r="M43" s="6"/>
    </row>
    <row r="44" customFormat="false" ht="15.75" hidden="false" customHeight="false" outlineLevel="0" collapsed="false">
      <c r="A44" s="0" t="s">
        <v>58</v>
      </c>
      <c r="B44" s="1" t="n">
        <v>43904</v>
      </c>
      <c r="C44" s="6" t="n">
        <v>5</v>
      </c>
      <c r="D44" s="6" t="n">
        <v>0</v>
      </c>
      <c r="E44" s="6"/>
      <c r="F44" s="6"/>
      <c r="G44" s="6"/>
      <c r="H44" s="6" t="n">
        <v>5</v>
      </c>
      <c r="I44" s="6"/>
      <c r="J44" s="6" t="n">
        <v>0.5</v>
      </c>
      <c r="K44" s="9"/>
      <c r="L44" s="6"/>
      <c r="M44" s="6"/>
    </row>
    <row r="45" customFormat="false" ht="15.75" hidden="false" customHeight="false" outlineLevel="0" collapsed="false">
      <c r="A45" s="0" t="s">
        <v>58</v>
      </c>
      <c r="B45" s="1" t="n">
        <v>43905</v>
      </c>
      <c r="C45" s="6" t="n">
        <v>11</v>
      </c>
      <c r="D45" s="6" t="n">
        <v>6</v>
      </c>
      <c r="E45" s="6"/>
      <c r="F45" s="6"/>
      <c r="G45" s="6"/>
      <c r="H45" s="6" t="n">
        <v>11</v>
      </c>
      <c r="I45" s="6"/>
      <c r="J45" s="6" t="n">
        <v>1</v>
      </c>
      <c r="K45" s="9"/>
      <c r="L45" s="6"/>
      <c r="M45" s="6"/>
    </row>
    <row r="46" customFormat="false" ht="15.75" hidden="false" customHeight="false" outlineLevel="0" collapsed="false">
      <c r="A46" s="0" t="s">
        <v>58</v>
      </c>
      <c r="B46" s="1" t="n">
        <v>43906</v>
      </c>
      <c r="C46" s="6" t="n">
        <v>11</v>
      </c>
      <c r="D46" s="6" t="n">
        <v>0</v>
      </c>
      <c r="E46" s="6"/>
      <c r="F46" s="6"/>
      <c r="G46" s="6"/>
      <c r="H46" s="6" t="n">
        <v>11</v>
      </c>
      <c r="I46" s="6"/>
      <c r="J46" s="6" t="n">
        <v>1</v>
      </c>
      <c r="K46" s="9"/>
      <c r="L46" s="6"/>
      <c r="M46" s="6"/>
    </row>
    <row r="47" customFormat="false" ht="15.75" hidden="false" customHeight="false" outlineLevel="0" collapsed="false">
      <c r="A47" s="0" t="s">
        <v>58</v>
      </c>
      <c r="B47" s="1" t="n">
        <v>43907</v>
      </c>
      <c r="C47" s="6" t="n">
        <v>21</v>
      </c>
      <c r="D47" s="6" t="n">
        <v>10</v>
      </c>
      <c r="E47" s="6"/>
      <c r="F47" s="6"/>
      <c r="G47" s="6"/>
      <c r="H47" s="6" t="n">
        <v>21</v>
      </c>
      <c r="I47" s="6"/>
      <c r="J47" s="6" t="n">
        <v>1.9</v>
      </c>
      <c r="K47" s="9"/>
      <c r="L47" s="6"/>
      <c r="M47" s="6"/>
    </row>
    <row r="48" customFormat="false" ht="15.75" hidden="false" customHeight="false" outlineLevel="0" collapsed="false">
      <c r="A48" s="0" t="s">
        <v>58</v>
      </c>
      <c r="B48" s="1" t="n">
        <v>43908</v>
      </c>
      <c r="C48" s="6" t="n">
        <v>21</v>
      </c>
      <c r="D48" s="6" t="n">
        <v>0</v>
      </c>
      <c r="E48" s="6" t="n">
        <v>1</v>
      </c>
      <c r="F48" s="6"/>
      <c r="G48" s="6"/>
      <c r="H48" s="6" t="n">
        <v>20</v>
      </c>
      <c r="I48" s="6"/>
      <c r="J48" s="6" t="n">
        <v>1.9</v>
      </c>
      <c r="K48" s="9"/>
      <c r="L48" s="6"/>
      <c r="M48" s="6"/>
    </row>
    <row r="49" customFormat="false" ht="15.75" hidden="false" customHeight="false" outlineLevel="0" collapsed="false">
      <c r="A49" s="0" t="s">
        <v>58</v>
      </c>
      <c r="B49" s="1" t="n">
        <v>43909</v>
      </c>
      <c r="C49" s="6" t="n">
        <v>34</v>
      </c>
      <c r="D49" s="6" t="n">
        <v>13</v>
      </c>
      <c r="E49" s="6" t="n">
        <v>2</v>
      </c>
      <c r="F49" s="6" t="n">
        <v>1</v>
      </c>
      <c r="G49" s="6"/>
      <c r="H49" s="6" t="n">
        <v>32</v>
      </c>
      <c r="I49" s="6"/>
      <c r="J49" s="6" t="n">
        <v>3</v>
      </c>
      <c r="K49" s="9"/>
      <c r="L49" s="6"/>
      <c r="M49" s="6"/>
    </row>
    <row r="50" customFormat="false" ht="15.75" hidden="false" customHeight="false" outlineLevel="0" collapsed="false">
      <c r="A50" s="0" t="s">
        <v>58</v>
      </c>
      <c r="B50" s="1" t="n">
        <v>43910</v>
      </c>
      <c r="C50" s="6" t="n">
        <v>34</v>
      </c>
      <c r="D50" s="6" t="n">
        <v>0</v>
      </c>
      <c r="E50" s="6" t="n">
        <v>2</v>
      </c>
      <c r="F50" s="6" t="n">
        <v>0</v>
      </c>
      <c r="G50" s="6"/>
      <c r="H50" s="6" t="n">
        <v>32</v>
      </c>
      <c r="I50" s="6"/>
      <c r="J50" s="6" t="n">
        <v>3</v>
      </c>
      <c r="K50" s="9"/>
      <c r="L50" s="6"/>
      <c r="M50" s="6"/>
    </row>
    <row r="51" customFormat="false" ht="15.75" hidden="false" customHeight="false" outlineLevel="0" collapsed="false">
      <c r="A51" s="0" t="s">
        <v>58</v>
      </c>
      <c r="B51" s="1" t="n">
        <v>43911</v>
      </c>
      <c r="C51" s="6" t="n">
        <v>72</v>
      </c>
      <c r="D51" s="6" t="n">
        <v>38</v>
      </c>
      <c r="E51" s="6" t="n">
        <v>2</v>
      </c>
      <c r="F51" s="6" t="n">
        <v>0</v>
      </c>
      <c r="G51" s="6"/>
      <c r="H51" s="6" t="n">
        <v>70</v>
      </c>
      <c r="I51" s="6"/>
      <c r="J51" s="6" t="n">
        <v>7</v>
      </c>
      <c r="K51" s="9"/>
      <c r="L51" s="6"/>
      <c r="M51" s="6"/>
    </row>
    <row r="52" customFormat="false" ht="15.75" hidden="false" customHeight="false" outlineLevel="0" collapsed="false">
      <c r="A52" s="0" t="s">
        <v>58</v>
      </c>
      <c r="B52" s="1" t="n">
        <v>43912</v>
      </c>
      <c r="C52" s="6" t="n">
        <v>112</v>
      </c>
      <c r="D52" s="6" t="n">
        <v>40</v>
      </c>
      <c r="E52" s="6" t="n">
        <v>3</v>
      </c>
      <c r="F52" s="6" t="n">
        <v>1</v>
      </c>
      <c r="G52" s="6"/>
      <c r="H52" s="6" t="n">
        <v>109</v>
      </c>
      <c r="I52" s="6"/>
      <c r="J52" s="6" t="n">
        <v>10</v>
      </c>
      <c r="K52" s="9"/>
      <c r="L52" s="6"/>
      <c r="M52" s="6"/>
    </row>
    <row r="53" customFormat="false" ht="15.75" hidden="false" customHeight="false" outlineLevel="0" collapsed="false">
      <c r="A53" s="0" t="s">
        <v>58</v>
      </c>
      <c r="B53" s="1" t="n">
        <v>43913</v>
      </c>
      <c r="C53" s="6" t="n">
        <v>202</v>
      </c>
      <c r="D53" s="6" t="n">
        <v>90</v>
      </c>
      <c r="E53" s="6" t="n">
        <v>3</v>
      </c>
      <c r="F53" s="6" t="n">
        <v>0</v>
      </c>
      <c r="G53" s="6"/>
      <c r="H53" s="6" t="n">
        <v>199</v>
      </c>
      <c r="I53" s="6"/>
      <c r="J53" s="6" t="n">
        <v>19</v>
      </c>
      <c r="K53" s="9"/>
      <c r="L53" s="6"/>
      <c r="M53" s="6"/>
    </row>
    <row r="54" customFormat="false" ht="15.75" hidden="false" customHeight="false" outlineLevel="0" collapsed="false">
      <c r="A54" s="0" t="s">
        <v>58</v>
      </c>
      <c r="B54" s="1" t="n">
        <v>43914</v>
      </c>
      <c r="C54" s="6" t="n">
        <v>245</v>
      </c>
      <c r="D54" s="6" t="n">
        <v>43</v>
      </c>
      <c r="E54" s="6" t="n">
        <v>3</v>
      </c>
      <c r="F54" s="6" t="n">
        <v>0</v>
      </c>
      <c r="G54" s="6" t="n">
        <v>3</v>
      </c>
      <c r="H54" s="6" t="n">
        <v>239</v>
      </c>
      <c r="I54" s="6"/>
      <c r="J54" s="6" t="n">
        <v>23</v>
      </c>
      <c r="K54" s="9"/>
      <c r="L54" s="6"/>
      <c r="M54" s="6"/>
    </row>
    <row r="55" customFormat="false" ht="15.75" hidden="false" customHeight="false" outlineLevel="0" collapsed="false">
      <c r="A55" s="0" t="s">
        <v>58</v>
      </c>
      <c r="B55" s="1" t="n">
        <v>43915</v>
      </c>
      <c r="C55" s="7" t="n">
        <v>312</v>
      </c>
      <c r="D55" s="7" t="n">
        <v>67</v>
      </c>
      <c r="E55" s="7" t="n">
        <v>6</v>
      </c>
      <c r="F55" s="7" t="n">
        <v>3</v>
      </c>
      <c r="G55" s="7" t="n">
        <v>3</v>
      </c>
      <c r="H55" s="7" t="n">
        <v>303</v>
      </c>
      <c r="I55" s="7"/>
      <c r="J55" s="7" t="n">
        <v>29</v>
      </c>
      <c r="K55" s="9" t="n">
        <v>0.6</v>
      </c>
      <c r="L55" s="7"/>
      <c r="M55" s="7"/>
    </row>
    <row r="56" customFormat="false" ht="15.75" hidden="false" customHeight="false" outlineLevel="0" collapsed="false">
      <c r="A56" s="0" t="s">
        <v>58</v>
      </c>
      <c r="B56" s="1" t="n">
        <v>43916</v>
      </c>
      <c r="C56" s="7" t="n">
        <v>392</v>
      </c>
      <c r="D56" s="7" t="n">
        <v>80</v>
      </c>
      <c r="E56" s="7" t="n">
        <v>10</v>
      </c>
      <c r="F56" s="7" t="n">
        <v>4</v>
      </c>
      <c r="G56" s="7" t="n">
        <v>3</v>
      </c>
      <c r="H56" s="7" t="n">
        <v>379</v>
      </c>
      <c r="I56" s="7"/>
      <c r="J56" s="7" t="n">
        <v>36</v>
      </c>
      <c r="K56" s="9" t="n">
        <v>0.9</v>
      </c>
      <c r="L56" s="7"/>
      <c r="M56" s="7"/>
    </row>
    <row r="57" customFormat="false" ht="15.75" hidden="false" customHeight="false" outlineLevel="0" collapsed="false">
      <c r="A57" s="0" t="s">
        <v>58</v>
      </c>
      <c r="B57" s="1" t="n">
        <v>43917</v>
      </c>
      <c r="C57" s="7" t="n">
        <v>488</v>
      </c>
      <c r="D57" s="7" t="n">
        <v>96</v>
      </c>
      <c r="E57" s="7" t="n">
        <v>10</v>
      </c>
      <c r="F57" s="7" t="n">
        <v>0</v>
      </c>
      <c r="G57" s="7" t="n">
        <v>3</v>
      </c>
      <c r="H57" s="7" t="n">
        <v>475</v>
      </c>
      <c r="I57" s="7"/>
      <c r="J57" s="7" t="n">
        <v>45</v>
      </c>
      <c r="K57" s="9" t="n">
        <v>0.9</v>
      </c>
      <c r="L57" s="7"/>
      <c r="M57" s="7"/>
    </row>
    <row r="58" customFormat="false" ht="15.75" hidden="false" customHeight="false" outlineLevel="0" collapsed="false">
      <c r="A58" s="0" t="s">
        <v>58</v>
      </c>
      <c r="B58" s="1" t="n">
        <v>43918</v>
      </c>
      <c r="C58" s="7" t="n">
        <v>581</v>
      </c>
      <c r="D58" s="7" t="n">
        <v>93</v>
      </c>
      <c r="E58" s="7" t="n">
        <v>20</v>
      </c>
      <c r="F58" s="7" t="n">
        <v>10</v>
      </c>
      <c r="G58" s="7" t="n">
        <v>3</v>
      </c>
      <c r="H58" s="7" t="n">
        <v>558</v>
      </c>
      <c r="I58" s="7"/>
      <c r="J58" s="7" t="n">
        <v>54</v>
      </c>
      <c r="K58" s="11" t="n">
        <v>2</v>
      </c>
      <c r="L58" s="7"/>
      <c r="M58" s="7"/>
    </row>
    <row r="59" customFormat="false" ht="15.75" hidden="false" customHeight="false" outlineLevel="0" collapsed="false">
      <c r="A59" s="0" t="s">
        <v>58</v>
      </c>
      <c r="B59" s="1" t="n">
        <v>43919</v>
      </c>
      <c r="C59" s="7" t="n">
        <v>719</v>
      </c>
      <c r="D59" s="7" t="n">
        <v>138</v>
      </c>
      <c r="E59" s="7" t="n">
        <v>28</v>
      </c>
      <c r="F59" s="7" t="n">
        <v>8</v>
      </c>
      <c r="G59" s="7" t="n">
        <v>3</v>
      </c>
      <c r="H59" s="7" t="n">
        <v>688</v>
      </c>
      <c r="I59" s="7"/>
      <c r="J59" s="7" t="n">
        <v>66</v>
      </c>
      <c r="K59" s="11" t="n">
        <v>3</v>
      </c>
      <c r="M59" s="7"/>
    </row>
    <row r="60" customFormat="false" ht="15.75" hidden="false" customHeight="false" outlineLevel="0" collapsed="false">
      <c r="A60" s="0" t="s">
        <v>58</v>
      </c>
      <c r="B60" s="1" t="n">
        <v>43920</v>
      </c>
      <c r="C60" s="7" t="n">
        <v>859</v>
      </c>
      <c r="D60" s="7" t="n">
        <v>140</v>
      </c>
      <c r="E60" s="7" t="n">
        <v>39</v>
      </c>
      <c r="F60" s="7" t="n">
        <v>11</v>
      </c>
      <c r="G60" s="7" t="n">
        <v>3</v>
      </c>
      <c r="H60" s="7" t="n">
        <v>817</v>
      </c>
      <c r="I60" s="7"/>
      <c r="J60" s="7" t="n">
        <v>79</v>
      </c>
      <c r="K60" s="11" t="n">
        <v>4</v>
      </c>
      <c r="M60" s="7"/>
    </row>
    <row r="61" customFormat="false" ht="15.75" hidden="false" customHeight="false" outlineLevel="0" collapsed="false">
      <c r="A61" s="0" t="s">
        <v>58</v>
      </c>
      <c r="B61" s="1" t="n">
        <v>43921</v>
      </c>
      <c r="C61" s="7" t="n">
        <v>901</v>
      </c>
      <c r="D61" s="7" t="n">
        <v>42</v>
      </c>
      <c r="E61" s="7" t="n">
        <v>42</v>
      </c>
      <c r="F61" s="7" t="n">
        <v>3</v>
      </c>
      <c r="G61" s="7" t="n">
        <v>4</v>
      </c>
      <c r="H61" s="7" t="n">
        <v>855</v>
      </c>
      <c r="I61" s="7"/>
      <c r="J61" s="7" t="n">
        <v>83</v>
      </c>
      <c r="K61" s="11" t="n">
        <v>4</v>
      </c>
      <c r="M61" s="7"/>
    </row>
    <row r="62" customFormat="false" ht="15.75" hidden="false" customHeight="false" outlineLevel="0" collapsed="false">
      <c r="A62" s="0" t="s">
        <v>58</v>
      </c>
      <c r="B62" s="1" t="n">
        <v>43922</v>
      </c>
      <c r="C62" s="7" t="n">
        <v>1109</v>
      </c>
      <c r="D62" s="7" t="n">
        <v>208</v>
      </c>
      <c r="E62" s="7" t="n">
        <v>51</v>
      </c>
      <c r="F62" s="7" t="n">
        <v>9</v>
      </c>
      <c r="G62" s="7" t="n">
        <v>5</v>
      </c>
      <c r="H62" s="7" t="n">
        <v>1053</v>
      </c>
      <c r="I62" s="7"/>
      <c r="J62" s="7" t="n">
        <v>102</v>
      </c>
      <c r="K62" s="11" t="n">
        <v>5</v>
      </c>
      <c r="M62" s="7"/>
    </row>
    <row r="63" customFormat="false" ht="15.75" hidden="false" customHeight="false" outlineLevel="0" collapsed="false">
      <c r="A63" s="0" t="s">
        <v>58</v>
      </c>
      <c r="B63" s="1" t="n">
        <v>43923</v>
      </c>
      <c r="C63" s="7" t="n">
        <v>1284</v>
      </c>
      <c r="D63" s="7" t="n">
        <v>175</v>
      </c>
      <c r="E63" s="7" t="n">
        <v>57</v>
      </c>
      <c r="F63" s="7" t="n">
        <v>6</v>
      </c>
      <c r="G63" s="7" t="n">
        <v>9</v>
      </c>
      <c r="H63" s="7" t="n">
        <v>1218</v>
      </c>
      <c r="I63" s="7"/>
      <c r="J63" s="7" t="n">
        <v>118</v>
      </c>
      <c r="K63" s="11" t="n">
        <v>5</v>
      </c>
      <c r="M63" s="7"/>
    </row>
    <row r="64" customFormat="false" ht="15.75" hidden="false" customHeight="false" outlineLevel="0" collapsed="false">
      <c r="A64" s="0" t="s">
        <v>58</v>
      </c>
      <c r="B64" s="1" t="n">
        <v>43924</v>
      </c>
      <c r="C64" s="7" t="n">
        <v>1380</v>
      </c>
      <c r="D64" s="7" t="n">
        <v>96</v>
      </c>
      <c r="E64" s="7" t="n">
        <v>60</v>
      </c>
      <c r="F64" s="7" t="n">
        <v>3</v>
      </c>
      <c r="G64" s="7" t="n">
        <v>16</v>
      </c>
      <c r="H64" s="7" t="n">
        <v>1304</v>
      </c>
      <c r="I64" s="7" t="n">
        <v>147</v>
      </c>
      <c r="J64" s="7" t="n">
        <v>127</v>
      </c>
      <c r="K64" s="11" t="n">
        <v>6</v>
      </c>
      <c r="M64" s="7"/>
    </row>
    <row r="65" customFormat="false" ht="15.75" hidden="false" customHeight="false" outlineLevel="0" collapsed="false">
      <c r="A65" s="0" t="s">
        <v>58</v>
      </c>
      <c r="B65" s="1" t="n">
        <v>43925</v>
      </c>
      <c r="C65" s="7" t="n">
        <v>1488</v>
      </c>
      <c r="D65" s="7" t="n">
        <v>108</v>
      </c>
      <c r="E65" s="7" t="n">
        <v>68</v>
      </c>
      <c r="F65" s="7" t="n">
        <v>8</v>
      </c>
      <c r="G65" s="7" t="n">
        <v>16</v>
      </c>
      <c r="H65" s="7" t="n">
        <v>1404</v>
      </c>
      <c r="I65" s="7" t="n">
        <v>147</v>
      </c>
      <c r="J65" s="7" t="n">
        <v>137</v>
      </c>
      <c r="K65" s="11" t="n">
        <v>6</v>
      </c>
      <c r="M65" s="7"/>
    </row>
    <row r="66" customFormat="false" ht="15.75" hidden="false" customHeight="false" outlineLevel="0" collapsed="false">
      <c r="A66" s="0" t="s">
        <v>58</v>
      </c>
      <c r="B66" s="1" t="n">
        <v>43926</v>
      </c>
      <c r="C66" s="7" t="n">
        <v>1488</v>
      </c>
      <c r="D66" s="7" t="n">
        <v>0</v>
      </c>
      <c r="E66" s="7" t="n">
        <v>68</v>
      </c>
      <c r="F66" s="7" t="n">
        <v>0</v>
      </c>
      <c r="G66" s="7" t="n">
        <v>16</v>
      </c>
      <c r="H66" s="7" t="n">
        <v>1404</v>
      </c>
      <c r="I66" s="7" t="n">
        <v>147</v>
      </c>
      <c r="J66" s="7" t="n">
        <v>137</v>
      </c>
      <c r="K66" s="11" t="n">
        <v>6</v>
      </c>
      <c r="L66" s="7" t="n">
        <v>4200</v>
      </c>
      <c r="M66" s="7" t="n">
        <v>387</v>
      </c>
    </row>
    <row r="67" customFormat="false" ht="15.75" hidden="false" customHeight="false" outlineLevel="0" collapsed="false">
      <c r="A67" s="0" t="s">
        <v>58</v>
      </c>
      <c r="B67" s="1" t="n">
        <v>43927</v>
      </c>
      <c r="C67" s="7" t="n">
        <v>1745</v>
      </c>
      <c r="D67" s="7" t="n">
        <v>257</v>
      </c>
      <c r="E67" s="7" t="n">
        <v>82</v>
      </c>
      <c r="F67" s="7" t="n">
        <v>14</v>
      </c>
      <c r="G67" s="7" t="n">
        <v>17</v>
      </c>
      <c r="H67" s="7" t="n">
        <v>1646</v>
      </c>
      <c r="I67" s="7" t="n">
        <v>147</v>
      </c>
      <c r="J67" s="7" t="n">
        <v>161</v>
      </c>
      <c r="K67" s="11" t="n">
        <v>8</v>
      </c>
      <c r="L67" s="7" t="n">
        <v>4542</v>
      </c>
      <c r="M67" s="7" t="n">
        <v>419</v>
      </c>
    </row>
    <row r="68" customFormat="false" ht="15.75" hidden="false" customHeight="false" outlineLevel="0" collapsed="false">
      <c r="A68" s="0" t="s">
        <v>58</v>
      </c>
      <c r="B68" s="1" t="n">
        <v>43928</v>
      </c>
      <c r="C68" s="12" t="n">
        <v>1828</v>
      </c>
      <c r="D68" s="12" t="n">
        <v>83</v>
      </c>
      <c r="E68" s="12" t="n">
        <v>86</v>
      </c>
      <c r="F68" s="12" t="n">
        <v>4</v>
      </c>
      <c r="G68" s="12" t="n">
        <v>33</v>
      </c>
      <c r="H68" s="12" t="n">
        <v>1709</v>
      </c>
      <c r="I68" s="12" t="n">
        <v>147</v>
      </c>
      <c r="J68" s="12" t="n">
        <v>169</v>
      </c>
      <c r="K68" s="28" t="n">
        <v>8</v>
      </c>
      <c r="L68" s="12" t="n">
        <v>4542</v>
      </c>
      <c r="M68" s="12" t="n">
        <v>419</v>
      </c>
    </row>
    <row r="69" customFormat="false" ht="15.75" hidden="false" customHeight="false" outlineLevel="0" collapsed="false">
      <c r="A69" s="0" t="s">
        <v>58</v>
      </c>
      <c r="B69" s="1" t="n">
        <v>43929</v>
      </c>
      <c r="C69" s="14" t="n">
        <v>1956</v>
      </c>
      <c r="D69" s="14" t="n">
        <v>128</v>
      </c>
      <c r="E69" s="14" t="n">
        <v>98</v>
      </c>
      <c r="F69" s="14" t="n">
        <v>12</v>
      </c>
      <c r="G69" s="14" t="n">
        <v>36</v>
      </c>
      <c r="H69" s="14" t="n">
        <v>1822</v>
      </c>
      <c r="I69" s="14" t="n">
        <v>147</v>
      </c>
      <c r="J69" s="14" t="n">
        <v>180</v>
      </c>
      <c r="K69" s="28" t="n">
        <v>9</v>
      </c>
      <c r="L69" s="14" t="n">
        <v>4542</v>
      </c>
      <c r="M69" s="14" t="n">
        <v>419</v>
      </c>
    </row>
    <row r="70" customFormat="false" ht="15.75" hidden="false" customHeight="false" outlineLevel="0" collapsed="false">
      <c r="A70" s="0" t="s">
        <v>58</v>
      </c>
      <c r="B70" s="1" t="n">
        <v>43930</v>
      </c>
      <c r="C70" s="14" t="n">
        <v>2111</v>
      </c>
      <c r="D70" s="14" t="n">
        <v>155</v>
      </c>
      <c r="E70" s="14" t="n">
        <v>108</v>
      </c>
      <c r="F70" s="14" t="n">
        <v>10</v>
      </c>
      <c r="G70" s="14" t="n">
        <v>50</v>
      </c>
      <c r="H70" s="14" t="n">
        <v>1953</v>
      </c>
      <c r="I70" s="14" t="n">
        <v>147</v>
      </c>
      <c r="J70" s="14" t="n">
        <v>195</v>
      </c>
      <c r="K70" s="28" t="n">
        <v>10</v>
      </c>
      <c r="L70" s="14" t="n">
        <v>4542</v>
      </c>
      <c r="M70" s="14" t="n">
        <v>419</v>
      </c>
    </row>
    <row r="71" customFormat="false" ht="15.75" hidden="false" customHeight="false" outlineLevel="0" collapsed="false">
      <c r="A71" s="0" t="s">
        <v>58</v>
      </c>
      <c r="B71" s="1" t="n">
        <v>43931</v>
      </c>
      <c r="C71" s="14" t="n">
        <v>2349</v>
      </c>
      <c r="D71" s="14" t="n">
        <v>238</v>
      </c>
      <c r="E71" s="14" t="n">
        <v>118</v>
      </c>
      <c r="F71" s="14" t="n">
        <v>10</v>
      </c>
      <c r="G71" s="14" t="n">
        <v>80</v>
      </c>
      <c r="H71" s="14" t="n">
        <v>2151</v>
      </c>
      <c r="I71" s="14" t="n">
        <v>147</v>
      </c>
      <c r="J71" s="14" t="n">
        <v>217</v>
      </c>
      <c r="K71" s="28" t="n">
        <v>11</v>
      </c>
      <c r="L71" s="14" t="n">
        <v>7151</v>
      </c>
      <c r="M71" s="14" t="n">
        <v>659</v>
      </c>
    </row>
    <row r="72" customFormat="false" ht="15.75" hidden="false" customHeight="false" outlineLevel="0" collapsed="false">
      <c r="A72" s="0" t="s">
        <v>58</v>
      </c>
      <c r="B72" s="1" t="n">
        <v>43932</v>
      </c>
      <c r="C72" s="14" t="n">
        <v>2620</v>
      </c>
      <c r="D72" s="14" t="n">
        <v>271</v>
      </c>
      <c r="E72" s="14" t="n">
        <v>126</v>
      </c>
      <c r="F72" s="14" t="n">
        <v>8</v>
      </c>
      <c r="G72" s="14" t="n">
        <v>98</v>
      </c>
      <c r="H72" s="14" t="n">
        <v>2396</v>
      </c>
      <c r="I72" s="14" t="n">
        <v>147</v>
      </c>
      <c r="J72" s="14" t="n">
        <v>242</v>
      </c>
      <c r="K72" s="28" t="n">
        <v>12</v>
      </c>
      <c r="L72" s="14" t="n">
        <v>7936</v>
      </c>
      <c r="M72" s="14" t="n">
        <v>732</v>
      </c>
    </row>
    <row r="73" customFormat="false" ht="15.75" hidden="false" customHeight="false" outlineLevel="0" collapsed="false">
      <c r="A73" s="0" t="s">
        <v>58</v>
      </c>
      <c r="B73" s="1" t="n">
        <v>43933</v>
      </c>
      <c r="C73" s="14" t="n">
        <v>2759</v>
      </c>
      <c r="D73" s="14" t="n">
        <v>139</v>
      </c>
      <c r="E73" s="14" t="n">
        <v>135</v>
      </c>
      <c r="F73" s="14" t="n">
        <v>9</v>
      </c>
      <c r="G73" s="14" t="n">
        <v>108</v>
      </c>
      <c r="H73" s="14" t="n">
        <v>2516</v>
      </c>
      <c r="I73" s="14" t="n">
        <v>147</v>
      </c>
      <c r="J73" s="14" t="n">
        <v>254</v>
      </c>
      <c r="K73" s="28" t="n">
        <v>12</v>
      </c>
      <c r="L73" s="14" t="n">
        <v>8469</v>
      </c>
      <c r="M73" s="14" t="n">
        <v>781</v>
      </c>
    </row>
    <row r="74" customFormat="false" ht="15.75" hidden="false" customHeight="false" outlineLevel="0" collapsed="false">
      <c r="A74" s="0" t="s">
        <v>58</v>
      </c>
      <c r="B74" s="1" t="n">
        <v>43934</v>
      </c>
      <c r="C74" s="14" t="n">
        <v>2967</v>
      </c>
      <c r="D74" s="14" t="n">
        <v>208</v>
      </c>
      <c r="E74" s="14" t="n">
        <v>173</v>
      </c>
      <c r="F74" s="14" t="n">
        <v>38</v>
      </c>
      <c r="G74" s="14" t="n">
        <v>131</v>
      </c>
      <c r="H74" s="14" t="n">
        <v>2663</v>
      </c>
      <c r="I74" s="14" t="n">
        <v>147</v>
      </c>
      <c r="J74" s="14" t="n">
        <v>274</v>
      </c>
      <c r="K74" s="28" t="n">
        <v>16</v>
      </c>
      <c r="L74" s="14" t="n">
        <v>9275</v>
      </c>
      <c r="M74" s="14" t="n">
        <v>855</v>
      </c>
    </row>
    <row r="75" customFormat="false" ht="15.75" hidden="false" customHeight="false" outlineLevel="0" collapsed="false">
      <c r="A75" s="0" t="s">
        <v>58</v>
      </c>
      <c r="B75" s="1" t="n">
        <v>43935</v>
      </c>
      <c r="C75" s="14" t="n">
        <v>3167</v>
      </c>
      <c r="D75" s="14" t="n">
        <v>200</v>
      </c>
      <c r="E75" s="14" t="n">
        <v>177</v>
      </c>
      <c r="F75" s="14" t="n">
        <v>4</v>
      </c>
      <c r="G75" s="14" t="n">
        <v>152</v>
      </c>
      <c r="H75" s="14" t="n">
        <v>2838</v>
      </c>
      <c r="I75" s="14" t="n">
        <v>147</v>
      </c>
      <c r="J75" s="14" t="n">
        <v>292</v>
      </c>
      <c r="K75" s="28" t="n">
        <v>16</v>
      </c>
      <c r="L75" s="14" t="n">
        <v>9275</v>
      </c>
      <c r="M75" s="14" t="n">
        <v>855</v>
      </c>
    </row>
    <row r="76" customFormat="false" ht="15.75" hidden="false" customHeight="false" outlineLevel="0" collapsed="false">
      <c r="A76" s="0" t="s">
        <v>58</v>
      </c>
      <c r="B76" s="1" t="n">
        <v>43936</v>
      </c>
      <c r="C76" s="14" t="n">
        <v>3286</v>
      </c>
      <c r="D76" s="14" t="n">
        <v>119</v>
      </c>
      <c r="E76" s="14" t="n">
        <v>183</v>
      </c>
      <c r="F76" s="14" t="n">
        <v>6</v>
      </c>
      <c r="G76" s="14" t="n">
        <v>162</v>
      </c>
      <c r="H76" s="14" t="n">
        <v>2941</v>
      </c>
      <c r="I76" s="14" t="n">
        <v>143</v>
      </c>
      <c r="J76" s="14" t="n">
        <v>303</v>
      </c>
      <c r="K76" s="28" t="n">
        <v>17</v>
      </c>
      <c r="L76" s="14" t="n">
        <v>9275</v>
      </c>
      <c r="M76" s="14" t="n">
        <v>855</v>
      </c>
    </row>
    <row r="77" customFormat="false" ht="15.75" hidden="false" customHeight="false" outlineLevel="0" collapsed="false">
      <c r="A77" s="0" t="s">
        <v>58</v>
      </c>
      <c r="B77" s="1" t="n">
        <v>43937</v>
      </c>
      <c r="C77" s="14" t="n">
        <v>3614</v>
      </c>
      <c r="D77" s="14" t="n">
        <v>328</v>
      </c>
      <c r="E77" s="14" t="n">
        <v>189</v>
      </c>
      <c r="F77" s="14" t="n">
        <v>6</v>
      </c>
      <c r="G77" s="14" t="n">
        <v>208</v>
      </c>
      <c r="H77" s="14" t="n">
        <v>3217</v>
      </c>
      <c r="I77" s="14" t="n">
        <v>143</v>
      </c>
      <c r="J77" s="14" t="n">
        <v>333</v>
      </c>
      <c r="K77" s="28" t="n">
        <v>17</v>
      </c>
      <c r="L77" s="14" t="n">
        <v>9275</v>
      </c>
      <c r="M77" s="14" t="n">
        <v>855</v>
      </c>
    </row>
    <row r="78" customFormat="false" ht="15.75" hidden="false" customHeight="false" outlineLevel="0" collapsed="false">
      <c r="A78" s="0" t="s">
        <v>58</v>
      </c>
      <c r="B78" s="1" t="n">
        <v>43938</v>
      </c>
      <c r="C78" s="14" t="n">
        <v>3755</v>
      </c>
      <c r="D78" s="14" t="n">
        <v>141</v>
      </c>
      <c r="E78" s="14" t="n">
        <v>196</v>
      </c>
      <c r="F78" s="14" t="n">
        <v>7</v>
      </c>
      <c r="G78" s="14" t="n">
        <v>215</v>
      </c>
      <c r="H78" s="14" t="n">
        <v>3344</v>
      </c>
      <c r="I78" s="14" t="n">
        <v>121</v>
      </c>
      <c r="J78" s="14" t="n">
        <v>346</v>
      </c>
      <c r="K78" s="28" t="n">
        <v>18</v>
      </c>
      <c r="L78" s="14" t="n">
        <v>12229</v>
      </c>
      <c r="M78" s="14" t="n">
        <v>1127</v>
      </c>
    </row>
    <row r="79" customFormat="false" ht="15.75" hidden="false" customHeight="false" outlineLevel="0" collapsed="false">
      <c r="A79" s="0" t="s">
        <v>58</v>
      </c>
      <c r="B79" s="1" t="n">
        <v>43939</v>
      </c>
      <c r="C79" s="14" t="n">
        <v>4126</v>
      </c>
      <c r="D79" s="14" t="n">
        <v>371</v>
      </c>
      <c r="E79" s="14" t="n">
        <v>200</v>
      </c>
      <c r="F79" s="14" t="n">
        <v>4</v>
      </c>
      <c r="G79" s="14" t="n">
        <v>268</v>
      </c>
      <c r="H79" s="14" t="n">
        <v>3658</v>
      </c>
      <c r="I79" s="14" t="n">
        <v>146</v>
      </c>
      <c r="J79" s="14" t="n">
        <v>380</v>
      </c>
      <c r="K79" s="28" t="n">
        <v>18</v>
      </c>
      <c r="L79" s="14" t="n">
        <v>13282</v>
      </c>
      <c r="M79" s="14" t="n">
        <v>1224</v>
      </c>
    </row>
    <row r="80" customFormat="false" ht="15.75" hidden="false" customHeight="false" outlineLevel="0" collapsed="false">
      <c r="A80" s="0" t="s">
        <v>58</v>
      </c>
      <c r="B80" s="1" t="n">
        <v>43940</v>
      </c>
      <c r="C80" s="14" t="n">
        <v>4335</v>
      </c>
      <c r="D80" s="14" t="n">
        <v>209</v>
      </c>
      <c r="E80" s="14" t="n">
        <v>217</v>
      </c>
      <c r="F80" s="14" t="n">
        <v>17</v>
      </c>
      <c r="G80" s="14" t="n">
        <v>312</v>
      </c>
      <c r="H80" s="14" t="n">
        <v>3806</v>
      </c>
      <c r="I80" s="14" t="n">
        <v>146</v>
      </c>
      <c r="J80" s="14" t="n">
        <v>400</v>
      </c>
      <c r="K80" s="28" t="n">
        <v>20</v>
      </c>
      <c r="L80" s="14" t="n">
        <v>14373</v>
      </c>
      <c r="M80" s="14" t="n">
        <v>1325</v>
      </c>
    </row>
    <row r="81" customFormat="false" ht="15.75" hidden="false" customHeight="false" outlineLevel="0" collapsed="false">
      <c r="A81" s="0" t="s">
        <v>58</v>
      </c>
      <c r="B81" s="1" t="n">
        <v>43941</v>
      </c>
      <c r="C81" s="14" t="n">
        <v>4680</v>
      </c>
      <c r="D81" s="14" t="n">
        <v>345</v>
      </c>
      <c r="E81" s="14" t="n">
        <v>226</v>
      </c>
      <c r="F81" s="14" t="n">
        <v>9</v>
      </c>
      <c r="G81" s="14" t="n">
        <v>363</v>
      </c>
      <c r="H81" s="14" t="n">
        <v>4091</v>
      </c>
      <c r="I81" s="14" t="n">
        <v>114</v>
      </c>
      <c r="J81" s="14" t="n">
        <v>431</v>
      </c>
      <c r="K81" s="28" t="n">
        <v>21</v>
      </c>
      <c r="L81" s="14" t="n">
        <v>15583</v>
      </c>
      <c r="M81" s="14" t="n">
        <v>1436</v>
      </c>
    </row>
    <row r="82" customFormat="false" ht="15.75" hidden="false" customHeight="false" outlineLevel="0" collapsed="false">
      <c r="A82" s="0" t="s">
        <v>58</v>
      </c>
      <c r="B82" s="1" t="n">
        <v>43942</v>
      </c>
      <c r="C82" s="6" t="n">
        <v>4964</v>
      </c>
      <c r="D82" s="6" t="n">
        <v>284</v>
      </c>
      <c r="E82" s="6" t="n">
        <v>235</v>
      </c>
      <c r="F82" s="6" t="n">
        <v>9</v>
      </c>
      <c r="G82" s="6" t="n">
        <v>416</v>
      </c>
      <c r="H82" s="6" t="n">
        <v>4313</v>
      </c>
      <c r="I82" s="6" t="n">
        <v>128</v>
      </c>
      <c r="J82" s="6" t="n">
        <v>458</v>
      </c>
      <c r="K82" s="11" t="n">
        <v>22</v>
      </c>
      <c r="L82" s="6" t="n">
        <v>57809</v>
      </c>
      <c r="M82" s="6" t="n">
        <v>5329</v>
      </c>
    </row>
    <row r="83" customFormat="false" ht="15.75" hidden="false" customHeight="false" outlineLevel="0" collapsed="false">
      <c r="A83" s="0" t="s">
        <v>58</v>
      </c>
      <c r="B83" s="1" t="n">
        <v>43943</v>
      </c>
      <c r="C83" s="6" t="n">
        <v>5044</v>
      </c>
      <c r="D83" s="6" t="n">
        <v>80</v>
      </c>
      <c r="E83" s="6" t="n">
        <v>245</v>
      </c>
      <c r="F83" s="6" t="n">
        <v>10</v>
      </c>
      <c r="G83" s="6" t="n">
        <v>463</v>
      </c>
      <c r="H83" s="6" t="n">
        <v>4336</v>
      </c>
      <c r="I83" s="6" t="n">
        <v>126</v>
      </c>
      <c r="J83" s="6" t="n">
        <v>465</v>
      </c>
      <c r="K83" s="11" t="n">
        <v>23</v>
      </c>
      <c r="L83" s="6" t="n">
        <v>16973</v>
      </c>
      <c r="M83" s="6" t="n">
        <v>1565</v>
      </c>
    </row>
    <row r="84" customFormat="false" ht="15.75" hidden="false" customHeight="false" outlineLevel="0" collapsed="false">
      <c r="A84" s="0" t="s">
        <v>58</v>
      </c>
      <c r="B84" s="1" t="n">
        <v>43944</v>
      </c>
      <c r="C84" s="6" t="n">
        <v>5300</v>
      </c>
      <c r="D84" s="6" t="n">
        <v>256</v>
      </c>
      <c r="E84" s="6" t="n">
        <v>260</v>
      </c>
      <c r="F84" s="6" t="n">
        <v>15</v>
      </c>
      <c r="G84" s="6" t="n">
        <v>581</v>
      </c>
      <c r="H84" s="6" t="n">
        <v>4459</v>
      </c>
      <c r="I84" s="6" t="n">
        <v>135</v>
      </c>
      <c r="J84" s="6" t="n">
        <v>489</v>
      </c>
      <c r="K84" s="11" t="n">
        <v>24</v>
      </c>
      <c r="L84" s="6" t="n">
        <v>18261</v>
      </c>
      <c r="M84" s="6" t="n">
        <v>1683</v>
      </c>
    </row>
    <row r="85" customFormat="false" ht="15.75" hidden="false" customHeight="false" outlineLevel="0" collapsed="false">
      <c r="A85" s="0" t="s">
        <v>58</v>
      </c>
      <c r="B85" s="1" t="n">
        <v>43945</v>
      </c>
      <c r="C85" s="6" t="n">
        <v>5543</v>
      </c>
      <c r="D85" s="6" t="n">
        <v>243</v>
      </c>
      <c r="E85" s="6" t="n">
        <v>265</v>
      </c>
      <c r="F85" s="6" t="n">
        <v>5</v>
      </c>
      <c r="G85" s="6" t="n">
        <v>581</v>
      </c>
      <c r="H85" s="6" t="n">
        <v>4697</v>
      </c>
      <c r="I85" s="6" t="n">
        <v>135</v>
      </c>
      <c r="J85" s="6" t="n">
        <v>511</v>
      </c>
      <c r="K85" s="11" t="n">
        <v>24</v>
      </c>
      <c r="L85" s="6" t="n">
        <v>18261</v>
      </c>
      <c r="M85" s="6" t="n">
        <v>1683</v>
      </c>
    </row>
    <row r="86" customFormat="false" ht="15.75" hidden="false" customHeight="false" outlineLevel="0" collapsed="false">
      <c r="A86" s="0" t="s">
        <v>58</v>
      </c>
      <c r="B86" s="1" t="n">
        <v>43946</v>
      </c>
      <c r="C86" s="6" t="n">
        <v>5749</v>
      </c>
      <c r="D86" s="6" t="n">
        <v>206</v>
      </c>
      <c r="E86" s="6" t="n">
        <v>267</v>
      </c>
      <c r="F86" s="6" t="n">
        <v>2</v>
      </c>
      <c r="G86" s="6" t="n">
        <v>763</v>
      </c>
      <c r="H86" s="6" t="n">
        <v>4719</v>
      </c>
      <c r="I86" s="6" t="n">
        <v>135</v>
      </c>
      <c r="J86" s="6" t="n">
        <v>530</v>
      </c>
      <c r="K86" s="11" t="n">
        <v>25</v>
      </c>
      <c r="L86" s="6" t="n">
        <v>18261</v>
      </c>
      <c r="M86" s="6" t="n">
        <v>1683</v>
      </c>
    </row>
    <row r="87" customFormat="false" ht="15.75" hidden="false" customHeight="false" outlineLevel="0" collapsed="false">
      <c r="A87" s="0" t="s">
        <v>58</v>
      </c>
      <c r="B87" s="1" t="n">
        <v>43947</v>
      </c>
      <c r="C87" s="6" t="n">
        <v>5926</v>
      </c>
      <c r="D87" s="6" t="n">
        <v>177</v>
      </c>
      <c r="E87" s="6" t="n">
        <v>273</v>
      </c>
      <c r="F87" s="6" t="n">
        <v>6</v>
      </c>
      <c r="G87" s="6" t="n">
        <v>822</v>
      </c>
      <c r="H87" s="6" t="n">
        <v>4831</v>
      </c>
      <c r="I87" s="6" t="n">
        <v>136</v>
      </c>
      <c r="J87" s="6" t="n">
        <v>546</v>
      </c>
      <c r="K87" s="11" t="n">
        <v>25</v>
      </c>
      <c r="L87" s="6" t="n">
        <v>21284</v>
      </c>
      <c r="M87" s="6" t="n">
        <v>1962</v>
      </c>
    </row>
    <row r="88" customFormat="false" ht="15.75" hidden="false" customHeight="false" outlineLevel="0" collapsed="false">
      <c r="A88" s="0" t="s">
        <v>58</v>
      </c>
      <c r="B88" s="1" t="n">
        <v>43948</v>
      </c>
      <c r="C88" s="6" t="n">
        <v>6135</v>
      </c>
      <c r="D88" s="6" t="n">
        <v>209</v>
      </c>
      <c r="E88" s="6" t="n">
        <v>278</v>
      </c>
      <c r="F88" s="6" t="n">
        <v>5</v>
      </c>
      <c r="G88" s="6" t="n">
        <v>910</v>
      </c>
      <c r="H88" s="6" t="n">
        <v>4947</v>
      </c>
      <c r="I88" s="6" t="n">
        <v>144</v>
      </c>
      <c r="J88" s="6" t="n">
        <v>566</v>
      </c>
      <c r="K88" s="11" t="n">
        <v>26</v>
      </c>
      <c r="L88" s="6" t="n">
        <v>22498</v>
      </c>
      <c r="M88" s="6" t="n">
        <v>2074</v>
      </c>
    </row>
    <row r="89" customFormat="false" ht="14.25" hidden="false" customHeight="false" outlineLevel="0" collapsed="false">
      <c r="A89" s="0" t="s">
        <v>58</v>
      </c>
      <c r="B89" s="1" t="n">
        <v>43949</v>
      </c>
      <c r="C89" s="2" t="n">
        <v>6293</v>
      </c>
      <c r="D89" s="2" t="n">
        <v>158</v>
      </c>
      <c r="E89" s="2" t="n">
        <v>282</v>
      </c>
      <c r="F89" s="2" t="n">
        <v>4</v>
      </c>
      <c r="G89" s="2" t="n">
        <v>993</v>
      </c>
      <c r="H89" s="2" t="n">
        <v>5018</v>
      </c>
      <c r="I89" s="2" t="n">
        <v>144</v>
      </c>
      <c r="J89" s="2" t="n">
        <v>580</v>
      </c>
      <c r="K89" s="2" t="n">
        <v>26</v>
      </c>
      <c r="L89" s="2" t="n">
        <v>22498</v>
      </c>
      <c r="M89" s="2" t="n">
        <v>2074</v>
      </c>
    </row>
    <row r="90" customFormat="false" ht="15.75" hidden="false" customHeight="false" outlineLevel="0" collapsed="false">
      <c r="A90" s="0" t="s">
        <v>58</v>
      </c>
      <c r="B90" s="1" t="n">
        <v>43950</v>
      </c>
      <c r="C90" s="6" t="n">
        <v>6416</v>
      </c>
      <c r="D90" s="6" t="n">
        <v>123</v>
      </c>
      <c r="E90" s="6" t="n">
        <v>286</v>
      </c>
      <c r="F90" s="6" t="n">
        <v>4</v>
      </c>
      <c r="G90" s="6" t="n">
        <v>1165</v>
      </c>
      <c r="H90" s="6" t="n">
        <v>4965</v>
      </c>
      <c r="I90" s="6" t="n">
        <v>144</v>
      </c>
      <c r="J90" s="6" t="n">
        <v>591</v>
      </c>
      <c r="K90" s="11" t="n">
        <v>26</v>
      </c>
      <c r="L90" s="6" t="n">
        <v>23979</v>
      </c>
      <c r="M90" s="6" t="n">
        <v>2210</v>
      </c>
    </row>
    <row r="91" customFormat="false" ht="13.5" hidden="false" customHeight="false" outlineLevel="0" collapsed="false">
      <c r="A91" s="0" t="s">
        <v>58</v>
      </c>
      <c r="B91" s="1" t="n">
        <v>43951</v>
      </c>
      <c r="C91" s="2" t="n">
        <v>6652</v>
      </c>
      <c r="D91" s="2" t="n">
        <v>236</v>
      </c>
      <c r="E91" s="2" t="n">
        <v>293</v>
      </c>
      <c r="F91" s="2" t="n">
        <v>7</v>
      </c>
      <c r="G91" s="2" t="n">
        <v>1228</v>
      </c>
      <c r="H91" s="2" t="n">
        <v>5131</v>
      </c>
      <c r="I91" s="2" t="n">
        <v>144</v>
      </c>
      <c r="J91" s="2" t="n">
        <v>613</v>
      </c>
      <c r="K91" s="2" t="n">
        <v>27</v>
      </c>
      <c r="L91" s="2" t="n">
        <v>25368</v>
      </c>
      <c r="M91" s="2" t="n">
        <v>2339</v>
      </c>
    </row>
    <row r="92" customFormat="false" ht="14.25" hidden="false" customHeight="false" outlineLevel="0" collapsed="false">
      <c r="A92" s="0" t="s">
        <v>58</v>
      </c>
      <c r="B92" s="1" t="n">
        <v>43952</v>
      </c>
      <c r="C92" s="2" t="n">
        <v>6972</v>
      </c>
      <c r="D92" s="2" t="n">
        <v>320</v>
      </c>
      <c r="E92" s="2" t="n">
        <v>301</v>
      </c>
      <c r="F92" s="2" t="n">
        <v>8</v>
      </c>
      <c r="G92" s="2" t="n">
        <v>1301</v>
      </c>
      <c r="H92" s="2" t="n">
        <v>5370</v>
      </c>
      <c r="I92" s="2" t="n">
        <v>144</v>
      </c>
      <c r="J92" s="2" t="n">
        <v>643</v>
      </c>
      <c r="K92" s="2" t="n">
        <v>28</v>
      </c>
      <c r="L92" s="2" t="n">
        <v>25368</v>
      </c>
      <c r="M92" s="2" t="n">
        <v>2339</v>
      </c>
    </row>
    <row r="93" customFormat="false" ht="15.75" hidden="false" customHeight="false" outlineLevel="0" collapsed="false">
      <c r="A93" s="0" t="s">
        <v>58</v>
      </c>
      <c r="B93" s="1" t="n">
        <v>43953</v>
      </c>
      <c r="C93" s="6" t="e">
        <f aca="false">sheet1!amn94</f>
        <v>#NAME?</v>
      </c>
      <c r="D93" s="6" t="e">
        <f aca="false">sheet1!amo94</f>
        <v>#NAME?</v>
      </c>
      <c r="E93" s="6" t="e">
        <f aca="false">sheet1!amp94</f>
        <v>#NAME?</v>
      </c>
      <c r="F93" s="6" t="e">
        <f aca="false">sheet1!amq94</f>
        <v>#NAME?</v>
      </c>
      <c r="G93" s="6" t="e">
        <f aca="false">sheet1!amr94</f>
        <v>#NAME?</v>
      </c>
      <c r="H93" s="6" t="e">
        <f aca="false">sheet1!ams94</f>
        <v>#NAME?</v>
      </c>
      <c r="I93" s="6" t="e">
        <f aca="false">sheet1!amt94</f>
        <v>#NAME?</v>
      </c>
      <c r="J93" s="6" t="e">
        <f aca="false">sheet1!amu94</f>
        <v>#NAME?</v>
      </c>
      <c r="K93" s="6" t="e">
        <f aca="false">sheet1!amv94</f>
        <v>#NAME?</v>
      </c>
      <c r="L93" s="6" t="e">
        <f aca="false">sheet1!amw94</f>
        <v>#NAME?</v>
      </c>
      <c r="M93" s="6" t="e">
        <f aca="false">sheet1!amx94</f>
        <v>#NAME?</v>
      </c>
    </row>
    <row r="94" customFormat="false" ht="15.75" hidden="false" customHeight="false" outlineLevel="0" collapsed="false">
      <c r="A94" s="0" t="s">
        <v>58</v>
      </c>
      <c r="B94" s="1" t="n">
        <v>43954</v>
      </c>
      <c r="C94" s="6" t="e">
        <f aca="false">sheet1!amn95</f>
        <v>#NAME?</v>
      </c>
      <c r="D94" s="6" t="e">
        <f aca="false">sheet1!amo95</f>
        <v>#NAME?</v>
      </c>
      <c r="E94" s="6" t="e">
        <f aca="false">sheet1!amp95</f>
        <v>#NAME?</v>
      </c>
      <c r="F94" s="6" t="e">
        <f aca="false">sheet1!amq95</f>
        <v>#NAME?</v>
      </c>
      <c r="G94" s="6" t="e">
        <f aca="false">sheet1!amr95</f>
        <v>#NAME?</v>
      </c>
      <c r="H94" s="6" t="e">
        <f aca="false">sheet1!ams95</f>
        <v>#NAME?</v>
      </c>
      <c r="I94" s="6" t="e">
        <f aca="false">sheet1!amt95</f>
        <v>#NAME?</v>
      </c>
      <c r="J94" s="6" t="e">
        <f aca="false">sheet1!amu95</f>
        <v>#NAME?</v>
      </c>
      <c r="K94" s="6" t="e">
        <f aca="false">sheet1!amv95</f>
        <v>#NAME?</v>
      </c>
      <c r="L94" s="6" t="e">
        <f aca="false">sheet1!amw95</f>
        <v>#NAME?</v>
      </c>
      <c r="M94" s="6" t="e">
        <f aca="false">sheet1!amx95</f>
        <v>#NAME?</v>
      </c>
    </row>
    <row r="95" customFormat="false" ht="15.75" hidden="false" customHeight="false" outlineLevel="0" collapsed="false">
      <c r="A95" s="0" t="s">
        <v>58</v>
      </c>
      <c r="B95" s="1" t="n">
        <v>43955</v>
      </c>
      <c r="C95" s="6" t="e">
        <f aca="false">sheet1!amn96</f>
        <v>#NAME?</v>
      </c>
      <c r="D95" s="6" t="e">
        <f aca="false">sheet1!amo96</f>
        <v>#NAME?</v>
      </c>
      <c r="E95" s="6" t="e">
        <f aca="false">sheet1!amp96</f>
        <v>#NAME?</v>
      </c>
      <c r="F95" s="6" t="e">
        <f aca="false">sheet1!amq96</f>
        <v>#NAME?</v>
      </c>
      <c r="G95" s="6" t="e">
        <f aca="false">sheet1!amr96</f>
        <v>#NAME?</v>
      </c>
      <c r="H95" s="6" t="e">
        <f aca="false">sheet1!ams96</f>
        <v>#NAME?</v>
      </c>
      <c r="I95" s="6" t="e">
        <f aca="false">sheet1!amt96</f>
        <v>#NAME?</v>
      </c>
      <c r="J95" s="6" t="e">
        <f aca="false">sheet1!amu96</f>
        <v>#NAME?</v>
      </c>
      <c r="K95" s="6" t="e">
        <f aca="false">sheet1!amv96</f>
        <v>#NAME?</v>
      </c>
      <c r="L95" s="6" t="e">
        <f aca="false">sheet1!amw96</f>
        <v>#NAME?</v>
      </c>
      <c r="M95" s="6" t="e">
        <f aca="false">sheet1!amx96</f>
        <v>#NAME?</v>
      </c>
    </row>
    <row r="96" customFormat="false" ht="15.75" hidden="false" customHeight="false" outlineLevel="0" collapsed="false">
      <c r="A96" s="0" t="s">
        <v>58</v>
      </c>
      <c r="B96" s="1" t="n">
        <v>43956</v>
      </c>
      <c r="C96" s="6" t="e">
        <f aca="false">sheet1!amn97</f>
        <v>#NAME?</v>
      </c>
      <c r="D96" s="6" t="e">
        <f aca="false">sheet1!amo97</f>
        <v>#NAME?</v>
      </c>
      <c r="E96" s="6" t="e">
        <f aca="false">sheet1!amp97</f>
        <v>#NAME?</v>
      </c>
      <c r="F96" s="6" t="e">
        <f aca="false">sheet1!amq97</f>
        <v>#NAME?</v>
      </c>
      <c r="G96" s="6" t="e">
        <f aca="false">sheet1!amr97</f>
        <v>#NAME?</v>
      </c>
      <c r="H96" s="6" t="e">
        <f aca="false">sheet1!ams97</f>
        <v>#NAME?</v>
      </c>
      <c r="I96" s="6" t="e">
        <f aca="false">sheet1!amt97</f>
        <v>#NAME?</v>
      </c>
      <c r="J96" s="6" t="e">
        <f aca="false">sheet1!amu97</f>
        <v>#NAME?</v>
      </c>
      <c r="K96" s="6" t="e">
        <f aca="false">sheet1!amv97</f>
        <v>#NAME?</v>
      </c>
      <c r="L96" s="6" t="e">
        <f aca="false">sheet1!amw97</f>
        <v>#NAME?</v>
      </c>
      <c r="M96" s="6" t="e">
        <f aca="false">sheet1!amx97</f>
        <v>#NAME?</v>
      </c>
    </row>
    <row r="97" customFormat="false" ht="15.75" hidden="false" customHeight="false" outlineLevel="0" collapsed="false">
      <c r="A97" s="0" t="s">
        <v>58</v>
      </c>
      <c r="B97" s="1" t="n">
        <v>43957</v>
      </c>
      <c r="C97" s="6" t="e">
        <f aca="false">sheet1!amn98</f>
        <v>#NAME?</v>
      </c>
      <c r="D97" s="6" t="e">
        <f aca="false">sheet1!amo98</f>
        <v>#NAME?</v>
      </c>
      <c r="E97" s="6" t="e">
        <f aca="false">sheet1!amp98</f>
        <v>#NAME?</v>
      </c>
      <c r="F97" s="6" t="e">
        <f aca="false">sheet1!amq98</f>
        <v>#NAME?</v>
      </c>
      <c r="G97" s="6" t="e">
        <f aca="false">sheet1!amr98</f>
        <v>#NAME?</v>
      </c>
      <c r="H97" s="6" t="e">
        <f aca="false">sheet1!ams98</f>
        <v>#NAME?</v>
      </c>
      <c r="I97" s="6" t="e">
        <f aca="false">sheet1!amt98</f>
        <v>#NAME?</v>
      </c>
      <c r="J97" s="6" t="e">
        <f aca="false">sheet1!amu98</f>
        <v>#NAME?</v>
      </c>
      <c r="K97" s="6" t="e">
        <f aca="false">sheet1!amv98</f>
        <v>#NAME?</v>
      </c>
      <c r="L97" s="6" t="e">
        <f aca="false">sheet1!amw98</f>
        <v>#NAME?</v>
      </c>
      <c r="M97" s="6" t="e">
        <f aca="false">sheet1!amx98</f>
        <v>#NAME?</v>
      </c>
    </row>
    <row r="98" customFormat="false" ht="15.75" hidden="false" customHeight="false" outlineLevel="0" collapsed="false">
      <c r="A98" s="0" t="s">
        <v>58</v>
      </c>
      <c r="B98" s="1" t="n">
        <v>43958</v>
      </c>
      <c r="C98" s="6" t="e">
        <f aca="false">sheet1!amn99</f>
        <v>#NAME?</v>
      </c>
      <c r="D98" s="6" t="e">
        <f aca="false">sheet1!amo99</f>
        <v>#NAME?</v>
      </c>
      <c r="E98" s="6" t="e">
        <f aca="false">sheet1!amp99</f>
        <v>#NAME?</v>
      </c>
      <c r="F98" s="6" t="e">
        <f aca="false">sheet1!amq99</f>
        <v>#NAME?</v>
      </c>
      <c r="G98" s="6" t="e">
        <f aca="false">sheet1!amr99</f>
        <v>#NAME?</v>
      </c>
      <c r="H98" s="6" t="e">
        <f aca="false">sheet1!ams99</f>
        <v>#NAME?</v>
      </c>
      <c r="I98" s="6" t="e">
        <f aca="false">sheet1!amt99</f>
        <v>#NAME?</v>
      </c>
      <c r="J98" s="6" t="e">
        <f aca="false">sheet1!amu99</f>
        <v>#NAME?</v>
      </c>
      <c r="K98" s="6" t="e">
        <f aca="false">sheet1!amv99</f>
        <v>#NAME?</v>
      </c>
      <c r="L98" s="6" t="e">
        <f aca="false">sheet1!amw99</f>
        <v>#NAME?</v>
      </c>
      <c r="M98" s="6" t="e">
        <f aca="false">sheet1!amx99</f>
        <v>#NAME?</v>
      </c>
    </row>
    <row r="99" customFormat="false" ht="15.75" hidden="false" customHeight="false" outlineLevel="0" collapsed="false">
      <c r="A99" s="0" t="s">
        <v>58</v>
      </c>
      <c r="B99" s="1" t="n">
        <v>43959</v>
      </c>
      <c r="C99" s="6" t="e">
        <f aca="false">sheet1!amn100</f>
        <v>#NAME?</v>
      </c>
      <c r="D99" s="6" t="e">
        <f aca="false">sheet1!amo100</f>
        <v>#NAME?</v>
      </c>
      <c r="E99" s="6" t="e">
        <f aca="false">sheet1!amp100</f>
        <v>#NAME?</v>
      </c>
      <c r="F99" s="6" t="e">
        <f aca="false">sheet1!amq100</f>
        <v>#NAME?</v>
      </c>
      <c r="G99" s="6" t="e">
        <f aca="false">sheet1!amr100</f>
        <v>#NAME?</v>
      </c>
      <c r="H99" s="6" t="e">
        <f aca="false">sheet1!ams100</f>
        <v>#NAME?</v>
      </c>
      <c r="I99" s="6" t="e">
        <f aca="false">sheet1!amt100</f>
        <v>#NAME?</v>
      </c>
      <c r="J99" s="6" t="e">
        <f aca="false">sheet1!amu100</f>
        <v>#NAME?</v>
      </c>
      <c r="K99" s="6" t="e">
        <f aca="false">sheet1!amv100</f>
        <v>#NAME?</v>
      </c>
      <c r="L99" s="6" t="e">
        <f aca="false">sheet1!amw100</f>
        <v>#NAME?</v>
      </c>
      <c r="M99" s="6" t="e">
        <f aca="false">sheet1!amx100</f>
        <v>#NAME?</v>
      </c>
    </row>
    <row r="100" customFormat="false" ht="15.75" hidden="false" customHeight="false" outlineLevel="0" collapsed="false">
      <c r="A100" s="0" t="s">
        <v>58</v>
      </c>
      <c r="B100" s="1" t="n">
        <v>43960</v>
      </c>
      <c r="C100" s="6" t="e">
        <f aca="false">sheet1!amn101</f>
        <v>#NAME?</v>
      </c>
      <c r="D100" s="6" t="e">
        <f aca="false">sheet1!amo101</f>
        <v>#NAME?</v>
      </c>
      <c r="E100" s="6" t="e">
        <f aca="false">sheet1!amp101</f>
        <v>#NAME?</v>
      </c>
      <c r="F100" s="6" t="e">
        <f aca="false">sheet1!amq101</f>
        <v>#NAME?</v>
      </c>
      <c r="G100" s="6" t="e">
        <f aca="false">sheet1!amr101</f>
        <v>#NAME?</v>
      </c>
      <c r="H100" s="6" t="e">
        <f aca="false">sheet1!ams101</f>
        <v>#NAME?</v>
      </c>
      <c r="I100" s="6" t="e">
        <f aca="false">sheet1!amt101</f>
        <v>#NAME?</v>
      </c>
      <c r="J100" s="6" t="e">
        <f aca="false">sheet1!amu101</f>
        <v>#NAME?</v>
      </c>
      <c r="K100" s="6" t="e">
        <f aca="false">sheet1!amv101</f>
        <v>#NAME?</v>
      </c>
      <c r="L100" s="6" t="e">
        <f aca="false">sheet1!amw101</f>
        <v>#NAME?</v>
      </c>
      <c r="M100" s="6" t="e">
        <f aca="false">sheet1!amx101</f>
        <v>#NAME?</v>
      </c>
    </row>
    <row r="101" customFormat="false" ht="15.75" hidden="false" customHeight="false" outlineLevel="0" collapsed="false">
      <c r="A101" s="0" t="s">
        <v>58</v>
      </c>
      <c r="B101" s="1" t="n">
        <v>43961</v>
      </c>
      <c r="C101" s="6" t="e">
        <f aca="false">sheet1!amn102</f>
        <v>#NAME?</v>
      </c>
      <c r="D101" s="6" t="e">
        <f aca="false">sheet1!amo102</f>
        <v>#NAME?</v>
      </c>
      <c r="E101" s="6" t="e">
        <f aca="false">sheet1!amp102</f>
        <v>#NAME?</v>
      </c>
      <c r="F101" s="6" t="e">
        <f aca="false">sheet1!amq102</f>
        <v>#NAME?</v>
      </c>
      <c r="G101" s="6" t="e">
        <f aca="false">sheet1!amr102</f>
        <v>#NAME?</v>
      </c>
      <c r="H101" s="6" t="e">
        <f aca="false">sheet1!ams102</f>
        <v>#NAME?</v>
      </c>
      <c r="I101" s="6" t="e">
        <f aca="false">sheet1!amt102</f>
        <v>#NAME?</v>
      </c>
      <c r="J101" s="6" t="e">
        <f aca="false">sheet1!amu102</f>
        <v>#NAME?</v>
      </c>
      <c r="K101" s="6" t="e">
        <f aca="false">sheet1!amv102</f>
        <v>#NAME?</v>
      </c>
      <c r="L101" s="6" t="e">
        <f aca="false">sheet1!amw102</f>
        <v>#NAME?</v>
      </c>
      <c r="M101" s="6" t="e">
        <f aca="false">sheet1!amx102</f>
        <v>#NAME?</v>
      </c>
    </row>
    <row r="102" customFormat="false" ht="15.75" hidden="false" customHeight="false" outlineLevel="0" collapsed="false">
      <c r="A102" s="0" t="s">
        <v>58</v>
      </c>
      <c r="B102" s="1" t="n">
        <v>43962</v>
      </c>
      <c r="C102" s="6" t="e">
        <f aca="false">sheet1!amn103</f>
        <v>#NAME?</v>
      </c>
      <c r="D102" s="6" t="e">
        <f aca="false">sheet1!amo103</f>
        <v>#NAME?</v>
      </c>
      <c r="E102" s="6" t="e">
        <f aca="false">sheet1!amp103</f>
        <v>#NAME?</v>
      </c>
      <c r="F102" s="6" t="e">
        <f aca="false">sheet1!amq103</f>
        <v>#NAME?</v>
      </c>
      <c r="G102" s="6" t="e">
        <f aca="false">sheet1!amr103</f>
        <v>#NAME?</v>
      </c>
      <c r="H102" s="6" t="e">
        <f aca="false">sheet1!ams103</f>
        <v>#NAME?</v>
      </c>
      <c r="I102" s="6" t="e">
        <f aca="false">sheet1!amt103</f>
        <v>#NAME?</v>
      </c>
      <c r="J102" s="6" t="e">
        <f aca="false">sheet1!amu103</f>
        <v>#NAME?</v>
      </c>
      <c r="K102" s="6" t="e">
        <f aca="false">sheet1!amv103</f>
        <v>#NAME?</v>
      </c>
      <c r="L102" s="6" t="e">
        <f aca="false">sheet1!amw103</f>
        <v>#NAME?</v>
      </c>
      <c r="M102" s="6" t="e">
        <f aca="false">sheet1!amx103</f>
        <v>#NAME?</v>
      </c>
    </row>
    <row r="103" customFormat="false" ht="15.75" hidden="false" customHeight="false" outlineLevel="0" collapsed="false">
      <c r="A103" s="0" t="s">
        <v>58</v>
      </c>
      <c r="B103" s="1" t="n">
        <v>43963</v>
      </c>
      <c r="C103" s="6" t="e">
        <f aca="false">sheet1!amn104</f>
        <v>#NAME?</v>
      </c>
      <c r="D103" s="6" t="e">
        <f aca="false">sheet1!amo104</f>
        <v>#NAME?</v>
      </c>
      <c r="E103" s="6" t="e">
        <f aca="false">sheet1!amp104</f>
        <v>#NAME?</v>
      </c>
      <c r="F103" s="6" t="e">
        <f aca="false">sheet1!amq104</f>
        <v>#NAME?</v>
      </c>
      <c r="G103" s="6" t="e">
        <f aca="false">sheet1!amr104</f>
        <v>#NAME?</v>
      </c>
      <c r="H103" s="6" t="e">
        <f aca="false">sheet1!ams104</f>
        <v>#NAME?</v>
      </c>
      <c r="I103" s="6" t="e">
        <f aca="false">sheet1!amt104</f>
        <v>#NAME?</v>
      </c>
      <c r="J103" s="6" t="e">
        <f aca="false">sheet1!amu104</f>
        <v>#NAME?</v>
      </c>
      <c r="K103" s="6" t="e">
        <f aca="false">sheet1!amv104</f>
        <v>#NAME?</v>
      </c>
      <c r="L103" s="6" t="e">
        <f aca="false">sheet1!amw104</f>
        <v>#NAME?</v>
      </c>
      <c r="M103" s="6" t="e">
        <f aca="false">sheet1!amx104</f>
        <v>#NAME?</v>
      </c>
    </row>
    <row r="104" customFormat="false" ht="15.75" hidden="false" customHeight="false" outlineLevel="0" collapsed="false">
      <c r="A104" s="0" t="s">
        <v>58</v>
      </c>
      <c r="B104" s="1" t="n">
        <v>43964</v>
      </c>
      <c r="C104" s="6" t="e">
        <f aca="false">sheet1!amn105</f>
        <v>#NAME?</v>
      </c>
      <c r="D104" s="6" t="e">
        <f aca="false">sheet1!amo105</f>
        <v>#NAME?</v>
      </c>
      <c r="E104" s="6" t="e">
        <f aca="false">sheet1!amp105</f>
        <v>#NAME?</v>
      </c>
      <c r="F104" s="6" t="e">
        <f aca="false">sheet1!amq105</f>
        <v>#NAME?</v>
      </c>
      <c r="G104" s="6" t="e">
        <f aca="false">sheet1!amr105</f>
        <v>#NAME?</v>
      </c>
      <c r="H104" s="6" t="e">
        <f aca="false">sheet1!ams105</f>
        <v>#NAME?</v>
      </c>
      <c r="I104" s="6" t="e">
        <f aca="false">sheet1!amt105</f>
        <v>#NAME?</v>
      </c>
      <c r="J104" s="6" t="e">
        <f aca="false">sheet1!amu105</f>
        <v>#NAME?</v>
      </c>
      <c r="K104" s="6" t="e">
        <f aca="false">sheet1!amv105</f>
        <v>#NAME?</v>
      </c>
      <c r="L104" s="6" t="e">
        <f aca="false">sheet1!amw105</f>
        <v>#NAME?</v>
      </c>
      <c r="M104" s="6" t="e">
        <f aca="false">sheet1!amx105</f>
        <v>#NAME?</v>
      </c>
    </row>
    <row r="105" customFormat="false" ht="15.75" hidden="false" customHeight="false" outlineLevel="0" collapsed="false">
      <c r="A105" s="0" t="s">
        <v>58</v>
      </c>
      <c r="B105" s="1" t="n">
        <v>43965</v>
      </c>
      <c r="C105" s="6" t="e">
        <f aca="false">sheet1!amn106</f>
        <v>#NAME?</v>
      </c>
      <c r="D105" s="6" t="e">
        <f aca="false">sheet1!amo106</f>
        <v>#NAME?</v>
      </c>
      <c r="E105" s="6" t="e">
        <f aca="false">sheet1!amp106</f>
        <v>#NAME?</v>
      </c>
      <c r="F105" s="6" t="e">
        <f aca="false">sheet1!amq106</f>
        <v>#NAME?</v>
      </c>
      <c r="G105" s="6" t="e">
        <f aca="false">sheet1!amr106</f>
        <v>#NAME?</v>
      </c>
      <c r="H105" s="6" t="e">
        <f aca="false">sheet1!ams106</f>
        <v>#NAME?</v>
      </c>
      <c r="I105" s="6" t="e">
        <f aca="false">sheet1!amt106</f>
        <v>#NAME?</v>
      </c>
      <c r="J105" s="6" t="e">
        <f aca="false">sheet1!amu106</f>
        <v>#NAME?</v>
      </c>
      <c r="K105" s="6" t="e">
        <f aca="false">sheet1!amv106</f>
        <v>#NAME?</v>
      </c>
      <c r="L105" s="6" t="e">
        <f aca="false">sheet1!amw106</f>
        <v>#NAME?</v>
      </c>
      <c r="M105" s="6" t="e">
        <f aca="false">sheet1!amx106</f>
        <v>#NAME?</v>
      </c>
    </row>
    <row r="106" customFormat="false" ht="15.75" hidden="false" customHeight="false" outlineLevel="0" collapsed="false">
      <c r="A106" s="0" t="s">
        <v>58</v>
      </c>
      <c r="B106" s="1" t="n">
        <v>43966</v>
      </c>
      <c r="C106" s="6" t="e">
        <f aca="false">sheet1!amn107</f>
        <v>#NAME?</v>
      </c>
      <c r="D106" s="6" t="e">
        <f aca="false">sheet1!amo107</f>
        <v>#NAME?</v>
      </c>
      <c r="E106" s="6" t="e">
        <f aca="false">sheet1!amp107</f>
        <v>#NAME?</v>
      </c>
      <c r="F106" s="6" t="e">
        <f aca="false">sheet1!amq107</f>
        <v>#NAME?</v>
      </c>
      <c r="G106" s="6" t="e">
        <f aca="false">sheet1!amr107</f>
        <v>#NAME?</v>
      </c>
      <c r="H106" s="6" t="e">
        <f aca="false">sheet1!ams107</f>
        <v>#NAME?</v>
      </c>
      <c r="I106" s="6" t="e">
        <f aca="false">sheet1!amt107</f>
        <v>#NAME?</v>
      </c>
      <c r="J106" s="6" t="e">
        <f aca="false">sheet1!amu107</f>
        <v>#NAME?</v>
      </c>
      <c r="K106" s="6" t="e">
        <f aca="false">sheet1!amv107</f>
        <v>#NAME?</v>
      </c>
      <c r="L106" s="6" t="e">
        <f aca="false">sheet1!amw107</f>
        <v>#NAME?</v>
      </c>
      <c r="M106" s="6" t="e">
        <f aca="false">sheet1!amx107</f>
        <v>#NAME?</v>
      </c>
    </row>
    <row r="107" customFormat="false" ht="15.75" hidden="false" customHeight="false" outlineLevel="0" collapsed="false">
      <c r="A107" s="0" t="s">
        <v>58</v>
      </c>
      <c r="B107" s="1" t="n">
        <v>43967</v>
      </c>
      <c r="C107" s="6" t="e">
        <f aca="false">sheet1!amn108</f>
        <v>#NAME?</v>
      </c>
      <c r="D107" s="6" t="e">
        <f aca="false">sheet1!amo108</f>
        <v>#NAME?</v>
      </c>
      <c r="E107" s="6" t="e">
        <f aca="false">sheet1!amp108</f>
        <v>#NAME?</v>
      </c>
      <c r="F107" s="6" t="e">
        <f aca="false">sheet1!amq108</f>
        <v>#NAME?</v>
      </c>
      <c r="G107" s="6" t="e">
        <f aca="false">sheet1!amr108</f>
        <v>#NAME?</v>
      </c>
      <c r="H107" s="6" t="e">
        <f aca="false">sheet1!ams108</f>
        <v>#NAME?</v>
      </c>
      <c r="I107" s="6" t="e">
        <f aca="false">sheet1!amt108</f>
        <v>#NAME?</v>
      </c>
      <c r="J107" s="6" t="e">
        <f aca="false">sheet1!amu108</f>
        <v>#NAME?</v>
      </c>
      <c r="K107" s="6" t="e">
        <f aca="false">sheet1!amv108</f>
        <v>#NAME?</v>
      </c>
      <c r="L107" s="6" t="e">
        <f aca="false">sheet1!amw108</f>
        <v>#NAME?</v>
      </c>
      <c r="M107" s="6" t="e">
        <f aca="false">sheet1!amx108</f>
        <v>#NAME?</v>
      </c>
    </row>
    <row r="108" customFormat="false" ht="15.75" hidden="false" customHeight="false" outlineLevel="0" collapsed="false">
      <c r="A108" s="0" t="s">
        <v>58</v>
      </c>
      <c r="B108" s="1" t="n">
        <v>43968</v>
      </c>
      <c r="C108" s="6" t="e">
        <f aca="false">sheet1!amn109</f>
        <v>#NAME?</v>
      </c>
      <c r="D108" s="6" t="e">
        <f aca="false">sheet1!amo109</f>
        <v>#NAME?</v>
      </c>
      <c r="E108" s="6" t="e">
        <f aca="false">sheet1!amp109</f>
        <v>#NAME?</v>
      </c>
      <c r="F108" s="6" t="e">
        <f aca="false">sheet1!amq109</f>
        <v>#NAME?</v>
      </c>
      <c r="G108" s="6" t="e">
        <f aca="false">sheet1!amr109</f>
        <v>#NAME?</v>
      </c>
      <c r="H108" s="6" t="e">
        <f aca="false">sheet1!ams109</f>
        <v>#NAME?</v>
      </c>
      <c r="I108" s="6" t="e">
        <f aca="false">sheet1!amt109</f>
        <v>#NAME?</v>
      </c>
      <c r="J108" s="6" t="e">
        <f aca="false">sheet1!amu109</f>
        <v>#NAME?</v>
      </c>
      <c r="K108" s="6" t="e">
        <f aca="false">sheet1!amv109</f>
        <v>#NAME?</v>
      </c>
      <c r="L108" s="6" t="e">
        <f aca="false">sheet1!amw109</f>
        <v>#NAME?</v>
      </c>
      <c r="M108" s="6" t="e">
        <f aca="false">sheet1!amx109</f>
        <v>#NAME?</v>
      </c>
    </row>
    <row r="109" customFormat="false" ht="15.75" hidden="false" customHeight="false" outlineLevel="0" collapsed="false">
      <c r="A109" s="0" t="s">
        <v>58</v>
      </c>
      <c r="B109" s="1" t="n">
        <v>43969</v>
      </c>
      <c r="C109" s="6" t="e">
        <f aca="false">sheet1!amn110</f>
        <v>#NAME?</v>
      </c>
      <c r="D109" s="6" t="e">
        <f aca="false">sheet1!amo110</f>
        <v>#NAME?</v>
      </c>
      <c r="E109" s="6" t="e">
        <f aca="false">sheet1!amp110</f>
        <v>#NAME?</v>
      </c>
      <c r="F109" s="6" t="e">
        <f aca="false">sheet1!amq110</f>
        <v>#NAME?</v>
      </c>
      <c r="G109" s="6" t="e">
        <f aca="false">sheet1!amr110</f>
        <v>#NAME?</v>
      </c>
      <c r="H109" s="6" t="e">
        <f aca="false">sheet1!ams110</f>
        <v>#NAME?</v>
      </c>
      <c r="I109" s="6" t="e">
        <f aca="false">sheet1!amt110</f>
        <v>#NAME?</v>
      </c>
      <c r="J109" s="6" t="e">
        <f aca="false">sheet1!amu110</f>
        <v>#NAME?</v>
      </c>
      <c r="K109" s="6" t="e">
        <f aca="false">sheet1!amv110</f>
        <v>#NAME?</v>
      </c>
      <c r="L109" s="6" t="e">
        <f aca="false">sheet1!amw110</f>
        <v>#NAME?</v>
      </c>
      <c r="M109" s="6" t="e">
        <f aca="false">sheet1!amx110</f>
        <v>#NAME?</v>
      </c>
    </row>
    <row r="110" customFormat="false" ht="15.75" hidden="false" customHeight="false" outlineLevel="0" collapsed="false">
      <c r="A110" s="0" t="s">
        <v>58</v>
      </c>
      <c r="B110" s="1" t="n">
        <v>43970</v>
      </c>
      <c r="C110" s="6" t="e">
        <f aca="false">sheet1!amn111</f>
        <v>#NAME?</v>
      </c>
      <c r="D110" s="6" t="e">
        <f aca="false">sheet1!amo111</f>
        <v>#NAME?</v>
      </c>
      <c r="E110" s="6" t="e">
        <f aca="false">sheet1!amp111</f>
        <v>#NAME?</v>
      </c>
      <c r="F110" s="6" t="e">
        <f aca="false">sheet1!amq111</f>
        <v>#NAME?</v>
      </c>
      <c r="G110" s="6" t="e">
        <f aca="false">sheet1!amr111</f>
        <v>#NAME?</v>
      </c>
      <c r="H110" s="6" t="e">
        <f aca="false">sheet1!ams111</f>
        <v>#NAME?</v>
      </c>
      <c r="I110" s="6" t="e">
        <f aca="false">sheet1!amt111</f>
        <v>#NAME?</v>
      </c>
      <c r="J110" s="6" t="e">
        <f aca="false">sheet1!amu111</f>
        <v>#NAME?</v>
      </c>
      <c r="K110" s="6" t="e">
        <f aca="false">sheet1!amv111</f>
        <v>#NAME?</v>
      </c>
      <c r="L110" s="6" t="e">
        <f aca="false">sheet1!amw111</f>
        <v>#NAME?</v>
      </c>
      <c r="M110" s="6" t="e">
        <f aca="false">sheet1!amx111</f>
        <v>#NAME?</v>
      </c>
    </row>
    <row r="111" customFormat="false" ht="15.75" hidden="false" customHeight="false" outlineLevel="0" collapsed="false">
      <c r="A111" s="0" t="s">
        <v>58</v>
      </c>
      <c r="B111" s="1" t="n">
        <v>43971</v>
      </c>
      <c r="C111" s="6" t="e">
        <f aca="false">sheet1!amn112</f>
        <v>#NAME?</v>
      </c>
      <c r="D111" s="6" t="e">
        <f aca="false">sheet1!amo112</f>
        <v>#NAME?</v>
      </c>
      <c r="E111" s="6" t="e">
        <f aca="false">sheet1!amp112</f>
        <v>#NAME?</v>
      </c>
      <c r="F111" s="6" t="e">
        <f aca="false">sheet1!amq112</f>
        <v>#NAME?</v>
      </c>
      <c r="G111" s="6" t="e">
        <f aca="false">sheet1!amr112</f>
        <v>#NAME?</v>
      </c>
      <c r="H111" s="6" t="e">
        <f aca="false">sheet1!ams112</f>
        <v>#NAME?</v>
      </c>
      <c r="I111" s="6" t="e">
        <f aca="false">sheet1!amt112</f>
        <v>#NAME?</v>
      </c>
      <c r="J111" s="6" t="e">
        <f aca="false">sheet1!amu112</f>
        <v>#NAME?</v>
      </c>
      <c r="K111" s="6" t="e">
        <f aca="false">sheet1!amv112</f>
        <v>#NAME?</v>
      </c>
      <c r="L111" s="6" t="e">
        <f aca="false">sheet1!amw112</f>
        <v>#NAME?</v>
      </c>
      <c r="M111" s="6" t="e">
        <f aca="false">sheet1!amx112</f>
        <v>#NAME?</v>
      </c>
    </row>
    <row r="112" customFormat="false" ht="15.75" hidden="false" customHeight="false" outlineLevel="0" collapsed="false">
      <c r="A112" s="0" t="s">
        <v>58</v>
      </c>
      <c r="B112" s="1" t="n">
        <v>43972</v>
      </c>
      <c r="C112" s="6" t="e">
        <f aca="false">sheet1!amn113</f>
        <v>#NAME?</v>
      </c>
      <c r="D112" s="6" t="e">
        <f aca="false">sheet1!amo113</f>
        <v>#NAME?</v>
      </c>
      <c r="E112" s="6" t="e">
        <f aca="false">sheet1!amp113</f>
        <v>#NAME?</v>
      </c>
      <c r="F112" s="6" t="e">
        <f aca="false">sheet1!amq113</f>
        <v>#NAME?</v>
      </c>
      <c r="G112" s="6" t="e">
        <f aca="false">sheet1!amr113</f>
        <v>#NAME?</v>
      </c>
      <c r="H112" s="6" t="e">
        <f aca="false">sheet1!ams113</f>
        <v>#NAME?</v>
      </c>
      <c r="I112" s="6" t="e">
        <f aca="false">sheet1!amt113</f>
        <v>#NAME?</v>
      </c>
      <c r="J112" s="6" t="e">
        <f aca="false">sheet1!amu113</f>
        <v>#NAME?</v>
      </c>
      <c r="K112" s="6" t="e">
        <f aca="false">sheet1!amv113</f>
        <v>#NAME?</v>
      </c>
      <c r="L112" s="6" t="e">
        <f aca="false">sheet1!amw113</f>
        <v>#NAME?</v>
      </c>
      <c r="M112" s="6" t="e">
        <f aca="false">sheet1!amx113</f>
        <v>#NAME?</v>
      </c>
    </row>
    <row r="113" customFormat="false" ht="15.75" hidden="false" customHeight="false" outlineLevel="0" collapsed="false">
      <c r="A113" s="0" t="s">
        <v>58</v>
      </c>
      <c r="B113" s="1" t="n">
        <v>43973</v>
      </c>
      <c r="C113" s="6" t="e">
        <f aca="false">sheet1!amn114</f>
        <v>#NAME?</v>
      </c>
      <c r="D113" s="6" t="e">
        <f aca="false">sheet1!amo114</f>
        <v>#NAME?</v>
      </c>
      <c r="E113" s="6" t="e">
        <f aca="false">sheet1!amp114</f>
        <v>#NAME?</v>
      </c>
      <c r="F113" s="6" t="e">
        <f aca="false">sheet1!amq114</f>
        <v>#NAME?</v>
      </c>
      <c r="G113" s="6" t="e">
        <f aca="false">sheet1!amr114</f>
        <v>#NAME?</v>
      </c>
      <c r="H113" s="6" t="e">
        <f aca="false">sheet1!ams114</f>
        <v>#NAME?</v>
      </c>
      <c r="I113" s="6" t="e">
        <f aca="false">sheet1!amt114</f>
        <v>#NAME?</v>
      </c>
      <c r="J113" s="6" t="e">
        <f aca="false">sheet1!amu114</f>
        <v>#NAME?</v>
      </c>
      <c r="K113" s="6" t="e">
        <f aca="false">sheet1!amv114</f>
        <v>#NAME?</v>
      </c>
      <c r="L113" s="6" t="e">
        <f aca="false">sheet1!amw114</f>
        <v>#NAME?</v>
      </c>
      <c r="M113" s="6" t="e">
        <f aca="false">sheet1!amx114</f>
        <v>#NAME?</v>
      </c>
    </row>
    <row r="114" customFormat="false" ht="15.75" hidden="false" customHeight="false" outlineLevel="0" collapsed="false">
      <c r="A114" s="0" t="s">
        <v>58</v>
      </c>
      <c r="B114" s="1" t="n">
        <v>43974</v>
      </c>
      <c r="C114" s="6" t="e">
        <f aca="false">sheet1!amn115</f>
        <v>#NAME?</v>
      </c>
      <c r="D114" s="6" t="e">
        <f aca="false">sheet1!amo115</f>
        <v>#NAME?</v>
      </c>
      <c r="E114" s="6" t="e">
        <f aca="false">sheet1!amp115</f>
        <v>#NAME?</v>
      </c>
      <c r="F114" s="6" t="e">
        <f aca="false">sheet1!amq115</f>
        <v>#NAME?</v>
      </c>
      <c r="G114" s="6" t="e">
        <f aca="false">sheet1!amr115</f>
        <v>#NAME?</v>
      </c>
      <c r="H114" s="6" t="e">
        <f aca="false">sheet1!ams115</f>
        <v>#NAME?</v>
      </c>
      <c r="I114" s="6" t="e">
        <f aca="false">sheet1!amt115</f>
        <v>#NAME?</v>
      </c>
      <c r="J114" s="6" t="e">
        <f aca="false">sheet1!amu115</f>
        <v>#NAME?</v>
      </c>
      <c r="K114" s="6" t="e">
        <f aca="false">sheet1!amv115</f>
        <v>#NAME?</v>
      </c>
      <c r="L114" s="6" t="e">
        <f aca="false">sheet1!amw115</f>
        <v>#NAME?</v>
      </c>
      <c r="M114" s="6" t="e">
        <f aca="false">sheet1!amx115</f>
        <v>#NAME?</v>
      </c>
    </row>
    <row r="115" customFormat="false" ht="15.75" hidden="false" customHeight="false" outlineLevel="0" collapsed="false">
      <c r="A115" s="0" t="s">
        <v>58</v>
      </c>
      <c r="B115" s="1" t="n">
        <v>43975</v>
      </c>
      <c r="C115" s="6" t="e">
        <f aca="false">sheet1!amn116</f>
        <v>#NAME?</v>
      </c>
      <c r="D115" s="6" t="e">
        <f aca="false">sheet1!amo116</f>
        <v>#NAME?</v>
      </c>
      <c r="E115" s="6" t="e">
        <f aca="false">sheet1!amp116</f>
        <v>#NAME?</v>
      </c>
      <c r="F115" s="6" t="e">
        <f aca="false">sheet1!amq116</f>
        <v>#NAME?</v>
      </c>
      <c r="G115" s="6" t="e">
        <f aca="false">sheet1!amr116</f>
        <v>#NAME?</v>
      </c>
      <c r="H115" s="6" t="e">
        <f aca="false">sheet1!ams116</f>
        <v>#NAME?</v>
      </c>
      <c r="I115" s="6" t="e">
        <f aca="false">sheet1!amt116</f>
        <v>#NAME?</v>
      </c>
      <c r="J115" s="6" t="e">
        <f aca="false">sheet1!amu116</f>
        <v>#NAME?</v>
      </c>
      <c r="K115" s="6" t="e">
        <f aca="false">sheet1!amv116</f>
        <v>#NAME?</v>
      </c>
      <c r="L115" s="6" t="e">
        <f aca="false">sheet1!amw116</f>
        <v>#NAME?</v>
      </c>
      <c r="M115" s="6" t="e">
        <f aca="false">sheet1!amx116</f>
        <v>#NAME?</v>
      </c>
    </row>
    <row r="116" customFormat="false" ht="15.75" hidden="false" customHeight="false" outlineLevel="0" collapsed="false">
      <c r="A116" s="0" t="s">
        <v>58</v>
      </c>
      <c r="B116" s="1" t="n">
        <v>43976</v>
      </c>
      <c r="C116" s="6" t="e">
        <f aca="false">sheet1!amn117</f>
        <v>#NAME?</v>
      </c>
      <c r="D116" s="6" t="e">
        <f aca="false">sheet1!amo117</f>
        <v>#NAME?</v>
      </c>
      <c r="E116" s="6" t="e">
        <f aca="false">sheet1!amp117</f>
        <v>#NAME?</v>
      </c>
      <c r="F116" s="6" t="e">
        <f aca="false">sheet1!amq117</f>
        <v>#NAME?</v>
      </c>
      <c r="G116" s="6" t="e">
        <f aca="false">sheet1!amr117</f>
        <v>#NAME?</v>
      </c>
      <c r="H116" s="6" t="e">
        <f aca="false">sheet1!ams117</f>
        <v>#NAME?</v>
      </c>
      <c r="I116" s="6" t="e">
        <f aca="false">sheet1!amt117</f>
        <v>#NAME?</v>
      </c>
      <c r="J116" s="6" t="e">
        <f aca="false">sheet1!amu117</f>
        <v>#NAME?</v>
      </c>
      <c r="K116" s="6" t="e">
        <f aca="false">sheet1!amv117</f>
        <v>#NAME?</v>
      </c>
      <c r="L116" s="6" t="e">
        <f aca="false">sheet1!amw117</f>
        <v>#NAME?</v>
      </c>
      <c r="M116" s="6" t="e">
        <f aca="false">sheet1!amx117</f>
        <v>#NAME?</v>
      </c>
    </row>
    <row r="117" customFormat="false" ht="15.75" hidden="false" customHeight="false" outlineLevel="0" collapsed="false">
      <c r="A117" s="0" t="s">
        <v>58</v>
      </c>
      <c r="B117" s="1" t="n">
        <v>43977</v>
      </c>
      <c r="C117" s="6" t="e">
        <f aca="false">sheet1!amn118</f>
        <v>#NAME?</v>
      </c>
      <c r="D117" s="6" t="e">
        <f aca="false">sheet1!amo118</f>
        <v>#NAME?</v>
      </c>
      <c r="E117" s="6" t="e">
        <f aca="false">sheet1!amp118</f>
        <v>#NAME?</v>
      </c>
      <c r="F117" s="6" t="e">
        <f aca="false">sheet1!amq118</f>
        <v>#NAME?</v>
      </c>
      <c r="G117" s="6" t="e">
        <f aca="false">sheet1!amr118</f>
        <v>#NAME?</v>
      </c>
      <c r="H117" s="6" t="e">
        <f aca="false">sheet1!ams118</f>
        <v>#NAME?</v>
      </c>
      <c r="I117" s="6" t="e">
        <f aca="false">sheet1!amt118</f>
        <v>#NAME?</v>
      </c>
      <c r="J117" s="6" t="e">
        <f aca="false">sheet1!amu118</f>
        <v>#NAME?</v>
      </c>
      <c r="K117" s="6" t="e">
        <f aca="false">sheet1!amv118</f>
        <v>#NAME?</v>
      </c>
      <c r="L117" s="6" t="e">
        <f aca="false">sheet1!amw118</f>
        <v>#NAME?</v>
      </c>
      <c r="M117" s="6" t="e">
        <f aca="false">sheet1!amx118</f>
        <v>#NAME?</v>
      </c>
    </row>
    <row r="118" customFormat="false" ht="15.75" hidden="false" customHeight="false" outlineLevel="0" collapsed="false">
      <c r="A118" s="0" t="s">
        <v>58</v>
      </c>
      <c r="B118" s="1" t="n">
        <v>43978</v>
      </c>
      <c r="C118" s="6" t="e">
        <f aca="false">sheet1!amn119</f>
        <v>#NAME?</v>
      </c>
      <c r="D118" s="6" t="e">
        <f aca="false">sheet1!amo119</f>
        <v>#NAME?</v>
      </c>
      <c r="E118" s="6" t="e">
        <f aca="false">sheet1!amp119</f>
        <v>#NAME?</v>
      </c>
      <c r="F118" s="6" t="e">
        <f aca="false">sheet1!amq119</f>
        <v>#NAME?</v>
      </c>
      <c r="G118" s="6" t="e">
        <f aca="false">sheet1!amr119</f>
        <v>#NAME?</v>
      </c>
      <c r="H118" s="6" t="e">
        <f aca="false">sheet1!ams119</f>
        <v>#NAME?</v>
      </c>
      <c r="I118" s="6" t="e">
        <f aca="false">sheet1!amt119</f>
        <v>#NAME?</v>
      </c>
      <c r="J118" s="6" t="e">
        <f aca="false">sheet1!amu119</f>
        <v>#NAME?</v>
      </c>
      <c r="K118" s="6" t="e">
        <f aca="false">sheet1!amv119</f>
        <v>#NAME?</v>
      </c>
      <c r="L118" s="6" t="e">
        <f aca="false">sheet1!amw119</f>
        <v>#NAME?</v>
      </c>
      <c r="M118" s="6" t="e">
        <f aca="false">sheet1!amx119</f>
        <v>#NAME?</v>
      </c>
    </row>
    <row r="119" customFormat="false" ht="15.75" hidden="false" customHeight="false" outlineLevel="0" collapsed="false">
      <c r="A119" s="0" t="s">
        <v>58</v>
      </c>
      <c r="B119" s="1" t="n">
        <v>43979</v>
      </c>
      <c r="C119" s="6" t="e">
        <f aca="false">sheet1!amn120</f>
        <v>#NAME?</v>
      </c>
      <c r="D119" s="6" t="e">
        <f aca="false">sheet1!amo120</f>
        <v>#NAME?</v>
      </c>
      <c r="E119" s="6" t="e">
        <f aca="false">sheet1!amp120</f>
        <v>#NAME?</v>
      </c>
      <c r="F119" s="6" t="e">
        <f aca="false">sheet1!amq120</f>
        <v>#NAME?</v>
      </c>
      <c r="G119" s="6" t="e">
        <f aca="false">sheet1!amr120</f>
        <v>#NAME?</v>
      </c>
      <c r="H119" s="6" t="e">
        <f aca="false">sheet1!ams120</f>
        <v>#NAME?</v>
      </c>
      <c r="I119" s="6" t="e">
        <f aca="false">sheet1!amt120</f>
        <v>#NAME?</v>
      </c>
      <c r="J119" s="6" t="e">
        <f aca="false">sheet1!amu120</f>
        <v>#NAME?</v>
      </c>
      <c r="K119" s="6" t="e">
        <f aca="false">sheet1!amv120</f>
        <v>#NAME?</v>
      </c>
      <c r="L119" s="6" t="e">
        <f aca="false">sheet1!amw120</f>
        <v>#NAME?</v>
      </c>
      <c r="M119" s="6" t="e">
        <f aca="false">sheet1!amx120</f>
        <v>#NAME?</v>
      </c>
    </row>
    <row r="120" customFormat="false" ht="15.75" hidden="false" customHeight="false" outlineLevel="0" collapsed="false">
      <c r="A120" s="0" t="s">
        <v>58</v>
      </c>
      <c r="B120" s="1" t="n">
        <v>43980</v>
      </c>
      <c r="C120" s="6" t="e">
        <f aca="false">sheet1!amn121</f>
        <v>#NAME?</v>
      </c>
      <c r="D120" s="6" t="e">
        <f aca="false">sheet1!amo121</f>
        <v>#NAME?</v>
      </c>
      <c r="E120" s="6" t="e">
        <f aca="false">sheet1!amp121</f>
        <v>#NAME?</v>
      </c>
      <c r="F120" s="6" t="e">
        <f aca="false">sheet1!amq121</f>
        <v>#NAME?</v>
      </c>
      <c r="G120" s="6" t="e">
        <f aca="false">sheet1!amr121</f>
        <v>#NAME?</v>
      </c>
      <c r="H120" s="6" t="e">
        <f aca="false">sheet1!ams121</f>
        <v>#NAME?</v>
      </c>
      <c r="I120" s="6" t="e">
        <f aca="false">sheet1!amt121</f>
        <v>#NAME?</v>
      </c>
      <c r="J120" s="6" t="e">
        <f aca="false">sheet1!amu121</f>
        <v>#NAME?</v>
      </c>
      <c r="K120" s="6" t="e">
        <f aca="false">sheet1!amv121</f>
        <v>#NAME?</v>
      </c>
      <c r="L120" s="6" t="e">
        <f aca="false">sheet1!amw121</f>
        <v>#NAME?</v>
      </c>
      <c r="M120" s="6" t="e">
        <f aca="false">sheet1!amx121</f>
        <v>#NAME?</v>
      </c>
    </row>
    <row r="121" customFormat="false" ht="15.75" hidden="false" customHeight="false" outlineLevel="0" collapsed="false">
      <c r="A121" s="0" t="s">
        <v>58</v>
      </c>
      <c r="B121" s="1" t="n">
        <v>43981</v>
      </c>
      <c r="C121" s="6" t="e">
        <f aca="false">sheet1!amn122</f>
        <v>#NAME?</v>
      </c>
      <c r="D121" s="6" t="e">
        <f aca="false">sheet1!amo122</f>
        <v>#NAME?</v>
      </c>
      <c r="E121" s="6" t="e">
        <f aca="false">sheet1!amp122</f>
        <v>#NAME?</v>
      </c>
      <c r="F121" s="6" t="e">
        <f aca="false">sheet1!amq122</f>
        <v>#NAME?</v>
      </c>
      <c r="G121" s="6" t="e">
        <f aca="false">sheet1!amr122</f>
        <v>#NAME?</v>
      </c>
      <c r="H121" s="6" t="e">
        <f aca="false">sheet1!ams122</f>
        <v>#NAME?</v>
      </c>
      <c r="I121" s="6" t="e">
        <f aca="false">sheet1!amt122</f>
        <v>#NAME?</v>
      </c>
      <c r="J121" s="6" t="e">
        <f aca="false">sheet1!amu122</f>
        <v>#NAME?</v>
      </c>
      <c r="K121" s="6" t="e">
        <f aca="false">sheet1!amv122</f>
        <v>#NAME?</v>
      </c>
      <c r="L121" s="6" t="e">
        <f aca="false">sheet1!amw122</f>
        <v>#NAME?</v>
      </c>
      <c r="M121" s="6" t="e">
        <f aca="false">sheet1!amx122</f>
        <v>#NAME?</v>
      </c>
    </row>
    <row r="122" customFormat="false" ht="15.75" hidden="false" customHeight="false" outlineLevel="0" collapsed="false">
      <c r="A122" s="0" t="s">
        <v>58</v>
      </c>
      <c r="B122" s="1" t="n">
        <v>43982</v>
      </c>
      <c r="C122" s="6" t="e">
        <f aca="false">sheet1!amn123</f>
        <v>#NAME?</v>
      </c>
      <c r="D122" s="6" t="e">
        <f aca="false">sheet1!amo123</f>
        <v>#NAME?</v>
      </c>
      <c r="E122" s="6" t="e">
        <f aca="false">sheet1!amp123</f>
        <v>#NAME?</v>
      </c>
      <c r="F122" s="6" t="e">
        <f aca="false">sheet1!amq123</f>
        <v>#NAME?</v>
      </c>
      <c r="G122" s="6" t="e">
        <f aca="false">sheet1!amr123</f>
        <v>#NAME?</v>
      </c>
      <c r="H122" s="6" t="e">
        <f aca="false">sheet1!ams123</f>
        <v>#NAME?</v>
      </c>
      <c r="I122" s="6" t="e">
        <f aca="false">sheet1!amt123</f>
        <v>#NAME?</v>
      </c>
      <c r="J122" s="6" t="e">
        <f aca="false">sheet1!amu123</f>
        <v>#NAME?</v>
      </c>
      <c r="K122" s="6" t="e">
        <f aca="false">sheet1!amv123</f>
        <v>#NAME?</v>
      </c>
      <c r="L122" s="6" t="e">
        <f aca="false">sheet1!amw123</f>
        <v>#NAME?</v>
      </c>
      <c r="M122" s="6" t="e">
        <f aca="false">sheet1!amx123</f>
        <v>#NAME?</v>
      </c>
    </row>
    <row r="123" customFormat="false" ht="15.75" hidden="false" customHeight="false" outlineLevel="0" collapsed="false">
      <c r="A123" s="0" t="s">
        <v>58</v>
      </c>
      <c r="B123" s="1" t="n">
        <v>43983</v>
      </c>
      <c r="C123" s="6" t="e">
        <f aca="false">sheet1!amn124</f>
        <v>#NAME?</v>
      </c>
      <c r="D123" s="6" t="e">
        <f aca="false">sheet1!amo124</f>
        <v>#NAME?</v>
      </c>
      <c r="E123" s="6" t="e">
        <f aca="false">sheet1!amp124</f>
        <v>#NAME?</v>
      </c>
      <c r="F123" s="6" t="e">
        <f aca="false">sheet1!amq124</f>
        <v>#NAME?</v>
      </c>
      <c r="G123" s="6" t="e">
        <f aca="false">sheet1!amr124</f>
        <v>#NAME?</v>
      </c>
      <c r="H123" s="6" t="e">
        <f aca="false">sheet1!ams124</f>
        <v>#NAME?</v>
      </c>
      <c r="I123" s="6" t="e">
        <f aca="false">sheet1!amt124</f>
        <v>#NAME?</v>
      </c>
      <c r="J123" s="6" t="e">
        <f aca="false">sheet1!amu124</f>
        <v>#NAME?</v>
      </c>
      <c r="K123" s="6" t="e">
        <f aca="false">sheet1!amv124</f>
        <v>#NAME?</v>
      </c>
      <c r="L123" s="6" t="e">
        <f aca="false">sheet1!amw124</f>
        <v>#NAME?</v>
      </c>
      <c r="M123" s="6" t="e">
        <f aca="false">sheet1!amx124</f>
        <v>#NAME?</v>
      </c>
    </row>
    <row r="124" customFormat="false" ht="15.75" hidden="false" customHeight="false" outlineLevel="0" collapsed="false">
      <c r="A124" s="0" t="s">
        <v>58</v>
      </c>
      <c r="B124" s="1" t="n">
        <v>43984</v>
      </c>
      <c r="C124" s="6" t="e">
        <f aca="false">sheet1!amn125</f>
        <v>#NAME?</v>
      </c>
      <c r="D124" s="6" t="e">
        <f aca="false">sheet1!amo125</f>
        <v>#NAME?</v>
      </c>
      <c r="E124" s="6" t="e">
        <f aca="false">sheet1!amp125</f>
        <v>#NAME?</v>
      </c>
      <c r="F124" s="6" t="e">
        <f aca="false">sheet1!amq125</f>
        <v>#NAME?</v>
      </c>
      <c r="G124" s="6" t="e">
        <f aca="false">sheet1!amr125</f>
        <v>#NAME?</v>
      </c>
      <c r="H124" s="6" t="e">
        <f aca="false">sheet1!ams125</f>
        <v>#NAME?</v>
      </c>
      <c r="I124" s="6" t="e">
        <f aca="false">sheet1!amt125</f>
        <v>#NAME?</v>
      </c>
      <c r="J124" s="6" t="e">
        <f aca="false">sheet1!amu125</f>
        <v>#NAME?</v>
      </c>
      <c r="K124" s="6" t="e">
        <f aca="false">sheet1!amv125</f>
        <v>#NAME?</v>
      </c>
      <c r="L124" s="6" t="e">
        <f aca="false">sheet1!amw125</f>
        <v>#NAME?</v>
      </c>
      <c r="M124" s="6" t="e">
        <f aca="false">sheet1!amx125</f>
        <v>#NAME?</v>
      </c>
    </row>
    <row r="125" customFormat="false" ht="15.75" hidden="false" customHeight="false" outlineLevel="0" collapsed="false">
      <c r="A125" s="0" t="s">
        <v>58</v>
      </c>
      <c r="B125" s="1" t="n">
        <v>43985</v>
      </c>
      <c r="C125" s="6" t="e">
        <f aca="false">sheet1!amn126</f>
        <v>#NAME?</v>
      </c>
      <c r="D125" s="6" t="e">
        <f aca="false">sheet1!amo126</f>
        <v>#NAME?</v>
      </c>
      <c r="E125" s="6" t="e">
        <f aca="false">sheet1!amp126</f>
        <v>#NAME?</v>
      </c>
      <c r="F125" s="6" t="e">
        <f aca="false">sheet1!amq126</f>
        <v>#NAME?</v>
      </c>
      <c r="G125" s="6" t="e">
        <f aca="false">sheet1!amr126</f>
        <v>#NAME?</v>
      </c>
      <c r="H125" s="6" t="e">
        <f aca="false">sheet1!ams126</f>
        <v>#NAME?</v>
      </c>
      <c r="I125" s="6" t="e">
        <f aca="false">sheet1!amt126</f>
        <v>#NAME?</v>
      </c>
      <c r="J125" s="6" t="e">
        <f aca="false">sheet1!amu126</f>
        <v>#NAME?</v>
      </c>
      <c r="K125" s="6" t="e">
        <f aca="false">sheet1!amv126</f>
        <v>#NAME?</v>
      </c>
      <c r="L125" s="6" t="e">
        <f aca="false">sheet1!amw126</f>
        <v>#NAME?</v>
      </c>
      <c r="M125" s="6" t="e">
        <f aca="false">sheet1!amx126</f>
        <v>#NAME?</v>
      </c>
    </row>
    <row r="126" customFormat="false" ht="15.75" hidden="false" customHeight="false" outlineLevel="0" collapsed="false">
      <c r="A126" s="0" t="s">
        <v>58</v>
      </c>
      <c r="B126" s="1" t="n">
        <v>43986</v>
      </c>
      <c r="C126" s="6" t="e">
        <f aca="false">sheet1!amn127</f>
        <v>#NAME?</v>
      </c>
      <c r="D126" s="6" t="e">
        <f aca="false">sheet1!amo127</f>
        <v>#NAME?</v>
      </c>
      <c r="E126" s="6" t="e">
        <f aca="false">sheet1!amp127</f>
        <v>#NAME?</v>
      </c>
      <c r="F126" s="6" t="e">
        <f aca="false">sheet1!amq127</f>
        <v>#NAME?</v>
      </c>
      <c r="G126" s="6" t="e">
        <f aca="false">sheet1!amr127</f>
        <v>#NAME?</v>
      </c>
      <c r="H126" s="6" t="e">
        <f aca="false">sheet1!ams127</f>
        <v>#NAME?</v>
      </c>
      <c r="I126" s="6" t="e">
        <f aca="false">sheet1!amt127</f>
        <v>#NAME?</v>
      </c>
      <c r="J126" s="6" t="e">
        <f aca="false">sheet1!amu127</f>
        <v>#NAME?</v>
      </c>
      <c r="K126" s="6" t="e">
        <f aca="false">sheet1!amv127</f>
        <v>#NAME?</v>
      </c>
      <c r="L126" s="6" t="e">
        <f aca="false">sheet1!amw127</f>
        <v>#NAME?</v>
      </c>
      <c r="M126" s="6" t="e">
        <f aca="false">sheet1!amx127</f>
        <v>#NAME?</v>
      </c>
    </row>
    <row r="127" customFormat="false" ht="15.75" hidden="false" customHeight="false" outlineLevel="0" collapsed="false">
      <c r="A127" s="0" t="s">
        <v>58</v>
      </c>
      <c r="B127" s="1" t="n">
        <v>43987</v>
      </c>
      <c r="C127" s="6" t="e">
        <f aca="false">sheet1!amn128</f>
        <v>#NAME?</v>
      </c>
      <c r="D127" s="6" t="e">
        <f aca="false">sheet1!amo128</f>
        <v>#NAME?</v>
      </c>
      <c r="E127" s="6" t="e">
        <f aca="false">sheet1!amp128</f>
        <v>#NAME?</v>
      </c>
      <c r="F127" s="6" t="e">
        <f aca="false">sheet1!amq128</f>
        <v>#NAME?</v>
      </c>
      <c r="G127" s="6" t="e">
        <f aca="false">sheet1!amr128</f>
        <v>#NAME?</v>
      </c>
      <c r="H127" s="6" t="e">
        <f aca="false">sheet1!ams128</f>
        <v>#NAME?</v>
      </c>
      <c r="I127" s="6" t="e">
        <f aca="false">sheet1!amt128</f>
        <v>#NAME?</v>
      </c>
      <c r="J127" s="6" t="e">
        <f aca="false">sheet1!amu128</f>
        <v>#NAME?</v>
      </c>
      <c r="K127" s="6" t="e">
        <f aca="false">sheet1!amv128</f>
        <v>#NAME?</v>
      </c>
      <c r="L127" s="6" t="e">
        <f aca="false">sheet1!amw128</f>
        <v>#NAME?</v>
      </c>
      <c r="M127" s="6" t="e">
        <f aca="false">sheet1!amx128</f>
        <v>#NAME?</v>
      </c>
    </row>
    <row r="128" customFormat="false" ht="15.75" hidden="false" customHeight="false" outlineLevel="0" collapsed="false">
      <c r="A128" s="0" t="s">
        <v>58</v>
      </c>
      <c r="B128" s="1" t="n">
        <v>43988</v>
      </c>
      <c r="C128" s="6" t="e">
        <f aca="false">sheet1!amn129</f>
        <v>#NAME?</v>
      </c>
      <c r="D128" s="6" t="e">
        <f aca="false">sheet1!amo129</f>
        <v>#NAME?</v>
      </c>
      <c r="E128" s="6" t="e">
        <f aca="false">sheet1!amp129</f>
        <v>#NAME?</v>
      </c>
      <c r="F128" s="6" t="e">
        <f aca="false">sheet1!amq129</f>
        <v>#NAME?</v>
      </c>
      <c r="G128" s="6" t="e">
        <f aca="false">sheet1!amr129</f>
        <v>#NAME?</v>
      </c>
      <c r="H128" s="6" t="e">
        <f aca="false">sheet1!ams129</f>
        <v>#NAME?</v>
      </c>
      <c r="I128" s="6" t="e">
        <f aca="false">sheet1!amt129</f>
        <v>#NAME?</v>
      </c>
      <c r="J128" s="6" t="e">
        <f aca="false">sheet1!amu129</f>
        <v>#NAME?</v>
      </c>
      <c r="K128" s="6" t="e">
        <f aca="false">sheet1!amv129</f>
        <v>#NAME?</v>
      </c>
      <c r="L128" s="6" t="e">
        <f aca="false">sheet1!amw129</f>
        <v>#NAME?</v>
      </c>
      <c r="M128" s="6" t="e">
        <f aca="false">sheet1!amx129</f>
        <v>#NAME?</v>
      </c>
    </row>
    <row r="129" customFormat="false" ht="15.75" hidden="false" customHeight="false" outlineLevel="0" collapsed="false">
      <c r="A129" s="0" t="s">
        <v>58</v>
      </c>
      <c r="B129" s="1" t="n">
        <v>43989</v>
      </c>
      <c r="C129" s="6" t="e">
        <f aca="false">sheet1!amn130</f>
        <v>#NAME?</v>
      </c>
      <c r="D129" s="6" t="e">
        <f aca="false">sheet1!amo130</f>
        <v>#NAME?</v>
      </c>
      <c r="E129" s="6" t="e">
        <f aca="false">sheet1!amp130</f>
        <v>#NAME?</v>
      </c>
      <c r="F129" s="6" t="e">
        <f aca="false">sheet1!amq130</f>
        <v>#NAME?</v>
      </c>
      <c r="G129" s="6" t="e">
        <f aca="false">sheet1!amr130</f>
        <v>#NAME?</v>
      </c>
      <c r="H129" s="6" t="e">
        <f aca="false">sheet1!ams130</f>
        <v>#NAME?</v>
      </c>
      <c r="I129" s="6" t="e">
        <f aca="false">sheet1!amt130</f>
        <v>#NAME?</v>
      </c>
      <c r="J129" s="6" t="e">
        <f aca="false">sheet1!amu130</f>
        <v>#NAME?</v>
      </c>
      <c r="K129" s="6" t="e">
        <f aca="false">sheet1!amv130</f>
        <v>#NAME?</v>
      </c>
      <c r="L129" s="6" t="e">
        <f aca="false">sheet1!amw130</f>
        <v>#NAME?</v>
      </c>
      <c r="M129" s="6" t="e">
        <f aca="false">sheet1!amx130</f>
        <v>#NAME?</v>
      </c>
    </row>
    <row r="130" customFormat="false" ht="15.75" hidden="false" customHeight="false" outlineLevel="0" collapsed="false">
      <c r="A130" s="0" t="s">
        <v>58</v>
      </c>
      <c r="B130" s="1" t="n">
        <v>43990</v>
      </c>
      <c r="C130" s="6" t="e">
        <f aca="false">sheet1!amn131</f>
        <v>#NAME?</v>
      </c>
      <c r="D130" s="6" t="e">
        <f aca="false">sheet1!amo131</f>
        <v>#NAME?</v>
      </c>
      <c r="E130" s="6" t="e">
        <f aca="false">sheet1!amp131</f>
        <v>#NAME?</v>
      </c>
      <c r="F130" s="6" t="e">
        <f aca="false">sheet1!amq131</f>
        <v>#NAME?</v>
      </c>
      <c r="G130" s="6" t="e">
        <f aca="false">sheet1!amr131</f>
        <v>#NAME?</v>
      </c>
      <c r="H130" s="6" t="e">
        <f aca="false">sheet1!ams131</f>
        <v>#NAME?</v>
      </c>
      <c r="I130" s="6" t="e">
        <f aca="false">sheet1!amt131</f>
        <v>#NAME?</v>
      </c>
      <c r="J130" s="6" t="e">
        <f aca="false">sheet1!amu131</f>
        <v>#NAME?</v>
      </c>
      <c r="K130" s="6" t="e">
        <f aca="false">sheet1!amv131</f>
        <v>#NAME?</v>
      </c>
      <c r="L130" s="6" t="e">
        <f aca="false">sheet1!amw131</f>
        <v>#NAME?</v>
      </c>
      <c r="M130" s="6" t="e">
        <f aca="false">sheet1!amx131</f>
        <v>#NAME?</v>
      </c>
    </row>
    <row r="131" customFormat="false" ht="15.75" hidden="false" customHeight="false" outlineLevel="0" collapsed="false">
      <c r="A131" s="0" t="s">
        <v>58</v>
      </c>
      <c r="B131" s="1" t="n">
        <v>43991</v>
      </c>
      <c r="C131" s="6" t="e">
        <f aca="false">sheet1!amn132</f>
        <v>#NAME?</v>
      </c>
      <c r="D131" s="6" t="e">
        <f aca="false">sheet1!amo132</f>
        <v>#NAME?</v>
      </c>
      <c r="E131" s="6" t="e">
        <f aca="false">sheet1!amp132</f>
        <v>#NAME?</v>
      </c>
      <c r="F131" s="6" t="e">
        <f aca="false">sheet1!amq132</f>
        <v>#NAME?</v>
      </c>
      <c r="G131" s="6" t="e">
        <f aca="false">sheet1!amr132</f>
        <v>#NAME?</v>
      </c>
      <c r="H131" s="6" t="e">
        <f aca="false">sheet1!ams132</f>
        <v>#NAME?</v>
      </c>
      <c r="I131" s="6" t="e">
        <f aca="false">sheet1!amt132</f>
        <v>#NAME?</v>
      </c>
      <c r="J131" s="6" t="e">
        <f aca="false">sheet1!amu132</f>
        <v>#NAME?</v>
      </c>
      <c r="K131" s="6" t="e">
        <f aca="false">sheet1!amv132</f>
        <v>#NAME?</v>
      </c>
      <c r="L131" s="6" t="e">
        <f aca="false">sheet1!amw132</f>
        <v>#NAME?</v>
      </c>
      <c r="M131" s="6" t="e">
        <f aca="false">sheet1!amx132</f>
        <v>#NAME?</v>
      </c>
    </row>
    <row r="132" customFormat="false" ht="15.75" hidden="false" customHeight="false" outlineLevel="0" collapsed="false">
      <c r="A132" s="0" t="s">
        <v>58</v>
      </c>
      <c r="B132" s="1" t="n">
        <v>43992</v>
      </c>
      <c r="C132" s="6" t="e">
        <f aca="false">sheet1!amn133</f>
        <v>#NAME?</v>
      </c>
      <c r="D132" s="6" t="e">
        <f aca="false">sheet1!amo133</f>
        <v>#NAME?</v>
      </c>
      <c r="E132" s="6" t="e">
        <f aca="false">sheet1!amp133</f>
        <v>#NAME?</v>
      </c>
      <c r="F132" s="6" t="e">
        <f aca="false">sheet1!amq133</f>
        <v>#NAME?</v>
      </c>
      <c r="G132" s="6" t="e">
        <f aca="false">sheet1!amr133</f>
        <v>#NAME?</v>
      </c>
      <c r="H132" s="6" t="e">
        <f aca="false">sheet1!ams133</f>
        <v>#NAME?</v>
      </c>
      <c r="I132" s="6" t="e">
        <f aca="false">sheet1!amt133</f>
        <v>#NAME?</v>
      </c>
      <c r="J132" s="6" t="e">
        <f aca="false">sheet1!amu133</f>
        <v>#NAME?</v>
      </c>
      <c r="K132" s="6" t="e">
        <f aca="false">sheet1!amv133</f>
        <v>#NAME?</v>
      </c>
      <c r="L132" s="6" t="e">
        <f aca="false">sheet1!amw133</f>
        <v>#NAME?</v>
      </c>
      <c r="M132" s="6" t="e">
        <f aca="false">sheet1!amx133</f>
        <v>#NAME?</v>
      </c>
    </row>
    <row r="133" customFormat="false" ht="15.75" hidden="false" customHeight="false" outlineLevel="0" collapsed="false">
      <c r="A133" s="0" t="s">
        <v>58</v>
      </c>
      <c r="B133" s="1" t="n">
        <v>43993</v>
      </c>
      <c r="C133" s="6" t="e">
        <f aca="false">sheet1!amn134</f>
        <v>#NAME?</v>
      </c>
      <c r="D133" s="6" t="e">
        <f aca="false">sheet1!amo134</f>
        <v>#NAME?</v>
      </c>
      <c r="E133" s="6" t="e">
        <f aca="false">sheet1!amp134</f>
        <v>#NAME?</v>
      </c>
      <c r="F133" s="6" t="e">
        <f aca="false">sheet1!amq134</f>
        <v>#NAME?</v>
      </c>
      <c r="G133" s="6" t="e">
        <f aca="false">sheet1!amr134</f>
        <v>#NAME?</v>
      </c>
      <c r="H133" s="6" t="e">
        <f aca="false">sheet1!ams134</f>
        <v>#NAME?</v>
      </c>
      <c r="I133" s="6" t="e">
        <f aca="false">sheet1!amt134</f>
        <v>#NAME?</v>
      </c>
      <c r="J133" s="6" t="e">
        <f aca="false">sheet1!amu134</f>
        <v>#NAME?</v>
      </c>
      <c r="K133" s="6" t="e">
        <f aca="false">sheet1!amv134</f>
        <v>#NAME?</v>
      </c>
      <c r="L133" s="6" t="e">
        <f aca="false">sheet1!amw134</f>
        <v>#NAME?</v>
      </c>
      <c r="M133" s="6" t="e">
        <f aca="false">sheet1!amx134</f>
        <v>#NAME?</v>
      </c>
    </row>
    <row r="134" customFormat="false" ht="15.75" hidden="false" customHeight="false" outlineLevel="0" collapsed="false">
      <c r="A134" s="0" t="s">
        <v>58</v>
      </c>
      <c r="B134" s="1" t="n">
        <v>43994</v>
      </c>
      <c r="C134" s="6" t="e">
        <f aca="false">sheet1!amn135</f>
        <v>#NAME?</v>
      </c>
      <c r="D134" s="6" t="e">
        <f aca="false">sheet1!amo135</f>
        <v>#NAME?</v>
      </c>
      <c r="E134" s="6" t="e">
        <f aca="false">sheet1!amp135</f>
        <v>#NAME?</v>
      </c>
      <c r="F134" s="6" t="e">
        <f aca="false">sheet1!amq135</f>
        <v>#NAME?</v>
      </c>
      <c r="G134" s="6" t="e">
        <f aca="false">sheet1!amr135</f>
        <v>#NAME?</v>
      </c>
      <c r="H134" s="6" t="e">
        <f aca="false">sheet1!ams135</f>
        <v>#NAME?</v>
      </c>
      <c r="I134" s="6" t="e">
        <f aca="false">sheet1!amt135</f>
        <v>#NAME?</v>
      </c>
      <c r="J134" s="6" t="e">
        <f aca="false">sheet1!amu135</f>
        <v>#NAME?</v>
      </c>
      <c r="K134" s="6" t="e">
        <f aca="false">sheet1!amv135</f>
        <v>#NAME?</v>
      </c>
      <c r="L134" s="6" t="e">
        <f aca="false">sheet1!amw135</f>
        <v>#NAME?</v>
      </c>
      <c r="M134" s="6" t="e">
        <f aca="false">sheet1!amx135</f>
        <v>#NAME?</v>
      </c>
    </row>
    <row r="135" customFormat="false" ht="15.75" hidden="false" customHeight="false" outlineLevel="0" collapsed="false">
      <c r="A135" s="0" t="s">
        <v>58</v>
      </c>
      <c r="B135" s="1" t="n">
        <v>43995</v>
      </c>
      <c r="C135" s="6" t="e">
        <f aca="false">sheet1!amn136</f>
        <v>#NAME?</v>
      </c>
      <c r="D135" s="6" t="e">
        <f aca="false">sheet1!amo136</f>
        <v>#NAME?</v>
      </c>
      <c r="E135" s="6" t="e">
        <f aca="false">sheet1!amp136</f>
        <v>#NAME?</v>
      </c>
      <c r="F135" s="6" t="e">
        <f aca="false">sheet1!amq136</f>
        <v>#NAME?</v>
      </c>
      <c r="G135" s="6" t="e">
        <f aca="false">sheet1!amr136</f>
        <v>#NAME?</v>
      </c>
      <c r="H135" s="6" t="e">
        <f aca="false">sheet1!ams136</f>
        <v>#NAME?</v>
      </c>
      <c r="I135" s="6" t="e">
        <f aca="false">sheet1!amt136</f>
        <v>#NAME?</v>
      </c>
      <c r="J135" s="6" t="e">
        <f aca="false">sheet1!amu136</f>
        <v>#NAME?</v>
      </c>
      <c r="K135" s="6" t="e">
        <f aca="false">sheet1!amv136</f>
        <v>#NAME?</v>
      </c>
      <c r="L135" s="6" t="e">
        <f aca="false">sheet1!amw136</f>
        <v>#NAME?</v>
      </c>
      <c r="M135" s="6" t="e">
        <f aca="false">sheet1!amx136</f>
        <v>#NAME?</v>
      </c>
    </row>
    <row r="136" customFormat="false" ht="15.75" hidden="false" customHeight="false" outlineLevel="0" collapsed="false">
      <c r="A136" s="0" t="s">
        <v>58</v>
      </c>
      <c r="B136" s="1" t="n">
        <v>43996</v>
      </c>
      <c r="C136" s="6" t="e">
        <f aca="false">sheet1!amn137</f>
        <v>#NAME?</v>
      </c>
      <c r="D136" s="6" t="e">
        <f aca="false">sheet1!amo137</f>
        <v>#NAME?</v>
      </c>
      <c r="E136" s="6" t="e">
        <f aca="false">sheet1!amp137</f>
        <v>#NAME?</v>
      </c>
      <c r="F136" s="6" t="e">
        <f aca="false">sheet1!amq137</f>
        <v>#NAME?</v>
      </c>
      <c r="G136" s="6" t="e">
        <f aca="false">sheet1!amr137</f>
        <v>#NAME?</v>
      </c>
      <c r="H136" s="6" t="e">
        <f aca="false">sheet1!ams137</f>
        <v>#NAME?</v>
      </c>
      <c r="I136" s="6" t="e">
        <f aca="false">sheet1!amt137</f>
        <v>#NAME?</v>
      </c>
      <c r="J136" s="6" t="e">
        <f aca="false">sheet1!amu137</f>
        <v>#NAME?</v>
      </c>
      <c r="K136" s="6" t="e">
        <f aca="false">sheet1!amv137</f>
        <v>#NAME?</v>
      </c>
      <c r="L136" s="6" t="e">
        <f aca="false">sheet1!amw137</f>
        <v>#NAME?</v>
      </c>
      <c r="M136" s="6" t="e">
        <f aca="false">sheet1!amx137</f>
        <v>#NAME?</v>
      </c>
    </row>
    <row r="137" customFormat="false" ht="15.75" hidden="false" customHeight="false" outlineLevel="0" collapsed="false">
      <c r="A137" s="0" t="s">
        <v>58</v>
      </c>
      <c r="B137" s="1" t="n">
        <v>43997</v>
      </c>
      <c r="C137" s="6" t="e">
        <f aca="false">sheet1!amn138</f>
        <v>#NAME?</v>
      </c>
      <c r="D137" s="6" t="e">
        <f aca="false">sheet1!amo138</f>
        <v>#NAME?</v>
      </c>
      <c r="E137" s="6" t="e">
        <f aca="false">sheet1!amp138</f>
        <v>#NAME?</v>
      </c>
      <c r="F137" s="6" t="e">
        <f aca="false">sheet1!amq138</f>
        <v>#NAME?</v>
      </c>
      <c r="G137" s="6" t="e">
        <f aca="false">sheet1!amr138</f>
        <v>#NAME?</v>
      </c>
      <c r="H137" s="6" t="e">
        <f aca="false">sheet1!ams138</f>
        <v>#NAME?</v>
      </c>
      <c r="I137" s="6" t="e">
        <f aca="false">sheet1!amt138</f>
        <v>#NAME?</v>
      </c>
      <c r="J137" s="6" t="e">
        <f aca="false">sheet1!amu138</f>
        <v>#NAME?</v>
      </c>
      <c r="K137" s="6" t="e">
        <f aca="false">sheet1!amv138</f>
        <v>#NAME?</v>
      </c>
      <c r="L137" s="6" t="e">
        <f aca="false">sheet1!amw138</f>
        <v>#NAME?</v>
      </c>
      <c r="M137" s="6" t="e">
        <f aca="false">sheet1!amx138</f>
        <v>#NAME?</v>
      </c>
    </row>
    <row r="138" customFormat="false" ht="15.75" hidden="false" customHeight="false" outlineLevel="0" collapsed="false">
      <c r="A138" s="0" t="s">
        <v>58</v>
      </c>
      <c r="B138" s="1" t="n">
        <v>43998</v>
      </c>
      <c r="C138" s="6" t="e">
        <f aca="false">sheet1!amn139</f>
        <v>#NAME?</v>
      </c>
      <c r="D138" s="6" t="e">
        <f aca="false">sheet1!amo139</f>
        <v>#NAME?</v>
      </c>
      <c r="E138" s="6" t="e">
        <f aca="false">sheet1!amp139</f>
        <v>#NAME?</v>
      </c>
      <c r="F138" s="6" t="e">
        <f aca="false">sheet1!amq139</f>
        <v>#NAME?</v>
      </c>
      <c r="G138" s="6" t="e">
        <f aca="false">sheet1!amr139</f>
        <v>#NAME?</v>
      </c>
      <c r="H138" s="6" t="e">
        <f aca="false">sheet1!ams139</f>
        <v>#NAME?</v>
      </c>
      <c r="I138" s="6" t="e">
        <f aca="false">sheet1!amt139</f>
        <v>#NAME?</v>
      </c>
      <c r="J138" s="6" t="e">
        <f aca="false">sheet1!amu139</f>
        <v>#NAME?</v>
      </c>
      <c r="K138" s="6" t="e">
        <f aca="false">sheet1!amv139</f>
        <v>#NAME?</v>
      </c>
      <c r="L138" s="6" t="e">
        <f aca="false">sheet1!amw139</f>
        <v>#NAME?</v>
      </c>
      <c r="M138" s="6" t="e">
        <f aca="false">sheet1!amx139</f>
        <v>#NAME?</v>
      </c>
    </row>
    <row r="139" customFormat="false" ht="15.75" hidden="false" customHeight="false" outlineLevel="0" collapsed="false">
      <c r="A139" s="0" t="s">
        <v>58</v>
      </c>
      <c r="B139" s="1" t="n">
        <v>43999</v>
      </c>
      <c r="C139" s="6" t="e">
        <f aca="false">sheet1!amn140</f>
        <v>#NAME?</v>
      </c>
      <c r="D139" s="6" t="e">
        <f aca="false">sheet1!amo140</f>
        <v>#NAME?</v>
      </c>
      <c r="E139" s="6" t="e">
        <f aca="false">sheet1!amp140</f>
        <v>#NAME?</v>
      </c>
      <c r="F139" s="6" t="e">
        <f aca="false">sheet1!amq140</f>
        <v>#NAME?</v>
      </c>
      <c r="G139" s="6" t="e">
        <f aca="false">sheet1!amr140</f>
        <v>#NAME?</v>
      </c>
      <c r="H139" s="6" t="e">
        <f aca="false">sheet1!ams140</f>
        <v>#NAME?</v>
      </c>
      <c r="I139" s="6" t="e">
        <f aca="false">sheet1!amt140</f>
        <v>#NAME?</v>
      </c>
      <c r="J139" s="6" t="e">
        <f aca="false">sheet1!amu140</f>
        <v>#NAME?</v>
      </c>
      <c r="K139" s="6" t="e">
        <f aca="false">sheet1!amv140</f>
        <v>#NAME?</v>
      </c>
      <c r="L139" s="6" t="e">
        <f aca="false">sheet1!amw140</f>
        <v>#NAME?</v>
      </c>
      <c r="M139" s="6" t="e">
        <f aca="false">sheet1!amx140</f>
        <v>#NAME?</v>
      </c>
    </row>
    <row r="140" customFormat="false" ht="15.75" hidden="false" customHeight="false" outlineLevel="0" collapsed="false">
      <c r="A140" s="0" t="s">
        <v>58</v>
      </c>
      <c r="B140" s="1" t="n">
        <v>44000</v>
      </c>
      <c r="C140" s="6" t="e">
        <f aca="false">sheet1!amn141</f>
        <v>#NAME?</v>
      </c>
      <c r="D140" s="6" t="e">
        <f aca="false">sheet1!amo141</f>
        <v>#NAME?</v>
      </c>
      <c r="E140" s="6" t="e">
        <f aca="false">sheet1!amp141</f>
        <v>#NAME?</v>
      </c>
      <c r="F140" s="6" t="e">
        <f aca="false">sheet1!amq141</f>
        <v>#NAME?</v>
      </c>
      <c r="G140" s="6" t="e">
        <f aca="false">sheet1!amr141</f>
        <v>#NAME?</v>
      </c>
      <c r="H140" s="6" t="e">
        <f aca="false">sheet1!ams141</f>
        <v>#NAME?</v>
      </c>
      <c r="I140" s="6" t="e">
        <f aca="false">sheet1!amt141</f>
        <v>#NAME?</v>
      </c>
      <c r="J140" s="6" t="e">
        <f aca="false">sheet1!amu141</f>
        <v>#NAME?</v>
      </c>
      <c r="K140" s="6" t="e">
        <f aca="false">sheet1!amv141</f>
        <v>#NAME?</v>
      </c>
      <c r="L140" s="6" t="e">
        <f aca="false">sheet1!amw141</f>
        <v>#NAME?</v>
      </c>
      <c r="M140" s="6" t="e">
        <f aca="false">sheet1!amx141</f>
        <v>#NAME?</v>
      </c>
    </row>
    <row r="141" customFormat="false" ht="15.75" hidden="false" customHeight="false" outlineLevel="0" collapsed="false">
      <c r="A141" s="0" t="s">
        <v>58</v>
      </c>
      <c r="B141" s="1" t="n">
        <v>44001</v>
      </c>
      <c r="C141" s="6" t="e">
        <f aca="false">sheet1!amn142</f>
        <v>#NAME?</v>
      </c>
      <c r="D141" s="6" t="e">
        <f aca="false">sheet1!amo142</f>
        <v>#NAME?</v>
      </c>
      <c r="E141" s="6" t="e">
        <f aca="false">sheet1!amp142</f>
        <v>#NAME?</v>
      </c>
      <c r="F141" s="6" t="e">
        <f aca="false">sheet1!amq142</f>
        <v>#NAME?</v>
      </c>
      <c r="G141" s="6" t="e">
        <f aca="false">sheet1!amr142</f>
        <v>#NAME?</v>
      </c>
      <c r="H141" s="6" t="e">
        <f aca="false">sheet1!ams142</f>
        <v>#NAME?</v>
      </c>
      <c r="I141" s="6" t="e">
        <f aca="false">sheet1!amt142</f>
        <v>#NAME?</v>
      </c>
      <c r="J141" s="6" t="e">
        <f aca="false">sheet1!amu142</f>
        <v>#NAME?</v>
      </c>
      <c r="K141" s="6" t="e">
        <f aca="false">sheet1!amv142</f>
        <v>#NAME?</v>
      </c>
      <c r="L141" s="6" t="e">
        <f aca="false">sheet1!amw142</f>
        <v>#NAME?</v>
      </c>
      <c r="M141" s="6" t="e">
        <f aca="false">sheet1!amx142</f>
        <v>#NAME?</v>
      </c>
    </row>
    <row r="142" customFormat="false" ht="15.75" hidden="false" customHeight="false" outlineLevel="0" collapsed="false">
      <c r="A142" s="0" t="s">
        <v>58</v>
      </c>
      <c r="B142" s="1" t="n">
        <v>44002</v>
      </c>
      <c r="C142" s="6" t="e">
        <f aca="false">sheet1!amn143</f>
        <v>#NAME?</v>
      </c>
      <c r="D142" s="6" t="e">
        <f aca="false">sheet1!amo143</f>
        <v>#NAME?</v>
      </c>
      <c r="E142" s="6" t="e">
        <f aca="false">sheet1!amp143</f>
        <v>#NAME?</v>
      </c>
      <c r="F142" s="6" t="e">
        <f aca="false">sheet1!amq143</f>
        <v>#NAME?</v>
      </c>
      <c r="G142" s="6" t="e">
        <f aca="false">sheet1!amr143</f>
        <v>#NAME?</v>
      </c>
      <c r="H142" s="6" t="e">
        <f aca="false">sheet1!ams143</f>
        <v>#NAME?</v>
      </c>
      <c r="I142" s="6" t="e">
        <f aca="false">sheet1!amt143</f>
        <v>#NAME?</v>
      </c>
      <c r="J142" s="6" t="e">
        <f aca="false">sheet1!amu143</f>
        <v>#NAME?</v>
      </c>
      <c r="K142" s="6" t="e">
        <f aca="false">sheet1!amv143</f>
        <v>#NAME?</v>
      </c>
      <c r="L142" s="6" t="e">
        <f aca="false">sheet1!amw143</f>
        <v>#NAME?</v>
      </c>
      <c r="M142" s="6" t="e">
        <f aca="false">sheet1!amx143</f>
        <v>#NAME?</v>
      </c>
    </row>
    <row r="143" customFormat="false" ht="15.75" hidden="false" customHeight="false" outlineLevel="0" collapsed="false">
      <c r="A143" s="0" t="s">
        <v>58</v>
      </c>
      <c r="B143" s="1" t="n">
        <v>44003</v>
      </c>
      <c r="C143" s="6" t="e">
        <f aca="false">sheet1!amn144</f>
        <v>#NAME?</v>
      </c>
      <c r="D143" s="6" t="e">
        <f aca="false">sheet1!amo144</f>
        <v>#NAME?</v>
      </c>
      <c r="E143" s="6" t="e">
        <f aca="false">sheet1!amp144</f>
        <v>#NAME?</v>
      </c>
      <c r="F143" s="6" t="e">
        <f aca="false">sheet1!amq144</f>
        <v>#NAME?</v>
      </c>
      <c r="G143" s="6" t="e">
        <f aca="false">sheet1!amr144</f>
        <v>#NAME?</v>
      </c>
      <c r="H143" s="6" t="e">
        <f aca="false">sheet1!ams144</f>
        <v>#NAME?</v>
      </c>
      <c r="I143" s="6" t="e">
        <f aca="false">sheet1!amt144</f>
        <v>#NAME?</v>
      </c>
      <c r="J143" s="6" t="e">
        <f aca="false">sheet1!amu144</f>
        <v>#NAME?</v>
      </c>
      <c r="K143" s="6" t="e">
        <f aca="false">sheet1!amv144</f>
        <v>#NAME?</v>
      </c>
      <c r="L143" s="6" t="e">
        <f aca="false">sheet1!amw144</f>
        <v>#NAME?</v>
      </c>
      <c r="M143" s="6" t="e">
        <f aca="false">sheet1!amx144</f>
        <v>#NAME?</v>
      </c>
    </row>
    <row r="144" customFormat="false" ht="15.75" hidden="false" customHeight="false" outlineLevel="0" collapsed="false">
      <c r="A144" s="0" t="s">
        <v>58</v>
      </c>
      <c r="B144" s="1" t="n">
        <v>44004</v>
      </c>
      <c r="C144" s="6" t="e">
        <f aca="false">sheet1!amn145</f>
        <v>#NAME?</v>
      </c>
      <c r="D144" s="6" t="e">
        <f aca="false">sheet1!amo145</f>
        <v>#NAME?</v>
      </c>
      <c r="E144" s="6" t="e">
        <f aca="false">sheet1!amp145</f>
        <v>#NAME?</v>
      </c>
      <c r="F144" s="6" t="e">
        <f aca="false">sheet1!amq145</f>
        <v>#NAME?</v>
      </c>
      <c r="G144" s="6" t="e">
        <f aca="false">sheet1!amr145</f>
        <v>#NAME?</v>
      </c>
      <c r="H144" s="6" t="e">
        <f aca="false">sheet1!ams145</f>
        <v>#NAME?</v>
      </c>
      <c r="I144" s="6" t="e">
        <f aca="false">sheet1!amt145</f>
        <v>#NAME?</v>
      </c>
      <c r="J144" s="6" t="e">
        <f aca="false">sheet1!amu145</f>
        <v>#NAME?</v>
      </c>
      <c r="K144" s="6" t="e">
        <f aca="false">sheet1!amv145</f>
        <v>#NAME?</v>
      </c>
      <c r="L144" s="6" t="e">
        <f aca="false">sheet1!amw145</f>
        <v>#NAME?</v>
      </c>
      <c r="M144" s="6" t="e">
        <f aca="false">sheet1!amx145</f>
        <v>#NAME?</v>
      </c>
    </row>
    <row r="145" customFormat="false" ht="15.75" hidden="false" customHeight="false" outlineLevel="0" collapsed="false">
      <c r="A145" s="0" t="s">
        <v>58</v>
      </c>
      <c r="B145" s="1" t="n">
        <v>44005</v>
      </c>
      <c r="C145" s="6" t="e">
        <f aca="false">sheet1!amn146</f>
        <v>#NAME?</v>
      </c>
      <c r="D145" s="6" t="e">
        <f aca="false">sheet1!amo146</f>
        <v>#NAME?</v>
      </c>
      <c r="E145" s="6" t="e">
        <f aca="false">sheet1!amp146</f>
        <v>#NAME?</v>
      </c>
      <c r="F145" s="6" t="e">
        <f aca="false">sheet1!amq146</f>
        <v>#NAME?</v>
      </c>
      <c r="G145" s="6" t="e">
        <f aca="false">sheet1!amr146</f>
        <v>#NAME?</v>
      </c>
      <c r="H145" s="6" t="e">
        <f aca="false">sheet1!ams146</f>
        <v>#NAME?</v>
      </c>
      <c r="I145" s="6" t="e">
        <f aca="false">sheet1!amt146</f>
        <v>#NAME?</v>
      </c>
      <c r="J145" s="6" t="e">
        <f aca="false">sheet1!amu146</f>
        <v>#NAME?</v>
      </c>
      <c r="K145" s="6" t="e">
        <f aca="false">sheet1!amv146</f>
        <v>#NAME?</v>
      </c>
      <c r="L145" s="6" t="e">
        <f aca="false">sheet1!amw146</f>
        <v>#NAME?</v>
      </c>
      <c r="M145" s="6" t="e">
        <f aca="false">sheet1!amx146</f>
        <v>#NAME?</v>
      </c>
    </row>
    <row r="146" customFormat="false" ht="15.75" hidden="false" customHeight="false" outlineLevel="0" collapsed="false">
      <c r="A146" s="0" t="s">
        <v>58</v>
      </c>
      <c r="B146" s="1" t="n">
        <v>44006</v>
      </c>
      <c r="C146" s="6" t="e">
        <f aca="false">sheet1!amn147</f>
        <v>#NAME?</v>
      </c>
      <c r="D146" s="6" t="e">
        <f aca="false">sheet1!amo147</f>
        <v>#NAME?</v>
      </c>
      <c r="E146" s="6" t="e">
        <f aca="false">sheet1!amp147</f>
        <v>#NAME?</v>
      </c>
      <c r="F146" s="6" t="e">
        <f aca="false">sheet1!amq147</f>
        <v>#NAME?</v>
      </c>
      <c r="G146" s="6" t="e">
        <f aca="false">sheet1!amr147</f>
        <v>#NAME?</v>
      </c>
      <c r="H146" s="6" t="e">
        <f aca="false">sheet1!ams147</f>
        <v>#NAME?</v>
      </c>
      <c r="I146" s="6" t="e">
        <f aca="false">sheet1!amt147</f>
        <v>#NAME?</v>
      </c>
      <c r="J146" s="6" t="e">
        <f aca="false">sheet1!amu147</f>
        <v>#NAME?</v>
      </c>
      <c r="K146" s="6" t="e">
        <f aca="false">sheet1!amv147</f>
        <v>#NAME?</v>
      </c>
      <c r="L146" s="6" t="e">
        <f aca="false">sheet1!amw147</f>
        <v>#NAME?</v>
      </c>
      <c r="M146" s="6" t="e">
        <f aca="false">sheet1!amx147</f>
        <v>#NAME?</v>
      </c>
    </row>
    <row r="147" customFormat="false" ht="15.75" hidden="false" customHeight="false" outlineLevel="0" collapsed="false">
      <c r="A147" s="0" t="s">
        <v>58</v>
      </c>
      <c r="B147" s="1" t="n">
        <v>44007</v>
      </c>
      <c r="C147" s="6" t="e">
        <f aca="false">sheet1!amn148</f>
        <v>#NAME?</v>
      </c>
      <c r="D147" s="6" t="e">
        <f aca="false">sheet1!amo148</f>
        <v>#NAME?</v>
      </c>
      <c r="E147" s="6" t="e">
        <f aca="false">sheet1!amp148</f>
        <v>#NAME?</v>
      </c>
      <c r="F147" s="6" t="e">
        <f aca="false">sheet1!amq148</f>
        <v>#NAME?</v>
      </c>
      <c r="G147" s="6" t="e">
        <f aca="false">sheet1!amr148</f>
        <v>#NAME?</v>
      </c>
      <c r="H147" s="6" t="e">
        <f aca="false">sheet1!ams148</f>
        <v>#NAME?</v>
      </c>
      <c r="I147" s="6" t="e">
        <f aca="false">sheet1!amt148</f>
        <v>#NAME?</v>
      </c>
      <c r="J147" s="6" t="e">
        <f aca="false">sheet1!amu148</f>
        <v>#NAME?</v>
      </c>
      <c r="K147" s="6" t="e">
        <f aca="false">sheet1!amv148</f>
        <v>#NAME?</v>
      </c>
      <c r="L147" s="6" t="e">
        <f aca="false">sheet1!amw148</f>
        <v>#NAME?</v>
      </c>
      <c r="M147" s="6" t="e">
        <f aca="false">sheet1!amx148</f>
        <v>#NAME?</v>
      </c>
    </row>
    <row r="148" customFormat="false" ht="15.75" hidden="false" customHeight="false" outlineLevel="0" collapsed="false">
      <c r="A148" s="0" t="s">
        <v>58</v>
      </c>
      <c r="B148" s="1" t="n">
        <v>44008</v>
      </c>
      <c r="C148" s="6" t="e">
        <f aca="false">sheet1!amn149</f>
        <v>#NAME?</v>
      </c>
      <c r="D148" s="6" t="e">
        <f aca="false">sheet1!amo149</f>
        <v>#NAME?</v>
      </c>
      <c r="E148" s="6" t="e">
        <f aca="false">sheet1!amp149</f>
        <v>#NAME?</v>
      </c>
      <c r="F148" s="6" t="e">
        <f aca="false">sheet1!amq149</f>
        <v>#NAME?</v>
      </c>
      <c r="G148" s="6" t="e">
        <f aca="false">sheet1!amr149</f>
        <v>#NAME?</v>
      </c>
      <c r="H148" s="6" t="e">
        <f aca="false">sheet1!ams149</f>
        <v>#NAME?</v>
      </c>
      <c r="I148" s="6" t="e">
        <f aca="false">sheet1!amt149</f>
        <v>#NAME?</v>
      </c>
      <c r="J148" s="6" t="e">
        <f aca="false">sheet1!amu149</f>
        <v>#NAME?</v>
      </c>
      <c r="K148" s="6" t="e">
        <f aca="false">sheet1!amv149</f>
        <v>#NAME?</v>
      </c>
      <c r="L148" s="6" t="e">
        <f aca="false">sheet1!amw149</f>
        <v>#NAME?</v>
      </c>
      <c r="M148" s="6" t="e">
        <f aca="false">sheet1!amx149</f>
        <v>#NAME?</v>
      </c>
    </row>
    <row r="149" customFormat="false" ht="15.75" hidden="false" customHeight="false" outlineLevel="0" collapsed="false">
      <c r="A149" s="0" t="s">
        <v>58</v>
      </c>
      <c r="B149" s="1" t="n">
        <v>44009</v>
      </c>
      <c r="C149" s="6" t="e">
        <f aca="false">sheet1!amn150</f>
        <v>#NAME?</v>
      </c>
      <c r="D149" s="6" t="e">
        <f aca="false">sheet1!amo150</f>
        <v>#NAME?</v>
      </c>
      <c r="E149" s="6" t="e">
        <f aca="false">sheet1!amp150</f>
        <v>#NAME?</v>
      </c>
      <c r="F149" s="6" t="e">
        <f aca="false">sheet1!amq150</f>
        <v>#NAME?</v>
      </c>
      <c r="G149" s="6" t="e">
        <f aca="false">sheet1!amr150</f>
        <v>#NAME?</v>
      </c>
      <c r="H149" s="6" t="e">
        <f aca="false">sheet1!ams150</f>
        <v>#NAME?</v>
      </c>
      <c r="I149" s="6" t="e">
        <f aca="false">sheet1!amt150</f>
        <v>#NAME?</v>
      </c>
      <c r="J149" s="6" t="e">
        <f aca="false">sheet1!amu150</f>
        <v>#NAME?</v>
      </c>
      <c r="K149" s="6" t="e">
        <f aca="false">sheet1!amv150</f>
        <v>#NAME?</v>
      </c>
      <c r="L149" s="6" t="e">
        <f aca="false">sheet1!amw150</f>
        <v>#NAME?</v>
      </c>
      <c r="M149" s="6" t="e">
        <f aca="false">sheet1!amx150</f>
        <v>#NAME?</v>
      </c>
    </row>
    <row r="150" customFormat="false" ht="15.75" hidden="false" customHeight="false" outlineLevel="0" collapsed="false">
      <c r="A150" s="0" t="s">
        <v>58</v>
      </c>
      <c r="B150" s="1" t="n">
        <v>44010</v>
      </c>
      <c r="C150" s="6" t="e">
        <f aca="false">sheet1!amn151</f>
        <v>#NAME?</v>
      </c>
      <c r="D150" s="6" t="e">
        <f aca="false">sheet1!amo151</f>
        <v>#NAME?</v>
      </c>
      <c r="E150" s="6" t="e">
        <f aca="false">sheet1!amp151</f>
        <v>#NAME?</v>
      </c>
      <c r="F150" s="6" t="e">
        <f aca="false">sheet1!amq151</f>
        <v>#NAME?</v>
      </c>
      <c r="G150" s="6" t="e">
        <f aca="false">sheet1!amr151</f>
        <v>#NAME?</v>
      </c>
      <c r="H150" s="6" t="e">
        <f aca="false">sheet1!ams151</f>
        <v>#NAME?</v>
      </c>
      <c r="I150" s="6" t="e">
        <f aca="false">sheet1!amt151</f>
        <v>#NAME?</v>
      </c>
      <c r="J150" s="6" t="e">
        <f aca="false">sheet1!amu151</f>
        <v>#NAME?</v>
      </c>
      <c r="K150" s="6" t="e">
        <f aca="false">sheet1!amv151</f>
        <v>#NAME?</v>
      </c>
      <c r="L150" s="6" t="e">
        <f aca="false">sheet1!amw151</f>
        <v>#NAME?</v>
      </c>
      <c r="M150" s="6" t="e">
        <f aca="false">sheet1!amx151</f>
        <v>#NAME?</v>
      </c>
    </row>
    <row r="151" customFormat="false" ht="15.75" hidden="false" customHeight="false" outlineLevel="0" collapsed="false">
      <c r="A151" s="0" t="s">
        <v>58</v>
      </c>
      <c r="B151" s="1" t="n">
        <v>44011</v>
      </c>
      <c r="C151" s="6" t="e">
        <f aca="false">sheet1!amn152</f>
        <v>#NAME?</v>
      </c>
      <c r="D151" s="6" t="e">
        <f aca="false">sheet1!amo152</f>
        <v>#NAME?</v>
      </c>
      <c r="E151" s="6" t="e">
        <f aca="false">sheet1!amp152</f>
        <v>#NAME?</v>
      </c>
      <c r="F151" s="6" t="e">
        <f aca="false">sheet1!amq152</f>
        <v>#NAME?</v>
      </c>
      <c r="G151" s="6" t="e">
        <f aca="false">sheet1!amr152</f>
        <v>#NAME?</v>
      </c>
      <c r="H151" s="6" t="e">
        <f aca="false">sheet1!ams152</f>
        <v>#NAME?</v>
      </c>
      <c r="I151" s="6" t="e">
        <f aca="false">sheet1!amt152</f>
        <v>#NAME?</v>
      </c>
      <c r="J151" s="6" t="e">
        <f aca="false">sheet1!amu152</f>
        <v>#NAME?</v>
      </c>
      <c r="K151" s="6" t="e">
        <f aca="false">sheet1!amv152</f>
        <v>#NAME?</v>
      </c>
      <c r="L151" s="6" t="e">
        <f aca="false">sheet1!amw152</f>
        <v>#NAME?</v>
      </c>
      <c r="M151" s="6" t="e">
        <f aca="false">sheet1!amx152</f>
        <v>#NAME?</v>
      </c>
    </row>
    <row r="152" customFormat="false" ht="15.75" hidden="false" customHeight="false" outlineLevel="0" collapsed="false">
      <c r="A152" s="0" t="s">
        <v>58</v>
      </c>
      <c r="B152" s="1" t="n">
        <v>44012</v>
      </c>
      <c r="C152" s="6" t="e">
        <f aca="false">sheet1!amn153</f>
        <v>#NAME?</v>
      </c>
      <c r="D152" s="6" t="e">
        <f aca="false">sheet1!amo153</f>
        <v>#NAME?</v>
      </c>
      <c r="E152" s="6" t="e">
        <f aca="false">sheet1!amp153</f>
        <v>#NAME?</v>
      </c>
      <c r="F152" s="6" t="e">
        <f aca="false">sheet1!amq153</f>
        <v>#NAME?</v>
      </c>
      <c r="G152" s="6" t="e">
        <f aca="false">sheet1!amr153</f>
        <v>#NAME?</v>
      </c>
      <c r="H152" s="6" t="e">
        <f aca="false">sheet1!ams153</f>
        <v>#NAME?</v>
      </c>
      <c r="I152" s="6" t="e">
        <f aca="false">sheet1!amt153</f>
        <v>#NAME?</v>
      </c>
      <c r="J152" s="6" t="e">
        <f aca="false">sheet1!amu153</f>
        <v>#NAME?</v>
      </c>
      <c r="K152" s="6" t="e">
        <f aca="false">sheet1!amv153</f>
        <v>#NAME?</v>
      </c>
      <c r="L152" s="6" t="e">
        <f aca="false">sheet1!amw153</f>
        <v>#NAME?</v>
      </c>
      <c r="M152" s="6" t="e">
        <f aca="false">sheet1!amx153</f>
        <v>#NAME?</v>
      </c>
    </row>
    <row r="153" customFormat="false" ht="15.75" hidden="false" customHeight="false" outlineLevel="0" collapsed="false">
      <c r="A153" s="0" t="s">
        <v>58</v>
      </c>
      <c r="B153" s="1" t="n">
        <v>44013</v>
      </c>
      <c r="C153" s="6" t="e">
        <f aca="false">sheet1!amn154</f>
        <v>#NAME?</v>
      </c>
      <c r="D153" s="6" t="e">
        <f aca="false">sheet1!amo154</f>
        <v>#NAME?</v>
      </c>
      <c r="E153" s="6" t="e">
        <f aca="false">sheet1!amp154</f>
        <v>#NAME?</v>
      </c>
      <c r="F153" s="6" t="e">
        <f aca="false">sheet1!amq154</f>
        <v>#NAME?</v>
      </c>
      <c r="G153" s="6" t="e">
        <f aca="false">sheet1!amr154</f>
        <v>#NAME?</v>
      </c>
      <c r="H153" s="6" t="e">
        <f aca="false">sheet1!ams154</f>
        <v>#NAME?</v>
      </c>
      <c r="I153" s="6" t="e">
        <f aca="false">sheet1!amt154</f>
        <v>#NAME?</v>
      </c>
      <c r="J153" s="6" t="e">
        <f aca="false">sheet1!amu154</f>
        <v>#NAME?</v>
      </c>
      <c r="K153" s="6" t="e">
        <f aca="false">sheet1!amv154</f>
        <v>#NAME?</v>
      </c>
      <c r="L153" s="6" t="e">
        <f aca="false">sheet1!amw154</f>
        <v>#NAME?</v>
      </c>
      <c r="M153" s="6" t="e">
        <f aca="false">sheet1!amx154</f>
        <v>#NAME?</v>
      </c>
    </row>
    <row r="154" customFormat="false" ht="15.75" hidden="false" customHeight="false" outlineLevel="0" collapsed="false">
      <c r="A154" s="0" t="s">
        <v>58</v>
      </c>
      <c r="B154" s="1" t="n">
        <v>44014</v>
      </c>
      <c r="C154" s="6" t="e">
        <f aca="false">sheet1!amn155</f>
        <v>#NAME?</v>
      </c>
      <c r="D154" s="6" t="e">
        <f aca="false">sheet1!amo155</f>
        <v>#NAME?</v>
      </c>
      <c r="E154" s="6" t="e">
        <f aca="false">sheet1!amp155</f>
        <v>#NAME?</v>
      </c>
      <c r="F154" s="6" t="e">
        <f aca="false">sheet1!amq155</f>
        <v>#NAME?</v>
      </c>
      <c r="G154" s="6" t="e">
        <f aca="false">sheet1!amr155</f>
        <v>#NAME?</v>
      </c>
      <c r="H154" s="6" t="e">
        <f aca="false">sheet1!ams155</f>
        <v>#NAME?</v>
      </c>
      <c r="I154" s="6" t="e">
        <f aca="false">sheet1!amt155</f>
        <v>#NAME?</v>
      </c>
      <c r="J154" s="6" t="e">
        <f aca="false">sheet1!amu155</f>
        <v>#NAME?</v>
      </c>
      <c r="K154" s="6" t="e">
        <f aca="false">sheet1!amv155</f>
        <v>#NAME?</v>
      </c>
      <c r="L154" s="6" t="e">
        <f aca="false">sheet1!amw155</f>
        <v>#NAME?</v>
      </c>
      <c r="M154" s="6" t="e">
        <f aca="false">sheet1!amx155</f>
        <v>#NAME?</v>
      </c>
    </row>
    <row r="155" customFormat="false" ht="15.75" hidden="false" customHeight="false" outlineLevel="0" collapsed="false">
      <c r="A155" s="0" t="s">
        <v>58</v>
      </c>
      <c r="B155" s="1" t="n">
        <v>44015</v>
      </c>
      <c r="C155" s="6" t="e">
        <f aca="false">sheet1!amn156</f>
        <v>#NAME?</v>
      </c>
      <c r="D155" s="6" t="e">
        <f aca="false">sheet1!amo156</f>
        <v>#NAME?</v>
      </c>
      <c r="E155" s="6" t="e">
        <f aca="false">sheet1!amp156</f>
        <v>#NAME?</v>
      </c>
      <c r="F155" s="6" t="e">
        <f aca="false">sheet1!amq156</f>
        <v>#NAME?</v>
      </c>
      <c r="G155" s="6" t="e">
        <f aca="false">sheet1!amr156</f>
        <v>#NAME?</v>
      </c>
      <c r="H155" s="6" t="e">
        <f aca="false">sheet1!ams156</f>
        <v>#NAME?</v>
      </c>
      <c r="I155" s="6" t="e">
        <f aca="false">sheet1!amt156</f>
        <v>#NAME?</v>
      </c>
      <c r="J155" s="6" t="e">
        <f aca="false">sheet1!amu156</f>
        <v>#NAME?</v>
      </c>
      <c r="K155" s="6" t="e">
        <f aca="false">sheet1!amv156</f>
        <v>#NAME?</v>
      </c>
      <c r="L155" s="6" t="e">
        <f aca="false">sheet1!amw156</f>
        <v>#NAME?</v>
      </c>
      <c r="M155" s="6" t="e">
        <f aca="false">sheet1!amx156</f>
        <v>#NAME?</v>
      </c>
    </row>
    <row r="156" customFormat="false" ht="15.75" hidden="false" customHeight="false" outlineLevel="0" collapsed="false">
      <c r="A156" s="0" t="s">
        <v>58</v>
      </c>
      <c r="B156" s="1" t="n">
        <v>44016</v>
      </c>
      <c r="C156" s="6" t="e">
        <f aca="false">sheet1!amn157</f>
        <v>#NAME?</v>
      </c>
      <c r="D156" s="6" t="e">
        <f aca="false">sheet1!amo157</f>
        <v>#NAME?</v>
      </c>
      <c r="E156" s="6" t="e">
        <f aca="false">sheet1!amp157</f>
        <v>#NAME?</v>
      </c>
      <c r="F156" s="6" t="e">
        <f aca="false">sheet1!amq157</f>
        <v>#NAME?</v>
      </c>
      <c r="G156" s="6" t="e">
        <f aca="false">sheet1!amr157</f>
        <v>#NAME?</v>
      </c>
      <c r="H156" s="6" t="e">
        <f aca="false">sheet1!ams157</f>
        <v>#NAME?</v>
      </c>
      <c r="I156" s="6" t="e">
        <f aca="false">sheet1!amt157</f>
        <v>#NAME?</v>
      </c>
      <c r="J156" s="6" t="e">
        <f aca="false">sheet1!amu157</f>
        <v>#NAME?</v>
      </c>
      <c r="K156" s="6" t="e">
        <f aca="false">sheet1!amv157</f>
        <v>#NAME?</v>
      </c>
      <c r="L156" s="6" t="e">
        <f aca="false">sheet1!amw157</f>
        <v>#NAME?</v>
      </c>
      <c r="M156" s="6" t="e">
        <f aca="false">sheet1!amx157</f>
        <v>#NAME?</v>
      </c>
    </row>
    <row r="157" customFormat="false" ht="15.75" hidden="false" customHeight="false" outlineLevel="0" collapsed="false">
      <c r="A157" s="0" t="s">
        <v>58</v>
      </c>
      <c r="B157" s="1" t="n">
        <v>44017</v>
      </c>
      <c r="C157" s="6" t="e">
        <f aca="false">sheet1!amn158</f>
        <v>#NAME?</v>
      </c>
      <c r="D157" s="6" t="e">
        <f aca="false">sheet1!amo158</f>
        <v>#NAME?</v>
      </c>
      <c r="E157" s="6" t="e">
        <f aca="false">sheet1!amp158</f>
        <v>#NAME?</v>
      </c>
      <c r="F157" s="6" t="e">
        <f aca="false">sheet1!amq158</f>
        <v>#NAME?</v>
      </c>
      <c r="G157" s="6" t="e">
        <f aca="false">sheet1!amr158</f>
        <v>#NAME?</v>
      </c>
      <c r="H157" s="6" t="e">
        <f aca="false">sheet1!ams158</f>
        <v>#NAME?</v>
      </c>
      <c r="I157" s="6" t="e">
        <f aca="false">sheet1!amt158</f>
        <v>#NAME?</v>
      </c>
      <c r="J157" s="6" t="e">
        <f aca="false">sheet1!amu158</f>
        <v>#NAME?</v>
      </c>
      <c r="K157" s="6" t="e">
        <f aca="false">sheet1!amv158</f>
        <v>#NAME?</v>
      </c>
      <c r="L157" s="6" t="e">
        <f aca="false">sheet1!amw158</f>
        <v>#NAME?</v>
      </c>
      <c r="M157" s="6" t="e">
        <f aca="false">sheet1!amx158</f>
        <v>#NAME?</v>
      </c>
    </row>
    <row r="158" customFormat="false" ht="15.75" hidden="false" customHeight="false" outlineLevel="0" collapsed="false">
      <c r="A158" s="0" t="s">
        <v>58</v>
      </c>
      <c r="B158" s="1" t="n">
        <v>44018</v>
      </c>
      <c r="C158" s="6" t="e">
        <f aca="false">sheet1!amn159</f>
        <v>#NAME?</v>
      </c>
      <c r="D158" s="6" t="e">
        <f aca="false">sheet1!amo159</f>
        <v>#NAME?</v>
      </c>
      <c r="E158" s="6" t="e">
        <f aca="false">sheet1!amp159</f>
        <v>#NAME?</v>
      </c>
      <c r="F158" s="6" t="e">
        <f aca="false">sheet1!amq159</f>
        <v>#NAME?</v>
      </c>
      <c r="G158" s="6" t="e">
        <f aca="false">sheet1!amr159</f>
        <v>#NAME?</v>
      </c>
      <c r="H158" s="6" t="e">
        <f aca="false">sheet1!ams159</f>
        <v>#NAME?</v>
      </c>
      <c r="I158" s="6" t="e">
        <f aca="false">sheet1!amt159</f>
        <v>#NAME?</v>
      </c>
      <c r="J158" s="6" t="e">
        <f aca="false">sheet1!amu159</f>
        <v>#NAME?</v>
      </c>
      <c r="K158" s="6" t="e">
        <f aca="false">sheet1!amv159</f>
        <v>#NAME?</v>
      </c>
      <c r="L158" s="6" t="e">
        <f aca="false">sheet1!amw159</f>
        <v>#NAME?</v>
      </c>
      <c r="M158" s="6" t="e">
        <f aca="false">sheet1!amx159</f>
        <v>#NAME?</v>
      </c>
    </row>
    <row r="159" customFormat="false" ht="15.75" hidden="false" customHeight="false" outlineLevel="0" collapsed="false">
      <c r="A159" s="0" t="s">
        <v>58</v>
      </c>
      <c r="B159" s="1" t="n">
        <v>44019</v>
      </c>
      <c r="C159" s="6" t="e">
        <f aca="false">sheet1!amn160</f>
        <v>#NAME?</v>
      </c>
      <c r="D159" s="6" t="e">
        <f aca="false">sheet1!amo160</f>
        <v>#NAME?</v>
      </c>
      <c r="E159" s="6" t="e">
        <f aca="false">sheet1!amp160</f>
        <v>#NAME?</v>
      </c>
      <c r="F159" s="6" t="e">
        <f aca="false">sheet1!amq160</f>
        <v>#NAME?</v>
      </c>
      <c r="G159" s="6" t="e">
        <f aca="false">sheet1!amr160</f>
        <v>#NAME?</v>
      </c>
      <c r="H159" s="6" t="e">
        <f aca="false">sheet1!ams160</f>
        <v>#NAME?</v>
      </c>
      <c r="I159" s="6" t="e">
        <f aca="false">sheet1!amt160</f>
        <v>#NAME?</v>
      </c>
      <c r="J159" s="6" t="e">
        <f aca="false">sheet1!amu160</f>
        <v>#NAME?</v>
      </c>
      <c r="K159" s="6" t="e">
        <f aca="false">sheet1!amv160</f>
        <v>#NAME?</v>
      </c>
      <c r="L159" s="6" t="e">
        <f aca="false">sheet1!amw160</f>
        <v>#NAME?</v>
      </c>
      <c r="M159" s="6" t="e">
        <f aca="false">sheet1!amx160</f>
        <v>#NAME?</v>
      </c>
    </row>
    <row r="160" customFormat="false" ht="15.75" hidden="false" customHeight="false" outlineLevel="0" collapsed="false">
      <c r="A160" s="0" t="s">
        <v>58</v>
      </c>
      <c r="B160" s="1" t="n">
        <v>44020</v>
      </c>
      <c r="C160" s="6" t="e">
        <f aca="false">sheet1!amn161</f>
        <v>#NAME?</v>
      </c>
      <c r="D160" s="6" t="e">
        <f aca="false">sheet1!amo161</f>
        <v>#NAME?</v>
      </c>
      <c r="E160" s="6" t="e">
        <f aca="false">sheet1!amp161</f>
        <v>#NAME?</v>
      </c>
      <c r="F160" s="6" t="e">
        <f aca="false">sheet1!amq161</f>
        <v>#NAME?</v>
      </c>
      <c r="G160" s="6" t="e">
        <f aca="false">sheet1!amr161</f>
        <v>#NAME?</v>
      </c>
      <c r="H160" s="6" t="e">
        <f aca="false">sheet1!ams161</f>
        <v>#NAME?</v>
      </c>
      <c r="I160" s="6" t="e">
        <f aca="false">sheet1!amt161</f>
        <v>#NAME?</v>
      </c>
      <c r="J160" s="6" t="e">
        <f aca="false">sheet1!amu161</f>
        <v>#NAME?</v>
      </c>
      <c r="K160" s="6" t="e">
        <f aca="false">sheet1!amv161</f>
        <v>#NAME?</v>
      </c>
      <c r="L160" s="6" t="e">
        <f aca="false">sheet1!amw161</f>
        <v>#NAME?</v>
      </c>
      <c r="M160" s="6" t="e">
        <f aca="false">sheet1!amx161</f>
        <v>#NAME?</v>
      </c>
    </row>
    <row r="161" customFormat="false" ht="15.75" hidden="false" customHeight="false" outlineLevel="0" collapsed="false">
      <c r="A161" s="0" t="s">
        <v>58</v>
      </c>
      <c r="B161" s="1" t="n">
        <v>44021</v>
      </c>
      <c r="C161" s="6" t="e">
        <f aca="false">sheet1!amn162</f>
        <v>#NAME?</v>
      </c>
      <c r="D161" s="6" t="e">
        <f aca="false">sheet1!amo162</f>
        <v>#NAME?</v>
      </c>
      <c r="E161" s="6" t="e">
        <f aca="false">sheet1!amp162</f>
        <v>#NAME?</v>
      </c>
      <c r="F161" s="6" t="e">
        <f aca="false">sheet1!amq162</f>
        <v>#NAME?</v>
      </c>
      <c r="G161" s="6" t="e">
        <f aca="false">sheet1!amr162</f>
        <v>#NAME?</v>
      </c>
      <c r="H161" s="6" t="e">
        <f aca="false">sheet1!ams162</f>
        <v>#NAME?</v>
      </c>
      <c r="I161" s="6" t="e">
        <f aca="false">sheet1!amt162</f>
        <v>#NAME?</v>
      </c>
      <c r="J161" s="6" t="e">
        <f aca="false">sheet1!amu162</f>
        <v>#NAME?</v>
      </c>
      <c r="K161" s="6" t="e">
        <f aca="false">sheet1!amv162</f>
        <v>#NAME?</v>
      </c>
      <c r="L161" s="6" t="e">
        <f aca="false">sheet1!amw162</f>
        <v>#NAME?</v>
      </c>
      <c r="M161" s="6" t="e">
        <f aca="false">sheet1!amx162</f>
        <v>#NAME?</v>
      </c>
    </row>
    <row r="162" customFormat="false" ht="15.75" hidden="false" customHeight="false" outlineLevel="0" collapsed="false">
      <c r="A162" s="0" t="s">
        <v>58</v>
      </c>
      <c r="B162" s="1" t="n">
        <v>44022</v>
      </c>
      <c r="C162" s="6" t="e">
        <f aca="false">sheet1!amn163</f>
        <v>#NAME?</v>
      </c>
      <c r="D162" s="6" t="e">
        <f aca="false">sheet1!amo163</f>
        <v>#NAME?</v>
      </c>
      <c r="E162" s="6" t="e">
        <f aca="false">sheet1!amp163</f>
        <v>#NAME?</v>
      </c>
      <c r="F162" s="6" t="e">
        <f aca="false">sheet1!amq163</f>
        <v>#NAME?</v>
      </c>
      <c r="G162" s="6" t="e">
        <f aca="false">sheet1!amr163</f>
        <v>#NAME?</v>
      </c>
      <c r="H162" s="6" t="e">
        <f aca="false">sheet1!ams163</f>
        <v>#NAME?</v>
      </c>
      <c r="I162" s="6" t="e">
        <f aca="false">sheet1!amt163</f>
        <v>#NAME?</v>
      </c>
      <c r="J162" s="6" t="e">
        <f aca="false">sheet1!amu163</f>
        <v>#NAME?</v>
      </c>
      <c r="K162" s="6" t="e">
        <f aca="false">sheet1!amv163</f>
        <v>#NAME?</v>
      </c>
      <c r="L162" s="6" t="e">
        <f aca="false">sheet1!amw163</f>
        <v>#NAME?</v>
      </c>
      <c r="M162" s="6" t="e">
        <f aca="false">sheet1!amx163</f>
        <v>#NAME?</v>
      </c>
    </row>
    <row r="163" customFormat="false" ht="15.75" hidden="false" customHeight="false" outlineLevel="0" collapsed="false">
      <c r="A163" s="0" t="s">
        <v>58</v>
      </c>
      <c r="B163" s="1" t="n">
        <v>44023</v>
      </c>
      <c r="C163" s="6" t="e">
        <f aca="false">sheet1!amn164</f>
        <v>#NAME?</v>
      </c>
      <c r="D163" s="6" t="e">
        <f aca="false">sheet1!amo164</f>
        <v>#NAME?</v>
      </c>
      <c r="E163" s="6" t="e">
        <f aca="false">sheet1!amp164</f>
        <v>#NAME?</v>
      </c>
      <c r="F163" s="6" t="e">
        <f aca="false">sheet1!amq164</f>
        <v>#NAME?</v>
      </c>
      <c r="G163" s="6" t="e">
        <f aca="false">sheet1!amr164</f>
        <v>#NAME?</v>
      </c>
      <c r="H163" s="6" t="e">
        <f aca="false">sheet1!ams164</f>
        <v>#NAME?</v>
      </c>
      <c r="I163" s="6" t="e">
        <f aca="false">sheet1!amt164</f>
        <v>#NAME?</v>
      </c>
      <c r="J163" s="6" t="e">
        <f aca="false">sheet1!amu164</f>
        <v>#NAME?</v>
      </c>
      <c r="K163" s="6" t="e">
        <f aca="false">sheet1!amv164</f>
        <v>#NAME?</v>
      </c>
      <c r="L163" s="6" t="e">
        <f aca="false">sheet1!amw164</f>
        <v>#NAME?</v>
      </c>
      <c r="M163" s="6" t="e">
        <f aca="false">sheet1!amx164</f>
        <v>#NAME?</v>
      </c>
    </row>
    <row r="164" customFormat="false" ht="15.75" hidden="false" customHeight="false" outlineLevel="0" collapsed="false">
      <c r="A164" s="0" t="s">
        <v>58</v>
      </c>
      <c r="B164" s="1" t="n">
        <v>44024</v>
      </c>
      <c r="C164" s="6" t="e">
        <f aca="false">sheet1!amn165</f>
        <v>#NAME?</v>
      </c>
      <c r="D164" s="6" t="e">
        <f aca="false">sheet1!amo165</f>
        <v>#NAME?</v>
      </c>
      <c r="E164" s="6" t="e">
        <f aca="false">sheet1!amp165</f>
        <v>#NAME?</v>
      </c>
      <c r="F164" s="6" t="e">
        <f aca="false">sheet1!amq165</f>
        <v>#NAME?</v>
      </c>
      <c r="G164" s="6" t="e">
        <f aca="false">sheet1!amr165</f>
        <v>#NAME?</v>
      </c>
      <c r="H164" s="6" t="e">
        <f aca="false">sheet1!ams165</f>
        <v>#NAME?</v>
      </c>
      <c r="I164" s="6" t="e">
        <f aca="false">sheet1!amt165</f>
        <v>#NAME?</v>
      </c>
      <c r="J164" s="6" t="e">
        <f aca="false">sheet1!amu165</f>
        <v>#NAME?</v>
      </c>
      <c r="K164" s="6" t="e">
        <f aca="false">sheet1!amv165</f>
        <v>#NAME?</v>
      </c>
      <c r="L164" s="6" t="e">
        <f aca="false">sheet1!amw165</f>
        <v>#NAME?</v>
      </c>
      <c r="M164" s="6" t="e">
        <f aca="false">sheet1!amx165</f>
        <v>#NAME?</v>
      </c>
    </row>
    <row r="165" customFormat="false" ht="15.75" hidden="false" customHeight="false" outlineLevel="0" collapsed="false">
      <c r="A165" s="0" t="s">
        <v>58</v>
      </c>
      <c r="B165" s="1" t="n">
        <v>44025</v>
      </c>
      <c r="C165" s="6" t="e">
        <f aca="false">sheet1!amn166</f>
        <v>#NAME?</v>
      </c>
      <c r="D165" s="6" t="e">
        <f aca="false">sheet1!amo166</f>
        <v>#NAME?</v>
      </c>
      <c r="E165" s="6" t="e">
        <f aca="false">sheet1!amp166</f>
        <v>#NAME?</v>
      </c>
      <c r="F165" s="6" t="e">
        <f aca="false">sheet1!amq166</f>
        <v>#NAME?</v>
      </c>
      <c r="G165" s="6" t="e">
        <f aca="false">sheet1!amr166</f>
        <v>#NAME?</v>
      </c>
      <c r="H165" s="6" t="e">
        <f aca="false">sheet1!ams166</f>
        <v>#NAME?</v>
      </c>
      <c r="I165" s="6" t="e">
        <f aca="false">sheet1!amt166</f>
        <v>#NAME?</v>
      </c>
      <c r="J165" s="6" t="e">
        <f aca="false">sheet1!amu166</f>
        <v>#NAME?</v>
      </c>
      <c r="K165" s="6" t="e">
        <f aca="false">sheet1!amv166</f>
        <v>#NAME?</v>
      </c>
      <c r="L165" s="6" t="e">
        <f aca="false">sheet1!amw166</f>
        <v>#NAME?</v>
      </c>
      <c r="M165" s="6" t="e">
        <f aca="false">sheet1!amx166</f>
        <v>#NAME?</v>
      </c>
    </row>
    <row r="166" customFormat="false" ht="15.75" hidden="false" customHeight="false" outlineLevel="0" collapsed="false">
      <c r="A166" s="0" t="s">
        <v>58</v>
      </c>
      <c r="B166" s="1" t="n">
        <v>44026</v>
      </c>
      <c r="C166" s="6" t="e">
        <f aca="false">sheet1!amn167</f>
        <v>#NAME?</v>
      </c>
      <c r="D166" s="6" t="e">
        <f aca="false">sheet1!amo167</f>
        <v>#NAME?</v>
      </c>
      <c r="E166" s="6" t="e">
        <f aca="false">sheet1!amp167</f>
        <v>#NAME?</v>
      </c>
      <c r="F166" s="6" t="e">
        <f aca="false">sheet1!amq167</f>
        <v>#NAME?</v>
      </c>
      <c r="G166" s="6" t="e">
        <f aca="false">sheet1!amr167</f>
        <v>#NAME?</v>
      </c>
      <c r="H166" s="6" t="e">
        <f aca="false">sheet1!ams167</f>
        <v>#NAME?</v>
      </c>
      <c r="I166" s="6" t="e">
        <f aca="false">sheet1!amt167</f>
        <v>#NAME?</v>
      </c>
      <c r="J166" s="6" t="e">
        <f aca="false">sheet1!amu167</f>
        <v>#NAME?</v>
      </c>
      <c r="K166" s="6" t="e">
        <f aca="false">sheet1!amv167</f>
        <v>#NAME?</v>
      </c>
      <c r="L166" s="6" t="e">
        <f aca="false">sheet1!amw167</f>
        <v>#NAME?</v>
      </c>
      <c r="M166" s="6" t="e">
        <f aca="false">sheet1!amx167</f>
        <v>#NAME?</v>
      </c>
    </row>
    <row r="167" customFormat="false" ht="15.75" hidden="false" customHeight="false" outlineLevel="0" collapsed="false">
      <c r="A167" s="0" t="s">
        <v>58</v>
      </c>
      <c r="B167" s="1" t="n">
        <v>44027</v>
      </c>
      <c r="C167" s="6" t="e">
        <f aca="false">sheet1!amn168</f>
        <v>#NAME?</v>
      </c>
      <c r="D167" s="6" t="e">
        <f aca="false">sheet1!amo168</f>
        <v>#NAME?</v>
      </c>
      <c r="E167" s="6" t="e">
        <f aca="false">sheet1!amp168</f>
        <v>#NAME?</v>
      </c>
      <c r="F167" s="6" t="e">
        <f aca="false">sheet1!amq168</f>
        <v>#NAME?</v>
      </c>
      <c r="G167" s="6" t="e">
        <f aca="false">sheet1!amr168</f>
        <v>#NAME?</v>
      </c>
      <c r="H167" s="6" t="e">
        <f aca="false">sheet1!ams168</f>
        <v>#NAME?</v>
      </c>
      <c r="I167" s="6" t="e">
        <f aca="false">sheet1!amt168</f>
        <v>#NAME?</v>
      </c>
      <c r="J167" s="6" t="e">
        <f aca="false">sheet1!amu168</f>
        <v>#NAME?</v>
      </c>
      <c r="K167" s="6" t="e">
        <f aca="false">sheet1!amv168</f>
        <v>#NAME?</v>
      </c>
      <c r="L167" s="6" t="e">
        <f aca="false">sheet1!amw168</f>
        <v>#NAME?</v>
      </c>
      <c r="M167" s="6" t="e">
        <f aca="false">sheet1!amx168</f>
        <v>#NAME?</v>
      </c>
    </row>
    <row r="168" customFormat="false" ht="15.75" hidden="false" customHeight="false" outlineLevel="0" collapsed="false">
      <c r="A168" s="0" t="s">
        <v>58</v>
      </c>
      <c r="B168" s="1" t="n">
        <v>44028</v>
      </c>
      <c r="C168" s="6" t="e">
        <f aca="false">sheet1!amn169</f>
        <v>#NAME?</v>
      </c>
      <c r="D168" s="6" t="e">
        <f aca="false">sheet1!amo169</f>
        <v>#NAME?</v>
      </c>
      <c r="E168" s="6" t="e">
        <f aca="false">sheet1!amp169</f>
        <v>#NAME?</v>
      </c>
      <c r="F168" s="6" t="e">
        <f aca="false">sheet1!amq169</f>
        <v>#NAME?</v>
      </c>
      <c r="G168" s="6" t="e">
        <f aca="false">sheet1!amr169</f>
        <v>#NAME?</v>
      </c>
      <c r="H168" s="6" t="e">
        <f aca="false">sheet1!ams169</f>
        <v>#NAME?</v>
      </c>
      <c r="I168" s="6" t="e">
        <f aca="false">sheet1!amt169</f>
        <v>#NAME?</v>
      </c>
      <c r="J168" s="6" t="e">
        <f aca="false">sheet1!amu169</f>
        <v>#NAME?</v>
      </c>
      <c r="K168" s="6" t="e">
        <f aca="false">sheet1!amv169</f>
        <v>#NAME?</v>
      </c>
      <c r="L168" s="6" t="e">
        <f aca="false">sheet1!amw169</f>
        <v>#NAME?</v>
      </c>
      <c r="M168" s="6" t="e">
        <f aca="false">sheet1!amx169</f>
        <v>#NAME?</v>
      </c>
    </row>
    <row r="169" customFormat="false" ht="15.75" hidden="false" customHeight="false" outlineLevel="0" collapsed="false">
      <c r="A169" s="0" t="s">
        <v>58</v>
      </c>
      <c r="B169" s="1" t="n">
        <v>44029</v>
      </c>
      <c r="C169" s="6" t="e">
        <f aca="false">sheet1!amn170</f>
        <v>#NAME?</v>
      </c>
      <c r="D169" s="6" t="e">
        <f aca="false">sheet1!amo170</f>
        <v>#NAME?</v>
      </c>
      <c r="E169" s="6" t="e">
        <f aca="false">sheet1!amp170</f>
        <v>#NAME?</v>
      </c>
      <c r="F169" s="6" t="e">
        <f aca="false">sheet1!amq170</f>
        <v>#NAME?</v>
      </c>
      <c r="G169" s="6" t="e">
        <f aca="false">sheet1!amr170</f>
        <v>#NAME?</v>
      </c>
      <c r="H169" s="6" t="e">
        <f aca="false">sheet1!ams170</f>
        <v>#NAME?</v>
      </c>
      <c r="I169" s="6" t="e">
        <f aca="false">sheet1!amt170</f>
        <v>#NAME?</v>
      </c>
      <c r="J169" s="6" t="e">
        <f aca="false">sheet1!amu170</f>
        <v>#NAME?</v>
      </c>
      <c r="K169" s="6" t="e">
        <f aca="false">sheet1!amv170</f>
        <v>#NAME?</v>
      </c>
      <c r="L169" s="6" t="e">
        <f aca="false">sheet1!amw170</f>
        <v>#NAME?</v>
      </c>
      <c r="M169" s="6" t="e">
        <f aca="false">sheet1!amx170</f>
        <v>#NAME?</v>
      </c>
    </row>
    <row r="170" customFormat="false" ht="15.75" hidden="false" customHeight="false" outlineLevel="0" collapsed="false">
      <c r="A170" s="0" t="s">
        <v>58</v>
      </c>
      <c r="B170" s="1" t="n">
        <v>44030</v>
      </c>
      <c r="C170" s="6" t="e">
        <f aca="false">sheet1!amn171</f>
        <v>#NAME?</v>
      </c>
      <c r="D170" s="6" t="e">
        <f aca="false">sheet1!amo171</f>
        <v>#NAME?</v>
      </c>
      <c r="E170" s="6" t="e">
        <f aca="false">sheet1!amp171</f>
        <v>#NAME?</v>
      </c>
      <c r="F170" s="6" t="e">
        <f aca="false">sheet1!amq171</f>
        <v>#NAME?</v>
      </c>
      <c r="G170" s="6" t="e">
        <f aca="false">sheet1!amr171</f>
        <v>#NAME?</v>
      </c>
      <c r="H170" s="6" t="e">
        <f aca="false">sheet1!ams171</f>
        <v>#NAME?</v>
      </c>
      <c r="I170" s="6" t="e">
        <f aca="false">sheet1!amt171</f>
        <v>#NAME?</v>
      </c>
      <c r="J170" s="6" t="e">
        <f aca="false">sheet1!amu171</f>
        <v>#NAME?</v>
      </c>
      <c r="K170" s="6" t="e">
        <f aca="false">sheet1!amv171</f>
        <v>#NAME?</v>
      </c>
      <c r="L170" s="6" t="e">
        <f aca="false">sheet1!amw171</f>
        <v>#NAME?</v>
      </c>
      <c r="M170" s="6" t="e">
        <f aca="false">sheet1!amx171</f>
        <v>#NAME?</v>
      </c>
    </row>
    <row r="171" customFormat="false" ht="15.75" hidden="false" customHeight="false" outlineLevel="0" collapsed="false">
      <c r="A171" s="0" t="s">
        <v>58</v>
      </c>
      <c r="B171" s="1" t="n">
        <v>44031</v>
      </c>
      <c r="C171" s="6" t="e">
        <f aca="false">sheet1!amn172</f>
        <v>#NAME?</v>
      </c>
      <c r="D171" s="6" t="e">
        <f aca="false">sheet1!amo172</f>
        <v>#NAME?</v>
      </c>
      <c r="E171" s="6" t="e">
        <f aca="false">sheet1!amp172</f>
        <v>#NAME?</v>
      </c>
      <c r="F171" s="6" t="e">
        <f aca="false">sheet1!amq172</f>
        <v>#NAME?</v>
      </c>
      <c r="G171" s="6" t="e">
        <f aca="false">sheet1!amr172</f>
        <v>#NAME?</v>
      </c>
      <c r="H171" s="6" t="e">
        <f aca="false">sheet1!ams172</f>
        <v>#NAME?</v>
      </c>
      <c r="I171" s="6" t="e">
        <f aca="false">sheet1!amt172</f>
        <v>#NAME?</v>
      </c>
      <c r="J171" s="6" t="e">
        <f aca="false">sheet1!amu172</f>
        <v>#NAME?</v>
      </c>
      <c r="K171" s="6" t="e">
        <f aca="false">sheet1!amv172</f>
        <v>#NAME?</v>
      </c>
      <c r="L171" s="6" t="e">
        <f aca="false">sheet1!amw172</f>
        <v>#NAME?</v>
      </c>
      <c r="M171" s="6" t="e">
        <f aca="false">sheet1!amx172</f>
        <v>#NAME?</v>
      </c>
    </row>
    <row r="172" customFormat="false" ht="15.75" hidden="false" customHeight="false" outlineLevel="0" collapsed="false">
      <c r="A172" s="0" t="s">
        <v>58</v>
      </c>
      <c r="B172" s="1" t="n">
        <v>44032</v>
      </c>
      <c r="C172" s="6" t="e">
        <f aca="false">sheet1!amn173</f>
        <v>#NAME?</v>
      </c>
      <c r="D172" s="6" t="e">
        <f aca="false">sheet1!amo173</f>
        <v>#NAME?</v>
      </c>
      <c r="E172" s="6" t="e">
        <f aca="false">sheet1!amp173</f>
        <v>#NAME?</v>
      </c>
      <c r="F172" s="6" t="e">
        <f aca="false">sheet1!amq173</f>
        <v>#NAME?</v>
      </c>
      <c r="G172" s="6" t="e">
        <f aca="false">sheet1!amr173</f>
        <v>#NAME?</v>
      </c>
      <c r="H172" s="6" t="e">
        <f aca="false">sheet1!ams173</f>
        <v>#NAME?</v>
      </c>
      <c r="I172" s="6" t="e">
        <f aca="false">sheet1!amt173</f>
        <v>#NAME?</v>
      </c>
      <c r="J172" s="6" t="e">
        <f aca="false">sheet1!amu173</f>
        <v>#NAME?</v>
      </c>
      <c r="K172" s="6" t="e">
        <f aca="false">sheet1!amv173</f>
        <v>#NAME?</v>
      </c>
      <c r="L172" s="6" t="e">
        <f aca="false">sheet1!amw173</f>
        <v>#NAME?</v>
      </c>
      <c r="M172" s="6" t="e">
        <f aca="false">sheet1!amx173</f>
        <v>#NAME?</v>
      </c>
    </row>
    <row r="173" customFormat="false" ht="15.75" hidden="false" customHeight="false" outlineLevel="0" collapsed="false">
      <c r="A173" s="0" t="s">
        <v>58</v>
      </c>
      <c r="B173" s="1" t="n">
        <v>44033</v>
      </c>
      <c r="C173" s="6" t="e">
        <f aca="false">sheet1!amn174</f>
        <v>#NAME?</v>
      </c>
      <c r="D173" s="6" t="e">
        <f aca="false">sheet1!amo174</f>
        <v>#NAME?</v>
      </c>
      <c r="E173" s="6" t="e">
        <f aca="false">sheet1!amp174</f>
        <v>#NAME?</v>
      </c>
      <c r="F173" s="6" t="e">
        <f aca="false">sheet1!amq174</f>
        <v>#NAME?</v>
      </c>
      <c r="G173" s="6" t="e">
        <f aca="false">sheet1!amr174</f>
        <v>#NAME?</v>
      </c>
      <c r="H173" s="6" t="e">
        <f aca="false">sheet1!ams174</f>
        <v>#NAME?</v>
      </c>
      <c r="I173" s="6" t="e">
        <f aca="false">sheet1!amt174</f>
        <v>#NAME?</v>
      </c>
      <c r="J173" s="6" t="e">
        <f aca="false">sheet1!amu174</f>
        <v>#NAME?</v>
      </c>
      <c r="K173" s="6" t="e">
        <f aca="false">sheet1!amv174</f>
        <v>#NAME?</v>
      </c>
      <c r="L173" s="6" t="e">
        <f aca="false">sheet1!amw174</f>
        <v>#NAME?</v>
      </c>
      <c r="M173" s="6" t="e">
        <f aca="false">sheet1!amx174</f>
        <v>#NAME?</v>
      </c>
    </row>
    <row r="174" customFormat="false" ht="15.75" hidden="false" customHeight="false" outlineLevel="0" collapsed="false">
      <c r="A174" s="0" t="s">
        <v>58</v>
      </c>
      <c r="B174" s="1" t="n">
        <v>44034</v>
      </c>
      <c r="C174" s="6" t="e">
        <f aca="false">sheet1!amn175</f>
        <v>#NAME?</v>
      </c>
      <c r="D174" s="6" t="e">
        <f aca="false">sheet1!amo175</f>
        <v>#NAME?</v>
      </c>
      <c r="E174" s="6" t="e">
        <f aca="false">sheet1!amp175</f>
        <v>#NAME?</v>
      </c>
      <c r="F174" s="6" t="e">
        <f aca="false">sheet1!amq175</f>
        <v>#NAME?</v>
      </c>
      <c r="G174" s="6" t="e">
        <f aca="false">sheet1!amr175</f>
        <v>#NAME?</v>
      </c>
      <c r="H174" s="6" t="e">
        <f aca="false">sheet1!ams175</f>
        <v>#NAME?</v>
      </c>
      <c r="I174" s="6" t="e">
        <f aca="false">sheet1!amt175</f>
        <v>#NAME?</v>
      </c>
      <c r="J174" s="6" t="e">
        <f aca="false">sheet1!amu175</f>
        <v>#NAME?</v>
      </c>
      <c r="K174" s="6" t="e">
        <f aca="false">sheet1!amv175</f>
        <v>#NAME?</v>
      </c>
      <c r="L174" s="6" t="e">
        <f aca="false">sheet1!amw175</f>
        <v>#NAME?</v>
      </c>
      <c r="M174" s="6" t="e">
        <f aca="false">sheet1!amx175</f>
        <v>#NAME?</v>
      </c>
    </row>
    <row r="175" customFormat="false" ht="15.75" hidden="false" customHeight="false" outlineLevel="0" collapsed="false">
      <c r="A175" s="0" t="s">
        <v>58</v>
      </c>
      <c r="B175" s="1" t="n">
        <v>44035</v>
      </c>
      <c r="C175" s="6" t="e">
        <f aca="false">sheet1!amn176</f>
        <v>#NAME?</v>
      </c>
      <c r="D175" s="6" t="e">
        <f aca="false">sheet1!amo176</f>
        <v>#NAME?</v>
      </c>
      <c r="E175" s="6" t="e">
        <f aca="false">sheet1!amp176</f>
        <v>#NAME?</v>
      </c>
      <c r="F175" s="6" t="e">
        <f aca="false">sheet1!amq176</f>
        <v>#NAME?</v>
      </c>
      <c r="G175" s="6" t="e">
        <f aca="false">sheet1!amr176</f>
        <v>#NAME?</v>
      </c>
      <c r="H175" s="6" t="e">
        <f aca="false">sheet1!ams176</f>
        <v>#NAME?</v>
      </c>
      <c r="I175" s="6" t="e">
        <f aca="false">sheet1!amt176</f>
        <v>#NAME?</v>
      </c>
      <c r="J175" s="6" t="e">
        <f aca="false">sheet1!amu176</f>
        <v>#NAME?</v>
      </c>
      <c r="K175" s="6" t="e">
        <f aca="false">sheet1!amv176</f>
        <v>#NAME?</v>
      </c>
      <c r="L175" s="6" t="e">
        <f aca="false">sheet1!amw176</f>
        <v>#NAME?</v>
      </c>
      <c r="M175" s="6" t="e">
        <f aca="false">sheet1!amx176</f>
        <v>#NAME?</v>
      </c>
    </row>
    <row r="176" customFormat="false" ht="15.75" hidden="false" customHeight="false" outlineLevel="0" collapsed="false">
      <c r="A176" s="0" t="s">
        <v>58</v>
      </c>
      <c r="B176" s="1" t="n">
        <v>44036</v>
      </c>
      <c r="C176" s="6" t="e">
        <f aca="false">sheet1!amn177</f>
        <v>#NAME?</v>
      </c>
      <c r="D176" s="6" t="e">
        <f aca="false">sheet1!amo177</f>
        <v>#NAME?</v>
      </c>
      <c r="E176" s="6" t="e">
        <f aca="false">sheet1!amp177</f>
        <v>#NAME?</v>
      </c>
      <c r="F176" s="6" t="e">
        <f aca="false">sheet1!amq177</f>
        <v>#NAME?</v>
      </c>
      <c r="G176" s="6" t="e">
        <f aca="false">sheet1!amr177</f>
        <v>#NAME?</v>
      </c>
      <c r="H176" s="6" t="e">
        <f aca="false">sheet1!ams177</f>
        <v>#NAME?</v>
      </c>
      <c r="I176" s="6" t="e">
        <f aca="false">sheet1!amt177</f>
        <v>#NAME?</v>
      </c>
      <c r="J176" s="6" t="e">
        <f aca="false">sheet1!amu177</f>
        <v>#NAME?</v>
      </c>
      <c r="K176" s="6" t="e">
        <f aca="false">sheet1!amv177</f>
        <v>#NAME?</v>
      </c>
      <c r="L176" s="6" t="e">
        <f aca="false">sheet1!amw177</f>
        <v>#NAME?</v>
      </c>
      <c r="M176" s="6" t="e">
        <f aca="false">sheet1!amx177</f>
        <v>#NAME?</v>
      </c>
    </row>
    <row r="177" customFormat="false" ht="15.75" hidden="false" customHeight="false" outlineLevel="0" collapsed="false">
      <c r="A177" s="0" t="s">
        <v>58</v>
      </c>
      <c r="B177" s="1" t="n">
        <v>44037</v>
      </c>
      <c r="C177" s="6" t="e">
        <f aca="false">sheet1!amn178</f>
        <v>#NAME?</v>
      </c>
      <c r="D177" s="6" t="e">
        <f aca="false">sheet1!amo178</f>
        <v>#NAME?</v>
      </c>
      <c r="E177" s="6" t="e">
        <f aca="false">sheet1!amp178</f>
        <v>#NAME?</v>
      </c>
      <c r="F177" s="6" t="e">
        <f aca="false">sheet1!amq178</f>
        <v>#NAME?</v>
      </c>
      <c r="G177" s="6" t="e">
        <f aca="false">sheet1!amr178</f>
        <v>#NAME?</v>
      </c>
      <c r="H177" s="6" t="e">
        <f aca="false">sheet1!ams178</f>
        <v>#NAME?</v>
      </c>
      <c r="I177" s="6" t="e">
        <f aca="false">sheet1!amt178</f>
        <v>#NAME?</v>
      </c>
      <c r="J177" s="6" t="e">
        <f aca="false">sheet1!amu178</f>
        <v>#NAME?</v>
      </c>
      <c r="K177" s="6" t="e">
        <f aca="false">sheet1!amv178</f>
        <v>#NAME?</v>
      </c>
      <c r="L177" s="6" t="e">
        <f aca="false">sheet1!amw178</f>
        <v>#NAME?</v>
      </c>
      <c r="M177" s="6" t="e">
        <f aca="false">sheet1!amx178</f>
        <v>#NAME?</v>
      </c>
    </row>
    <row r="178" customFormat="false" ht="15.75" hidden="false" customHeight="false" outlineLevel="0" collapsed="false">
      <c r="A178" s="0" t="s">
        <v>58</v>
      </c>
      <c r="B178" s="1" t="n">
        <v>44038</v>
      </c>
      <c r="C178" s="6" t="e">
        <f aca="false">sheet1!amn179</f>
        <v>#NAME?</v>
      </c>
      <c r="D178" s="6" t="e">
        <f aca="false">sheet1!amo179</f>
        <v>#NAME?</v>
      </c>
      <c r="E178" s="6" t="e">
        <f aca="false">sheet1!amp179</f>
        <v>#NAME?</v>
      </c>
      <c r="F178" s="6" t="e">
        <f aca="false">sheet1!amq179</f>
        <v>#NAME?</v>
      </c>
      <c r="G178" s="6" t="e">
        <f aca="false">sheet1!amr179</f>
        <v>#NAME?</v>
      </c>
      <c r="H178" s="6" t="e">
        <f aca="false">sheet1!ams179</f>
        <v>#NAME?</v>
      </c>
      <c r="I178" s="6" t="e">
        <f aca="false">sheet1!amt179</f>
        <v>#NAME?</v>
      </c>
      <c r="J178" s="6" t="e">
        <f aca="false">sheet1!amu179</f>
        <v>#NAME?</v>
      </c>
      <c r="K178" s="6" t="e">
        <f aca="false">sheet1!amv179</f>
        <v>#NAME?</v>
      </c>
      <c r="L178" s="6" t="e">
        <f aca="false">sheet1!amw179</f>
        <v>#NAME?</v>
      </c>
      <c r="M178" s="6" t="e">
        <f aca="false">sheet1!amx179</f>
        <v>#NAME?</v>
      </c>
    </row>
    <row r="179" customFormat="false" ht="15.75" hidden="false" customHeight="false" outlineLevel="0" collapsed="false">
      <c r="A179" s="0" t="s">
        <v>58</v>
      </c>
      <c r="B179" s="1" t="n">
        <v>44039</v>
      </c>
      <c r="C179" s="6" t="e">
        <f aca="false">sheet1!amn180</f>
        <v>#NAME?</v>
      </c>
      <c r="D179" s="6" t="e">
        <f aca="false">sheet1!amo180</f>
        <v>#NAME?</v>
      </c>
      <c r="E179" s="6" t="e">
        <f aca="false">sheet1!amp180</f>
        <v>#NAME?</v>
      </c>
      <c r="F179" s="6" t="e">
        <f aca="false">sheet1!amq180</f>
        <v>#NAME?</v>
      </c>
      <c r="G179" s="6" t="e">
        <f aca="false">sheet1!amr180</f>
        <v>#NAME?</v>
      </c>
      <c r="H179" s="6" t="e">
        <f aca="false">sheet1!ams180</f>
        <v>#NAME?</v>
      </c>
      <c r="I179" s="6" t="e">
        <f aca="false">sheet1!amt180</f>
        <v>#NAME?</v>
      </c>
      <c r="J179" s="6" t="e">
        <f aca="false">sheet1!amu180</f>
        <v>#NAME?</v>
      </c>
      <c r="K179" s="6" t="e">
        <f aca="false">sheet1!amv180</f>
        <v>#NAME?</v>
      </c>
      <c r="L179" s="6" t="e">
        <f aca="false">sheet1!amw180</f>
        <v>#NAME?</v>
      </c>
      <c r="M179" s="6" t="e">
        <f aca="false">sheet1!amx180</f>
        <v>#NAME?</v>
      </c>
    </row>
    <row r="180" customFormat="false" ht="15.75" hidden="false" customHeight="false" outlineLevel="0" collapsed="false">
      <c r="A180" s="0" t="s">
        <v>58</v>
      </c>
      <c r="B180" s="1" t="n">
        <v>44040</v>
      </c>
      <c r="C180" s="6" t="e">
        <f aca="false">sheet1!amn181</f>
        <v>#NAME?</v>
      </c>
      <c r="D180" s="6" t="e">
        <f aca="false">sheet1!amo181</f>
        <v>#NAME?</v>
      </c>
      <c r="E180" s="6" t="e">
        <f aca="false">sheet1!amp181</f>
        <v>#NAME?</v>
      </c>
      <c r="F180" s="6" t="e">
        <f aca="false">sheet1!amq181</f>
        <v>#NAME?</v>
      </c>
      <c r="G180" s="6" t="e">
        <f aca="false">sheet1!amr181</f>
        <v>#NAME?</v>
      </c>
      <c r="H180" s="6" t="e">
        <f aca="false">sheet1!ams181</f>
        <v>#NAME?</v>
      </c>
      <c r="I180" s="6" t="e">
        <f aca="false">sheet1!amt181</f>
        <v>#NAME?</v>
      </c>
      <c r="J180" s="6" t="e">
        <f aca="false">sheet1!amu181</f>
        <v>#NAME?</v>
      </c>
      <c r="K180" s="6" t="e">
        <f aca="false">sheet1!amv181</f>
        <v>#NAME?</v>
      </c>
      <c r="L180" s="6" t="e">
        <f aca="false">sheet1!amw181</f>
        <v>#NAME?</v>
      </c>
      <c r="M180" s="6" t="e">
        <f aca="false">sheet1!amx181</f>
        <v>#NAME?</v>
      </c>
    </row>
    <row r="181" customFormat="false" ht="15.75" hidden="false" customHeight="false" outlineLevel="0" collapsed="false">
      <c r="A181" s="0" t="s">
        <v>58</v>
      </c>
      <c r="B181" s="1" t="n">
        <v>44041</v>
      </c>
      <c r="C181" s="6" t="e">
        <f aca="false">sheet1!amn182</f>
        <v>#NAME?</v>
      </c>
      <c r="D181" s="6" t="e">
        <f aca="false">sheet1!amo182</f>
        <v>#NAME?</v>
      </c>
      <c r="E181" s="6" t="e">
        <f aca="false">sheet1!amp182</f>
        <v>#NAME?</v>
      </c>
      <c r="F181" s="6" t="e">
        <f aca="false">sheet1!amq182</f>
        <v>#NAME?</v>
      </c>
      <c r="G181" s="6" t="e">
        <f aca="false">sheet1!amr182</f>
        <v>#NAME?</v>
      </c>
      <c r="H181" s="6" t="e">
        <f aca="false">sheet1!ams182</f>
        <v>#NAME?</v>
      </c>
      <c r="I181" s="6" t="e">
        <f aca="false">sheet1!amt182</f>
        <v>#NAME?</v>
      </c>
      <c r="J181" s="6" t="e">
        <f aca="false">sheet1!amu182</f>
        <v>#NAME?</v>
      </c>
      <c r="K181" s="6" t="e">
        <f aca="false">sheet1!amv182</f>
        <v>#NAME?</v>
      </c>
      <c r="L181" s="6" t="e">
        <f aca="false">sheet1!amw182</f>
        <v>#NAME?</v>
      </c>
      <c r="M181" s="6" t="e">
        <f aca="false">sheet1!amx182</f>
        <v>#NAME?</v>
      </c>
    </row>
    <row r="182" customFormat="false" ht="15.75" hidden="false" customHeight="false" outlineLevel="0" collapsed="false">
      <c r="A182" s="0" t="s">
        <v>58</v>
      </c>
      <c r="B182" s="1" t="n">
        <v>44042</v>
      </c>
      <c r="C182" s="6" t="e">
        <f aca="false">sheet1!amn183</f>
        <v>#NAME?</v>
      </c>
      <c r="D182" s="6" t="e">
        <f aca="false">sheet1!amo183</f>
        <v>#NAME?</v>
      </c>
      <c r="E182" s="6" t="e">
        <f aca="false">sheet1!amp183</f>
        <v>#NAME?</v>
      </c>
      <c r="F182" s="6" t="e">
        <f aca="false">sheet1!amq183</f>
        <v>#NAME?</v>
      </c>
      <c r="G182" s="6" t="e">
        <f aca="false">sheet1!amr183</f>
        <v>#NAME?</v>
      </c>
      <c r="H182" s="6" t="e">
        <f aca="false">sheet1!ams183</f>
        <v>#NAME?</v>
      </c>
      <c r="I182" s="6" t="e">
        <f aca="false">sheet1!amt183</f>
        <v>#NAME?</v>
      </c>
      <c r="J182" s="6" t="e">
        <f aca="false">sheet1!amu183</f>
        <v>#NAME?</v>
      </c>
      <c r="K182" s="6" t="e">
        <f aca="false">sheet1!amv183</f>
        <v>#NAME?</v>
      </c>
      <c r="L182" s="6" t="e">
        <f aca="false">sheet1!amw183</f>
        <v>#NAME?</v>
      </c>
      <c r="M182" s="6" t="e">
        <f aca="false">sheet1!amx183</f>
        <v>#NAME?</v>
      </c>
    </row>
    <row r="183" customFormat="false" ht="15.75" hidden="false" customHeight="false" outlineLevel="0" collapsed="false">
      <c r="A183" s="0" t="s">
        <v>58</v>
      </c>
      <c r="B183" s="1" t="n">
        <v>44043</v>
      </c>
      <c r="C183" s="6" t="e">
        <f aca="false">sheet1!amn184</f>
        <v>#NAME?</v>
      </c>
      <c r="D183" s="6" t="e">
        <f aca="false">sheet1!amo184</f>
        <v>#NAME?</v>
      </c>
      <c r="E183" s="6" t="e">
        <f aca="false">sheet1!amp184</f>
        <v>#NAME?</v>
      </c>
      <c r="F183" s="6" t="e">
        <f aca="false">sheet1!amq184</f>
        <v>#NAME?</v>
      </c>
      <c r="G183" s="6" t="e">
        <f aca="false">sheet1!amr184</f>
        <v>#NAME?</v>
      </c>
      <c r="H183" s="6" t="e">
        <f aca="false">sheet1!ams184</f>
        <v>#NAME?</v>
      </c>
      <c r="I183" s="6" t="e">
        <f aca="false">sheet1!amt184</f>
        <v>#NAME?</v>
      </c>
      <c r="J183" s="6" t="e">
        <f aca="false">sheet1!amu184</f>
        <v>#NAME?</v>
      </c>
      <c r="K183" s="6" t="e">
        <f aca="false">sheet1!amv184</f>
        <v>#NAME?</v>
      </c>
      <c r="L183" s="6" t="e">
        <f aca="false">sheet1!amw184</f>
        <v>#NAME?</v>
      </c>
      <c r="M183" s="6" t="e">
        <f aca="false">sheet1!amx184</f>
        <v>#NAME?</v>
      </c>
    </row>
    <row r="184" customFormat="false" ht="15.75" hidden="false" customHeight="false" outlineLevel="0" collapsed="false">
      <c r="A184" s="0" t="s">
        <v>58</v>
      </c>
      <c r="B184" s="1" t="n">
        <v>44044</v>
      </c>
      <c r="C184" s="6" t="e">
        <f aca="false">sheet1!amn185</f>
        <v>#NAME?</v>
      </c>
      <c r="D184" s="6" t="e">
        <f aca="false">sheet1!amo185</f>
        <v>#NAME?</v>
      </c>
      <c r="E184" s="6" t="e">
        <f aca="false">sheet1!amp185</f>
        <v>#NAME?</v>
      </c>
      <c r="F184" s="6" t="e">
        <f aca="false">sheet1!amq185</f>
        <v>#NAME?</v>
      </c>
      <c r="G184" s="6" t="e">
        <f aca="false">sheet1!amr185</f>
        <v>#NAME?</v>
      </c>
      <c r="H184" s="6" t="e">
        <f aca="false">sheet1!ams185</f>
        <v>#NAME?</v>
      </c>
      <c r="I184" s="6" t="e">
        <f aca="false">sheet1!amt185</f>
        <v>#NAME?</v>
      </c>
      <c r="J184" s="6" t="e">
        <f aca="false">sheet1!amu185</f>
        <v>#NAME?</v>
      </c>
      <c r="K184" s="6" t="e">
        <f aca="false">sheet1!amv185</f>
        <v>#NAME?</v>
      </c>
      <c r="L184" s="6" t="e">
        <f aca="false">sheet1!amw185</f>
        <v>#NAME?</v>
      </c>
      <c r="M184" s="6" t="e">
        <f aca="false">sheet1!amx185</f>
        <v>#NAME?</v>
      </c>
    </row>
    <row r="185" customFormat="false" ht="15.75" hidden="false" customHeight="false" outlineLevel="0" collapsed="false">
      <c r="A185" s="0" t="s">
        <v>58</v>
      </c>
      <c r="B185" s="1" t="n">
        <v>44045</v>
      </c>
      <c r="C185" s="6" t="e">
        <f aca="false">sheet1!amn186</f>
        <v>#NAME?</v>
      </c>
      <c r="D185" s="6" t="e">
        <f aca="false">sheet1!amo186</f>
        <v>#NAME?</v>
      </c>
      <c r="E185" s="6" t="e">
        <f aca="false">sheet1!amp186</f>
        <v>#NAME?</v>
      </c>
      <c r="F185" s="6" t="e">
        <f aca="false">sheet1!amq186</f>
        <v>#NAME?</v>
      </c>
      <c r="G185" s="6" t="e">
        <f aca="false">sheet1!amr186</f>
        <v>#NAME?</v>
      </c>
      <c r="H185" s="6" t="e">
        <f aca="false">sheet1!ams186</f>
        <v>#NAME?</v>
      </c>
      <c r="I185" s="6" t="e">
        <f aca="false">sheet1!amt186</f>
        <v>#NAME?</v>
      </c>
      <c r="J185" s="6" t="e">
        <f aca="false">sheet1!amu186</f>
        <v>#NAME?</v>
      </c>
      <c r="K185" s="6" t="e">
        <f aca="false">sheet1!amv186</f>
        <v>#NAME?</v>
      </c>
      <c r="L185" s="6" t="e">
        <f aca="false">sheet1!amw186</f>
        <v>#NAME?</v>
      </c>
      <c r="M185" s="6" t="e">
        <f aca="false">sheet1!amx186</f>
        <v>#NAME?</v>
      </c>
    </row>
    <row r="186" customFormat="false" ht="15.75" hidden="false" customHeight="false" outlineLevel="0" collapsed="false">
      <c r="A186" s="0" t="s">
        <v>58</v>
      </c>
      <c r="B186" s="1" t="n">
        <v>44046</v>
      </c>
      <c r="C186" s="6" t="e">
        <f aca="false">sheet1!amn187</f>
        <v>#NAME?</v>
      </c>
      <c r="D186" s="6" t="e">
        <f aca="false">sheet1!amo187</f>
        <v>#NAME?</v>
      </c>
      <c r="E186" s="6" t="e">
        <f aca="false">sheet1!amp187</f>
        <v>#NAME?</v>
      </c>
      <c r="F186" s="6" t="e">
        <f aca="false">sheet1!amq187</f>
        <v>#NAME?</v>
      </c>
      <c r="G186" s="6" t="e">
        <f aca="false">sheet1!amr187</f>
        <v>#NAME?</v>
      </c>
      <c r="H186" s="6" t="e">
        <f aca="false">sheet1!ams187</f>
        <v>#NAME?</v>
      </c>
      <c r="I186" s="6" t="e">
        <f aca="false">sheet1!amt187</f>
        <v>#NAME?</v>
      </c>
      <c r="J186" s="6" t="e">
        <f aca="false">sheet1!amu187</f>
        <v>#NAME?</v>
      </c>
      <c r="K186" s="6" t="e">
        <f aca="false">sheet1!amv187</f>
        <v>#NAME?</v>
      </c>
      <c r="L186" s="6" t="e">
        <f aca="false">sheet1!amw187</f>
        <v>#NAME?</v>
      </c>
      <c r="M186" s="6" t="e">
        <f aca="false">sheet1!amx187</f>
        <v>#NAME?</v>
      </c>
    </row>
    <row r="187" customFormat="false" ht="15.75" hidden="false" customHeight="false" outlineLevel="0" collapsed="false">
      <c r="A187" s="0" t="s">
        <v>58</v>
      </c>
      <c r="B187" s="1" t="n">
        <v>44047</v>
      </c>
      <c r="C187" s="6" t="e">
        <f aca="false">sheet1!amn188</f>
        <v>#NAME?</v>
      </c>
      <c r="D187" s="6" t="e">
        <f aca="false">sheet1!amo188</f>
        <v>#NAME?</v>
      </c>
      <c r="E187" s="6" t="e">
        <f aca="false">sheet1!amp188</f>
        <v>#NAME?</v>
      </c>
      <c r="F187" s="6" t="e">
        <f aca="false">sheet1!amq188</f>
        <v>#NAME?</v>
      </c>
      <c r="G187" s="6" t="e">
        <f aca="false">sheet1!amr188</f>
        <v>#NAME?</v>
      </c>
      <c r="H187" s="6" t="e">
        <f aca="false">sheet1!ams188</f>
        <v>#NAME?</v>
      </c>
      <c r="I187" s="6" t="e">
        <f aca="false">sheet1!amt188</f>
        <v>#NAME?</v>
      </c>
      <c r="J187" s="6" t="e">
        <f aca="false">sheet1!amu188</f>
        <v>#NAME?</v>
      </c>
      <c r="K187" s="6" t="e">
        <f aca="false">sheet1!amv188</f>
        <v>#NAME?</v>
      </c>
      <c r="L187" s="6" t="e">
        <f aca="false">sheet1!amw188</f>
        <v>#NAME?</v>
      </c>
      <c r="M187" s="6" t="e">
        <f aca="false">sheet1!amx188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8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59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59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59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59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59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59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59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59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59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59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59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59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59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59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59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59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59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59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59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59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59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59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59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59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59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59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59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59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59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59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59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59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59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59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59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59</v>
      </c>
      <c r="B37" s="1" t="n">
        <v>43897</v>
      </c>
      <c r="C37" s="8" t="n">
        <v>1</v>
      </c>
      <c r="D37" s="8"/>
      <c r="E37" s="8"/>
      <c r="F37" s="8"/>
      <c r="G37" s="8"/>
      <c r="H37" s="8" t="n">
        <v>1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59</v>
      </c>
      <c r="B38" s="1" t="n">
        <v>43898</v>
      </c>
      <c r="C38" s="6" t="n">
        <v>1</v>
      </c>
      <c r="D38" s="6"/>
      <c r="E38" s="6"/>
      <c r="F38" s="6"/>
      <c r="G38" s="6"/>
      <c r="H38" s="6" t="n">
        <v>1</v>
      </c>
      <c r="I38" s="6"/>
      <c r="J38" s="6"/>
      <c r="K38" s="9"/>
      <c r="L38" s="6"/>
      <c r="M38" s="6"/>
    </row>
    <row r="39" customFormat="false" ht="15.75" hidden="false" customHeight="false" outlineLevel="0" collapsed="false">
      <c r="A39" s="0" t="s">
        <v>59</v>
      </c>
      <c r="B39" s="1" t="n">
        <v>43899</v>
      </c>
      <c r="C39" s="6" t="n">
        <v>1</v>
      </c>
      <c r="D39" s="6"/>
      <c r="E39" s="6"/>
      <c r="F39" s="6"/>
      <c r="G39" s="6"/>
      <c r="H39" s="6" t="n">
        <v>1</v>
      </c>
      <c r="I39" s="6"/>
      <c r="J39" s="6"/>
      <c r="K39" s="9"/>
      <c r="L39" s="6"/>
      <c r="M39" s="6"/>
    </row>
    <row r="40" customFormat="false" ht="15.75" hidden="false" customHeight="false" outlineLevel="0" collapsed="false">
      <c r="A40" s="0" t="s">
        <v>59</v>
      </c>
      <c r="B40" s="1" t="n">
        <v>43900</v>
      </c>
      <c r="C40" s="6" t="n">
        <v>1</v>
      </c>
      <c r="D40" s="6"/>
      <c r="E40" s="6"/>
      <c r="F40" s="6"/>
      <c r="G40" s="6"/>
      <c r="H40" s="6" t="n">
        <v>1</v>
      </c>
      <c r="I40" s="6"/>
      <c r="J40" s="6"/>
      <c r="K40" s="9"/>
      <c r="L40" s="6"/>
      <c r="M40" s="6"/>
    </row>
    <row r="41" customFormat="false" ht="15.75" hidden="false" customHeight="false" outlineLevel="0" collapsed="false">
      <c r="A41" s="0" t="s">
        <v>59</v>
      </c>
      <c r="B41" s="1" t="n">
        <v>43901</v>
      </c>
      <c r="C41" s="6" t="n">
        <v>1</v>
      </c>
      <c r="D41" s="6"/>
      <c r="E41" s="6"/>
      <c r="F41" s="6"/>
      <c r="G41" s="6"/>
      <c r="H41" s="6" t="n">
        <v>1</v>
      </c>
      <c r="I41" s="6"/>
      <c r="J41" s="6"/>
      <c r="K41" s="9"/>
      <c r="L41" s="6"/>
      <c r="M41" s="6"/>
    </row>
    <row r="42" customFormat="false" ht="15.75" hidden="false" customHeight="false" outlineLevel="0" collapsed="false">
      <c r="A42" s="0" t="s">
        <v>59</v>
      </c>
      <c r="B42" s="1" t="n">
        <v>43902</v>
      </c>
      <c r="C42" s="6" t="n">
        <v>1</v>
      </c>
      <c r="D42" s="6"/>
      <c r="E42" s="6"/>
      <c r="F42" s="6"/>
      <c r="G42" s="6"/>
      <c r="H42" s="6" t="n">
        <v>1</v>
      </c>
      <c r="I42" s="6"/>
      <c r="J42" s="6"/>
      <c r="K42" s="9"/>
      <c r="L42" s="6"/>
      <c r="M42" s="6"/>
    </row>
    <row r="43" customFormat="false" ht="15.75" hidden="false" customHeight="false" outlineLevel="0" collapsed="false">
      <c r="A43" s="0" t="s">
        <v>59</v>
      </c>
      <c r="B43" s="1" t="n">
        <v>43903</v>
      </c>
      <c r="C43" s="6" t="n">
        <v>3</v>
      </c>
      <c r="D43" s="6" t="n">
        <v>2</v>
      </c>
      <c r="E43" s="6"/>
      <c r="F43" s="6"/>
      <c r="G43" s="6"/>
      <c r="H43" s="6" t="n">
        <v>3</v>
      </c>
      <c r="I43" s="6"/>
      <c r="J43" s="6" t="n">
        <v>0.1</v>
      </c>
      <c r="K43" s="9"/>
      <c r="L43" s="6"/>
      <c r="M43" s="6"/>
    </row>
    <row r="44" customFormat="false" ht="15.75" hidden="false" customHeight="false" outlineLevel="0" collapsed="false">
      <c r="A44" s="0" t="s">
        <v>59</v>
      </c>
      <c r="B44" s="1" t="n">
        <v>43904</v>
      </c>
      <c r="C44" s="6" t="n">
        <v>3</v>
      </c>
      <c r="D44" s="6" t="n">
        <v>0</v>
      </c>
      <c r="E44" s="6" t="n">
        <v>1</v>
      </c>
      <c r="F44" s="6" t="n">
        <v>1</v>
      </c>
      <c r="G44" s="6"/>
      <c r="H44" s="6" t="n">
        <v>2</v>
      </c>
      <c r="I44" s="6"/>
      <c r="J44" s="6" t="n">
        <v>0.1</v>
      </c>
      <c r="K44" s="9"/>
      <c r="L44" s="6"/>
      <c r="M44" s="6"/>
    </row>
    <row r="45" customFormat="false" ht="15.75" hidden="false" customHeight="false" outlineLevel="0" collapsed="false">
      <c r="A45" s="0" t="s">
        <v>59</v>
      </c>
      <c r="B45" s="1" t="n">
        <v>43905</v>
      </c>
      <c r="C45" s="6" t="n">
        <v>3</v>
      </c>
      <c r="D45" s="6" t="n">
        <v>0</v>
      </c>
      <c r="E45" s="6" t="n">
        <v>1</v>
      </c>
      <c r="F45" s="6"/>
      <c r="G45" s="6"/>
      <c r="H45" s="6" t="n">
        <v>2</v>
      </c>
      <c r="I45" s="6"/>
      <c r="J45" s="6" t="n">
        <v>0.1</v>
      </c>
      <c r="K45" s="9"/>
      <c r="L45" s="6"/>
      <c r="M45" s="6"/>
    </row>
    <row r="46" customFormat="false" ht="15.75" hidden="false" customHeight="false" outlineLevel="0" collapsed="false">
      <c r="A46" s="0" t="s">
        <v>59</v>
      </c>
      <c r="B46" s="1" t="n">
        <v>43906</v>
      </c>
      <c r="C46" s="6" t="n">
        <v>3</v>
      </c>
      <c r="D46" s="6" t="n">
        <v>0</v>
      </c>
      <c r="E46" s="6" t="n">
        <v>1</v>
      </c>
      <c r="F46" s="6"/>
      <c r="G46" s="6"/>
      <c r="H46" s="6" t="n">
        <v>2</v>
      </c>
      <c r="I46" s="6"/>
      <c r="J46" s="6" t="n">
        <v>0.1</v>
      </c>
      <c r="K46" s="9"/>
      <c r="L46" s="6"/>
      <c r="M46" s="6"/>
    </row>
    <row r="47" customFormat="false" ht="15.75" hidden="false" customHeight="false" outlineLevel="0" collapsed="false">
      <c r="A47" s="0" t="s">
        <v>59</v>
      </c>
      <c r="B47" s="1" t="n">
        <v>43907</v>
      </c>
      <c r="C47" s="6" t="n">
        <v>7</v>
      </c>
      <c r="D47" s="6" t="n">
        <v>4</v>
      </c>
      <c r="E47" s="6" t="n">
        <v>1</v>
      </c>
      <c r="F47" s="6"/>
      <c r="G47" s="6"/>
      <c r="H47" s="6" t="n">
        <v>6</v>
      </c>
      <c r="I47" s="6"/>
      <c r="J47" s="6" t="n">
        <v>0.2</v>
      </c>
      <c r="K47" s="9"/>
      <c r="L47" s="6"/>
      <c r="M47" s="6"/>
    </row>
    <row r="48" customFormat="false" ht="15.75" hidden="false" customHeight="false" outlineLevel="0" collapsed="false">
      <c r="A48" s="0" t="s">
        <v>59</v>
      </c>
      <c r="B48" s="1" t="n">
        <v>43908</v>
      </c>
      <c r="C48" s="6" t="n">
        <v>14</v>
      </c>
      <c r="D48" s="6" t="n">
        <v>7</v>
      </c>
      <c r="E48" s="6" t="n">
        <v>2</v>
      </c>
      <c r="F48" s="6" t="n">
        <v>1</v>
      </c>
      <c r="G48" s="6"/>
      <c r="H48" s="6" t="n">
        <v>12</v>
      </c>
      <c r="I48" s="6"/>
      <c r="J48" s="6" t="n">
        <v>0.3</v>
      </c>
      <c r="K48" s="9"/>
      <c r="L48" s="6"/>
      <c r="M48" s="6"/>
    </row>
    <row r="49" customFormat="false" ht="15.75" hidden="false" customHeight="false" outlineLevel="0" collapsed="false">
      <c r="A49" s="0" t="s">
        <v>59</v>
      </c>
      <c r="B49" s="1" t="n">
        <v>43909</v>
      </c>
      <c r="C49" s="6" t="n">
        <v>16</v>
      </c>
      <c r="D49" s="6" t="n">
        <v>2</v>
      </c>
      <c r="E49" s="6" t="n">
        <v>2</v>
      </c>
      <c r="F49" s="6"/>
      <c r="G49" s="6"/>
      <c r="H49" s="6" t="n">
        <v>14</v>
      </c>
      <c r="I49" s="6"/>
      <c r="J49" s="6" t="n">
        <v>0.4</v>
      </c>
      <c r="K49" s="9"/>
      <c r="L49" s="6"/>
      <c r="M49" s="6"/>
    </row>
    <row r="50" customFormat="false" ht="15.75" hidden="false" customHeight="false" outlineLevel="0" collapsed="false">
      <c r="A50" s="0" t="s">
        <v>59</v>
      </c>
      <c r="B50" s="1" t="n">
        <v>43910</v>
      </c>
      <c r="C50" s="6" t="n">
        <v>26</v>
      </c>
      <c r="D50" s="6" t="n">
        <v>10</v>
      </c>
      <c r="E50" s="6" t="n">
        <v>3</v>
      </c>
      <c r="F50" s="6" t="n">
        <v>1</v>
      </c>
      <c r="G50" s="6"/>
      <c r="H50" s="6" t="n">
        <v>23</v>
      </c>
      <c r="I50" s="6"/>
      <c r="J50" s="6" t="n">
        <v>0.6</v>
      </c>
      <c r="K50" s="9"/>
      <c r="L50" s="6"/>
      <c r="M50" s="6"/>
    </row>
    <row r="51" customFormat="false" ht="15.75" hidden="false" customHeight="false" outlineLevel="0" collapsed="false">
      <c r="A51" s="0" t="s">
        <v>59</v>
      </c>
      <c r="B51" s="1" t="n">
        <v>43911</v>
      </c>
      <c r="C51" s="6" t="n">
        <v>41</v>
      </c>
      <c r="D51" s="6" t="n">
        <v>15</v>
      </c>
      <c r="E51" s="6" t="n">
        <v>3</v>
      </c>
      <c r="F51" s="6"/>
      <c r="G51" s="6" t="n">
        <v>1</v>
      </c>
      <c r="H51" s="6" t="n">
        <v>37</v>
      </c>
      <c r="I51" s="6"/>
      <c r="J51" s="6" t="n">
        <v>0.9</v>
      </c>
      <c r="K51" s="9"/>
      <c r="L51" s="6"/>
      <c r="M51" s="6"/>
    </row>
    <row r="52" customFormat="false" ht="15.75" hidden="false" customHeight="false" outlineLevel="0" collapsed="false">
      <c r="A52" s="0" t="s">
        <v>59</v>
      </c>
      <c r="B52" s="1" t="n">
        <v>43912</v>
      </c>
      <c r="C52" s="6" t="n">
        <v>47</v>
      </c>
      <c r="D52" s="6" t="n">
        <v>6</v>
      </c>
      <c r="E52" s="6" t="n">
        <v>3</v>
      </c>
      <c r="F52" s="6"/>
      <c r="G52" s="6" t="n">
        <v>1</v>
      </c>
      <c r="H52" s="6" t="n">
        <v>43</v>
      </c>
      <c r="I52" s="6"/>
      <c r="J52" s="6" t="n">
        <v>1</v>
      </c>
      <c r="K52" s="9"/>
      <c r="L52" s="6"/>
      <c r="M52" s="6"/>
    </row>
    <row r="53" customFormat="false" ht="15.75" hidden="false" customHeight="false" outlineLevel="0" collapsed="false">
      <c r="A53" s="0" t="s">
        <v>59</v>
      </c>
      <c r="B53" s="1" t="n">
        <v>43913</v>
      </c>
      <c r="C53" s="6" t="n">
        <v>73</v>
      </c>
      <c r="D53" s="6" t="n">
        <v>26</v>
      </c>
      <c r="E53" s="6" t="n">
        <v>3</v>
      </c>
      <c r="F53" s="6"/>
      <c r="G53" s="6" t="n">
        <v>1</v>
      </c>
      <c r="H53" s="6" t="n">
        <v>69</v>
      </c>
      <c r="I53" s="6"/>
      <c r="J53" s="6" t="n">
        <v>2</v>
      </c>
      <c r="K53" s="9"/>
      <c r="L53" s="6"/>
      <c r="M53" s="6"/>
    </row>
    <row r="54" customFormat="false" ht="15.75" hidden="false" customHeight="false" outlineLevel="0" collapsed="false">
      <c r="A54" s="0" t="s">
        <v>59</v>
      </c>
      <c r="B54" s="1" t="n">
        <v>43914</v>
      </c>
      <c r="C54" s="6" t="n">
        <v>73</v>
      </c>
      <c r="D54" s="6" t="n">
        <v>0</v>
      </c>
      <c r="E54" s="6" t="n">
        <v>3</v>
      </c>
      <c r="F54" s="6"/>
      <c r="G54" s="6" t="n">
        <v>1</v>
      </c>
      <c r="H54" s="6" t="n">
        <v>69</v>
      </c>
      <c r="I54" s="6"/>
      <c r="J54" s="6" t="n">
        <v>2</v>
      </c>
      <c r="K54" s="9"/>
      <c r="L54" s="6"/>
      <c r="M54" s="6"/>
    </row>
    <row r="55" customFormat="false" ht="15.75" hidden="false" customHeight="false" outlineLevel="0" collapsed="false">
      <c r="A55" s="0" t="s">
        <v>59</v>
      </c>
      <c r="B55" s="1" t="n">
        <v>43915</v>
      </c>
      <c r="C55" s="7" t="n">
        <v>97</v>
      </c>
      <c r="D55" s="7" t="n">
        <v>24</v>
      </c>
      <c r="E55" s="7" t="n">
        <v>3</v>
      </c>
      <c r="F55" s="7"/>
      <c r="G55" s="7" t="n">
        <v>1</v>
      </c>
      <c r="H55" s="7" t="n">
        <v>93</v>
      </c>
      <c r="I55" s="7"/>
      <c r="J55" s="7" t="n">
        <v>2</v>
      </c>
      <c r="K55" s="9" t="n">
        <v>0.07</v>
      </c>
      <c r="L55" s="7"/>
      <c r="M55" s="7"/>
    </row>
    <row r="56" customFormat="false" ht="15.75" hidden="false" customHeight="false" outlineLevel="0" collapsed="false">
      <c r="A56" s="0" t="s">
        <v>59</v>
      </c>
      <c r="B56" s="1" t="n">
        <v>43916</v>
      </c>
      <c r="C56" s="7" t="n">
        <v>145</v>
      </c>
      <c r="D56" s="7" t="n">
        <v>48</v>
      </c>
      <c r="E56" s="7" t="n">
        <v>5</v>
      </c>
      <c r="F56" s="7" t="n">
        <v>2</v>
      </c>
      <c r="G56" s="7" t="n">
        <v>1</v>
      </c>
      <c r="H56" s="7" t="n">
        <v>139</v>
      </c>
      <c r="I56" s="7"/>
      <c r="J56" s="7" t="n">
        <v>3</v>
      </c>
      <c r="K56" s="9" t="n">
        <v>0.1</v>
      </c>
      <c r="L56" s="7"/>
      <c r="M56" s="7"/>
    </row>
    <row r="57" customFormat="false" ht="15.75" hidden="false" customHeight="false" outlineLevel="0" collapsed="false">
      <c r="A57" s="0" t="s">
        <v>59</v>
      </c>
      <c r="B57" s="1" t="n">
        <v>43917</v>
      </c>
      <c r="C57" s="7" t="n">
        <v>196</v>
      </c>
      <c r="D57" s="7" t="n">
        <v>51</v>
      </c>
      <c r="E57" s="7" t="n">
        <v>5</v>
      </c>
      <c r="F57" s="7"/>
      <c r="G57" s="7" t="n">
        <v>1</v>
      </c>
      <c r="H57" s="7" t="n">
        <v>190</v>
      </c>
      <c r="I57" s="7"/>
      <c r="J57" s="7" t="n">
        <v>4</v>
      </c>
      <c r="K57" s="9" t="n">
        <v>0.1</v>
      </c>
      <c r="L57" s="7"/>
      <c r="M57" s="7"/>
    </row>
    <row r="58" customFormat="false" ht="15.75" hidden="false" customHeight="false" outlineLevel="0" collapsed="false">
      <c r="A58" s="0" t="s">
        <v>59</v>
      </c>
      <c r="B58" s="1" t="n">
        <v>43918</v>
      </c>
      <c r="C58" s="7" t="n">
        <v>310</v>
      </c>
      <c r="D58" s="7" t="n">
        <v>114</v>
      </c>
      <c r="E58" s="7" t="n">
        <v>5</v>
      </c>
      <c r="F58" s="7"/>
      <c r="G58" s="7" t="n">
        <v>5</v>
      </c>
      <c r="H58" s="7" t="n">
        <v>300</v>
      </c>
      <c r="I58" s="7"/>
      <c r="J58" s="7" t="n">
        <v>7</v>
      </c>
      <c r="K58" s="9" t="n">
        <v>0.1</v>
      </c>
      <c r="L58" s="7"/>
      <c r="M58" s="7"/>
    </row>
    <row r="59" customFormat="false" ht="15.75" hidden="false" customHeight="false" outlineLevel="0" collapsed="false">
      <c r="A59" s="0" t="s">
        <v>59</v>
      </c>
      <c r="B59" s="1" t="n">
        <v>43919</v>
      </c>
      <c r="C59" s="7" t="n">
        <v>356</v>
      </c>
      <c r="D59" s="7" t="n">
        <v>46</v>
      </c>
      <c r="E59" s="7" t="n">
        <v>9</v>
      </c>
      <c r="F59" s="7" t="n">
        <v>4</v>
      </c>
      <c r="G59" s="7" t="n">
        <v>5</v>
      </c>
      <c r="H59" s="7" t="n">
        <v>342</v>
      </c>
      <c r="I59" s="7"/>
      <c r="J59" s="7" t="n">
        <v>8</v>
      </c>
      <c r="K59" s="9" t="n">
        <v>0.2</v>
      </c>
      <c r="M59" s="7"/>
    </row>
    <row r="60" customFormat="false" ht="15.75" hidden="false" customHeight="false" outlineLevel="0" collapsed="false">
      <c r="A60" s="0" t="s">
        <v>59</v>
      </c>
      <c r="B60" s="1" t="n">
        <v>43920</v>
      </c>
      <c r="C60" s="7" t="n">
        <v>475</v>
      </c>
      <c r="D60" s="7" t="n">
        <v>119</v>
      </c>
      <c r="E60" s="7" t="n">
        <v>10</v>
      </c>
      <c r="F60" s="7" t="n">
        <v>1</v>
      </c>
      <c r="G60" s="7" t="n">
        <v>6</v>
      </c>
      <c r="H60" s="7" t="n">
        <v>459</v>
      </c>
      <c r="I60" s="7"/>
      <c r="J60" s="7" t="n">
        <v>11</v>
      </c>
      <c r="K60" s="9" t="n">
        <v>0.2</v>
      </c>
      <c r="M60" s="7"/>
    </row>
    <row r="61" customFormat="false" ht="15.75" hidden="false" customHeight="false" outlineLevel="0" collapsed="false">
      <c r="A61" s="0" t="s">
        <v>59</v>
      </c>
      <c r="B61" s="1" t="n">
        <v>43921</v>
      </c>
      <c r="C61" s="7" t="n">
        <v>548</v>
      </c>
      <c r="D61" s="7" t="n">
        <v>73</v>
      </c>
      <c r="E61" s="7" t="n">
        <v>13</v>
      </c>
      <c r="F61" s="7" t="n">
        <v>3</v>
      </c>
      <c r="G61" s="7" t="n">
        <v>8</v>
      </c>
      <c r="H61" s="7" t="n">
        <v>527</v>
      </c>
      <c r="I61" s="7"/>
      <c r="J61" s="7" t="n">
        <v>13</v>
      </c>
      <c r="K61" s="9" t="n">
        <v>0.3</v>
      </c>
      <c r="M61" s="7"/>
    </row>
    <row r="62" customFormat="false" ht="15.75" hidden="false" customHeight="false" outlineLevel="0" collapsed="false">
      <c r="A62" s="0" t="s">
        <v>59</v>
      </c>
      <c r="B62" s="1" t="n">
        <v>43922</v>
      </c>
      <c r="C62" s="7" t="n">
        <v>645</v>
      </c>
      <c r="D62" s="7" t="n">
        <v>97</v>
      </c>
      <c r="E62" s="7" t="n">
        <v>17</v>
      </c>
      <c r="F62" s="7" t="n">
        <v>4</v>
      </c>
      <c r="G62" s="7" t="n">
        <v>10</v>
      </c>
      <c r="H62" s="7" t="n">
        <v>618</v>
      </c>
      <c r="I62" s="7"/>
      <c r="J62" s="7" t="n">
        <v>15</v>
      </c>
      <c r="K62" s="9" t="n">
        <v>0.4</v>
      </c>
      <c r="M62" s="7"/>
    </row>
    <row r="63" customFormat="false" ht="15.75" hidden="false" customHeight="false" outlineLevel="0" collapsed="false">
      <c r="A63" s="0" t="s">
        <v>59</v>
      </c>
      <c r="B63" s="1" t="n">
        <v>43923</v>
      </c>
      <c r="C63" s="7" t="n">
        <v>794</v>
      </c>
      <c r="D63" s="7" t="n">
        <v>149</v>
      </c>
      <c r="E63" s="7" t="n">
        <v>20</v>
      </c>
      <c r="F63" s="7" t="n">
        <v>3</v>
      </c>
      <c r="G63" s="7" t="n">
        <v>13</v>
      </c>
      <c r="H63" s="7" t="n">
        <v>761</v>
      </c>
      <c r="I63" s="7"/>
      <c r="J63" s="7" t="n">
        <v>18</v>
      </c>
      <c r="K63" s="9" t="n">
        <v>0.5</v>
      </c>
      <c r="M63" s="7"/>
    </row>
    <row r="64" customFormat="false" ht="15.75" hidden="false" customHeight="false" outlineLevel="0" collapsed="false">
      <c r="A64" s="0" t="s">
        <v>59</v>
      </c>
      <c r="B64" s="1" t="n">
        <v>43924</v>
      </c>
      <c r="C64" s="7" t="n">
        <v>897</v>
      </c>
      <c r="D64" s="7" t="n">
        <v>103</v>
      </c>
      <c r="E64" s="7" t="n">
        <v>22</v>
      </c>
      <c r="F64" s="7" t="n">
        <v>2</v>
      </c>
      <c r="G64" s="7" t="n">
        <v>19</v>
      </c>
      <c r="H64" s="7" t="n">
        <v>856</v>
      </c>
      <c r="I64" s="7"/>
      <c r="J64" s="7" t="n">
        <v>21</v>
      </c>
      <c r="K64" s="9" t="n">
        <v>0.5</v>
      </c>
      <c r="M64" s="7"/>
    </row>
    <row r="65" customFormat="false" ht="15.75" hidden="false" customHeight="false" outlineLevel="0" collapsed="false">
      <c r="A65" s="0" t="s">
        <v>59</v>
      </c>
      <c r="B65" s="1" t="n">
        <v>43925</v>
      </c>
      <c r="C65" s="7" t="n">
        <v>1072</v>
      </c>
      <c r="D65" s="7" t="n">
        <v>175</v>
      </c>
      <c r="E65" s="7" t="n">
        <v>27</v>
      </c>
      <c r="F65" s="7" t="n">
        <v>5</v>
      </c>
      <c r="G65" s="7" t="n">
        <v>22</v>
      </c>
      <c r="H65" s="7" t="n">
        <v>1023</v>
      </c>
      <c r="I65" s="7" t="n">
        <v>16</v>
      </c>
      <c r="J65" s="7" t="n">
        <v>25</v>
      </c>
      <c r="K65" s="9" t="n">
        <v>0.6</v>
      </c>
      <c r="M65" s="7"/>
    </row>
    <row r="66" customFormat="false" ht="15.75" hidden="false" customHeight="false" outlineLevel="0" collapsed="false">
      <c r="A66" s="0" t="s">
        <v>59</v>
      </c>
      <c r="B66" s="1" t="n">
        <v>43926</v>
      </c>
      <c r="C66" s="7" t="n">
        <v>1225</v>
      </c>
      <c r="D66" s="7" t="n">
        <v>153</v>
      </c>
      <c r="E66" s="7" t="n">
        <v>32</v>
      </c>
      <c r="F66" s="7" t="n">
        <v>5</v>
      </c>
      <c r="G66" s="7" t="n">
        <v>25</v>
      </c>
      <c r="H66" s="7" t="n">
        <v>1168</v>
      </c>
      <c r="I66" s="7" t="n">
        <v>16</v>
      </c>
      <c r="J66" s="7" t="n">
        <v>28</v>
      </c>
      <c r="K66" s="9" t="n">
        <v>0.7</v>
      </c>
      <c r="L66" s="7" t="n">
        <v>5040</v>
      </c>
      <c r="M66" s="7" t="n">
        <v>115</v>
      </c>
    </row>
    <row r="67" customFormat="false" ht="15.75" hidden="false" customHeight="false" outlineLevel="0" collapsed="false">
      <c r="A67" s="0" t="s">
        <v>59</v>
      </c>
      <c r="B67" s="1" t="n">
        <v>43927</v>
      </c>
      <c r="C67" s="7" t="n">
        <v>1308</v>
      </c>
      <c r="D67" s="7" t="n">
        <v>83</v>
      </c>
      <c r="E67" s="7" t="n">
        <v>37</v>
      </c>
      <c r="F67" s="7" t="n">
        <v>5</v>
      </c>
      <c r="G67" s="7" t="n">
        <v>28</v>
      </c>
      <c r="H67" s="7" t="n">
        <v>1243</v>
      </c>
      <c r="I67" s="7" t="n">
        <v>16</v>
      </c>
      <c r="J67" s="7" t="n">
        <v>30</v>
      </c>
      <c r="K67" s="9" t="n">
        <v>0.8</v>
      </c>
      <c r="L67" s="7" t="n">
        <v>5493</v>
      </c>
      <c r="M67" s="7" t="n">
        <v>126</v>
      </c>
    </row>
    <row r="68" customFormat="false" ht="15.75" hidden="false" customHeight="false" outlineLevel="0" collapsed="false">
      <c r="A68" s="0" t="s">
        <v>59</v>
      </c>
      <c r="B68" s="1" t="n">
        <v>43928</v>
      </c>
      <c r="C68" s="12" t="n">
        <v>1319</v>
      </c>
      <c r="D68" s="12" t="n">
        <v>11</v>
      </c>
      <c r="E68" s="12" t="n">
        <v>38</v>
      </c>
      <c r="F68" s="12" t="n">
        <v>1</v>
      </c>
      <c r="G68" s="12" t="n">
        <v>28</v>
      </c>
      <c r="H68" s="12" t="n">
        <v>1253</v>
      </c>
      <c r="I68" s="12" t="n">
        <v>16</v>
      </c>
      <c r="J68" s="12" t="n">
        <v>30</v>
      </c>
      <c r="K68" s="13" t="n">
        <v>0.9</v>
      </c>
      <c r="L68" s="12" t="n">
        <v>5864</v>
      </c>
      <c r="M68" s="12" t="n">
        <v>134</v>
      </c>
    </row>
    <row r="69" customFormat="false" ht="15.75" hidden="false" customHeight="false" outlineLevel="0" collapsed="false">
      <c r="A69" s="0" t="s">
        <v>59</v>
      </c>
      <c r="B69" s="1" t="n">
        <v>43929</v>
      </c>
      <c r="C69" s="14" t="n">
        <v>1462</v>
      </c>
      <c r="D69" s="14" t="n">
        <v>143</v>
      </c>
      <c r="E69" s="14" t="n">
        <v>45</v>
      </c>
      <c r="F69" s="14" t="n">
        <v>7</v>
      </c>
      <c r="G69" s="14" t="n">
        <v>28</v>
      </c>
      <c r="H69" s="14" t="n">
        <v>1389</v>
      </c>
      <c r="I69" s="14" t="n">
        <v>16</v>
      </c>
      <c r="J69" s="14" t="n">
        <v>33</v>
      </c>
      <c r="K69" s="28" t="n">
        <v>1</v>
      </c>
      <c r="L69" s="14" t="n">
        <v>6385</v>
      </c>
      <c r="M69" s="14" t="n">
        <v>146</v>
      </c>
    </row>
    <row r="70" customFormat="false" ht="15.75" hidden="false" customHeight="false" outlineLevel="0" collapsed="false">
      <c r="A70" s="0" t="s">
        <v>59</v>
      </c>
      <c r="B70" s="1" t="n">
        <v>43930</v>
      </c>
      <c r="C70" s="14" t="n">
        <v>1668</v>
      </c>
      <c r="D70" s="14" t="n">
        <v>206</v>
      </c>
      <c r="E70" s="14" t="n">
        <v>52</v>
      </c>
      <c r="F70" s="14" t="n">
        <v>7</v>
      </c>
      <c r="G70" s="14" t="n">
        <v>35</v>
      </c>
      <c r="H70" s="14" t="n">
        <v>1581</v>
      </c>
      <c r="I70" s="14" t="n">
        <v>33</v>
      </c>
      <c r="J70" s="14" t="n">
        <v>38</v>
      </c>
      <c r="K70" s="28" t="n">
        <v>1</v>
      </c>
      <c r="L70" s="14" t="n">
        <v>7205</v>
      </c>
      <c r="M70" s="14" t="n">
        <v>165</v>
      </c>
    </row>
    <row r="71" customFormat="false" ht="15.75" hidden="false" customHeight="false" outlineLevel="0" collapsed="false">
      <c r="A71" s="0" t="s">
        <v>59</v>
      </c>
      <c r="B71" s="1" t="n">
        <v>43931</v>
      </c>
      <c r="C71" s="14" t="n">
        <v>1892</v>
      </c>
      <c r="D71" s="14" t="n">
        <v>224</v>
      </c>
      <c r="E71" s="14" t="n">
        <v>57</v>
      </c>
      <c r="F71" s="14" t="n">
        <v>5</v>
      </c>
      <c r="G71" s="14" t="n">
        <v>45</v>
      </c>
      <c r="H71" s="14" t="n">
        <v>1790</v>
      </c>
      <c r="I71" s="14" t="n">
        <v>33</v>
      </c>
      <c r="J71" s="14" t="n">
        <v>43</v>
      </c>
      <c r="K71" s="28" t="n">
        <v>1</v>
      </c>
      <c r="L71" s="14" t="n">
        <v>20608</v>
      </c>
      <c r="M71" s="14" t="n">
        <v>471</v>
      </c>
    </row>
    <row r="72" customFormat="false" ht="15.75" hidden="false" customHeight="false" outlineLevel="0" collapsed="false">
      <c r="A72" s="0" t="s">
        <v>59</v>
      </c>
      <c r="B72" s="1" t="n">
        <v>43932</v>
      </c>
      <c r="C72" s="14" t="n">
        <v>2203</v>
      </c>
      <c r="D72" s="14" t="n">
        <v>311</v>
      </c>
      <c r="E72" s="14" t="n">
        <v>69</v>
      </c>
      <c r="F72" s="14" t="n">
        <v>12</v>
      </c>
      <c r="G72" s="14" t="n">
        <v>61</v>
      </c>
      <c r="H72" s="14" t="n">
        <v>2073</v>
      </c>
      <c r="I72" s="14" t="n">
        <v>33</v>
      </c>
      <c r="J72" s="14" t="n">
        <v>50</v>
      </c>
      <c r="K72" s="28" t="n">
        <v>2</v>
      </c>
      <c r="L72" s="14" t="n">
        <v>23522</v>
      </c>
      <c r="M72" s="14" t="n">
        <v>538</v>
      </c>
    </row>
    <row r="73" customFormat="false" ht="15.75" hidden="false" customHeight="false" outlineLevel="0" collapsed="false">
      <c r="A73" s="0" t="s">
        <v>59</v>
      </c>
      <c r="B73" s="1" t="n">
        <v>43933</v>
      </c>
      <c r="C73" s="14" t="n">
        <v>2511</v>
      </c>
      <c r="D73" s="14" t="n">
        <v>308</v>
      </c>
      <c r="E73" s="14" t="n">
        <v>73</v>
      </c>
      <c r="F73" s="14" t="n">
        <v>4</v>
      </c>
      <c r="G73" s="14" t="n">
        <v>79</v>
      </c>
      <c r="H73" s="14" t="n">
        <v>2359</v>
      </c>
      <c r="I73" s="14" t="n">
        <v>45</v>
      </c>
      <c r="J73" s="14" t="n">
        <v>57</v>
      </c>
      <c r="K73" s="28" t="n">
        <v>2</v>
      </c>
      <c r="L73" s="14" t="n">
        <v>26577</v>
      </c>
      <c r="M73" s="14" t="n">
        <v>608</v>
      </c>
    </row>
    <row r="74" customFormat="false" ht="15.75" hidden="false" customHeight="false" outlineLevel="0" collapsed="false">
      <c r="A74" s="0" t="s">
        <v>59</v>
      </c>
      <c r="B74" s="1" t="n">
        <v>43934</v>
      </c>
      <c r="C74" s="14" t="n">
        <v>2777</v>
      </c>
      <c r="D74" s="14" t="n">
        <v>266</v>
      </c>
      <c r="E74" s="14" t="n">
        <v>83</v>
      </c>
      <c r="F74" s="14" t="n">
        <v>10</v>
      </c>
      <c r="G74" s="14" t="n">
        <v>89</v>
      </c>
      <c r="H74" s="14" t="n">
        <v>2605</v>
      </c>
      <c r="I74" s="14" t="n">
        <v>45</v>
      </c>
      <c r="J74" s="14" t="n">
        <v>63</v>
      </c>
      <c r="K74" s="28" t="n">
        <v>2</v>
      </c>
      <c r="L74" s="14" t="n">
        <v>30314</v>
      </c>
      <c r="M74" s="14" t="n">
        <v>693</v>
      </c>
    </row>
    <row r="75" customFormat="false" ht="15.75" hidden="false" customHeight="false" outlineLevel="0" collapsed="false">
      <c r="A75" s="0" t="s">
        <v>59</v>
      </c>
      <c r="B75" s="1" t="n">
        <v>43935</v>
      </c>
      <c r="C75" s="14" t="n">
        <v>3102</v>
      </c>
      <c r="D75" s="14" t="n">
        <v>325</v>
      </c>
      <c r="E75" s="14" t="n">
        <v>93</v>
      </c>
      <c r="F75" s="14" t="n">
        <v>10</v>
      </c>
      <c r="G75" s="14" t="n">
        <v>97</v>
      </c>
      <c r="H75" s="14" t="n">
        <v>2912</v>
      </c>
      <c r="I75" s="14" t="n">
        <v>45</v>
      </c>
      <c r="J75" s="14" t="n">
        <v>71</v>
      </c>
      <c r="K75" s="28" t="n">
        <v>2</v>
      </c>
      <c r="L75" s="14" t="n">
        <v>32496</v>
      </c>
      <c r="M75" s="14" t="n">
        <v>743</v>
      </c>
    </row>
    <row r="76" customFormat="false" ht="15.75" hidden="false" customHeight="false" outlineLevel="0" collapsed="false">
      <c r="A76" s="0" t="s">
        <v>59</v>
      </c>
      <c r="B76" s="1" t="n">
        <v>43936</v>
      </c>
      <c r="C76" s="14" t="n">
        <v>3372</v>
      </c>
      <c r="D76" s="14" t="n">
        <v>270</v>
      </c>
      <c r="E76" s="14" t="n">
        <v>98</v>
      </c>
      <c r="F76" s="14" t="n">
        <v>5</v>
      </c>
      <c r="G76" s="14" t="n">
        <v>119</v>
      </c>
      <c r="H76" s="14" t="n">
        <v>3155</v>
      </c>
      <c r="I76" s="14" t="n">
        <v>45</v>
      </c>
      <c r="J76" s="14" t="n">
        <v>77</v>
      </c>
      <c r="K76" s="28" t="n">
        <v>2</v>
      </c>
      <c r="L76" s="14" t="n">
        <v>35153</v>
      </c>
      <c r="M76" s="14" t="n">
        <v>804</v>
      </c>
    </row>
    <row r="77" customFormat="false" ht="15.75" hidden="false" customHeight="false" outlineLevel="0" collapsed="false">
      <c r="A77" s="0" t="s">
        <v>59</v>
      </c>
      <c r="B77" s="1" t="n">
        <v>43937</v>
      </c>
      <c r="C77" s="14" t="n">
        <v>3764</v>
      </c>
      <c r="D77" s="14" t="n">
        <v>392</v>
      </c>
      <c r="E77" s="14" t="n">
        <v>108</v>
      </c>
      <c r="F77" s="14" t="n">
        <v>10</v>
      </c>
      <c r="G77" s="14" t="n">
        <v>143</v>
      </c>
      <c r="H77" s="14" t="n">
        <v>3513</v>
      </c>
      <c r="I77" s="14" t="n">
        <v>45</v>
      </c>
      <c r="J77" s="14" t="n">
        <v>86</v>
      </c>
      <c r="K77" s="28" t="n">
        <v>2</v>
      </c>
      <c r="L77" s="14" t="n">
        <v>39084</v>
      </c>
      <c r="M77" s="14" t="n">
        <v>894</v>
      </c>
    </row>
    <row r="78" customFormat="false" ht="15.75" hidden="false" customHeight="false" outlineLevel="0" collapsed="false">
      <c r="A78" s="0" t="s">
        <v>59</v>
      </c>
      <c r="B78" s="1" t="n">
        <v>43938</v>
      </c>
      <c r="C78" s="14" t="n">
        <v>4161</v>
      </c>
      <c r="D78" s="14" t="n">
        <v>397</v>
      </c>
      <c r="E78" s="14" t="n">
        <v>116</v>
      </c>
      <c r="F78" s="14" t="n">
        <v>8</v>
      </c>
      <c r="G78" s="14" t="n">
        <v>186</v>
      </c>
      <c r="H78" s="14" t="n">
        <v>3859</v>
      </c>
      <c r="I78" s="14" t="n">
        <v>45</v>
      </c>
      <c r="J78" s="14" t="n">
        <v>95</v>
      </c>
      <c r="K78" s="28" t="n">
        <v>3</v>
      </c>
      <c r="L78" s="14" t="n">
        <v>42823</v>
      </c>
      <c r="M78" s="14" t="n">
        <v>979</v>
      </c>
    </row>
    <row r="79" customFormat="false" ht="15.75" hidden="false" customHeight="false" outlineLevel="0" collapsed="false">
      <c r="A79" s="0" t="s">
        <v>59</v>
      </c>
      <c r="B79" s="1" t="n">
        <v>43939</v>
      </c>
      <c r="C79" s="14" t="n">
        <v>4662</v>
      </c>
      <c r="D79" s="14" t="n">
        <v>501</v>
      </c>
      <c r="E79" s="14" t="n">
        <v>125</v>
      </c>
      <c r="F79" s="14" t="n">
        <v>9</v>
      </c>
      <c r="G79" s="14" t="n">
        <v>246</v>
      </c>
      <c r="H79" s="14" t="n">
        <v>4291</v>
      </c>
      <c r="I79" s="14" t="n">
        <v>45</v>
      </c>
      <c r="J79" s="14" t="n">
        <v>107</v>
      </c>
      <c r="K79" s="28" t="n">
        <v>3</v>
      </c>
      <c r="L79" s="14" t="n">
        <v>47096</v>
      </c>
      <c r="M79" s="14" t="n">
        <v>1077</v>
      </c>
    </row>
    <row r="80" customFormat="false" ht="15.75" hidden="false" customHeight="false" outlineLevel="0" collapsed="false">
      <c r="A80" s="0" t="s">
        <v>59</v>
      </c>
      <c r="B80" s="1" t="n">
        <v>43940</v>
      </c>
      <c r="C80" s="14" t="n">
        <v>5106</v>
      </c>
      <c r="D80" s="14" t="n">
        <v>444</v>
      </c>
      <c r="E80" s="14" t="n">
        <v>133</v>
      </c>
      <c r="F80" s="14" t="n">
        <v>8</v>
      </c>
      <c r="G80" s="14" t="n">
        <v>275</v>
      </c>
      <c r="H80" s="14" t="n">
        <v>4698</v>
      </c>
      <c r="I80" s="14" t="n">
        <v>45</v>
      </c>
      <c r="J80" s="14" t="n">
        <v>117</v>
      </c>
      <c r="K80" s="28" t="n">
        <v>3</v>
      </c>
      <c r="L80" s="14" t="n">
        <v>52534</v>
      </c>
      <c r="M80" s="14" t="n">
        <v>1201</v>
      </c>
    </row>
    <row r="81" customFormat="false" ht="15.75" hidden="false" customHeight="false" outlineLevel="0" collapsed="false">
      <c r="A81" s="0" t="s">
        <v>59</v>
      </c>
      <c r="B81" s="1" t="n">
        <v>43941</v>
      </c>
      <c r="C81" s="14" t="n">
        <v>5449</v>
      </c>
      <c r="D81" s="14" t="n">
        <v>343</v>
      </c>
      <c r="E81" s="14" t="n">
        <v>141</v>
      </c>
      <c r="F81" s="14" t="n">
        <v>8</v>
      </c>
      <c r="G81" s="14" t="n">
        <v>347</v>
      </c>
      <c r="H81" s="14" t="n">
        <v>4961</v>
      </c>
      <c r="I81" s="14" t="n">
        <v>45</v>
      </c>
      <c r="J81" s="14" t="n">
        <v>125</v>
      </c>
      <c r="K81" s="28" t="n">
        <v>3</v>
      </c>
      <c r="L81" s="14" t="n">
        <v>57111</v>
      </c>
      <c r="M81" s="14" t="n">
        <v>1306</v>
      </c>
    </row>
    <row r="82" customFormat="false" ht="15.75" hidden="false" customHeight="false" outlineLevel="0" collapsed="false">
      <c r="A82" s="0" t="s">
        <v>59</v>
      </c>
      <c r="B82" s="1" t="n">
        <v>43942</v>
      </c>
      <c r="C82" s="6" t="n">
        <v>5710</v>
      </c>
      <c r="D82" s="6" t="n">
        <v>261</v>
      </c>
      <c r="E82" s="6" t="n">
        <v>151</v>
      </c>
      <c r="F82" s="6" t="n">
        <v>10</v>
      </c>
      <c r="G82" s="6" t="n">
        <v>359</v>
      </c>
      <c r="H82" s="6" t="n">
        <v>5200</v>
      </c>
      <c r="I82" s="6" t="n">
        <v>45</v>
      </c>
      <c r="J82" s="6" t="n">
        <v>131</v>
      </c>
      <c r="K82" s="28" t="n">
        <v>3</v>
      </c>
      <c r="L82" s="6" t="n">
        <v>58093</v>
      </c>
      <c r="M82" s="6" t="n">
        <v>1328</v>
      </c>
    </row>
    <row r="83" customFormat="false" ht="15.75" hidden="false" customHeight="false" outlineLevel="0" collapsed="false">
      <c r="A83" s="0" t="s">
        <v>59</v>
      </c>
      <c r="B83" s="1" t="n">
        <v>43943</v>
      </c>
      <c r="C83" s="6" t="n">
        <v>6125</v>
      </c>
      <c r="D83" s="6" t="n">
        <v>415</v>
      </c>
      <c r="E83" s="6" t="n">
        <v>161</v>
      </c>
      <c r="F83" s="6" t="n">
        <v>10</v>
      </c>
      <c r="G83" s="6" t="n">
        <v>367</v>
      </c>
      <c r="H83" s="6" t="n">
        <v>5597</v>
      </c>
      <c r="I83" s="6" t="n">
        <v>45</v>
      </c>
      <c r="J83" s="6" t="n">
        <v>140</v>
      </c>
      <c r="K83" s="9" t="n">
        <v>4</v>
      </c>
      <c r="L83" s="6" t="n">
        <v>61997</v>
      </c>
      <c r="M83" s="6" t="n">
        <v>1418</v>
      </c>
    </row>
    <row r="84" customFormat="false" ht="15.75" hidden="false" customHeight="false" outlineLevel="0" collapsed="false">
      <c r="A84" s="0" t="s">
        <v>59</v>
      </c>
      <c r="B84" s="1" t="n">
        <v>43944</v>
      </c>
      <c r="C84" s="6" t="n">
        <v>6592</v>
      </c>
      <c r="D84" s="6" t="n">
        <v>467</v>
      </c>
      <c r="E84" s="6" t="n">
        <v>174</v>
      </c>
      <c r="F84" s="6" t="n">
        <v>13</v>
      </c>
      <c r="G84" s="6" t="n">
        <v>424</v>
      </c>
      <c r="H84" s="6" t="n">
        <v>5994</v>
      </c>
      <c r="I84" s="6" t="n">
        <v>45</v>
      </c>
      <c r="J84" s="6" t="n">
        <v>151</v>
      </c>
      <c r="K84" s="9" t="n">
        <v>4</v>
      </c>
      <c r="L84" s="6" t="n">
        <v>67520</v>
      </c>
      <c r="M84" s="6" t="n">
        <v>1544</v>
      </c>
    </row>
    <row r="85" customFormat="false" ht="15.75" hidden="false" customHeight="false" outlineLevel="0" collapsed="false">
      <c r="A85" s="0" t="s">
        <v>59</v>
      </c>
      <c r="B85" s="1" t="n">
        <v>43945</v>
      </c>
      <c r="C85" s="6" t="n">
        <v>7170</v>
      </c>
      <c r="D85" s="6" t="n">
        <v>578</v>
      </c>
      <c r="E85" s="6" t="n">
        <v>187</v>
      </c>
      <c r="F85" s="6" t="n">
        <v>13</v>
      </c>
      <c r="G85" s="6" t="n">
        <v>504</v>
      </c>
      <c r="H85" s="6" t="n">
        <v>6479</v>
      </c>
      <c r="I85" s="6" t="n">
        <v>45</v>
      </c>
      <c r="J85" s="6" t="n">
        <v>164</v>
      </c>
      <c r="K85" s="9" t="n">
        <v>4</v>
      </c>
      <c r="L85" s="6" t="n">
        <v>72296</v>
      </c>
      <c r="M85" s="6" t="n">
        <v>1653</v>
      </c>
    </row>
    <row r="86" customFormat="false" ht="15.75" hidden="false" customHeight="false" outlineLevel="0" collapsed="false">
      <c r="A86" s="0" t="s">
        <v>59</v>
      </c>
      <c r="B86" s="1" t="n">
        <v>43946</v>
      </c>
      <c r="C86" s="6" t="n">
        <v>7647</v>
      </c>
      <c r="D86" s="6" t="n">
        <v>477</v>
      </c>
      <c r="E86" s="6" t="n">
        <v>193</v>
      </c>
      <c r="F86" s="6" t="n">
        <v>6</v>
      </c>
      <c r="G86" s="6" t="n">
        <v>601</v>
      </c>
      <c r="H86" s="6" t="n">
        <v>6853</v>
      </c>
      <c r="I86" s="6" t="n">
        <v>45</v>
      </c>
      <c r="J86" s="6" t="n">
        <v>175</v>
      </c>
      <c r="K86" s="9" t="n">
        <v>4</v>
      </c>
      <c r="L86" s="6" t="n">
        <v>77752</v>
      </c>
      <c r="M86" s="6" t="n">
        <v>1778</v>
      </c>
    </row>
    <row r="87" customFormat="false" ht="15.75" hidden="false" customHeight="false" outlineLevel="0" collapsed="false">
      <c r="A87" s="0" t="s">
        <v>59</v>
      </c>
      <c r="B87" s="1" t="n">
        <v>43947</v>
      </c>
      <c r="C87" s="6" t="n">
        <v>8125</v>
      </c>
      <c r="D87" s="6" t="n">
        <v>478</v>
      </c>
      <c r="E87" s="6" t="n">
        <v>201</v>
      </c>
      <c r="F87" s="6" t="n">
        <v>8</v>
      </c>
      <c r="G87" s="6" t="n">
        <v>782</v>
      </c>
      <c r="H87" s="6" t="n">
        <v>7142</v>
      </c>
      <c r="I87" s="6" t="n">
        <v>104</v>
      </c>
      <c r="J87" s="6" t="n">
        <v>186</v>
      </c>
      <c r="K87" s="9" t="n">
        <v>5</v>
      </c>
      <c r="L87" s="6" t="n">
        <v>83577</v>
      </c>
      <c r="M87" s="6" t="n">
        <v>1911</v>
      </c>
    </row>
    <row r="88" customFormat="false" ht="15.75" hidden="false" customHeight="false" outlineLevel="0" collapsed="false">
      <c r="A88" s="0" t="s">
        <v>59</v>
      </c>
      <c r="B88" s="1" t="n">
        <v>43948</v>
      </c>
      <c r="C88" s="6" t="n">
        <v>8617</v>
      </c>
      <c r="D88" s="6" t="n">
        <v>492</v>
      </c>
      <c r="E88" s="6" t="n">
        <v>209</v>
      </c>
      <c r="F88" s="6" t="n">
        <v>8</v>
      </c>
      <c r="G88" s="6" t="n">
        <v>840</v>
      </c>
      <c r="H88" s="6" t="n">
        <v>7568</v>
      </c>
      <c r="I88" s="6" t="n">
        <v>107</v>
      </c>
      <c r="J88" s="6" t="n">
        <v>197</v>
      </c>
      <c r="K88" s="9" t="n">
        <v>5</v>
      </c>
      <c r="L88" s="6" t="n">
        <v>89373</v>
      </c>
      <c r="M88" s="6" t="n">
        <v>2044</v>
      </c>
    </row>
    <row r="89" customFormat="false" ht="13.5" hidden="false" customHeight="false" outlineLevel="0" collapsed="false">
      <c r="A89" s="0" t="s">
        <v>59</v>
      </c>
      <c r="B89" s="1" t="n">
        <v>43949</v>
      </c>
      <c r="C89" s="2" t="n">
        <v>9009</v>
      </c>
      <c r="D89" s="2" t="n">
        <v>392</v>
      </c>
      <c r="E89" s="2" t="n">
        <v>220</v>
      </c>
      <c r="F89" s="2" t="n">
        <v>11</v>
      </c>
      <c r="G89" s="2" t="n">
        <v>864</v>
      </c>
      <c r="H89" s="2" t="n">
        <v>7925</v>
      </c>
      <c r="I89" s="2" t="n">
        <v>110</v>
      </c>
      <c r="J89" s="2" t="n">
        <v>206</v>
      </c>
      <c r="K89" s="2" t="n">
        <v>5</v>
      </c>
      <c r="L89" s="2" t="n">
        <v>93519</v>
      </c>
      <c r="M89" s="2" t="n">
        <v>2138</v>
      </c>
    </row>
    <row r="90" customFormat="false" ht="13.5" hidden="false" customHeight="false" outlineLevel="0" collapsed="false">
      <c r="A90" s="0" t="s">
        <v>59</v>
      </c>
      <c r="B90" s="1" t="n">
        <v>43950</v>
      </c>
      <c r="C90" s="2" t="n">
        <v>9410</v>
      </c>
      <c r="D90" s="2" t="n">
        <v>401</v>
      </c>
      <c r="E90" s="2" t="n">
        <v>239</v>
      </c>
      <c r="F90" s="2" t="n">
        <v>19</v>
      </c>
      <c r="G90" s="2" t="n">
        <v>992</v>
      </c>
      <c r="H90" s="2" t="n">
        <v>8179</v>
      </c>
      <c r="I90" s="2" t="n">
        <v>121</v>
      </c>
      <c r="J90" s="2" t="n">
        <v>215</v>
      </c>
      <c r="K90" s="2" t="n">
        <v>5</v>
      </c>
      <c r="L90" s="2" t="n">
        <v>98719</v>
      </c>
      <c r="M90" s="2" t="n">
        <v>2257</v>
      </c>
    </row>
    <row r="91" customFormat="false" ht="13.5" hidden="false" customHeight="false" outlineLevel="0" collapsed="false">
      <c r="A91" s="0" t="s">
        <v>59</v>
      </c>
      <c r="B91" s="1" t="n">
        <v>43951</v>
      </c>
      <c r="C91" s="2" t="n">
        <v>9866</v>
      </c>
      <c r="D91" s="2" t="n">
        <v>456</v>
      </c>
      <c r="E91" s="2" t="n">
        <v>250</v>
      </c>
      <c r="F91" s="2" t="n">
        <v>11</v>
      </c>
      <c r="G91" s="2" t="n">
        <v>1103</v>
      </c>
      <c r="H91" s="2" t="n">
        <v>8513</v>
      </c>
      <c r="I91" s="2" t="n">
        <v>129</v>
      </c>
      <c r="J91" s="2" t="n">
        <v>226</v>
      </c>
      <c r="K91" s="2" t="n">
        <v>6</v>
      </c>
      <c r="L91" s="2" t="n">
        <v>104544</v>
      </c>
      <c r="M91" s="2" t="n">
        <v>2390</v>
      </c>
    </row>
    <row r="92" customFormat="false" ht="14.25" hidden="false" customHeight="false" outlineLevel="0" collapsed="false">
      <c r="A92" s="0" t="s">
        <v>59</v>
      </c>
      <c r="B92" s="1" t="n">
        <v>43952</v>
      </c>
      <c r="C92" s="2" t="n">
        <v>10406</v>
      </c>
      <c r="D92" s="2" t="n">
        <v>540</v>
      </c>
      <c r="E92" s="2" t="n">
        <v>261</v>
      </c>
      <c r="F92" s="2" t="n">
        <v>11</v>
      </c>
      <c r="G92" s="2" t="n">
        <v>1238</v>
      </c>
      <c r="H92" s="2" t="n">
        <v>8907</v>
      </c>
      <c r="I92" s="2" t="n">
        <v>138</v>
      </c>
      <c r="J92" s="2" t="n">
        <v>238</v>
      </c>
      <c r="K92" s="2" t="n">
        <v>6</v>
      </c>
      <c r="L92" s="2" t="n">
        <v>111859</v>
      </c>
      <c r="M92" s="2" t="n">
        <v>2558</v>
      </c>
    </row>
    <row r="93" customFormat="false" ht="15.75" hidden="false" customHeight="false" outlineLevel="0" collapsed="false">
      <c r="A93" s="0" t="s">
        <v>59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59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59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59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59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59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59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59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59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59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59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59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59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59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59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59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59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59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59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59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59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59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59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59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59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59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59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59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59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59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59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59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59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59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59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59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59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59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59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59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59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59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59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59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59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59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59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59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59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59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59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59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59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59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59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59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59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59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59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59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59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59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59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59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59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59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59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59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59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59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59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59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59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59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59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59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59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59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59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59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59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59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59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59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59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59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59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59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59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59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59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59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59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59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59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60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60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60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60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60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60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60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60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60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60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60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60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60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60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60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60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60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60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60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60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60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60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60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60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60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60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60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60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60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60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60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60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60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60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60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60</v>
      </c>
      <c r="B37" s="1" t="n">
        <v>43897</v>
      </c>
      <c r="C37" s="8" t="n">
        <v>15</v>
      </c>
      <c r="D37" s="8" t="n">
        <v>3</v>
      </c>
      <c r="E37" s="8"/>
      <c r="F37" s="8"/>
      <c r="G37" s="8" t="n">
        <v>1</v>
      </c>
      <c r="H37" s="8" t="n">
        <v>14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60</v>
      </c>
      <c r="B38" s="1" t="n">
        <v>43898</v>
      </c>
      <c r="C38" s="6" t="n">
        <v>19</v>
      </c>
      <c r="D38" s="6" t="n">
        <v>4</v>
      </c>
      <c r="E38" s="6"/>
      <c r="F38" s="6"/>
      <c r="G38" s="6" t="n">
        <v>1</v>
      </c>
      <c r="H38" s="6" t="n">
        <v>18</v>
      </c>
      <c r="I38" s="6"/>
      <c r="J38" s="6" t="n">
        <v>3.4</v>
      </c>
      <c r="K38" s="9"/>
      <c r="L38" s="6"/>
      <c r="M38" s="6"/>
    </row>
    <row r="39" customFormat="false" ht="15.75" hidden="false" customHeight="false" outlineLevel="0" collapsed="false">
      <c r="A39" s="0" t="s">
        <v>60</v>
      </c>
      <c r="B39" s="1" t="n">
        <v>43899</v>
      </c>
      <c r="C39" s="6" t="n">
        <v>25</v>
      </c>
      <c r="D39" s="6" t="n">
        <v>6</v>
      </c>
      <c r="E39" s="6"/>
      <c r="F39" s="6"/>
      <c r="G39" s="6" t="n">
        <v>1</v>
      </c>
      <c r="H39" s="6" t="n">
        <v>24</v>
      </c>
      <c r="I39" s="6"/>
      <c r="J39" s="6" t="n">
        <v>4.5</v>
      </c>
      <c r="K39" s="9"/>
      <c r="L39" s="6"/>
      <c r="M39" s="6"/>
    </row>
    <row r="40" customFormat="false" ht="15.75" hidden="false" customHeight="false" outlineLevel="0" collapsed="false">
      <c r="A40" s="0" t="s">
        <v>60</v>
      </c>
      <c r="B40" s="1" t="n">
        <v>43900</v>
      </c>
      <c r="C40" s="6" t="n">
        <v>33</v>
      </c>
      <c r="D40" s="6" t="n">
        <v>8</v>
      </c>
      <c r="E40" s="6"/>
      <c r="F40" s="6"/>
      <c r="G40" s="6" t="n">
        <v>1</v>
      </c>
      <c r="H40" s="6" t="n">
        <v>32</v>
      </c>
      <c r="I40" s="6"/>
      <c r="J40" s="6" t="n">
        <v>6</v>
      </c>
      <c r="K40" s="9"/>
      <c r="L40" s="6"/>
      <c r="M40" s="6"/>
    </row>
    <row r="41" customFormat="false" ht="15.75" hidden="false" customHeight="false" outlineLevel="0" collapsed="false">
      <c r="A41" s="0" t="s">
        <v>60</v>
      </c>
      <c r="B41" s="1" t="n">
        <v>43901</v>
      </c>
      <c r="C41" s="6" t="n">
        <v>40</v>
      </c>
      <c r="D41" s="6" t="n">
        <v>7</v>
      </c>
      <c r="E41" s="6"/>
      <c r="F41" s="6"/>
      <c r="G41" s="6" t="n">
        <v>1</v>
      </c>
      <c r="H41" s="6" t="n">
        <v>39</v>
      </c>
      <c r="I41" s="6"/>
      <c r="J41" s="6" t="n">
        <v>7.2</v>
      </c>
      <c r="K41" s="9"/>
      <c r="L41" s="6"/>
      <c r="M41" s="6"/>
    </row>
    <row r="42" customFormat="false" ht="15.75" hidden="false" customHeight="false" outlineLevel="0" collapsed="false">
      <c r="A42" s="0" t="s">
        <v>60</v>
      </c>
      <c r="B42" s="1" t="n">
        <v>43902</v>
      </c>
      <c r="C42" s="6" t="n">
        <v>59</v>
      </c>
      <c r="D42" s="6" t="n">
        <v>19</v>
      </c>
      <c r="E42" s="6"/>
      <c r="F42" s="6"/>
      <c r="G42" s="6" t="n">
        <v>1</v>
      </c>
      <c r="H42" s="6" t="n">
        <v>58</v>
      </c>
      <c r="I42" s="6"/>
      <c r="J42" s="6" t="n">
        <v>10.6</v>
      </c>
      <c r="K42" s="9"/>
      <c r="L42" s="6"/>
      <c r="M42" s="6"/>
    </row>
    <row r="43" customFormat="false" ht="15.75" hidden="false" customHeight="false" outlineLevel="0" collapsed="false">
      <c r="A43" s="0" t="s">
        <v>60</v>
      </c>
      <c r="B43" s="1" t="n">
        <v>43903</v>
      </c>
      <c r="C43" s="6" t="n">
        <v>109</v>
      </c>
      <c r="D43" s="6" t="n">
        <v>50</v>
      </c>
      <c r="E43" s="6"/>
      <c r="F43" s="6"/>
      <c r="G43" s="6" t="n">
        <v>1</v>
      </c>
      <c r="H43" s="6" t="n">
        <v>108</v>
      </c>
      <c r="I43" s="6"/>
      <c r="J43" s="6" t="n">
        <v>19.7</v>
      </c>
      <c r="K43" s="9"/>
      <c r="L43" s="6"/>
      <c r="M43" s="6"/>
    </row>
    <row r="44" customFormat="false" ht="15.75" hidden="false" customHeight="false" outlineLevel="0" collapsed="false">
      <c r="A44" s="0" t="s">
        <v>60</v>
      </c>
      <c r="B44" s="1" t="n">
        <v>43904</v>
      </c>
      <c r="C44" s="6" t="n">
        <v>155</v>
      </c>
      <c r="D44" s="6" t="n">
        <v>46</v>
      </c>
      <c r="E44" s="6"/>
      <c r="F44" s="6"/>
      <c r="G44" s="6" t="n">
        <v>1</v>
      </c>
      <c r="H44" s="6" t="n">
        <v>154</v>
      </c>
      <c r="I44" s="6"/>
      <c r="J44" s="6" t="n">
        <v>28</v>
      </c>
      <c r="K44" s="9"/>
      <c r="L44" s="6"/>
      <c r="M44" s="6"/>
    </row>
    <row r="45" customFormat="false" ht="15.75" hidden="false" customHeight="false" outlineLevel="0" collapsed="false">
      <c r="A45" s="0" t="s">
        <v>60</v>
      </c>
      <c r="B45" s="1" t="n">
        <v>43905</v>
      </c>
      <c r="C45" s="6" t="n">
        <v>225</v>
      </c>
      <c r="D45" s="6" t="n">
        <v>70</v>
      </c>
      <c r="E45" s="6"/>
      <c r="F45" s="6"/>
      <c r="G45" s="6" t="n">
        <v>10</v>
      </c>
      <c r="H45" s="6" t="n">
        <v>215</v>
      </c>
      <c r="I45" s="6"/>
      <c r="J45" s="6" t="n">
        <v>40.6</v>
      </c>
      <c r="K45" s="9"/>
      <c r="L45" s="6"/>
      <c r="M45" s="6"/>
    </row>
    <row r="46" customFormat="false" ht="15.75" hidden="false" customHeight="false" outlineLevel="0" collapsed="false">
      <c r="A46" s="0" t="s">
        <v>60</v>
      </c>
      <c r="B46" s="1" t="n">
        <v>43906</v>
      </c>
      <c r="C46" s="6" t="n">
        <v>244</v>
      </c>
      <c r="D46" s="6" t="n">
        <v>19</v>
      </c>
      <c r="E46" s="6"/>
      <c r="F46" s="6"/>
      <c r="G46" s="6" t="n">
        <v>10</v>
      </c>
      <c r="H46" s="6" t="n">
        <v>234</v>
      </c>
      <c r="I46" s="6"/>
      <c r="J46" s="6" t="n">
        <v>44</v>
      </c>
      <c r="K46" s="9"/>
      <c r="L46" s="6"/>
      <c r="M46" s="6"/>
    </row>
    <row r="47" customFormat="false" ht="15.75" hidden="false" customHeight="false" outlineLevel="0" collapsed="false">
      <c r="A47" s="0" t="s">
        <v>60</v>
      </c>
      <c r="B47" s="1" t="n">
        <v>43907</v>
      </c>
      <c r="C47" s="6" t="n">
        <v>278</v>
      </c>
      <c r="D47" s="6" t="n">
        <v>34</v>
      </c>
      <c r="E47" s="6"/>
      <c r="F47" s="6"/>
      <c r="G47" s="6" t="n">
        <v>10</v>
      </c>
      <c r="H47" s="6" t="n">
        <v>268</v>
      </c>
      <c r="I47" s="6" t="n">
        <v>1</v>
      </c>
      <c r="J47" s="6" t="n">
        <v>50.2</v>
      </c>
      <c r="K47" s="9"/>
      <c r="L47" s="6"/>
      <c r="M47" s="6"/>
    </row>
    <row r="48" customFormat="false" ht="15.75" hidden="false" customHeight="false" outlineLevel="0" collapsed="false">
      <c r="A48" s="0" t="s">
        <v>60</v>
      </c>
      <c r="B48" s="1" t="n">
        <v>43908</v>
      </c>
      <c r="C48" s="6" t="n">
        <v>322</v>
      </c>
      <c r="D48" s="6" t="n">
        <v>44</v>
      </c>
      <c r="E48" s="6"/>
      <c r="F48" s="6"/>
      <c r="G48" s="6" t="n">
        <v>10</v>
      </c>
      <c r="H48" s="6" t="n">
        <v>312</v>
      </c>
      <c r="I48" s="6" t="n">
        <v>2</v>
      </c>
      <c r="J48" s="6" t="n">
        <v>58.1</v>
      </c>
      <c r="K48" s="9"/>
      <c r="L48" s="6"/>
      <c r="M48" s="6"/>
    </row>
    <row r="49" customFormat="false" ht="15.75" hidden="false" customHeight="false" outlineLevel="0" collapsed="false">
      <c r="A49" s="0" t="s">
        <v>60</v>
      </c>
      <c r="B49" s="1" t="n">
        <v>43909</v>
      </c>
      <c r="C49" s="6" t="n">
        <v>359</v>
      </c>
      <c r="D49" s="6" t="n">
        <v>37</v>
      </c>
      <c r="E49" s="6"/>
      <c r="F49" s="6"/>
      <c r="G49" s="6" t="n">
        <v>10</v>
      </c>
      <c r="H49" s="6" t="n">
        <v>349</v>
      </c>
      <c r="I49" s="6" t="n">
        <v>2</v>
      </c>
      <c r="J49" s="6" t="n">
        <v>65</v>
      </c>
      <c r="K49" s="9"/>
      <c r="L49" s="6"/>
      <c r="M49" s="6"/>
    </row>
    <row r="50" customFormat="false" ht="15.75" hidden="false" customHeight="false" outlineLevel="0" collapsed="false">
      <c r="A50" s="0" t="s">
        <v>60</v>
      </c>
      <c r="B50" s="1" t="n">
        <v>43910</v>
      </c>
      <c r="C50" s="6" t="n">
        <v>400</v>
      </c>
      <c r="D50" s="6" t="n">
        <v>41</v>
      </c>
      <c r="E50" s="6"/>
      <c r="F50" s="6"/>
      <c r="G50" s="6" t="n">
        <v>10</v>
      </c>
      <c r="H50" s="6" t="n">
        <v>390</v>
      </c>
      <c r="I50" s="6" t="n">
        <v>2</v>
      </c>
      <c r="J50" s="6" t="n">
        <v>72</v>
      </c>
      <c r="K50" s="9"/>
      <c r="L50" s="6"/>
      <c r="M50" s="6"/>
    </row>
    <row r="51" customFormat="false" ht="15.75" hidden="false" customHeight="false" outlineLevel="0" collapsed="false">
      <c r="A51" s="0" t="s">
        <v>60</v>
      </c>
      <c r="B51" s="1" t="n">
        <v>43911</v>
      </c>
      <c r="C51" s="6" t="n">
        <v>503</v>
      </c>
      <c r="D51" s="6" t="n">
        <v>103</v>
      </c>
      <c r="E51" s="6"/>
      <c r="F51" s="6"/>
      <c r="G51" s="6" t="n">
        <v>10</v>
      </c>
      <c r="H51" s="6" t="n">
        <v>493</v>
      </c>
      <c r="I51" s="6" t="n">
        <v>2</v>
      </c>
      <c r="J51" s="6" t="n">
        <v>91</v>
      </c>
      <c r="K51" s="9"/>
      <c r="L51" s="6"/>
      <c r="M51" s="6"/>
    </row>
    <row r="52" customFormat="false" ht="15.75" hidden="false" customHeight="false" outlineLevel="0" collapsed="false">
      <c r="A52" s="0" t="s">
        <v>60</v>
      </c>
      <c r="B52" s="1" t="n">
        <v>43912</v>
      </c>
      <c r="C52" s="6" t="n">
        <v>523</v>
      </c>
      <c r="D52" s="6" t="n">
        <v>20</v>
      </c>
      <c r="E52" s="6" t="n">
        <v>1</v>
      </c>
      <c r="F52" s="6" t="n">
        <v>1</v>
      </c>
      <c r="G52" s="6" t="n">
        <v>10</v>
      </c>
      <c r="H52" s="6" t="n">
        <v>512</v>
      </c>
      <c r="I52" s="6" t="n">
        <v>2</v>
      </c>
      <c r="J52" s="6" t="n">
        <v>94</v>
      </c>
      <c r="K52" s="9"/>
      <c r="L52" s="6"/>
      <c r="M52" s="6"/>
    </row>
    <row r="53" customFormat="false" ht="15.75" hidden="false" customHeight="false" outlineLevel="0" collapsed="false">
      <c r="A53" s="0" t="s">
        <v>60</v>
      </c>
      <c r="B53" s="1" t="n">
        <v>43913</v>
      </c>
      <c r="C53" s="6" t="n">
        <v>626</v>
      </c>
      <c r="D53" s="6" t="n">
        <v>103</v>
      </c>
      <c r="E53" s="6" t="n">
        <v>1</v>
      </c>
      <c r="F53" s="6" t="n">
        <v>0</v>
      </c>
      <c r="G53" s="6" t="n">
        <v>10</v>
      </c>
      <c r="H53" s="6" t="n">
        <v>615</v>
      </c>
      <c r="I53" s="6" t="n">
        <v>12</v>
      </c>
      <c r="J53" s="6" t="n">
        <v>113</v>
      </c>
      <c r="K53" s="9"/>
      <c r="L53" s="6"/>
      <c r="M53" s="6"/>
    </row>
    <row r="54" customFormat="false" ht="15.75" hidden="false" customHeight="false" outlineLevel="0" collapsed="false">
      <c r="A54" s="0" t="s">
        <v>60</v>
      </c>
      <c r="B54" s="1" t="n">
        <v>43914</v>
      </c>
      <c r="C54" s="6" t="n">
        <v>700</v>
      </c>
      <c r="D54" s="6" t="n">
        <v>74</v>
      </c>
      <c r="E54" s="6" t="n">
        <v>1</v>
      </c>
      <c r="F54" s="6" t="n">
        <v>0</v>
      </c>
      <c r="G54" s="6" t="n">
        <v>10</v>
      </c>
      <c r="H54" s="6" t="n">
        <v>689</v>
      </c>
      <c r="I54" s="6" t="n">
        <v>13</v>
      </c>
      <c r="J54" s="6" t="n">
        <v>126</v>
      </c>
      <c r="K54" s="9"/>
      <c r="L54" s="6"/>
      <c r="M54" s="6"/>
    </row>
    <row r="55" customFormat="false" ht="15.75" hidden="false" customHeight="false" outlineLevel="0" collapsed="false">
      <c r="A55" s="0" t="s">
        <v>60</v>
      </c>
      <c r="B55" s="1" t="n">
        <v>43915</v>
      </c>
      <c r="C55" s="7" t="n">
        <v>792</v>
      </c>
      <c r="D55" s="7" t="n">
        <v>92</v>
      </c>
      <c r="E55" s="7" t="n">
        <v>1</v>
      </c>
      <c r="F55" s="7" t="n">
        <v>0</v>
      </c>
      <c r="G55" s="7" t="n">
        <v>10</v>
      </c>
      <c r="H55" s="7" t="n">
        <v>781</v>
      </c>
      <c r="I55" s="7" t="n">
        <v>11</v>
      </c>
      <c r="J55" s="7" t="n">
        <v>143</v>
      </c>
      <c r="K55" s="9" t="n">
        <v>0.2</v>
      </c>
      <c r="L55" s="7"/>
      <c r="M55" s="7"/>
    </row>
    <row r="56" customFormat="false" ht="15.75" hidden="false" customHeight="false" outlineLevel="0" collapsed="false">
      <c r="A56" s="0" t="s">
        <v>60</v>
      </c>
      <c r="B56" s="1" t="n">
        <v>43916</v>
      </c>
      <c r="C56" s="7" t="n">
        <v>880</v>
      </c>
      <c r="D56" s="7" t="n">
        <v>88</v>
      </c>
      <c r="E56" s="7" t="n">
        <v>3</v>
      </c>
      <c r="F56" s="7" t="n">
        <v>2</v>
      </c>
      <c r="G56" s="7" t="n">
        <v>10</v>
      </c>
      <c r="H56" s="7" t="n">
        <v>867</v>
      </c>
      <c r="I56" s="7" t="n">
        <v>22</v>
      </c>
      <c r="J56" s="7" t="n">
        <v>159</v>
      </c>
      <c r="K56" s="9" t="n">
        <v>0.5</v>
      </c>
      <c r="L56" s="7"/>
      <c r="M56" s="7"/>
    </row>
    <row r="57" customFormat="false" ht="15.75" hidden="false" customHeight="false" outlineLevel="0" collapsed="false">
      <c r="A57" s="0" t="s">
        <v>60</v>
      </c>
      <c r="B57" s="1" t="n">
        <v>43917</v>
      </c>
      <c r="C57" s="7" t="n">
        <v>958</v>
      </c>
      <c r="D57" s="7" t="n">
        <v>78</v>
      </c>
      <c r="E57" s="7" t="n">
        <v>5</v>
      </c>
      <c r="F57" s="7" t="n">
        <v>2</v>
      </c>
      <c r="G57" s="7" t="n">
        <v>10</v>
      </c>
      <c r="H57" s="7" t="n">
        <v>943</v>
      </c>
      <c r="I57" s="7" t="n">
        <v>24</v>
      </c>
      <c r="J57" s="7" t="n">
        <v>173</v>
      </c>
      <c r="K57" s="9" t="n">
        <v>0.9</v>
      </c>
      <c r="L57" s="7"/>
      <c r="M57" s="7"/>
    </row>
    <row r="58" customFormat="false" ht="15.75" hidden="false" customHeight="false" outlineLevel="0" collapsed="false">
      <c r="A58" s="0" t="s">
        <v>60</v>
      </c>
      <c r="B58" s="1" t="n">
        <v>43918</v>
      </c>
      <c r="C58" s="7" t="n">
        <v>1041</v>
      </c>
      <c r="D58" s="7" t="n">
        <v>83</v>
      </c>
      <c r="E58" s="7" t="n">
        <v>7</v>
      </c>
      <c r="F58" s="7" t="n">
        <v>2</v>
      </c>
      <c r="G58" s="7" t="n">
        <v>10</v>
      </c>
      <c r="H58" s="7" t="n">
        <v>1024</v>
      </c>
      <c r="I58" s="7" t="n">
        <v>32</v>
      </c>
      <c r="J58" s="7" t="n">
        <v>188</v>
      </c>
      <c r="K58" s="11" t="n">
        <v>1</v>
      </c>
      <c r="M58" s="7"/>
    </row>
    <row r="59" customFormat="false" ht="15.75" hidden="false" customHeight="false" outlineLevel="0" collapsed="false">
      <c r="A59" s="0" t="s">
        <v>60</v>
      </c>
      <c r="B59" s="1" t="n">
        <v>43919</v>
      </c>
      <c r="C59" s="7" t="n">
        <v>1167</v>
      </c>
      <c r="D59" s="7" t="n">
        <v>126</v>
      </c>
      <c r="E59" s="7" t="n">
        <v>9</v>
      </c>
      <c r="F59" s="7" t="n">
        <v>2</v>
      </c>
      <c r="G59" s="7" t="n">
        <v>10</v>
      </c>
      <c r="H59" s="7" t="n">
        <v>1148</v>
      </c>
      <c r="I59" s="7" t="n">
        <v>32</v>
      </c>
      <c r="J59" s="7" t="n">
        <v>211</v>
      </c>
      <c r="K59" s="11" t="n">
        <v>2</v>
      </c>
      <c r="M59" s="7"/>
    </row>
    <row r="60" customFormat="false" ht="15.75" hidden="false" customHeight="false" outlineLevel="0" collapsed="false">
      <c r="A60" s="0" t="s">
        <v>60</v>
      </c>
      <c r="B60" s="1" t="n">
        <v>43920</v>
      </c>
      <c r="C60" s="7" t="n">
        <v>1240</v>
      </c>
      <c r="D60" s="7" t="n">
        <v>73</v>
      </c>
      <c r="E60" s="7" t="n">
        <v>11</v>
      </c>
      <c r="F60" s="7" t="n">
        <v>2</v>
      </c>
      <c r="G60" s="7" t="n">
        <v>10</v>
      </c>
      <c r="H60" s="7" t="n">
        <v>1219</v>
      </c>
      <c r="I60" s="7" t="n">
        <v>32</v>
      </c>
      <c r="J60" s="7" t="n">
        <v>224</v>
      </c>
      <c r="K60" s="11" t="n">
        <v>2</v>
      </c>
      <c r="M60" s="7"/>
    </row>
    <row r="61" customFormat="false" ht="15.75" hidden="false" customHeight="false" outlineLevel="0" collapsed="false">
      <c r="A61" s="0" t="s">
        <v>60</v>
      </c>
      <c r="B61" s="1" t="n">
        <v>43921</v>
      </c>
      <c r="C61" s="7" t="n">
        <v>1352</v>
      </c>
      <c r="D61" s="7" t="n">
        <v>112</v>
      </c>
      <c r="E61" s="7" t="n">
        <v>13</v>
      </c>
      <c r="F61" s="7" t="n">
        <v>2</v>
      </c>
      <c r="G61" s="7" t="n">
        <v>10</v>
      </c>
      <c r="H61" s="7" t="n">
        <v>1329</v>
      </c>
      <c r="I61" s="7" t="n">
        <v>49</v>
      </c>
      <c r="J61" s="7" t="n">
        <v>244</v>
      </c>
      <c r="K61" s="11" t="n">
        <v>2</v>
      </c>
      <c r="M61" s="7"/>
    </row>
    <row r="62" customFormat="false" ht="15.75" hidden="false" customHeight="false" outlineLevel="0" collapsed="false">
      <c r="A62" s="0" t="s">
        <v>60</v>
      </c>
      <c r="B62" s="1" t="n">
        <v>43922</v>
      </c>
      <c r="C62" s="7" t="n">
        <v>1418</v>
      </c>
      <c r="D62" s="7" t="n">
        <v>66</v>
      </c>
      <c r="E62" s="7" t="n">
        <v>17</v>
      </c>
      <c r="F62" s="7" t="n">
        <v>4</v>
      </c>
      <c r="G62" s="7" t="n">
        <v>10</v>
      </c>
      <c r="H62" s="7" t="n">
        <v>1391</v>
      </c>
      <c r="I62" s="7" t="n">
        <v>56</v>
      </c>
      <c r="J62" s="7" t="n">
        <v>256</v>
      </c>
      <c r="K62" s="11" t="n">
        <v>3</v>
      </c>
      <c r="M62" s="7"/>
    </row>
    <row r="63" customFormat="false" ht="15.75" hidden="false" customHeight="false" outlineLevel="0" collapsed="false">
      <c r="A63" s="0" t="s">
        <v>60</v>
      </c>
      <c r="B63" s="1" t="n">
        <v>43923</v>
      </c>
      <c r="C63" s="7" t="n">
        <v>1446</v>
      </c>
      <c r="D63" s="7" t="n">
        <v>28</v>
      </c>
      <c r="E63" s="7" t="n">
        <v>17</v>
      </c>
      <c r="F63" s="7" t="n">
        <v>0</v>
      </c>
      <c r="G63" s="7" t="n">
        <v>10</v>
      </c>
      <c r="H63" s="7" t="n">
        <v>1419</v>
      </c>
      <c r="I63" s="7" t="n">
        <v>62</v>
      </c>
      <c r="J63" s="7" t="n">
        <v>261</v>
      </c>
      <c r="K63" s="11" t="n">
        <v>3</v>
      </c>
      <c r="M63" s="7"/>
    </row>
    <row r="64" customFormat="false" ht="15.75" hidden="false" customHeight="false" outlineLevel="0" collapsed="false">
      <c r="A64" s="0" t="s">
        <v>60</v>
      </c>
      <c r="B64" s="1" t="n">
        <v>43924</v>
      </c>
      <c r="C64" s="7" t="n">
        <v>1518</v>
      </c>
      <c r="D64" s="7" t="n">
        <v>72</v>
      </c>
      <c r="E64" s="7" t="n">
        <v>19</v>
      </c>
      <c r="F64" s="7" t="n">
        <v>2</v>
      </c>
      <c r="G64" s="7" t="n">
        <v>300</v>
      </c>
      <c r="H64" s="7" t="n">
        <v>1199</v>
      </c>
      <c r="I64" s="7" t="n">
        <v>65</v>
      </c>
      <c r="J64" s="7" t="n">
        <v>274</v>
      </c>
      <c r="K64" s="11" t="n">
        <v>3</v>
      </c>
      <c r="M64" s="7"/>
    </row>
    <row r="65" customFormat="false" ht="15.75" hidden="false" customHeight="false" outlineLevel="0" collapsed="false">
      <c r="A65" s="0" t="s">
        <v>60</v>
      </c>
      <c r="B65" s="1" t="n">
        <v>43925</v>
      </c>
      <c r="C65" s="7" t="n">
        <v>1615</v>
      </c>
      <c r="D65" s="7" t="n">
        <v>97</v>
      </c>
      <c r="E65" s="7" t="n">
        <v>20</v>
      </c>
      <c r="F65" s="7" t="n">
        <v>1</v>
      </c>
      <c r="G65" s="7" t="n">
        <v>300</v>
      </c>
      <c r="H65" s="7" t="n">
        <v>1295</v>
      </c>
      <c r="I65" s="7" t="n">
        <v>72</v>
      </c>
      <c r="J65" s="7" t="n">
        <v>291</v>
      </c>
      <c r="K65" s="11" t="n">
        <v>4</v>
      </c>
      <c r="M65" s="7"/>
    </row>
    <row r="66" customFormat="false" ht="15.75" hidden="false" customHeight="false" outlineLevel="0" collapsed="false">
      <c r="A66" s="0" t="s">
        <v>60</v>
      </c>
      <c r="B66" s="1" t="n">
        <v>43926</v>
      </c>
      <c r="C66" s="7" t="n">
        <v>1882</v>
      </c>
      <c r="D66" s="7" t="n">
        <v>267</v>
      </c>
      <c r="E66" s="7" t="n">
        <v>25</v>
      </c>
      <c r="F66" s="7" t="n">
        <v>5</v>
      </c>
      <c r="G66" s="7" t="n">
        <v>300</v>
      </c>
      <c r="H66" s="7" t="n">
        <v>1557</v>
      </c>
      <c r="I66" s="7" t="n">
        <v>72</v>
      </c>
      <c r="J66" s="7" t="n">
        <v>340</v>
      </c>
      <c r="K66" s="11" t="n">
        <v>5</v>
      </c>
      <c r="L66" s="7" t="n">
        <v>29000</v>
      </c>
      <c r="M66" s="7" t="n">
        <v>5234</v>
      </c>
    </row>
    <row r="67" customFormat="false" ht="15.75" hidden="false" customHeight="false" outlineLevel="0" collapsed="false">
      <c r="A67" s="0" t="s">
        <v>60</v>
      </c>
      <c r="B67" s="1" t="n">
        <v>43927</v>
      </c>
      <c r="C67" s="7" t="n">
        <v>1927</v>
      </c>
      <c r="D67" s="7" t="n">
        <v>45</v>
      </c>
      <c r="E67" s="7" t="n">
        <v>28</v>
      </c>
      <c r="F67" s="7" t="n">
        <v>3</v>
      </c>
      <c r="G67" s="7" t="n">
        <v>300</v>
      </c>
      <c r="H67" s="7" t="n">
        <v>1599</v>
      </c>
      <c r="I67" s="7" t="n">
        <v>73</v>
      </c>
      <c r="J67" s="7" t="n">
        <v>348</v>
      </c>
      <c r="K67" s="11" t="n">
        <v>5</v>
      </c>
      <c r="L67" s="7" t="n">
        <v>31714</v>
      </c>
      <c r="M67" s="7" t="n">
        <v>5724</v>
      </c>
    </row>
    <row r="68" customFormat="false" ht="15.75" hidden="false" customHeight="false" outlineLevel="0" collapsed="false">
      <c r="A68" s="0" t="s">
        <v>60</v>
      </c>
      <c r="B68" s="1" t="n">
        <v>43928</v>
      </c>
      <c r="C68" s="12" t="n">
        <v>2176</v>
      </c>
      <c r="D68" s="12" t="n">
        <v>249</v>
      </c>
      <c r="E68" s="12" t="n">
        <v>27</v>
      </c>
      <c r="F68" s="12" t="n">
        <v>-1</v>
      </c>
      <c r="G68" s="12" t="n">
        <v>300</v>
      </c>
      <c r="H68" s="12" t="n">
        <v>1849</v>
      </c>
      <c r="I68" s="12" t="n">
        <v>81</v>
      </c>
      <c r="J68" s="12" t="n">
        <v>393</v>
      </c>
      <c r="K68" s="28" t="n">
        <v>5</v>
      </c>
      <c r="L68" s="12" t="n">
        <v>32800</v>
      </c>
      <c r="M68" s="12" t="n">
        <v>5920</v>
      </c>
    </row>
    <row r="69" customFormat="false" ht="15.75" hidden="false" customHeight="false" outlineLevel="0" collapsed="false">
      <c r="A69" s="0" t="s">
        <v>60</v>
      </c>
      <c r="B69" s="1" t="n">
        <v>43929</v>
      </c>
      <c r="C69" s="14" t="n">
        <v>2308</v>
      </c>
      <c r="D69" s="14" t="n">
        <v>132</v>
      </c>
      <c r="E69" s="14" t="n">
        <v>34</v>
      </c>
      <c r="F69" s="14" t="n">
        <v>7</v>
      </c>
      <c r="G69" s="14" t="n">
        <v>300</v>
      </c>
      <c r="H69" s="14" t="n">
        <v>1974</v>
      </c>
      <c r="I69" s="14" t="n">
        <v>81</v>
      </c>
      <c r="J69" s="14" t="n">
        <v>417</v>
      </c>
      <c r="K69" s="28" t="n">
        <v>6</v>
      </c>
      <c r="L69" s="14" t="n">
        <v>34900</v>
      </c>
      <c r="M69" s="14" t="n">
        <v>6299</v>
      </c>
    </row>
    <row r="70" customFormat="false" ht="15.75" hidden="false" customHeight="false" outlineLevel="0" collapsed="false">
      <c r="A70" s="0" t="s">
        <v>60</v>
      </c>
      <c r="B70" s="1" t="n">
        <v>43930</v>
      </c>
      <c r="C70" s="14" t="n">
        <v>2487</v>
      </c>
      <c r="D70" s="14" t="n">
        <v>179</v>
      </c>
      <c r="E70" s="14" t="n">
        <v>40</v>
      </c>
      <c r="F70" s="14" t="n">
        <v>6</v>
      </c>
      <c r="G70" s="14" t="n">
        <v>300</v>
      </c>
      <c r="H70" s="14" t="n">
        <v>2147</v>
      </c>
      <c r="I70" s="14" t="n">
        <v>82</v>
      </c>
      <c r="J70" s="14" t="n">
        <v>449</v>
      </c>
      <c r="K70" s="28" t="n">
        <v>7</v>
      </c>
      <c r="L70" s="14" t="n">
        <v>36500</v>
      </c>
      <c r="M70" s="14" t="n">
        <v>6588</v>
      </c>
    </row>
    <row r="71" customFormat="false" ht="15.75" hidden="false" customHeight="false" outlineLevel="0" collapsed="false">
      <c r="A71" s="0" t="s">
        <v>60</v>
      </c>
      <c r="B71" s="1" t="n">
        <v>43931</v>
      </c>
      <c r="C71" s="14" t="n">
        <v>2605</v>
      </c>
      <c r="D71" s="14" t="n">
        <v>118</v>
      </c>
      <c r="E71" s="14" t="n">
        <v>42</v>
      </c>
      <c r="F71" s="14" t="n">
        <v>2</v>
      </c>
      <c r="G71" s="14" t="n">
        <v>300</v>
      </c>
      <c r="H71" s="14" t="n">
        <v>2263</v>
      </c>
      <c r="I71" s="14" t="n">
        <v>82</v>
      </c>
      <c r="J71" s="14" t="n">
        <v>470</v>
      </c>
      <c r="K71" s="28" t="n">
        <v>8</v>
      </c>
      <c r="L71" s="14" t="n">
        <v>39000</v>
      </c>
      <c r="M71" s="14" t="n">
        <v>7039</v>
      </c>
    </row>
    <row r="72" customFormat="false" ht="15.75" hidden="false" customHeight="false" outlineLevel="0" collapsed="false">
      <c r="A72" s="0" t="s">
        <v>60</v>
      </c>
      <c r="B72" s="1" t="n">
        <v>43932</v>
      </c>
      <c r="C72" s="14" t="n">
        <v>2769</v>
      </c>
      <c r="D72" s="14" t="n">
        <v>164</v>
      </c>
      <c r="E72" s="14" t="n">
        <v>48</v>
      </c>
      <c r="F72" s="14" t="n">
        <v>6</v>
      </c>
      <c r="G72" s="14" t="n">
        <v>300</v>
      </c>
      <c r="H72" s="14" t="n">
        <v>2421</v>
      </c>
      <c r="I72" s="14" t="n">
        <v>82</v>
      </c>
      <c r="J72" s="14" t="n">
        <v>500</v>
      </c>
      <c r="K72" s="28" t="n">
        <v>9</v>
      </c>
      <c r="L72" s="14" t="n">
        <v>41200</v>
      </c>
      <c r="M72" s="14" t="n">
        <v>7436</v>
      </c>
    </row>
    <row r="73" customFormat="false" ht="15.75" hidden="false" customHeight="false" outlineLevel="0" collapsed="false">
      <c r="A73" s="0" t="s">
        <v>60</v>
      </c>
      <c r="B73" s="1" t="n">
        <v>43933</v>
      </c>
      <c r="C73" s="14" t="n">
        <v>2905</v>
      </c>
      <c r="D73" s="14" t="n">
        <v>136</v>
      </c>
      <c r="E73" s="14" t="n">
        <v>49</v>
      </c>
      <c r="F73" s="14" t="n">
        <v>1</v>
      </c>
      <c r="G73" s="14" t="n">
        <v>300</v>
      </c>
      <c r="H73" s="14" t="n">
        <v>2556</v>
      </c>
      <c r="I73" s="14" t="n">
        <v>80</v>
      </c>
      <c r="J73" s="14" t="n">
        <v>524</v>
      </c>
      <c r="K73" s="28" t="n">
        <v>9</v>
      </c>
      <c r="L73" s="14" t="n">
        <v>44354</v>
      </c>
      <c r="M73" s="14" t="n">
        <v>8005</v>
      </c>
    </row>
    <row r="74" customFormat="false" ht="15.75" hidden="false" customHeight="false" outlineLevel="0" collapsed="false">
      <c r="A74" s="0" t="s">
        <v>60</v>
      </c>
      <c r="B74" s="1" t="n">
        <v>43934</v>
      </c>
      <c r="C74" s="14" t="n">
        <v>2974</v>
      </c>
      <c r="D74" s="14" t="n">
        <v>69</v>
      </c>
      <c r="E74" s="14" t="n">
        <v>56</v>
      </c>
      <c r="F74" s="14" t="n">
        <v>7</v>
      </c>
      <c r="G74" s="14" t="n">
        <v>300</v>
      </c>
      <c r="H74" s="14" t="n">
        <v>2618</v>
      </c>
      <c r="I74" s="14" t="n">
        <v>80</v>
      </c>
      <c r="J74" s="14" t="n">
        <v>537</v>
      </c>
      <c r="K74" s="28" t="n">
        <v>10</v>
      </c>
      <c r="L74" s="14" t="n">
        <v>45019</v>
      </c>
      <c r="M74" s="14" t="n">
        <v>8125</v>
      </c>
    </row>
    <row r="75" customFormat="false" ht="15.75" hidden="false" customHeight="false" outlineLevel="0" collapsed="false">
      <c r="A75" s="0" t="s">
        <v>60</v>
      </c>
      <c r="B75" s="1" t="n">
        <v>43935</v>
      </c>
      <c r="C75" s="14" t="n">
        <v>3064</v>
      </c>
      <c r="D75" s="14" t="n">
        <v>90</v>
      </c>
      <c r="E75" s="14" t="n">
        <v>59</v>
      </c>
      <c r="F75" s="14" t="n">
        <v>3</v>
      </c>
      <c r="G75" s="14" t="n">
        <v>300</v>
      </c>
      <c r="H75" s="14" t="n">
        <v>2705</v>
      </c>
      <c r="I75" s="14" t="n">
        <v>74</v>
      </c>
      <c r="J75" s="14" t="n">
        <v>553</v>
      </c>
      <c r="K75" s="28" t="n">
        <v>11</v>
      </c>
      <c r="L75" s="14" t="n">
        <v>46000</v>
      </c>
      <c r="M75" s="14" t="n">
        <v>8302</v>
      </c>
    </row>
    <row r="76" customFormat="false" ht="15.75" hidden="false" customHeight="false" outlineLevel="0" collapsed="false">
      <c r="A76" s="0" t="s">
        <v>60</v>
      </c>
      <c r="B76" s="1" t="n">
        <v>43936</v>
      </c>
      <c r="C76" s="14" t="n">
        <v>3161</v>
      </c>
      <c r="D76" s="14" t="n">
        <v>97</v>
      </c>
      <c r="E76" s="14" t="n">
        <v>64</v>
      </c>
      <c r="F76" s="14" t="n">
        <v>5</v>
      </c>
      <c r="G76" s="14" t="n">
        <v>300</v>
      </c>
      <c r="H76" s="14" t="n">
        <v>2797</v>
      </c>
      <c r="I76" s="14" t="n">
        <v>74</v>
      </c>
      <c r="J76" s="14" t="n">
        <v>571</v>
      </c>
      <c r="K76" s="28" t="n">
        <v>12</v>
      </c>
      <c r="L76" s="14" t="n">
        <v>47290</v>
      </c>
      <c r="M76" s="14" t="n">
        <v>8535</v>
      </c>
    </row>
    <row r="77" customFormat="false" ht="15.75" hidden="false" customHeight="false" outlineLevel="0" collapsed="false">
      <c r="A77" s="0" t="s">
        <v>60</v>
      </c>
      <c r="B77" s="1" t="n">
        <v>43937</v>
      </c>
      <c r="C77" s="14" t="n">
        <v>3237</v>
      </c>
      <c r="D77" s="14" t="n">
        <v>76</v>
      </c>
      <c r="E77" s="14" t="n">
        <v>72</v>
      </c>
      <c r="F77" s="14" t="n">
        <v>8</v>
      </c>
      <c r="G77" s="14" t="n">
        <v>300</v>
      </c>
      <c r="H77" s="14" t="n">
        <v>2865</v>
      </c>
      <c r="I77" s="14" t="n">
        <v>75</v>
      </c>
      <c r="J77" s="14" t="n">
        <v>584</v>
      </c>
      <c r="K77" s="28" t="n">
        <v>13</v>
      </c>
      <c r="L77" s="14" t="n">
        <v>48828</v>
      </c>
      <c r="M77" s="14" t="n">
        <v>8813</v>
      </c>
    </row>
    <row r="78" customFormat="false" ht="15.75" hidden="false" customHeight="false" outlineLevel="0" collapsed="false">
      <c r="A78" s="0" t="s">
        <v>60</v>
      </c>
      <c r="B78" s="1" t="n">
        <v>43938</v>
      </c>
      <c r="C78" s="14" t="n">
        <v>3369</v>
      </c>
      <c r="D78" s="14" t="n">
        <v>132</v>
      </c>
      <c r="E78" s="14" t="n">
        <v>75</v>
      </c>
      <c r="F78" s="14" t="n">
        <v>3</v>
      </c>
      <c r="G78" s="14" t="n">
        <v>1700</v>
      </c>
      <c r="H78" s="14" t="n">
        <v>1594</v>
      </c>
      <c r="I78" s="14" t="n">
        <v>76</v>
      </c>
      <c r="J78" s="14" t="n">
        <v>608</v>
      </c>
      <c r="K78" s="28" t="n">
        <v>14</v>
      </c>
      <c r="L78" s="14" t="n">
        <v>49700</v>
      </c>
      <c r="M78" s="14" t="n">
        <v>8970</v>
      </c>
    </row>
    <row r="79" customFormat="false" ht="15.75" hidden="false" customHeight="false" outlineLevel="0" collapsed="false">
      <c r="A79" s="0" t="s">
        <v>60</v>
      </c>
      <c r="B79" s="1" t="n">
        <v>43939</v>
      </c>
      <c r="C79" s="14" t="n">
        <v>3489</v>
      </c>
      <c r="D79" s="14" t="n">
        <v>120</v>
      </c>
      <c r="E79" s="14" t="n">
        <v>82</v>
      </c>
      <c r="F79" s="14" t="n">
        <v>7</v>
      </c>
      <c r="G79" s="14" t="n">
        <v>1700</v>
      </c>
      <c r="H79" s="14" t="n">
        <v>1707</v>
      </c>
      <c r="I79" s="14" t="n">
        <v>73</v>
      </c>
      <c r="J79" s="14" t="n">
        <v>630</v>
      </c>
      <c r="K79" s="28" t="n">
        <v>15</v>
      </c>
      <c r="L79" s="14" t="n">
        <v>52500</v>
      </c>
      <c r="M79" s="14" t="n">
        <v>9475</v>
      </c>
    </row>
    <row r="80" customFormat="false" ht="15.75" hidden="false" customHeight="false" outlineLevel="0" collapsed="false">
      <c r="A80" s="0" t="s">
        <v>60</v>
      </c>
      <c r="B80" s="1" t="n">
        <v>43940</v>
      </c>
      <c r="C80" s="14" t="n">
        <v>3681</v>
      </c>
      <c r="D80" s="14" t="n">
        <v>192</v>
      </c>
      <c r="E80" s="14" t="n">
        <v>90</v>
      </c>
      <c r="F80" s="14" t="n">
        <v>8</v>
      </c>
      <c r="G80" s="14" t="n">
        <v>1700</v>
      </c>
      <c r="H80" s="14" t="n">
        <v>1891</v>
      </c>
      <c r="I80" s="14" t="n">
        <v>70</v>
      </c>
      <c r="J80" s="14" t="n">
        <v>664</v>
      </c>
      <c r="K80" s="28" t="n">
        <v>16</v>
      </c>
      <c r="L80" s="14" t="n">
        <v>55600</v>
      </c>
      <c r="M80" s="14" t="n">
        <v>10035</v>
      </c>
    </row>
    <row r="81" customFormat="false" ht="15.75" hidden="false" customHeight="false" outlineLevel="0" collapsed="false">
      <c r="A81" s="0" t="s">
        <v>60</v>
      </c>
      <c r="B81" s="1" t="n">
        <v>43941</v>
      </c>
      <c r="C81" s="14" t="n">
        <v>3783</v>
      </c>
      <c r="D81" s="14" t="n">
        <v>102</v>
      </c>
      <c r="E81" s="14" t="n">
        <v>94</v>
      </c>
      <c r="F81" s="14" t="n">
        <v>4</v>
      </c>
      <c r="G81" s="14" t="n">
        <v>1700</v>
      </c>
      <c r="H81" s="14" t="n">
        <v>1989</v>
      </c>
      <c r="I81" s="14" t="n">
        <v>68</v>
      </c>
      <c r="J81" s="14" t="n">
        <v>683</v>
      </c>
      <c r="K81" s="28" t="n">
        <v>17</v>
      </c>
      <c r="L81" s="14" t="n">
        <v>57300</v>
      </c>
      <c r="M81" s="14" t="n">
        <v>10342</v>
      </c>
    </row>
    <row r="82" customFormat="false" ht="15.75" hidden="false" customHeight="false" outlineLevel="0" collapsed="false">
      <c r="A82" s="0" t="s">
        <v>60</v>
      </c>
      <c r="B82" s="1" t="n">
        <v>43942</v>
      </c>
      <c r="C82" s="6" t="n">
        <v>3868</v>
      </c>
      <c r="D82" s="6" t="n">
        <v>85</v>
      </c>
      <c r="E82" s="6" t="n">
        <v>98</v>
      </c>
      <c r="F82" s="6" t="n">
        <v>4</v>
      </c>
      <c r="G82" s="6" t="n">
        <v>2000</v>
      </c>
      <c r="H82" s="6" t="n">
        <v>1770</v>
      </c>
      <c r="I82" s="6" t="n">
        <v>67</v>
      </c>
      <c r="J82" s="6" t="n">
        <v>698</v>
      </c>
      <c r="K82" s="11" t="n">
        <v>18</v>
      </c>
      <c r="L82" s="6" t="n">
        <v>59200</v>
      </c>
      <c r="M82" s="6" t="n">
        <v>10685</v>
      </c>
    </row>
    <row r="83" customFormat="false" ht="15.75" hidden="false" customHeight="false" outlineLevel="0" collapsed="false">
      <c r="A83" s="0" t="s">
        <v>60</v>
      </c>
      <c r="B83" s="1" t="n">
        <v>43943</v>
      </c>
      <c r="C83" s="6" t="n">
        <v>4014</v>
      </c>
      <c r="D83" s="6" t="n">
        <v>146</v>
      </c>
      <c r="E83" s="6" t="n">
        <v>141</v>
      </c>
      <c r="F83" s="6" t="n">
        <v>43</v>
      </c>
      <c r="G83" s="6" t="n">
        <v>2000</v>
      </c>
      <c r="H83" s="6" t="n">
        <v>1873</v>
      </c>
      <c r="I83" s="6" t="n">
        <v>63</v>
      </c>
      <c r="J83" s="6" t="n">
        <v>724</v>
      </c>
      <c r="K83" s="11" t="n">
        <v>25</v>
      </c>
      <c r="L83" s="6" t="n">
        <v>61800</v>
      </c>
      <c r="M83" s="6" t="n">
        <v>11154</v>
      </c>
    </row>
    <row r="84" customFormat="false" ht="15.75" hidden="false" customHeight="false" outlineLevel="0" collapsed="false">
      <c r="A84" s="0" t="s">
        <v>60</v>
      </c>
      <c r="B84" s="1" t="n">
        <v>43944</v>
      </c>
      <c r="C84" s="6" t="n">
        <v>4129</v>
      </c>
      <c r="D84" s="6" t="n">
        <v>115</v>
      </c>
      <c r="E84" s="6" t="n">
        <v>149</v>
      </c>
      <c r="F84" s="6" t="n">
        <v>8</v>
      </c>
      <c r="G84" s="6" t="n">
        <v>2000</v>
      </c>
      <c r="H84" s="6" t="n">
        <v>1980</v>
      </c>
      <c r="I84" s="6" t="n">
        <v>63</v>
      </c>
      <c r="J84" s="6" t="n">
        <v>745</v>
      </c>
      <c r="K84" s="11" t="n">
        <v>27</v>
      </c>
      <c r="L84" s="6" t="n">
        <v>68552</v>
      </c>
      <c r="M84" s="6" t="n">
        <v>12372</v>
      </c>
    </row>
    <row r="85" customFormat="false" ht="15.75" hidden="false" customHeight="false" outlineLevel="0" collapsed="false">
      <c r="A85" s="0" t="s">
        <v>60</v>
      </c>
      <c r="B85" s="1" t="n">
        <v>43945</v>
      </c>
      <c r="C85" s="6" t="n">
        <v>4284</v>
      </c>
      <c r="D85" s="6" t="n">
        <v>155</v>
      </c>
      <c r="E85" s="6" t="n">
        <v>172</v>
      </c>
      <c r="F85" s="6" t="n">
        <v>23</v>
      </c>
      <c r="G85" s="6" t="n">
        <v>2000</v>
      </c>
      <c r="H85" s="6" t="n">
        <v>2112</v>
      </c>
      <c r="I85" s="6" t="n">
        <v>60</v>
      </c>
      <c r="J85" s="6" t="n">
        <v>773</v>
      </c>
      <c r="K85" s="11" t="n">
        <v>31</v>
      </c>
      <c r="L85" s="6" t="n">
        <v>71000</v>
      </c>
      <c r="M85" s="6" t="n">
        <v>12814</v>
      </c>
    </row>
    <row r="86" customFormat="false" ht="15.75" hidden="false" customHeight="false" outlineLevel="0" collapsed="false">
      <c r="A86" s="0" t="s">
        <v>60</v>
      </c>
      <c r="B86" s="1" t="n">
        <v>43946</v>
      </c>
      <c r="C86" s="6" t="n">
        <v>4395</v>
      </c>
      <c r="D86" s="6" t="n">
        <v>111</v>
      </c>
      <c r="E86" s="6" t="n">
        <v>177</v>
      </c>
      <c r="F86" s="6" t="n">
        <v>5</v>
      </c>
      <c r="G86" s="6" t="n">
        <v>2500</v>
      </c>
      <c r="H86" s="6" t="n">
        <v>1718</v>
      </c>
      <c r="I86" s="6" t="n">
        <v>61</v>
      </c>
      <c r="J86" s="6" t="n">
        <v>793</v>
      </c>
      <c r="K86" s="11" t="n">
        <v>32</v>
      </c>
      <c r="L86" s="6" t="n">
        <v>74500</v>
      </c>
      <c r="M86" s="6" t="n">
        <v>13446</v>
      </c>
    </row>
    <row r="87" customFormat="false" ht="15.75" hidden="false" customHeight="false" outlineLevel="0" collapsed="false">
      <c r="A87" s="0" t="s">
        <v>60</v>
      </c>
      <c r="B87" s="1" t="n">
        <v>43947</v>
      </c>
      <c r="C87" s="6" t="n">
        <v>4475</v>
      </c>
      <c r="D87" s="6" t="n">
        <v>80</v>
      </c>
      <c r="E87" s="6" t="n">
        <v>186</v>
      </c>
      <c r="F87" s="6" t="n">
        <v>9</v>
      </c>
      <c r="G87" s="6" t="n">
        <v>2500</v>
      </c>
      <c r="H87" s="6" t="n">
        <v>1789</v>
      </c>
      <c r="I87" s="6" t="n">
        <v>60</v>
      </c>
      <c r="J87" s="6" t="n">
        <v>808</v>
      </c>
      <c r="K87" s="11" t="n">
        <v>34</v>
      </c>
      <c r="L87" s="6" t="n">
        <v>77800</v>
      </c>
      <c r="M87" s="6" t="n">
        <v>14041</v>
      </c>
    </row>
    <row r="88" customFormat="false" ht="15.75" hidden="false" customHeight="false" outlineLevel="0" collapsed="false">
      <c r="A88" s="0" t="s">
        <v>60</v>
      </c>
      <c r="B88" s="1" t="n">
        <v>43948</v>
      </c>
      <c r="C88" s="6" t="n">
        <v>4576</v>
      </c>
      <c r="D88" s="6" t="n">
        <v>101</v>
      </c>
      <c r="E88" s="6" t="n">
        <v>190</v>
      </c>
      <c r="F88" s="6" t="n">
        <v>4</v>
      </c>
      <c r="G88" s="6" t="n">
        <v>2500</v>
      </c>
      <c r="H88" s="6" t="n">
        <v>1886</v>
      </c>
      <c r="I88" s="6" t="n">
        <v>62</v>
      </c>
      <c r="J88" s="6" t="n">
        <v>826</v>
      </c>
      <c r="K88" s="11" t="n">
        <v>34</v>
      </c>
      <c r="L88" s="6" t="n">
        <v>80300</v>
      </c>
      <c r="M88" s="6" t="n">
        <v>14493</v>
      </c>
    </row>
    <row r="89" customFormat="false" ht="13.5" hidden="false" customHeight="false" outlineLevel="0" collapsed="false">
      <c r="A89" s="0" t="s">
        <v>60</v>
      </c>
      <c r="B89" s="1" t="n">
        <v>43949</v>
      </c>
      <c r="C89" s="2" t="n">
        <v>4695</v>
      </c>
      <c r="D89" s="2" t="n">
        <v>119</v>
      </c>
      <c r="E89" s="2" t="n">
        <v>193</v>
      </c>
      <c r="F89" s="2" t="n">
        <v>3</v>
      </c>
      <c r="G89" s="2" t="n">
        <v>2500</v>
      </c>
      <c r="H89" s="2" t="n">
        <v>2002</v>
      </c>
      <c r="I89" s="2" t="n">
        <v>56</v>
      </c>
      <c r="J89" s="2" t="n">
        <v>847</v>
      </c>
      <c r="K89" s="2" t="n">
        <v>35</v>
      </c>
      <c r="L89" s="2" t="n">
        <v>82437</v>
      </c>
      <c r="M89" s="2" t="n">
        <v>14878</v>
      </c>
    </row>
    <row r="90" customFormat="false" ht="13.5" hidden="false" customHeight="false" outlineLevel="0" collapsed="false">
      <c r="A90" s="0" t="s">
        <v>60</v>
      </c>
      <c r="B90" s="1" t="n">
        <v>43950</v>
      </c>
      <c r="C90" s="2" t="n">
        <v>4740</v>
      </c>
      <c r="D90" s="2" t="n">
        <v>45</v>
      </c>
      <c r="E90" s="2" t="n">
        <v>199</v>
      </c>
      <c r="F90" s="2" t="n">
        <v>6</v>
      </c>
      <c r="G90" s="2" t="n">
        <v>2800</v>
      </c>
      <c r="H90" s="2" t="n">
        <v>1741</v>
      </c>
      <c r="I90" s="2" t="n">
        <v>56</v>
      </c>
      <c r="J90" s="2" t="n">
        <v>855</v>
      </c>
      <c r="K90" s="2" t="n">
        <v>36</v>
      </c>
      <c r="L90" s="2" t="n">
        <v>85800</v>
      </c>
      <c r="M90" s="2" t="n">
        <v>15485</v>
      </c>
    </row>
    <row r="91" customFormat="false" ht="13.5" hidden="false" customHeight="false" outlineLevel="0" collapsed="false">
      <c r="A91" s="0" t="s">
        <v>60</v>
      </c>
      <c r="B91" s="1" t="n">
        <v>43951</v>
      </c>
      <c r="C91" s="2" t="n">
        <v>4906</v>
      </c>
      <c r="D91" s="2" t="n">
        <v>166</v>
      </c>
      <c r="E91" s="2" t="n">
        <v>206</v>
      </c>
      <c r="F91" s="2" t="n">
        <v>7</v>
      </c>
      <c r="G91" s="2" t="n">
        <v>2800</v>
      </c>
      <c r="H91" s="2" t="n">
        <v>1900</v>
      </c>
      <c r="I91" s="2" t="n">
        <v>51</v>
      </c>
      <c r="J91" s="2" t="n">
        <v>885</v>
      </c>
      <c r="K91" s="2" t="n">
        <v>37</v>
      </c>
      <c r="L91" s="2" t="n">
        <v>89800</v>
      </c>
      <c r="M91" s="2" t="n">
        <v>16207</v>
      </c>
    </row>
    <row r="92" customFormat="false" ht="14.25" hidden="false" customHeight="false" outlineLevel="0" collapsed="false">
      <c r="A92" s="0" t="s">
        <v>60</v>
      </c>
      <c r="B92" s="1" t="n">
        <v>43952</v>
      </c>
      <c r="C92" s="2" t="n">
        <v>4995</v>
      </c>
      <c r="D92" s="2" t="n">
        <v>89</v>
      </c>
      <c r="E92" s="2" t="n">
        <v>211</v>
      </c>
      <c r="F92" s="2" t="n">
        <v>5</v>
      </c>
      <c r="G92" s="2" t="n">
        <v>3000</v>
      </c>
      <c r="H92" s="2" t="n">
        <v>1784</v>
      </c>
      <c r="I92" s="2" t="n">
        <v>48</v>
      </c>
      <c r="J92" s="2" t="n">
        <v>902</v>
      </c>
      <c r="K92" s="2" t="n">
        <v>38</v>
      </c>
      <c r="L92" s="2" t="n">
        <v>93900</v>
      </c>
      <c r="M92" s="2" t="n">
        <v>16947</v>
      </c>
    </row>
    <row r="93" customFormat="false" ht="15.75" hidden="false" customHeight="false" outlineLevel="0" collapsed="false">
      <c r="A93" s="0" t="s">
        <v>60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60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60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60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60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60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60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60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60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60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60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60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60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60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60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60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60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60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60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60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60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60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60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60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60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60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60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60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60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60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60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n">
        <v>318</v>
      </c>
      <c r="F123" s="6" t="n">
        <v>2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60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60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60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60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60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60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60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60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60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60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60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60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60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60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60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60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60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60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60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60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60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60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60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60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60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60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60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60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60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60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60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60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60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60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60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60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60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60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60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60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60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60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60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60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60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60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60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60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60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60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60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60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60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60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60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60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60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60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60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60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60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60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60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60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61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61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61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61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61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61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61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61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61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61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61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61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61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61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61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61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61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61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61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61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61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61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61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61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61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61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61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61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61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61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61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61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61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61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61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61</v>
      </c>
      <c r="B37" s="1" t="n">
        <v>43897</v>
      </c>
      <c r="C37" s="8" t="n">
        <v>6</v>
      </c>
      <c r="D37" s="8"/>
      <c r="E37" s="8"/>
      <c r="F37" s="8"/>
      <c r="G37" s="8"/>
      <c r="H37" s="8" t="n">
        <v>6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61</v>
      </c>
      <c r="B38" s="1" t="n">
        <v>43898</v>
      </c>
      <c r="C38" s="6" t="n">
        <v>6</v>
      </c>
      <c r="D38" s="6" t="n">
        <v>0</v>
      </c>
      <c r="E38" s="6"/>
      <c r="F38" s="6"/>
      <c r="G38" s="6"/>
      <c r="H38" s="6" t="n">
        <v>6</v>
      </c>
      <c r="I38" s="6"/>
      <c r="J38" s="6" t="n">
        <v>0.6</v>
      </c>
      <c r="K38" s="9"/>
      <c r="L38" s="6"/>
      <c r="M38" s="6"/>
    </row>
    <row r="39" customFormat="false" ht="15.75" hidden="false" customHeight="false" outlineLevel="0" collapsed="false">
      <c r="A39" s="0" t="s">
        <v>61</v>
      </c>
      <c r="B39" s="1" t="n">
        <v>43899</v>
      </c>
      <c r="C39" s="6" t="n">
        <v>6</v>
      </c>
      <c r="D39" s="6" t="n">
        <v>0</v>
      </c>
      <c r="E39" s="6"/>
      <c r="F39" s="6"/>
      <c r="G39" s="6"/>
      <c r="H39" s="6" t="n">
        <v>6</v>
      </c>
      <c r="I39" s="6"/>
      <c r="J39" s="6" t="n">
        <v>0.6</v>
      </c>
      <c r="K39" s="9"/>
      <c r="L39" s="6"/>
      <c r="M39" s="6"/>
    </row>
    <row r="40" customFormat="false" ht="15.75" hidden="false" customHeight="false" outlineLevel="0" collapsed="false">
      <c r="A40" s="0" t="s">
        <v>61</v>
      </c>
      <c r="B40" s="1" t="n">
        <v>43900</v>
      </c>
      <c r="C40" s="6" t="n">
        <v>6</v>
      </c>
      <c r="D40" s="6" t="n">
        <v>0</v>
      </c>
      <c r="E40" s="6"/>
      <c r="F40" s="6"/>
      <c r="G40" s="6"/>
      <c r="H40" s="6" t="n">
        <v>6</v>
      </c>
      <c r="I40" s="6"/>
      <c r="J40" s="6" t="n">
        <v>0.6</v>
      </c>
      <c r="K40" s="9"/>
      <c r="L40" s="6"/>
      <c r="M40" s="6"/>
    </row>
    <row r="41" customFormat="false" ht="15.75" hidden="false" customHeight="false" outlineLevel="0" collapsed="false">
      <c r="A41" s="0" t="s">
        <v>61</v>
      </c>
      <c r="B41" s="1" t="n">
        <v>43901</v>
      </c>
      <c r="C41" s="6" t="n">
        <v>9</v>
      </c>
      <c r="D41" s="6" t="n">
        <v>3</v>
      </c>
      <c r="E41" s="6"/>
      <c r="F41" s="6"/>
      <c r="G41" s="6" t="n">
        <v>3</v>
      </c>
      <c r="H41" s="6" t="n">
        <v>6</v>
      </c>
      <c r="I41" s="6"/>
      <c r="J41" s="6" t="n">
        <v>1</v>
      </c>
      <c r="K41" s="9"/>
      <c r="L41" s="6"/>
      <c r="M41" s="6"/>
    </row>
    <row r="42" customFormat="false" ht="15.75" hidden="false" customHeight="false" outlineLevel="0" collapsed="false">
      <c r="A42" s="0" t="s">
        <v>61</v>
      </c>
      <c r="B42" s="1" t="n">
        <v>43902</v>
      </c>
      <c r="C42" s="6" t="n">
        <v>9</v>
      </c>
      <c r="D42" s="6" t="n">
        <v>0</v>
      </c>
      <c r="E42" s="6"/>
      <c r="F42" s="6"/>
      <c r="G42" s="6" t="n">
        <v>3</v>
      </c>
      <c r="H42" s="6" t="n">
        <v>6</v>
      </c>
      <c r="I42" s="6"/>
      <c r="J42" s="6" t="n">
        <v>1</v>
      </c>
      <c r="K42" s="9"/>
      <c r="L42" s="6"/>
      <c r="M42" s="6"/>
    </row>
    <row r="43" customFormat="false" ht="15.75" hidden="false" customHeight="false" outlineLevel="0" collapsed="false">
      <c r="A43" s="0" t="s">
        <v>61</v>
      </c>
      <c r="B43" s="1" t="n">
        <v>43903</v>
      </c>
      <c r="C43" s="6" t="n">
        <v>21</v>
      </c>
      <c r="D43" s="6" t="n">
        <v>12</v>
      </c>
      <c r="E43" s="6"/>
      <c r="F43" s="6"/>
      <c r="G43" s="6" t="n">
        <v>3</v>
      </c>
      <c r="H43" s="6" t="n">
        <v>18</v>
      </c>
      <c r="I43" s="6"/>
      <c r="J43" s="6" t="n">
        <v>2.2</v>
      </c>
      <c r="K43" s="9"/>
      <c r="L43" s="6"/>
      <c r="M43" s="6"/>
    </row>
    <row r="44" customFormat="false" ht="15.75" hidden="false" customHeight="false" outlineLevel="0" collapsed="false">
      <c r="A44" s="0" t="s">
        <v>61</v>
      </c>
      <c r="B44" s="1" t="n">
        <v>43904</v>
      </c>
      <c r="C44" s="6" t="n">
        <v>27</v>
      </c>
      <c r="D44" s="6" t="n">
        <v>6</v>
      </c>
      <c r="E44" s="6"/>
      <c r="F44" s="6"/>
      <c r="G44" s="6" t="n">
        <v>3</v>
      </c>
      <c r="H44" s="6" t="n">
        <v>24</v>
      </c>
      <c r="I44" s="6"/>
      <c r="J44" s="6" t="n">
        <v>2.9</v>
      </c>
      <c r="K44" s="9"/>
      <c r="L44" s="6"/>
      <c r="M44" s="6"/>
    </row>
    <row r="45" customFormat="false" ht="15.75" hidden="false" customHeight="false" outlineLevel="0" collapsed="false">
      <c r="A45" s="0" t="s">
        <v>61</v>
      </c>
      <c r="B45" s="1" t="n">
        <v>43905</v>
      </c>
      <c r="C45" s="6" t="n">
        <v>27</v>
      </c>
      <c r="D45" s="6" t="n">
        <v>0</v>
      </c>
      <c r="E45" s="6"/>
      <c r="F45" s="6"/>
      <c r="G45" s="6" t="n">
        <v>3</v>
      </c>
      <c r="H45" s="6" t="n">
        <v>24</v>
      </c>
      <c r="I45" s="6"/>
      <c r="J45" s="6" t="n">
        <v>2.9</v>
      </c>
      <c r="K45" s="9"/>
      <c r="L45" s="6"/>
      <c r="M45" s="6"/>
    </row>
    <row r="46" customFormat="false" ht="15.75" hidden="false" customHeight="false" outlineLevel="0" collapsed="false">
      <c r="A46" s="0" t="s">
        <v>61</v>
      </c>
      <c r="B46" s="1" t="n">
        <v>43906</v>
      </c>
      <c r="C46" s="6" t="n">
        <v>27</v>
      </c>
      <c r="D46" s="6" t="n">
        <v>0</v>
      </c>
      <c r="E46" s="6"/>
      <c r="F46" s="6"/>
      <c r="G46" s="6" t="n">
        <v>3</v>
      </c>
      <c r="H46" s="6" t="n">
        <v>24</v>
      </c>
      <c r="I46" s="6"/>
      <c r="J46" s="6" t="n">
        <v>2.9</v>
      </c>
      <c r="K46" s="9"/>
      <c r="L46" s="6"/>
      <c r="M46" s="6"/>
    </row>
    <row r="47" customFormat="false" ht="15.75" hidden="false" customHeight="false" outlineLevel="0" collapsed="false">
      <c r="A47" s="0" t="s">
        <v>61</v>
      </c>
      <c r="B47" s="1" t="n">
        <v>43907</v>
      </c>
      <c r="C47" s="6" t="n">
        <v>36</v>
      </c>
      <c r="D47" s="6" t="n">
        <v>9</v>
      </c>
      <c r="E47" s="6"/>
      <c r="F47" s="6"/>
      <c r="G47" s="6" t="n">
        <v>3</v>
      </c>
      <c r="H47" s="6" t="n">
        <v>33</v>
      </c>
      <c r="I47" s="6"/>
      <c r="J47" s="6" t="n">
        <v>3.8</v>
      </c>
      <c r="K47" s="9"/>
      <c r="L47" s="6"/>
      <c r="M47" s="6"/>
    </row>
    <row r="48" customFormat="false" ht="15.75" hidden="false" customHeight="false" outlineLevel="0" collapsed="false">
      <c r="A48" s="0" t="s">
        <v>61</v>
      </c>
      <c r="B48" s="1" t="n">
        <v>43908</v>
      </c>
      <c r="C48" s="6" t="n">
        <v>36</v>
      </c>
      <c r="D48" s="6" t="n">
        <v>0</v>
      </c>
      <c r="E48" s="6"/>
      <c r="F48" s="6"/>
      <c r="G48" s="6" t="n">
        <v>3</v>
      </c>
      <c r="H48" s="6" t="n">
        <v>33</v>
      </c>
      <c r="I48" s="6"/>
      <c r="J48" s="6" t="n">
        <v>3.8</v>
      </c>
      <c r="K48" s="9"/>
      <c r="L48" s="6"/>
      <c r="M48" s="6"/>
    </row>
    <row r="49" customFormat="false" ht="15.75" hidden="false" customHeight="false" outlineLevel="0" collapsed="false">
      <c r="A49" s="0" t="s">
        <v>61</v>
      </c>
      <c r="B49" s="1" t="n">
        <v>43909</v>
      </c>
      <c r="C49" s="6" t="n">
        <v>51</v>
      </c>
      <c r="D49" s="6" t="n">
        <v>15</v>
      </c>
      <c r="E49" s="6"/>
      <c r="F49" s="6"/>
      <c r="G49" s="6" t="n">
        <v>5</v>
      </c>
      <c r="H49" s="6" t="n">
        <v>46</v>
      </c>
      <c r="I49" s="6"/>
      <c r="J49" s="6" t="n">
        <v>5</v>
      </c>
      <c r="K49" s="9"/>
      <c r="L49" s="6"/>
      <c r="M49" s="6"/>
    </row>
    <row r="50" customFormat="false" ht="15.75" hidden="false" customHeight="false" outlineLevel="0" collapsed="false">
      <c r="A50" s="0" t="s">
        <v>61</v>
      </c>
      <c r="B50" s="1" t="n">
        <v>43910</v>
      </c>
      <c r="C50" s="6" t="n">
        <v>51</v>
      </c>
      <c r="D50" s="6" t="n">
        <v>0</v>
      </c>
      <c r="E50" s="6"/>
      <c r="F50" s="6"/>
      <c r="G50" s="6" t="n">
        <v>5</v>
      </c>
      <c r="H50" s="6" t="n">
        <v>46</v>
      </c>
      <c r="I50" s="6"/>
      <c r="J50" s="6" t="n">
        <v>5</v>
      </c>
      <c r="K50" s="9"/>
      <c r="L50" s="6"/>
      <c r="M50" s="6"/>
    </row>
    <row r="51" customFormat="false" ht="15.75" hidden="false" customHeight="false" outlineLevel="0" collapsed="false">
      <c r="A51" s="0" t="s">
        <v>61</v>
      </c>
      <c r="B51" s="1" t="n">
        <v>43911</v>
      </c>
      <c r="C51" s="6" t="n">
        <v>69</v>
      </c>
      <c r="D51" s="6" t="n">
        <v>18</v>
      </c>
      <c r="E51" s="6"/>
      <c r="F51" s="6"/>
      <c r="G51" s="6" t="n">
        <v>15</v>
      </c>
      <c r="H51" s="6" t="n">
        <v>54</v>
      </c>
      <c r="I51" s="6"/>
      <c r="J51" s="6" t="n">
        <v>7</v>
      </c>
      <c r="K51" s="9"/>
      <c r="L51" s="6"/>
      <c r="M51" s="6"/>
    </row>
    <row r="52" customFormat="false" ht="15.75" hidden="false" customHeight="false" outlineLevel="0" collapsed="false">
      <c r="A52" s="0" t="s">
        <v>61</v>
      </c>
      <c r="B52" s="1" t="n">
        <v>43912</v>
      </c>
      <c r="C52" s="6" t="n">
        <v>76</v>
      </c>
      <c r="D52" s="6" t="n">
        <v>7</v>
      </c>
      <c r="E52" s="6"/>
      <c r="F52" s="6"/>
      <c r="G52" s="6" t="n">
        <v>15</v>
      </c>
      <c r="H52" s="6" t="n">
        <v>61</v>
      </c>
      <c r="I52" s="6"/>
      <c r="J52" s="6" t="n">
        <v>8</v>
      </c>
      <c r="K52" s="9"/>
      <c r="L52" s="6"/>
      <c r="M52" s="6"/>
    </row>
    <row r="53" customFormat="false" ht="15.75" hidden="false" customHeight="false" outlineLevel="0" collapsed="false">
      <c r="A53" s="0" t="s">
        <v>61</v>
      </c>
      <c r="B53" s="1" t="n">
        <v>43913</v>
      </c>
      <c r="C53" s="6" t="n">
        <v>76</v>
      </c>
      <c r="D53" s="6" t="n">
        <v>0</v>
      </c>
      <c r="E53" s="6"/>
      <c r="F53" s="6"/>
      <c r="G53" s="6" t="n">
        <v>15</v>
      </c>
      <c r="H53" s="6" t="n">
        <v>61</v>
      </c>
      <c r="I53" s="6"/>
      <c r="J53" s="6" t="n">
        <v>8</v>
      </c>
      <c r="K53" s="9"/>
      <c r="L53" s="6"/>
      <c r="M53" s="6"/>
    </row>
    <row r="54" customFormat="false" ht="15.75" hidden="false" customHeight="false" outlineLevel="0" collapsed="false">
      <c r="A54" s="0" t="s">
        <v>61</v>
      </c>
      <c r="B54" s="1" t="n">
        <v>43914</v>
      </c>
      <c r="C54" s="6" t="n">
        <v>81</v>
      </c>
      <c r="D54" s="6" t="n">
        <v>5</v>
      </c>
      <c r="E54" s="6"/>
      <c r="F54" s="6"/>
      <c r="G54" s="6" t="n">
        <v>22</v>
      </c>
      <c r="H54" s="6" t="n">
        <v>59</v>
      </c>
      <c r="I54" s="6"/>
      <c r="J54" s="6" t="n">
        <v>9</v>
      </c>
      <c r="K54" s="9"/>
      <c r="L54" s="6"/>
      <c r="M54" s="6"/>
    </row>
    <row r="55" customFormat="false" ht="15.75" hidden="false" customHeight="false" outlineLevel="0" collapsed="false">
      <c r="A55" s="0" t="s">
        <v>61</v>
      </c>
      <c r="B55" s="1" t="n">
        <v>43915</v>
      </c>
      <c r="C55" s="7" t="n">
        <v>81</v>
      </c>
      <c r="D55" s="7" t="n">
        <v>0</v>
      </c>
      <c r="E55" s="7"/>
      <c r="F55" s="7"/>
      <c r="G55" s="7" t="n">
        <v>22</v>
      </c>
      <c r="H55" s="7" t="n">
        <v>59</v>
      </c>
      <c r="I55" s="7"/>
      <c r="J55" s="7" t="n">
        <v>9</v>
      </c>
      <c r="K55" s="9"/>
      <c r="L55" s="7"/>
      <c r="M55" s="7"/>
    </row>
    <row r="56" customFormat="false" ht="15.75" hidden="false" customHeight="false" outlineLevel="0" collapsed="false">
      <c r="A56" s="0" t="s">
        <v>61</v>
      </c>
      <c r="B56" s="1" t="n">
        <v>43916</v>
      </c>
      <c r="C56" s="7" t="n">
        <v>86</v>
      </c>
      <c r="D56" s="7" t="n">
        <v>5</v>
      </c>
      <c r="E56" s="7"/>
      <c r="F56" s="7"/>
      <c r="G56" s="7" t="n">
        <v>29</v>
      </c>
      <c r="H56" s="7" t="n">
        <v>57</v>
      </c>
      <c r="I56" s="7" t="n">
        <v>2</v>
      </c>
      <c r="J56" s="7" t="n">
        <v>9</v>
      </c>
      <c r="K56" s="9"/>
      <c r="L56" s="7"/>
      <c r="M56" s="7"/>
    </row>
    <row r="57" customFormat="false" ht="15.75" hidden="false" customHeight="false" outlineLevel="0" collapsed="false">
      <c r="A57" s="0" t="s">
        <v>61</v>
      </c>
      <c r="B57" s="1" t="n">
        <v>43917</v>
      </c>
      <c r="C57" s="7" t="n">
        <v>86</v>
      </c>
      <c r="D57" s="7" t="n">
        <v>0</v>
      </c>
      <c r="E57" s="7"/>
      <c r="F57" s="7"/>
      <c r="G57" s="7" t="n">
        <v>29</v>
      </c>
      <c r="H57" s="7" t="n">
        <v>57</v>
      </c>
      <c r="I57" s="7" t="n">
        <v>2</v>
      </c>
      <c r="J57" s="7" t="n">
        <v>9</v>
      </c>
      <c r="K57" s="9"/>
      <c r="L57" s="7"/>
      <c r="M57" s="7"/>
    </row>
    <row r="58" customFormat="false" ht="15.75" hidden="false" customHeight="false" outlineLevel="0" collapsed="false">
      <c r="A58" s="0" t="s">
        <v>61</v>
      </c>
      <c r="B58" s="1" t="n">
        <v>43918</v>
      </c>
      <c r="C58" s="7" t="n">
        <v>94</v>
      </c>
      <c r="D58" s="7" t="n">
        <v>8</v>
      </c>
      <c r="E58" s="7"/>
      <c r="F58" s="7"/>
      <c r="G58" s="7" t="n">
        <v>32</v>
      </c>
      <c r="H58" s="7" t="n">
        <v>62</v>
      </c>
      <c r="I58" s="7" t="n">
        <v>2</v>
      </c>
      <c r="J58" s="7" t="n">
        <v>10</v>
      </c>
      <c r="K58" s="9"/>
      <c r="L58" s="7"/>
      <c r="M58" s="7"/>
    </row>
    <row r="59" customFormat="false" ht="15.75" hidden="false" customHeight="false" outlineLevel="0" collapsed="false">
      <c r="A59" s="0" t="s">
        <v>61</v>
      </c>
      <c r="B59" s="1" t="n">
        <v>43919</v>
      </c>
      <c r="C59" s="7" t="n">
        <v>94</v>
      </c>
      <c r="D59" s="7" t="n">
        <v>0</v>
      </c>
      <c r="E59" s="7"/>
      <c r="F59" s="7"/>
      <c r="G59" s="7" t="n">
        <v>32</v>
      </c>
      <c r="H59" s="7" t="n">
        <v>62</v>
      </c>
      <c r="I59" s="7" t="n">
        <v>2</v>
      </c>
      <c r="J59" s="7" t="n">
        <v>10</v>
      </c>
      <c r="K59" s="9"/>
      <c r="M59" s="7"/>
    </row>
    <row r="60" customFormat="false" ht="15.75" hidden="false" customHeight="false" outlineLevel="0" collapsed="false">
      <c r="A60" s="0" t="s">
        <v>61</v>
      </c>
      <c r="B60" s="1" t="n">
        <v>43920</v>
      </c>
      <c r="C60" s="7" t="n">
        <v>94</v>
      </c>
      <c r="D60" s="7" t="n">
        <v>0</v>
      </c>
      <c r="E60" s="7"/>
      <c r="F60" s="7"/>
      <c r="G60" s="7" t="n">
        <v>32</v>
      </c>
      <c r="H60" s="7" t="n">
        <v>62</v>
      </c>
      <c r="I60" s="7" t="n">
        <v>2</v>
      </c>
      <c r="J60" s="7" t="n">
        <v>10</v>
      </c>
      <c r="K60" s="9"/>
      <c r="M60" s="7"/>
    </row>
    <row r="61" customFormat="false" ht="15.75" hidden="false" customHeight="false" outlineLevel="0" collapsed="false">
      <c r="A61" s="0" t="s">
        <v>61</v>
      </c>
      <c r="B61" s="1" t="n">
        <v>43921</v>
      </c>
      <c r="C61" s="7" t="n">
        <v>152</v>
      </c>
      <c r="D61" s="7" t="n">
        <v>58</v>
      </c>
      <c r="E61" s="7"/>
      <c r="F61" s="7"/>
      <c r="G61" s="7" t="n">
        <v>32</v>
      </c>
      <c r="H61" s="7" t="n">
        <v>120</v>
      </c>
      <c r="I61" s="7" t="n">
        <v>2</v>
      </c>
      <c r="J61" s="7" t="n">
        <v>16</v>
      </c>
      <c r="K61" s="9"/>
      <c r="M61" s="7"/>
    </row>
    <row r="62" customFormat="false" ht="15.75" hidden="false" customHeight="false" outlineLevel="0" collapsed="false">
      <c r="A62" s="0" t="s">
        <v>61</v>
      </c>
      <c r="B62" s="1" t="n">
        <v>43922</v>
      </c>
      <c r="C62" s="7" t="n">
        <v>152</v>
      </c>
      <c r="D62" s="7" t="n">
        <v>0</v>
      </c>
      <c r="E62" s="7" t="n">
        <v>1</v>
      </c>
      <c r="F62" s="7" t="n">
        <v>1</v>
      </c>
      <c r="G62" s="7" t="n">
        <v>47</v>
      </c>
      <c r="H62" s="7" t="n">
        <v>104</v>
      </c>
      <c r="I62" s="7" t="n">
        <v>2</v>
      </c>
      <c r="J62" s="7" t="n">
        <v>16</v>
      </c>
      <c r="K62" s="9" t="n">
        <v>0.1</v>
      </c>
      <c r="M62" s="7"/>
    </row>
    <row r="63" customFormat="false" ht="15.75" hidden="false" customHeight="false" outlineLevel="0" collapsed="false">
      <c r="A63" s="0" t="s">
        <v>61</v>
      </c>
      <c r="B63" s="1" t="n">
        <v>43923</v>
      </c>
      <c r="C63" s="7" t="n">
        <v>163</v>
      </c>
      <c r="D63" s="7" t="n">
        <v>11</v>
      </c>
      <c r="E63" s="7" t="n">
        <v>2</v>
      </c>
      <c r="F63" s="7" t="n">
        <v>1</v>
      </c>
      <c r="G63" s="7" t="n">
        <v>53</v>
      </c>
      <c r="H63" s="7" t="n">
        <v>108</v>
      </c>
      <c r="I63" s="7" t="n">
        <v>2</v>
      </c>
      <c r="J63" s="7" t="n">
        <v>17</v>
      </c>
      <c r="K63" s="9" t="n">
        <v>0.2</v>
      </c>
      <c r="M63" s="7"/>
    </row>
    <row r="64" customFormat="false" ht="15.75" hidden="false" customHeight="false" outlineLevel="0" collapsed="false">
      <c r="A64" s="0" t="s">
        <v>61</v>
      </c>
      <c r="B64" s="1" t="n">
        <v>43924</v>
      </c>
      <c r="C64" s="7" t="n">
        <v>304</v>
      </c>
      <c r="D64" s="7" t="n">
        <v>141</v>
      </c>
      <c r="E64" s="7" t="n">
        <v>4</v>
      </c>
      <c r="F64" s="7" t="n">
        <v>2</v>
      </c>
      <c r="G64" s="7" t="n">
        <v>53</v>
      </c>
      <c r="H64" s="7" t="n">
        <v>247</v>
      </c>
      <c r="I64" s="7" t="n">
        <v>11</v>
      </c>
      <c r="J64" s="7" t="n">
        <v>32</v>
      </c>
      <c r="K64" s="9" t="n">
        <v>0.4</v>
      </c>
      <c r="M64" s="7"/>
    </row>
    <row r="65" customFormat="false" ht="15.75" hidden="false" customHeight="false" outlineLevel="0" collapsed="false">
      <c r="A65" s="0" t="s">
        <v>61</v>
      </c>
      <c r="B65" s="1" t="n">
        <v>43925</v>
      </c>
      <c r="C65" s="7" t="n">
        <v>351</v>
      </c>
      <c r="D65" s="7" t="n">
        <v>47</v>
      </c>
      <c r="E65" s="7" t="n">
        <v>4</v>
      </c>
      <c r="F65" s="7" t="n">
        <v>0</v>
      </c>
      <c r="G65" s="7" t="n">
        <v>53</v>
      </c>
      <c r="H65" s="7" t="n">
        <v>294</v>
      </c>
      <c r="I65" s="7" t="n">
        <v>11</v>
      </c>
      <c r="J65" s="7" t="n">
        <v>37</v>
      </c>
      <c r="K65" s="9" t="n">
        <v>0.4</v>
      </c>
      <c r="M65" s="7"/>
    </row>
    <row r="66" customFormat="false" ht="15.75" hidden="false" customHeight="false" outlineLevel="0" collapsed="false">
      <c r="A66" s="0" t="s">
        <v>61</v>
      </c>
      <c r="B66" s="1" t="n">
        <v>43926</v>
      </c>
      <c r="C66" s="7" t="n">
        <v>440</v>
      </c>
      <c r="D66" s="7" t="n">
        <v>89</v>
      </c>
      <c r="E66" s="7" t="n">
        <v>5</v>
      </c>
      <c r="F66" s="7" t="n">
        <v>1</v>
      </c>
      <c r="G66" s="7" t="n">
        <v>53</v>
      </c>
      <c r="H66" s="7" t="n">
        <v>382</v>
      </c>
      <c r="I66" s="7" t="n">
        <v>11</v>
      </c>
      <c r="J66" s="7" t="n">
        <v>47</v>
      </c>
      <c r="K66" s="9" t="n">
        <v>0.5</v>
      </c>
      <c r="L66" s="7" t="n">
        <v>32000</v>
      </c>
      <c r="M66" s="7" t="n">
        <v>3386</v>
      </c>
    </row>
    <row r="67" customFormat="false" ht="15.75" hidden="false" customHeight="false" outlineLevel="0" collapsed="false">
      <c r="A67" s="0" t="s">
        <v>61</v>
      </c>
      <c r="B67" s="1" t="n">
        <v>43927</v>
      </c>
      <c r="C67" s="7" t="n">
        <v>562</v>
      </c>
      <c r="D67" s="7" t="n">
        <v>122</v>
      </c>
      <c r="E67" s="7" t="n">
        <v>8</v>
      </c>
      <c r="F67" s="7" t="n">
        <v>3</v>
      </c>
      <c r="G67" s="7" t="n">
        <v>52</v>
      </c>
      <c r="H67" s="7" t="n">
        <v>502</v>
      </c>
      <c r="I67" s="7" t="n">
        <v>11</v>
      </c>
      <c r="J67" s="7" t="n">
        <v>59</v>
      </c>
      <c r="K67" s="9" t="n">
        <v>0.8</v>
      </c>
      <c r="L67" s="7" t="n">
        <v>32000</v>
      </c>
      <c r="M67" s="7" t="n">
        <v>3386</v>
      </c>
    </row>
    <row r="68" customFormat="false" ht="15.75" hidden="false" customHeight="false" outlineLevel="0" collapsed="false">
      <c r="A68" s="0" t="s">
        <v>61</v>
      </c>
      <c r="B68" s="1" t="n">
        <v>43928</v>
      </c>
      <c r="C68" s="12" t="n">
        <v>700</v>
      </c>
      <c r="D68" s="12" t="n">
        <v>138</v>
      </c>
      <c r="E68" s="12" t="n">
        <v>13</v>
      </c>
      <c r="F68" s="12" t="n">
        <v>5</v>
      </c>
      <c r="G68" s="12" t="n">
        <v>53</v>
      </c>
      <c r="H68" s="12" t="n">
        <v>634</v>
      </c>
      <c r="I68" s="12" t="n">
        <v>11</v>
      </c>
      <c r="J68" s="12" t="n">
        <v>74</v>
      </c>
      <c r="K68" s="28" t="n">
        <v>1</v>
      </c>
      <c r="L68" s="12" t="n">
        <v>40000</v>
      </c>
      <c r="M68" s="12" t="n">
        <v>4233</v>
      </c>
    </row>
    <row r="69" customFormat="false" ht="15.75" hidden="false" customHeight="false" outlineLevel="0" collapsed="false">
      <c r="A69" s="0" t="s">
        <v>61</v>
      </c>
      <c r="B69" s="1" t="n">
        <v>43929</v>
      </c>
      <c r="C69" s="14" t="n">
        <v>861</v>
      </c>
      <c r="D69" s="14" t="n">
        <v>161</v>
      </c>
      <c r="E69" s="14" t="n">
        <v>13</v>
      </c>
      <c r="F69" s="14" t="n">
        <v>0</v>
      </c>
      <c r="G69" s="14" t="n">
        <v>54</v>
      </c>
      <c r="H69" s="14" t="n">
        <v>794</v>
      </c>
      <c r="I69" s="14" t="n">
        <v>31</v>
      </c>
      <c r="J69" s="14" t="n">
        <v>91</v>
      </c>
      <c r="K69" s="28" t="n">
        <v>1</v>
      </c>
      <c r="L69" s="14" t="n">
        <v>43000</v>
      </c>
      <c r="M69" s="14" t="n">
        <v>4551</v>
      </c>
    </row>
    <row r="70" customFormat="false" ht="15.75" hidden="false" customHeight="false" outlineLevel="0" collapsed="false">
      <c r="A70" s="0" t="s">
        <v>61</v>
      </c>
      <c r="B70" s="1" t="n">
        <v>43930</v>
      </c>
      <c r="C70" s="14" t="n">
        <v>1066</v>
      </c>
      <c r="D70" s="14" t="n">
        <v>205</v>
      </c>
      <c r="E70" s="14" t="n">
        <v>13</v>
      </c>
      <c r="F70" s="14" t="n">
        <v>0</v>
      </c>
      <c r="G70" s="14" t="n">
        <v>77</v>
      </c>
      <c r="H70" s="14" t="n">
        <v>976</v>
      </c>
      <c r="I70" s="14" t="n">
        <v>33</v>
      </c>
      <c r="J70" s="14" t="n">
        <v>113</v>
      </c>
      <c r="K70" s="28" t="n">
        <v>1</v>
      </c>
      <c r="L70" s="14" t="n">
        <v>46000</v>
      </c>
      <c r="M70" s="14" t="n">
        <v>4868</v>
      </c>
    </row>
    <row r="71" customFormat="false" ht="15.75" hidden="false" customHeight="false" outlineLevel="0" collapsed="false">
      <c r="A71" s="0" t="s">
        <v>61</v>
      </c>
      <c r="B71" s="1" t="n">
        <v>43931</v>
      </c>
      <c r="C71" s="14" t="n">
        <v>1486</v>
      </c>
      <c r="D71" s="14" t="n">
        <v>420</v>
      </c>
      <c r="E71" s="14" t="n">
        <v>16</v>
      </c>
      <c r="F71" s="14" t="n">
        <v>3</v>
      </c>
      <c r="G71" s="14" t="n">
        <v>139</v>
      </c>
      <c r="H71" s="14" t="n">
        <v>1331</v>
      </c>
      <c r="I71" s="14" t="n">
        <v>55</v>
      </c>
      <c r="J71" s="14" t="n">
        <v>157</v>
      </c>
      <c r="K71" s="28" t="n">
        <v>2</v>
      </c>
      <c r="L71" s="14" t="n">
        <v>49000</v>
      </c>
      <c r="M71" s="14" t="n">
        <v>5186</v>
      </c>
    </row>
    <row r="72" customFormat="false" ht="15.75" hidden="false" customHeight="false" outlineLevel="0" collapsed="false">
      <c r="A72" s="0" t="s">
        <v>61</v>
      </c>
      <c r="B72" s="1" t="n">
        <v>43932</v>
      </c>
      <c r="C72" s="14" t="n">
        <v>1981</v>
      </c>
      <c r="D72" s="14" t="n">
        <v>495</v>
      </c>
      <c r="E72" s="14" t="n">
        <v>19</v>
      </c>
      <c r="F72" s="14" t="n">
        <v>3</v>
      </c>
      <c r="G72" s="14" t="n">
        <v>169</v>
      </c>
      <c r="H72" s="14" t="n">
        <v>1793</v>
      </c>
      <c r="I72" s="14" t="n">
        <v>72</v>
      </c>
      <c r="J72" s="14" t="n">
        <v>210</v>
      </c>
      <c r="K72" s="28" t="n">
        <v>2</v>
      </c>
      <c r="L72" s="14" t="n">
        <v>53000</v>
      </c>
      <c r="M72" s="14" t="n">
        <v>5609</v>
      </c>
    </row>
    <row r="73" customFormat="false" ht="15.75" hidden="false" customHeight="false" outlineLevel="0" collapsed="false">
      <c r="A73" s="0" t="s">
        <v>61</v>
      </c>
      <c r="B73" s="1" t="n">
        <v>43933</v>
      </c>
      <c r="C73" s="14" t="n">
        <v>2226</v>
      </c>
      <c r="D73" s="14" t="n">
        <v>245</v>
      </c>
      <c r="E73" s="14" t="n">
        <v>23</v>
      </c>
      <c r="F73" s="14" t="n">
        <v>4</v>
      </c>
      <c r="G73" s="14" t="n">
        <v>172</v>
      </c>
      <c r="H73" s="14" t="n">
        <v>2031</v>
      </c>
      <c r="I73" s="14" t="n">
        <v>72</v>
      </c>
      <c r="J73" s="14" t="n">
        <v>236</v>
      </c>
      <c r="K73" s="28" t="n">
        <v>2</v>
      </c>
      <c r="L73" s="14" t="n">
        <v>53000</v>
      </c>
      <c r="M73" s="14" t="n">
        <v>5609</v>
      </c>
    </row>
    <row r="74" customFormat="false" ht="15.75" hidden="false" customHeight="false" outlineLevel="0" collapsed="false">
      <c r="A74" s="0" t="s">
        <v>61</v>
      </c>
      <c r="B74" s="1" t="n">
        <v>43934</v>
      </c>
      <c r="C74" s="14" t="n">
        <v>2578</v>
      </c>
      <c r="D74" s="14" t="n">
        <v>352</v>
      </c>
      <c r="E74" s="14" t="n">
        <v>26</v>
      </c>
      <c r="F74" s="14" t="n">
        <v>3</v>
      </c>
      <c r="G74" s="14" t="n">
        <v>203</v>
      </c>
      <c r="H74" s="14" t="n">
        <v>2349</v>
      </c>
      <c r="I74" s="14" t="n">
        <v>50</v>
      </c>
      <c r="J74" s="14" t="n">
        <v>273</v>
      </c>
      <c r="K74" s="28" t="n">
        <v>3</v>
      </c>
      <c r="L74" s="14" t="n">
        <v>64000</v>
      </c>
      <c r="M74" s="14" t="n">
        <v>6773</v>
      </c>
    </row>
    <row r="75" customFormat="false" ht="15.75" hidden="false" customHeight="false" outlineLevel="0" collapsed="false">
      <c r="A75" s="0" t="s">
        <v>61</v>
      </c>
      <c r="B75" s="1" t="n">
        <v>43935</v>
      </c>
      <c r="C75" s="14" t="n">
        <v>2919</v>
      </c>
      <c r="D75" s="14" t="n">
        <v>341</v>
      </c>
      <c r="E75" s="14" t="n">
        <v>29</v>
      </c>
      <c r="F75" s="14" t="n">
        <v>3</v>
      </c>
      <c r="G75" s="14" t="n">
        <v>203</v>
      </c>
      <c r="H75" s="14" t="n">
        <v>2687</v>
      </c>
      <c r="I75" s="14" t="n">
        <v>55</v>
      </c>
      <c r="J75" s="14" t="n">
        <v>309</v>
      </c>
      <c r="K75" s="28" t="n">
        <v>3</v>
      </c>
      <c r="L75" s="14" t="n">
        <v>68000</v>
      </c>
      <c r="M75" s="14" t="n">
        <v>7196</v>
      </c>
    </row>
    <row r="76" customFormat="false" ht="15.75" hidden="false" customHeight="false" outlineLevel="0" collapsed="false">
      <c r="A76" s="0" t="s">
        <v>61</v>
      </c>
      <c r="B76" s="1" t="n">
        <v>43936</v>
      </c>
      <c r="C76" s="14" t="n">
        <v>3281</v>
      </c>
      <c r="D76" s="14" t="n">
        <v>362</v>
      </c>
      <c r="E76" s="14" t="n">
        <v>33</v>
      </c>
      <c r="F76" s="14" t="n">
        <v>4</v>
      </c>
      <c r="G76" s="14" t="n">
        <v>203</v>
      </c>
      <c r="H76" s="14" t="n">
        <v>3045</v>
      </c>
      <c r="I76" s="14" t="n">
        <v>57</v>
      </c>
      <c r="J76" s="14" t="n">
        <v>347</v>
      </c>
      <c r="K76" s="28" t="n">
        <v>3</v>
      </c>
      <c r="L76" s="14" t="n">
        <v>71875</v>
      </c>
      <c r="M76" s="14" t="n">
        <v>7606</v>
      </c>
    </row>
    <row r="77" customFormat="false" ht="15.75" hidden="false" customHeight="false" outlineLevel="0" collapsed="false">
      <c r="A77" s="0" t="s">
        <v>61</v>
      </c>
      <c r="B77" s="1" t="n">
        <v>43937</v>
      </c>
      <c r="C77" s="14" t="n">
        <v>3728</v>
      </c>
      <c r="D77" s="14" t="n">
        <v>447</v>
      </c>
      <c r="E77" s="14" t="n">
        <v>36</v>
      </c>
      <c r="F77" s="14" t="n">
        <v>3</v>
      </c>
      <c r="G77" s="14" t="n">
        <v>203</v>
      </c>
      <c r="H77" s="14" t="n">
        <v>3489</v>
      </c>
      <c r="I77" s="14" t="n">
        <v>68</v>
      </c>
      <c r="J77" s="14" t="n">
        <v>395</v>
      </c>
      <c r="K77" s="28" t="n">
        <v>4</v>
      </c>
      <c r="L77" s="14" t="n">
        <v>76198</v>
      </c>
      <c r="M77" s="14" t="n">
        <v>8064</v>
      </c>
    </row>
    <row r="78" customFormat="false" ht="15.75" hidden="false" customHeight="false" outlineLevel="0" collapsed="false">
      <c r="A78" s="0" t="s">
        <v>61</v>
      </c>
      <c r="B78" s="1" t="n">
        <v>43938</v>
      </c>
      <c r="C78" s="14" t="n">
        <v>4204</v>
      </c>
      <c r="D78" s="14" t="n">
        <v>476</v>
      </c>
      <c r="E78" s="14" t="n">
        <v>40</v>
      </c>
      <c r="F78" s="14" t="n">
        <v>4</v>
      </c>
      <c r="G78" s="14" t="n">
        <v>203</v>
      </c>
      <c r="H78" s="14" t="n">
        <v>3961</v>
      </c>
      <c r="I78" s="14" t="n">
        <v>65</v>
      </c>
      <c r="J78" s="14" t="n">
        <v>445</v>
      </c>
      <c r="K78" s="28" t="n">
        <v>4</v>
      </c>
      <c r="L78" s="14" t="n">
        <v>81246</v>
      </c>
      <c r="M78" s="14" t="n">
        <v>8598</v>
      </c>
    </row>
    <row r="79" customFormat="false" ht="15.75" hidden="false" customHeight="false" outlineLevel="0" collapsed="false">
      <c r="A79" s="0" t="s">
        <v>61</v>
      </c>
      <c r="B79" s="1" t="n">
        <v>43939</v>
      </c>
      <c r="C79" s="14" t="n">
        <v>4779</v>
      </c>
      <c r="D79" s="14" t="n">
        <v>575</v>
      </c>
      <c r="E79" s="14" t="n">
        <v>42</v>
      </c>
      <c r="F79" s="14" t="n">
        <v>2</v>
      </c>
      <c r="G79" s="14" t="n">
        <v>342</v>
      </c>
      <c r="H79" s="14" t="n">
        <v>4395</v>
      </c>
      <c r="I79" s="14" t="n">
        <v>65</v>
      </c>
      <c r="J79" s="14" t="n">
        <v>506</v>
      </c>
      <c r="K79" s="28" t="n">
        <v>4</v>
      </c>
      <c r="L79" s="14" t="n">
        <v>86813</v>
      </c>
      <c r="M79" s="14" t="n">
        <v>9187</v>
      </c>
    </row>
    <row r="80" customFormat="false" ht="15.75" hidden="false" customHeight="false" outlineLevel="0" collapsed="false">
      <c r="A80" s="0" t="s">
        <v>61</v>
      </c>
      <c r="B80" s="1" t="n">
        <v>43940</v>
      </c>
      <c r="C80" s="14" t="n">
        <v>4779</v>
      </c>
      <c r="D80" s="14" t="n">
        <v>0</v>
      </c>
      <c r="E80" s="14" t="n">
        <v>45</v>
      </c>
      <c r="F80" s="14" t="n">
        <v>3</v>
      </c>
      <c r="G80" s="14" t="n">
        <v>342</v>
      </c>
      <c r="H80" s="14" t="n">
        <v>4392</v>
      </c>
      <c r="I80" s="14" t="n">
        <v>65</v>
      </c>
      <c r="J80" s="14" t="n">
        <v>506</v>
      </c>
      <c r="K80" s="28" t="n">
        <v>5</v>
      </c>
      <c r="L80" s="14" t="n">
        <v>86813</v>
      </c>
      <c r="M80" s="14" t="n">
        <v>9187</v>
      </c>
    </row>
    <row r="81" customFormat="false" ht="15.75" hidden="false" customHeight="false" outlineLevel="0" collapsed="false">
      <c r="A81" s="0" t="s">
        <v>61</v>
      </c>
      <c r="B81" s="1" t="n">
        <v>43941</v>
      </c>
      <c r="C81" s="14" t="n">
        <v>4779</v>
      </c>
      <c r="D81" s="14" t="n">
        <v>0</v>
      </c>
      <c r="E81" s="14" t="n">
        <v>47</v>
      </c>
      <c r="F81" s="14" t="n">
        <v>2</v>
      </c>
      <c r="G81" s="14" t="n">
        <v>494</v>
      </c>
      <c r="H81" s="14" t="n">
        <v>4238</v>
      </c>
      <c r="I81" s="14" t="n">
        <v>65</v>
      </c>
      <c r="J81" s="14" t="n">
        <v>506</v>
      </c>
      <c r="K81" s="28" t="n">
        <v>5</v>
      </c>
      <c r="L81" s="14" t="n">
        <v>98231</v>
      </c>
      <c r="M81" s="14" t="n">
        <v>10396</v>
      </c>
    </row>
    <row r="82" customFormat="false" ht="15.75" hidden="false" customHeight="false" outlineLevel="0" collapsed="false">
      <c r="A82" s="0" t="s">
        <v>61</v>
      </c>
      <c r="B82" s="1" t="n">
        <v>43942</v>
      </c>
      <c r="C82" s="6" t="n">
        <v>6264</v>
      </c>
      <c r="D82" s="6" t="n">
        <v>1485</v>
      </c>
      <c r="E82" s="6" t="n">
        <v>51</v>
      </c>
      <c r="F82" s="6" t="n">
        <v>4</v>
      </c>
      <c r="G82" s="6" t="n">
        <v>514</v>
      </c>
      <c r="H82" s="6" t="n">
        <v>5699</v>
      </c>
      <c r="I82" s="6" t="n">
        <v>92</v>
      </c>
      <c r="J82" s="6" t="n">
        <v>663</v>
      </c>
      <c r="K82" s="11" t="n">
        <v>5</v>
      </c>
      <c r="L82" s="6" t="n">
        <v>102556</v>
      </c>
      <c r="M82" s="6" t="n">
        <v>10853</v>
      </c>
    </row>
    <row r="83" customFormat="false" ht="15.75" hidden="false" customHeight="false" outlineLevel="0" collapsed="false">
      <c r="A83" s="0" t="s">
        <v>61</v>
      </c>
      <c r="B83" s="1" t="n">
        <v>43943</v>
      </c>
      <c r="C83" s="6" t="n">
        <v>6723</v>
      </c>
      <c r="D83" s="6" t="n">
        <v>459</v>
      </c>
      <c r="E83" s="6" t="n">
        <v>55</v>
      </c>
      <c r="F83" s="6" t="n">
        <v>4</v>
      </c>
      <c r="G83" s="6" t="n">
        <v>577</v>
      </c>
      <c r="H83" s="6" t="n">
        <v>6091</v>
      </c>
      <c r="I83" s="6" t="n">
        <v>92</v>
      </c>
      <c r="J83" s="6" t="n">
        <v>711</v>
      </c>
      <c r="K83" s="11" t="n">
        <v>6</v>
      </c>
      <c r="L83" s="6" t="n">
        <v>108545</v>
      </c>
      <c r="M83" s="6" t="n">
        <v>11487</v>
      </c>
    </row>
    <row r="84" customFormat="false" ht="15.75" hidden="false" customHeight="false" outlineLevel="0" collapsed="false">
      <c r="A84" s="0" t="s">
        <v>61</v>
      </c>
      <c r="B84" s="1" t="n">
        <v>43944</v>
      </c>
      <c r="C84" s="6" t="n">
        <v>7281</v>
      </c>
      <c r="D84" s="6" t="n">
        <v>558</v>
      </c>
      <c r="E84" s="6" t="n">
        <v>58</v>
      </c>
      <c r="F84" s="6" t="n">
        <v>3</v>
      </c>
      <c r="G84" s="6" t="n">
        <v>769</v>
      </c>
      <c r="H84" s="6" t="n">
        <v>6454</v>
      </c>
      <c r="I84" s="6" t="n">
        <v>92</v>
      </c>
      <c r="J84" s="6" t="n">
        <v>771</v>
      </c>
      <c r="K84" s="9" t="n">
        <v>6</v>
      </c>
      <c r="L84" s="6" t="n">
        <v>114955</v>
      </c>
      <c r="M84" s="6" t="n">
        <v>12165</v>
      </c>
    </row>
    <row r="85" customFormat="false" ht="15.75" hidden="false" customHeight="false" outlineLevel="0" collapsed="false">
      <c r="A85" s="0" t="s">
        <v>61</v>
      </c>
      <c r="B85" s="1" t="n">
        <v>43945</v>
      </c>
      <c r="C85" s="6" t="n">
        <v>8022</v>
      </c>
      <c r="D85" s="6" t="n">
        <v>741</v>
      </c>
      <c r="E85" s="6" t="n">
        <v>60</v>
      </c>
      <c r="F85" s="6" t="n">
        <v>2</v>
      </c>
      <c r="G85" s="6" t="n">
        <v>938</v>
      </c>
      <c r="H85" s="6" t="n">
        <v>7024</v>
      </c>
      <c r="I85" s="6" t="n">
        <v>92</v>
      </c>
      <c r="J85" s="6" t="n">
        <v>849</v>
      </c>
      <c r="K85" s="9" t="n">
        <v>6</v>
      </c>
      <c r="L85" s="6" t="n">
        <v>122543</v>
      </c>
      <c r="M85" s="6" t="n">
        <v>12968</v>
      </c>
    </row>
    <row r="86" customFormat="false" ht="15.75" hidden="false" customHeight="false" outlineLevel="0" collapsed="false">
      <c r="A86" s="0" t="s">
        <v>61</v>
      </c>
      <c r="B86" s="1" t="n">
        <v>43946</v>
      </c>
      <c r="C86" s="6" t="n">
        <v>8773</v>
      </c>
      <c r="D86" s="6" t="n">
        <v>751</v>
      </c>
      <c r="E86" s="6" t="n">
        <v>63</v>
      </c>
      <c r="F86" s="6" t="n">
        <v>3</v>
      </c>
      <c r="G86" s="6" t="n">
        <v>1120</v>
      </c>
      <c r="H86" s="6" t="n">
        <v>7590</v>
      </c>
      <c r="I86" s="6" t="n">
        <v>92</v>
      </c>
      <c r="J86" s="6" t="n">
        <v>928</v>
      </c>
      <c r="K86" s="9" t="n">
        <v>7</v>
      </c>
      <c r="L86" s="6" t="n">
        <v>130824</v>
      </c>
      <c r="M86" s="6" t="n">
        <v>13845</v>
      </c>
    </row>
    <row r="87" customFormat="false" ht="15.75" hidden="false" customHeight="false" outlineLevel="0" collapsed="false">
      <c r="A87" s="0" t="s">
        <v>61</v>
      </c>
      <c r="B87" s="1" t="n">
        <v>43947</v>
      </c>
      <c r="C87" s="6" t="n">
        <v>9590</v>
      </c>
      <c r="D87" s="6" t="n">
        <v>817</v>
      </c>
      <c r="E87" s="6" t="n">
        <v>67</v>
      </c>
      <c r="F87" s="6" t="n">
        <v>4</v>
      </c>
      <c r="G87" s="6" t="n">
        <v>1573</v>
      </c>
      <c r="H87" s="6" t="n">
        <v>7950</v>
      </c>
      <c r="I87" s="6" t="n">
        <v>92</v>
      </c>
      <c r="J87" s="6" t="n">
        <v>1015</v>
      </c>
      <c r="K87" s="9" t="n">
        <v>7</v>
      </c>
      <c r="L87" s="6" t="n">
        <v>139295</v>
      </c>
      <c r="M87" s="6" t="n">
        <v>14741</v>
      </c>
    </row>
    <row r="88" customFormat="false" ht="15.75" hidden="false" customHeight="false" outlineLevel="0" collapsed="false">
      <c r="A88" s="0" t="s">
        <v>61</v>
      </c>
      <c r="B88" s="1" t="n">
        <v>43948</v>
      </c>
      <c r="C88" s="6" t="n">
        <v>10463</v>
      </c>
      <c r="D88" s="6" t="n">
        <v>873</v>
      </c>
      <c r="E88" s="6" t="n">
        <v>72</v>
      </c>
      <c r="F88" s="6" t="n">
        <v>5</v>
      </c>
      <c r="G88" s="6" t="n">
        <v>1695</v>
      </c>
      <c r="H88" s="6" t="n">
        <v>8696</v>
      </c>
      <c r="I88" s="6" t="n">
        <v>92</v>
      </c>
      <c r="J88" s="6" t="n">
        <v>1107</v>
      </c>
      <c r="K88" s="9" t="n">
        <v>8</v>
      </c>
      <c r="L88" s="6" t="n">
        <v>147525</v>
      </c>
      <c r="M88" s="6" t="n">
        <v>15612</v>
      </c>
    </row>
    <row r="89" customFormat="false" ht="13.5" hidden="false" customHeight="false" outlineLevel="0" collapsed="false">
      <c r="A89" s="0" t="s">
        <v>61</v>
      </c>
      <c r="B89" s="1" t="n">
        <v>43949</v>
      </c>
      <c r="C89" s="2" t="n">
        <v>11289</v>
      </c>
      <c r="D89" s="2" t="n">
        <v>826</v>
      </c>
      <c r="E89" s="2" t="n">
        <v>75</v>
      </c>
      <c r="F89" s="2" t="n">
        <v>3</v>
      </c>
      <c r="G89" s="2" t="n">
        <v>1740</v>
      </c>
      <c r="H89" s="2" t="n">
        <v>9474</v>
      </c>
      <c r="I89" s="2" t="n">
        <v>92</v>
      </c>
      <c r="J89" s="2" t="n">
        <v>1195</v>
      </c>
      <c r="K89" s="2" t="n">
        <v>8</v>
      </c>
      <c r="L89" s="2" t="n">
        <v>153845</v>
      </c>
      <c r="M89" s="2" t="n">
        <v>16281</v>
      </c>
    </row>
    <row r="90" customFormat="false" ht="13.5" hidden="false" customHeight="false" outlineLevel="0" collapsed="false">
      <c r="A90" s="0" t="s">
        <v>61</v>
      </c>
      <c r="B90" s="1" t="n">
        <v>43950</v>
      </c>
      <c r="C90" s="2" t="n">
        <v>12208</v>
      </c>
      <c r="D90" s="2" t="n">
        <v>919</v>
      </c>
      <c r="E90" s="2" t="n">
        <v>79</v>
      </c>
      <c r="F90" s="2" t="n">
        <v>4</v>
      </c>
      <c r="G90" s="2" t="n">
        <v>1993</v>
      </c>
      <c r="H90" s="2" t="n">
        <v>10136</v>
      </c>
      <c r="I90" s="2" t="n">
        <v>92</v>
      </c>
      <c r="J90" s="2" t="n">
        <v>1292</v>
      </c>
      <c r="K90" s="2" t="n">
        <v>8</v>
      </c>
      <c r="L90" s="2" t="n">
        <v>161028</v>
      </c>
      <c r="M90" s="2" t="n">
        <v>17041</v>
      </c>
    </row>
    <row r="91" customFormat="false" ht="13.5" hidden="false" customHeight="false" outlineLevel="0" collapsed="false">
      <c r="A91" s="0" t="s">
        <v>61</v>
      </c>
      <c r="B91" s="1" t="n">
        <v>43951</v>
      </c>
      <c r="C91" s="2" t="n">
        <v>13181</v>
      </c>
      <c r="D91" s="2" t="n">
        <v>973</v>
      </c>
      <c r="E91" s="2" t="n">
        <v>84</v>
      </c>
      <c r="F91" s="2" t="n">
        <v>5</v>
      </c>
      <c r="G91" s="2" t="n">
        <v>2072</v>
      </c>
      <c r="H91" s="2" t="n">
        <v>11025</v>
      </c>
      <c r="I91" s="2" t="n">
        <v>92</v>
      </c>
      <c r="J91" s="2" t="n">
        <v>1395</v>
      </c>
      <c r="K91" s="2" t="n">
        <v>9</v>
      </c>
      <c r="L91" s="2" t="n">
        <v>168986</v>
      </c>
      <c r="M91" s="2" t="n">
        <v>17883</v>
      </c>
    </row>
    <row r="92" customFormat="false" ht="14.25" hidden="false" customHeight="false" outlineLevel="0" collapsed="false">
      <c r="A92" s="0" t="s">
        <v>61</v>
      </c>
      <c r="B92" s="1" t="n">
        <v>43952</v>
      </c>
      <c r="C92" s="2" t="n">
        <v>14027</v>
      </c>
      <c r="D92" s="2" t="n">
        <v>846</v>
      </c>
      <c r="E92" s="2" t="n">
        <v>89</v>
      </c>
      <c r="F92" s="2" t="n">
        <v>5</v>
      </c>
      <c r="G92" s="2" t="n">
        <v>2386</v>
      </c>
      <c r="H92" s="2" t="n">
        <v>11552</v>
      </c>
      <c r="I92" s="2" t="n">
        <v>92</v>
      </c>
      <c r="J92" s="2" t="n">
        <v>1484</v>
      </c>
      <c r="K92" s="2" t="n">
        <v>9</v>
      </c>
      <c r="L92" s="2" t="n">
        <v>176625</v>
      </c>
      <c r="M92" s="2" t="n">
        <v>18692</v>
      </c>
    </row>
    <row r="93" customFormat="false" ht="15.75" hidden="false" customHeight="false" outlineLevel="0" collapsed="false">
      <c r="A93" s="0" t="s">
        <v>61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61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61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61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61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61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61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61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61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61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61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61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61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61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61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61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61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61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61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61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61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61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61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61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61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61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61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61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61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61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61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61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61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61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61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61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61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61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61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61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61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61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61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61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61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61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61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61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61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61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61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61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61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61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61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61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61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61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61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61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61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61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61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61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61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61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61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61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61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61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61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61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61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61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61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61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61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61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61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61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61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61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61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61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61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61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61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61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61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61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61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61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61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61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61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62</v>
      </c>
      <c r="B2" s="1" t="n">
        <v>43862</v>
      </c>
      <c r="C2" s="6" t="n">
        <v>16</v>
      </c>
      <c r="D2" s="6"/>
      <c r="E2" s="6" t="n">
        <v>0</v>
      </c>
      <c r="F2" s="6" t="n">
        <v>0</v>
      </c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62</v>
      </c>
      <c r="B3" s="1" t="n">
        <v>43863</v>
      </c>
      <c r="C3" s="6" t="n">
        <v>18</v>
      </c>
      <c r="D3" s="6" t="n">
        <v>2</v>
      </c>
      <c r="E3" s="6" t="n">
        <v>0</v>
      </c>
      <c r="F3" s="6" t="n">
        <v>0</v>
      </c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62</v>
      </c>
      <c r="B4" s="1" t="n">
        <v>43864</v>
      </c>
      <c r="C4" s="6" t="n">
        <v>18</v>
      </c>
      <c r="D4" s="6" t="n">
        <v>0</v>
      </c>
      <c r="E4" s="6" t="n">
        <v>0</v>
      </c>
      <c r="F4" s="6" t="n">
        <v>0</v>
      </c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62</v>
      </c>
      <c r="B5" s="1" t="n">
        <v>43865</v>
      </c>
      <c r="C5" s="6" t="n">
        <v>18</v>
      </c>
      <c r="D5" s="6" t="n">
        <v>0</v>
      </c>
      <c r="E5" s="6" t="n">
        <v>0</v>
      </c>
      <c r="F5" s="6" t="n">
        <v>0</v>
      </c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62</v>
      </c>
      <c r="B6" s="1" t="n">
        <v>43866</v>
      </c>
      <c r="C6" s="6" t="n">
        <v>24</v>
      </c>
      <c r="D6" s="6" t="n">
        <v>6</v>
      </c>
      <c r="E6" s="6" t="n">
        <v>0</v>
      </c>
      <c r="F6" s="6" t="n">
        <v>0</v>
      </c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62</v>
      </c>
      <c r="B7" s="1" t="n">
        <v>43867</v>
      </c>
      <c r="C7" s="6" t="n">
        <v>28</v>
      </c>
      <c r="D7" s="6" t="n">
        <v>4</v>
      </c>
      <c r="E7" s="6" t="n">
        <v>0</v>
      </c>
      <c r="F7" s="6" t="n">
        <v>0</v>
      </c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62</v>
      </c>
      <c r="B8" s="1" t="n">
        <v>43868</v>
      </c>
      <c r="C8" s="6" t="n">
        <v>30</v>
      </c>
      <c r="D8" s="6" t="n">
        <v>2</v>
      </c>
      <c r="E8" s="6" t="n">
        <v>0</v>
      </c>
      <c r="F8" s="6" t="n">
        <v>0</v>
      </c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62</v>
      </c>
      <c r="B9" s="1" t="n">
        <v>43869</v>
      </c>
      <c r="C9" s="6" t="n">
        <v>33</v>
      </c>
      <c r="D9" s="6" t="n">
        <v>3</v>
      </c>
      <c r="E9" s="6" t="n">
        <v>0</v>
      </c>
      <c r="F9" s="6" t="n">
        <v>0</v>
      </c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62</v>
      </c>
      <c r="B10" s="1" t="n">
        <v>43870</v>
      </c>
      <c r="C10" s="6" t="n">
        <v>40</v>
      </c>
      <c r="D10" s="6" t="n">
        <v>7</v>
      </c>
      <c r="E10" s="6" t="n">
        <v>0</v>
      </c>
      <c r="F10" s="6" t="n">
        <v>0</v>
      </c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62</v>
      </c>
      <c r="B11" s="1" t="n">
        <v>43871</v>
      </c>
      <c r="C11" s="6" t="n">
        <v>43</v>
      </c>
      <c r="D11" s="6" t="n">
        <v>3</v>
      </c>
      <c r="E11" s="6" t="n">
        <v>0</v>
      </c>
      <c r="F11" s="6" t="n">
        <v>0</v>
      </c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62</v>
      </c>
      <c r="B12" s="1" t="n">
        <v>43872</v>
      </c>
      <c r="C12" s="6" t="n">
        <v>45</v>
      </c>
      <c r="D12" s="6" t="n">
        <v>2</v>
      </c>
      <c r="E12" s="6" t="n">
        <v>0</v>
      </c>
      <c r="F12" s="6" t="n">
        <v>0</v>
      </c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62</v>
      </c>
      <c r="B13" s="1" t="n">
        <v>43873</v>
      </c>
      <c r="C13" s="6" t="n">
        <v>47</v>
      </c>
      <c r="D13" s="6" t="n">
        <v>2</v>
      </c>
      <c r="E13" s="6" t="n">
        <v>0</v>
      </c>
      <c r="F13" s="6" t="n">
        <v>0</v>
      </c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62</v>
      </c>
      <c r="B14" s="1" t="n">
        <v>43874</v>
      </c>
      <c r="C14" s="6" t="n">
        <v>50</v>
      </c>
      <c r="D14" s="6" t="n">
        <v>3</v>
      </c>
      <c r="E14" s="6" t="n">
        <v>0</v>
      </c>
      <c r="F14" s="6" t="n">
        <v>0</v>
      </c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62</v>
      </c>
      <c r="B15" s="1" t="n">
        <v>43875</v>
      </c>
      <c r="C15" s="6" t="n">
        <v>58</v>
      </c>
      <c r="D15" s="6" t="n">
        <v>8</v>
      </c>
      <c r="E15" s="6" t="n">
        <v>0</v>
      </c>
      <c r="F15" s="6" t="n">
        <v>0</v>
      </c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62</v>
      </c>
      <c r="B16" s="1" t="n">
        <v>43876</v>
      </c>
      <c r="C16" s="6" t="n">
        <v>67</v>
      </c>
      <c r="D16" s="6" t="n">
        <v>9</v>
      </c>
      <c r="E16" s="6" t="n">
        <v>0</v>
      </c>
      <c r="F16" s="6" t="n">
        <v>0</v>
      </c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62</v>
      </c>
      <c r="B17" s="1" t="n">
        <v>43877</v>
      </c>
      <c r="C17" s="6" t="n">
        <v>72</v>
      </c>
      <c r="D17" s="6" t="n">
        <v>5</v>
      </c>
      <c r="E17" s="6" t="n">
        <v>0</v>
      </c>
      <c r="F17" s="6" t="n">
        <v>0</v>
      </c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62</v>
      </c>
      <c r="B18" s="1" t="n">
        <v>43878</v>
      </c>
      <c r="C18" s="6" t="n">
        <v>75</v>
      </c>
      <c r="D18" s="6" t="n">
        <v>3</v>
      </c>
      <c r="E18" s="6" t="n">
        <v>0</v>
      </c>
      <c r="F18" s="6" t="n">
        <v>0</v>
      </c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62</v>
      </c>
      <c r="B19" s="1" t="n">
        <v>43879</v>
      </c>
      <c r="C19" s="6" t="n">
        <v>77</v>
      </c>
      <c r="D19" s="6" t="n">
        <v>2</v>
      </c>
      <c r="E19" s="6" t="n">
        <v>0</v>
      </c>
      <c r="F19" s="6" t="n">
        <v>0</v>
      </c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62</v>
      </c>
      <c r="B20" s="1" t="n">
        <v>43880</v>
      </c>
      <c r="C20" s="6" t="n">
        <v>81</v>
      </c>
      <c r="D20" s="6" t="n">
        <v>4</v>
      </c>
      <c r="E20" s="6" t="n">
        <v>0</v>
      </c>
      <c r="F20" s="6" t="n">
        <v>0</v>
      </c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62</v>
      </c>
      <c r="B21" s="1" t="n">
        <v>43881</v>
      </c>
      <c r="C21" s="6" t="n">
        <v>84</v>
      </c>
      <c r="D21" s="6" t="n">
        <v>3</v>
      </c>
      <c r="E21" s="6" t="n">
        <v>0</v>
      </c>
      <c r="F21" s="6" t="n">
        <v>0</v>
      </c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62</v>
      </c>
      <c r="B22" s="1" t="n">
        <v>43882</v>
      </c>
      <c r="C22" s="6" t="n">
        <v>85</v>
      </c>
      <c r="D22" s="6" t="n">
        <v>1</v>
      </c>
      <c r="E22" s="6" t="n">
        <v>0</v>
      </c>
      <c r="F22" s="6" t="n">
        <v>0</v>
      </c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62</v>
      </c>
      <c r="B23" s="1" t="n">
        <v>43883</v>
      </c>
      <c r="C23" s="6" t="n">
        <v>86</v>
      </c>
      <c r="D23" s="6" t="n">
        <v>1</v>
      </c>
      <c r="E23" s="6" t="n">
        <v>0</v>
      </c>
      <c r="F23" s="6" t="n">
        <v>0</v>
      </c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62</v>
      </c>
      <c r="B24" s="1" t="n">
        <v>43884</v>
      </c>
      <c r="C24" s="6" t="n">
        <v>89</v>
      </c>
      <c r="D24" s="6" t="n">
        <v>3</v>
      </c>
      <c r="E24" s="6" t="n">
        <v>0</v>
      </c>
      <c r="F24" s="6" t="n">
        <v>0</v>
      </c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62</v>
      </c>
      <c r="B25" s="1" t="n">
        <v>43885</v>
      </c>
      <c r="C25" s="6" t="n">
        <v>89</v>
      </c>
      <c r="D25" s="6" t="n">
        <v>0</v>
      </c>
      <c r="E25" s="6" t="n">
        <v>0</v>
      </c>
      <c r="F25" s="6" t="n">
        <v>0</v>
      </c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62</v>
      </c>
      <c r="B26" s="1" t="n">
        <v>43886</v>
      </c>
      <c r="C26" s="6" t="n">
        <v>90</v>
      </c>
      <c r="D26" s="6" t="n">
        <v>1</v>
      </c>
      <c r="E26" s="6" t="n">
        <v>0</v>
      </c>
      <c r="F26" s="6" t="n">
        <v>0</v>
      </c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62</v>
      </c>
      <c r="B27" s="1" t="n">
        <v>43887</v>
      </c>
      <c r="C27" s="6" t="n">
        <v>91</v>
      </c>
      <c r="D27" s="6" t="n">
        <v>1</v>
      </c>
      <c r="E27" s="6" t="n">
        <v>0</v>
      </c>
      <c r="F27" s="6" t="n">
        <v>0</v>
      </c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62</v>
      </c>
      <c r="B28" s="1" t="n">
        <v>43888</v>
      </c>
      <c r="C28" s="6" t="n">
        <v>93</v>
      </c>
      <c r="D28" s="6" t="n">
        <v>2</v>
      </c>
      <c r="E28" s="6" t="n">
        <v>0</v>
      </c>
      <c r="F28" s="6" t="n">
        <v>0</v>
      </c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62</v>
      </c>
      <c r="B29" s="1" t="n">
        <v>43889</v>
      </c>
      <c r="C29" s="6" t="n">
        <v>96</v>
      </c>
      <c r="D29" s="6" t="n">
        <v>3</v>
      </c>
      <c r="E29" s="6" t="n">
        <v>0</v>
      </c>
      <c r="F29" s="6" t="n">
        <v>0</v>
      </c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62</v>
      </c>
      <c r="B30" s="1" t="n">
        <v>43890</v>
      </c>
      <c r="C30" s="6" t="n">
        <v>98</v>
      </c>
      <c r="D30" s="6" t="n">
        <v>2</v>
      </c>
      <c r="E30" s="6" t="n">
        <v>0</v>
      </c>
      <c r="F30" s="6" t="n">
        <v>0</v>
      </c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62</v>
      </c>
      <c r="B31" s="1" t="n">
        <v>43891</v>
      </c>
      <c r="C31" s="6" t="n">
        <v>102</v>
      </c>
      <c r="D31" s="6" t="n">
        <v>4</v>
      </c>
      <c r="E31" s="6" t="n">
        <v>0</v>
      </c>
      <c r="F31" s="6" t="n">
        <v>0</v>
      </c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62</v>
      </c>
      <c r="B32" s="1" t="n">
        <v>43892</v>
      </c>
      <c r="C32" s="6" t="n">
        <v>106</v>
      </c>
      <c r="D32" s="6" t="n">
        <v>4</v>
      </c>
      <c r="E32" s="6" t="n">
        <v>0</v>
      </c>
      <c r="F32" s="6" t="n">
        <v>0</v>
      </c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62</v>
      </c>
      <c r="B33" s="1" t="n">
        <v>43893</v>
      </c>
      <c r="C33" s="6" t="n">
        <v>108</v>
      </c>
      <c r="D33" s="6" t="n">
        <v>2</v>
      </c>
      <c r="E33" s="6" t="n">
        <v>0</v>
      </c>
      <c r="F33" s="6" t="n">
        <v>0</v>
      </c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62</v>
      </c>
      <c r="B34" s="1" t="n">
        <v>43894</v>
      </c>
      <c r="C34" s="6" t="n">
        <v>110</v>
      </c>
      <c r="D34" s="6" t="n">
        <v>2</v>
      </c>
      <c r="E34" s="6" t="n">
        <v>0</v>
      </c>
      <c r="F34" s="6" t="n">
        <v>0</v>
      </c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62</v>
      </c>
      <c r="B35" s="1" t="n">
        <v>43895</v>
      </c>
      <c r="C35" s="6" t="n">
        <v>110</v>
      </c>
      <c r="D35" s="6" t="n">
        <v>0</v>
      </c>
      <c r="E35" s="6" t="n">
        <v>0</v>
      </c>
      <c r="F35" s="6" t="n">
        <v>0</v>
      </c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62</v>
      </c>
      <c r="B36" s="1" t="n">
        <v>43896</v>
      </c>
      <c r="C36" s="6" t="n">
        <v>117</v>
      </c>
      <c r="D36" s="6" t="n">
        <v>7</v>
      </c>
      <c r="E36" s="6" t="n">
        <v>0</v>
      </c>
      <c r="F36" s="6" t="n">
        <v>0</v>
      </c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62</v>
      </c>
      <c r="B37" s="1" t="n">
        <v>43897</v>
      </c>
      <c r="C37" s="8" t="n">
        <v>130</v>
      </c>
      <c r="D37" s="8" t="n">
        <v>13</v>
      </c>
      <c r="E37" s="8" t="n">
        <v>0</v>
      </c>
      <c r="F37" s="8" t="n">
        <v>0</v>
      </c>
      <c r="G37" s="8" t="n">
        <v>82</v>
      </c>
      <c r="H37" s="8" t="n">
        <v>48</v>
      </c>
      <c r="I37" s="8" t="n">
        <v>9</v>
      </c>
      <c r="J37" s="8"/>
      <c r="K37" s="9"/>
      <c r="L37" s="8"/>
      <c r="M37" s="8"/>
    </row>
    <row r="38" customFormat="false" ht="15.75" hidden="false" customHeight="false" outlineLevel="0" collapsed="false">
      <c r="A38" s="0" t="s">
        <v>62</v>
      </c>
      <c r="B38" s="1" t="n">
        <v>43898</v>
      </c>
      <c r="C38" s="6" t="n">
        <v>138</v>
      </c>
      <c r="D38" s="6" t="n">
        <v>8</v>
      </c>
      <c r="E38" s="6" t="n">
        <v>0</v>
      </c>
      <c r="F38" s="6" t="n">
        <v>0</v>
      </c>
      <c r="G38" s="6" t="n">
        <v>90</v>
      </c>
      <c r="H38" s="6" t="n">
        <v>48</v>
      </c>
      <c r="I38" s="6" t="n">
        <v>8</v>
      </c>
      <c r="J38" s="6" t="n">
        <v>23.6</v>
      </c>
      <c r="K38" s="9"/>
      <c r="L38" s="6"/>
      <c r="M38" s="6"/>
    </row>
    <row r="39" customFormat="false" ht="15.75" hidden="false" customHeight="false" outlineLevel="0" collapsed="false">
      <c r="A39" s="0" t="s">
        <v>62</v>
      </c>
      <c r="B39" s="1" t="n">
        <v>43899</v>
      </c>
      <c r="C39" s="6" t="n">
        <v>150</v>
      </c>
      <c r="D39" s="6" t="n">
        <v>12</v>
      </c>
      <c r="E39" s="6" t="n">
        <v>0</v>
      </c>
      <c r="F39" s="6" t="n">
        <v>0</v>
      </c>
      <c r="G39" s="6" t="n">
        <v>90</v>
      </c>
      <c r="H39" s="6" t="n">
        <v>60</v>
      </c>
      <c r="I39" s="6" t="n">
        <v>9</v>
      </c>
      <c r="J39" s="6" t="n">
        <v>25.6</v>
      </c>
      <c r="K39" s="9"/>
      <c r="L39" s="6"/>
      <c r="M39" s="6"/>
    </row>
    <row r="40" customFormat="false" ht="15.75" hidden="false" customHeight="false" outlineLevel="0" collapsed="false">
      <c r="A40" s="0" t="s">
        <v>62</v>
      </c>
      <c r="B40" s="1" t="n">
        <v>43900</v>
      </c>
      <c r="C40" s="6" t="n">
        <v>160</v>
      </c>
      <c r="D40" s="6" t="n">
        <v>10</v>
      </c>
      <c r="E40" s="6" t="n">
        <v>0</v>
      </c>
      <c r="F40" s="6" t="n">
        <v>0</v>
      </c>
      <c r="G40" s="6" t="n">
        <v>93</v>
      </c>
      <c r="H40" s="6" t="n">
        <v>67</v>
      </c>
      <c r="I40" s="6" t="n">
        <v>10</v>
      </c>
      <c r="J40" s="6" t="n">
        <v>27.3</v>
      </c>
      <c r="K40" s="9"/>
      <c r="L40" s="6"/>
      <c r="M40" s="6"/>
    </row>
    <row r="41" customFormat="false" ht="15.75" hidden="false" customHeight="false" outlineLevel="0" collapsed="false">
      <c r="A41" s="0" t="s">
        <v>62</v>
      </c>
      <c r="B41" s="1" t="n">
        <v>43901</v>
      </c>
      <c r="C41" s="6" t="n">
        <v>166</v>
      </c>
      <c r="D41" s="6" t="n">
        <v>6</v>
      </c>
      <c r="E41" s="6" t="n">
        <v>0</v>
      </c>
      <c r="F41" s="6" t="n">
        <v>0</v>
      </c>
      <c r="G41" s="6" t="n">
        <v>93</v>
      </c>
      <c r="H41" s="6" t="n">
        <v>73</v>
      </c>
      <c r="I41" s="6" t="n">
        <v>10</v>
      </c>
      <c r="J41" s="6" t="n">
        <v>28.4</v>
      </c>
      <c r="K41" s="9"/>
      <c r="L41" s="6"/>
      <c r="M41" s="6"/>
    </row>
    <row r="42" customFormat="false" ht="15.75" hidden="false" customHeight="false" outlineLevel="0" collapsed="false">
      <c r="A42" s="0" t="s">
        <v>62</v>
      </c>
      <c r="B42" s="1" t="n">
        <v>43902</v>
      </c>
      <c r="C42" s="6" t="n">
        <v>178</v>
      </c>
      <c r="D42" s="6" t="n">
        <v>12</v>
      </c>
      <c r="E42" s="6" t="n">
        <v>0</v>
      </c>
      <c r="F42" s="6" t="n">
        <v>0</v>
      </c>
      <c r="G42" s="6" t="n">
        <v>96</v>
      </c>
      <c r="H42" s="6" t="n">
        <v>82</v>
      </c>
      <c r="I42" s="6" t="n">
        <v>12</v>
      </c>
      <c r="J42" s="6" t="n">
        <v>30.4</v>
      </c>
      <c r="K42" s="9"/>
      <c r="L42" s="6"/>
      <c r="M42" s="6"/>
    </row>
    <row r="43" customFormat="false" ht="15.75" hidden="false" customHeight="false" outlineLevel="0" collapsed="false">
      <c r="A43" s="0" t="s">
        <v>62</v>
      </c>
      <c r="B43" s="1" t="n">
        <v>43903</v>
      </c>
      <c r="C43" s="6" t="n">
        <v>187</v>
      </c>
      <c r="D43" s="6" t="n">
        <v>9</v>
      </c>
      <c r="E43" s="6" t="n">
        <v>0</v>
      </c>
      <c r="F43" s="6" t="n">
        <v>0</v>
      </c>
      <c r="G43" s="6" t="n">
        <v>96</v>
      </c>
      <c r="H43" s="6" t="n">
        <v>91</v>
      </c>
      <c r="I43" s="6" t="n">
        <v>12</v>
      </c>
      <c r="J43" s="6" t="n">
        <v>32</v>
      </c>
      <c r="K43" s="9"/>
      <c r="L43" s="6"/>
      <c r="M43" s="6"/>
    </row>
    <row r="44" customFormat="false" ht="15.75" hidden="false" customHeight="false" outlineLevel="0" collapsed="false">
      <c r="A44" s="0" t="s">
        <v>62</v>
      </c>
      <c r="B44" s="1" t="n">
        <v>43904</v>
      </c>
      <c r="C44" s="6" t="n">
        <v>200</v>
      </c>
      <c r="D44" s="6" t="n">
        <v>13</v>
      </c>
      <c r="E44" s="6" t="n">
        <v>0</v>
      </c>
      <c r="F44" s="6" t="n">
        <v>0</v>
      </c>
      <c r="G44" s="6" t="n">
        <v>97</v>
      </c>
      <c r="H44" s="6" t="n">
        <v>103</v>
      </c>
      <c r="I44" s="6" t="n">
        <v>11</v>
      </c>
      <c r="J44" s="6" t="n">
        <v>34.2</v>
      </c>
      <c r="K44" s="9"/>
      <c r="L44" s="6"/>
      <c r="M44" s="6"/>
    </row>
    <row r="45" customFormat="false" ht="15.75" hidden="false" customHeight="false" outlineLevel="0" collapsed="false">
      <c r="A45" s="0" t="s">
        <v>62</v>
      </c>
      <c r="B45" s="1" t="n">
        <v>43905</v>
      </c>
      <c r="C45" s="6" t="n">
        <v>212</v>
      </c>
      <c r="D45" s="6" t="n">
        <v>12</v>
      </c>
      <c r="E45" s="6" t="n">
        <v>0</v>
      </c>
      <c r="F45" s="6" t="n">
        <v>0</v>
      </c>
      <c r="G45" s="6" t="n">
        <v>105</v>
      </c>
      <c r="H45" s="6" t="n">
        <v>107</v>
      </c>
      <c r="I45" s="6" t="n">
        <v>11</v>
      </c>
      <c r="J45" s="6" t="n">
        <v>36.2</v>
      </c>
      <c r="K45" s="9"/>
      <c r="L45" s="6"/>
      <c r="M45" s="6"/>
    </row>
    <row r="46" customFormat="false" ht="15.75" hidden="false" customHeight="false" outlineLevel="0" collapsed="false">
      <c r="A46" s="0" t="s">
        <v>62</v>
      </c>
      <c r="B46" s="1" t="n">
        <v>43906</v>
      </c>
      <c r="C46" s="6" t="n">
        <v>226</v>
      </c>
      <c r="D46" s="6" t="n">
        <v>14</v>
      </c>
      <c r="E46" s="6" t="n">
        <v>0</v>
      </c>
      <c r="F46" s="6" t="n">
        <v>0</v>
      </c>
      <c r="G46" s="6" t="n">
        <v>105</v>
      </c>
      <c r="H46" s="6" t="n">
        <v>121</v>
      </c>
      <c r="I46" s="6" t="n">
        <v>11</v>
      </c>
      <c r="J46" s="6" t="n">
        <v>38.6</v>
      </c>
      <c r="K46" s="9"/>
      <c r="L46" s="6"/>
      <c r="M46" s="6"/>
    </row>
    <row r="47" customFormat="false" ht="15.75" hidden="false" customHeight="false" outlineLevel="0" collapsed="false">
      <c r="A47" s="0" t="s">
        <v>62</v>
      </c>
      <c r="B47" s="1" t="n">
        <v>43907</v>
      </c>
      <c r="C47" s="6" t="n">
        <v>243</v>
      </c>
      <c r="D47" s="6" t="n">
        <v>17</v>
      </c>
      <c r="E47" s="6" t="n">
        <v>0</v>
      </c>
      <c r="F47" s="6" t="n">
        <v>0</v>
      </c>
      <c r="G47" s="6" t="n">
        <v>109</v>
      </c>
      <c r="H47" s="6" t="n">
        <v>134</v>
      </c>
      <c r="I47" s="6" t="n">
        <v>11</v>
      </c>
      <c r="J47" s="6" t="n">
        <v>41.5</v>
      </c>
      <c r="K47" s="9"/>
      <c r="L47" s="6"/>
      <c r="M47" s="6"/>
    </row>
    <row r="48" customFormat="false" ht="15.75" hidden="false" customHeight="false" outlineLevel="0" collapsed="false">
      <c r="A48" s="0" t="s">
        <v>62</v>
      </c>
      <c r="B48" s="1" t="n">
        <v>43908</v>
      </c>
      <c r="C48" s="6" t="n">
        <v>266</v>
      </c>
      <c r="D48" s="6" t="n">
        <v>23</v>
      </c>
      <c r="E48" s="6" t="n">
        <v>0</v>
      </c>
      <c r="F48" s="6" t="n">
        <v>0</v>
      </c>
      <c r="G48" s="6" t="n">
        <v>114</v>
      </c>
      <c r="H48" s="6" t="n">
        <v>152</v>
      </c>
      <c r="I48" s="6" t="n">
        <v>14</v>
      </c>
      <c r="J48" s="6" t="n">
        <v>45.5</v>
      </c>
      <c r="K48" s="9"/>
      <c r="L48" s="6"/>
      <c r="M48" s="6"/>
    </row>
    <row r="49" customFormat="false" ht="15.75" hidden="false" customHeight="false" outlineLevel="0" collapsed="false">
      <c r="A49" s="0" t="s">
        <v>62</v>
      </c>
      <c r="B49" s="1" t="n">
        <v>43909</v>
      </c>
      <c r="C49" s="6" t="n">
        <v>313</v>
      </c>
      <c r="D49" s="6" t="n">
        <v>47</v>
      </c>
      <c r="E49" s="6" t="n">
        <v>0</v>
      </c>
      <c r="F49" s="6" t="n">
        <v>0</v>
      </c>
      <c r="G49" s="6" t="n">
        <v>114</v>
      </c>
      <c r="H49" s="6" t="n">
        <v>199</v>
      </c>
      <c r="I49" s="6" t="n">
        <v>14</v>
      </c>
      <c r="J49" s="6" t="n">
        <v>54</v>
      </c>
      <c r="K49" s="9"/>
      <c r="L49" s="6"/>
      <c r="M49" s="6"/>
    </row>
    <row r="50" customFormat="false" ht="15.75" hidden="false" customHeight="false" outlineLevel="0" collapsed="false">
      <c r="A50" s="0" t="s">
        <v>62</v>
      </c>
      <c r="B50" s="1" t="n">
        <v>43910</v>
      </c>
      <c r="C50" s="6" t="n">
        <v>345</v>
      </c>
      <c r="D50" s="6" t="n">
        <v>32</v>
      </c>
      <c r="E50" s="6" t="n">
        <v>0</v>
      </c>
      <c r="F50" s="6" t="n">
        <v>0</v>
      </c>
      <c r="G50" s="6" t="n">
        <v>124</v>
      </c>
      <c r="H50" s="6" t="n">
        <v>221</v>
      </c>
      <c r="I50" s="6" t="n">
        <v>14</v>
      </c>
      <c r="J50" s="6" t="n">
        <v>59</v>
      </c>
      <c r="K50" s="9"/>
      <c r="L50" s="6"/>
      <c r="M50" s="6"/>
    </row>
    <row r="51" customFormat="false" ht="15.75" hidden="false" customHeight="false" outlineLevel="0" collapsed="false">
      <c r="A51" s="0" t="s">
        <v>62</v>
      </c>
      <c r="B51" s="1" t="n">
        <v>43911</v>
      </c>
      <c r="C51" s="6" t="n">
        <v>385</v>
      </c>
      <c r="D51" s="6" t="n">
        <v>40</v>
      </c>
      <c r="E51" s="6" t="n">
        <v>2</v>
      </c>
      <c r="F51" s="6" t="n">
        <v>2</v>
      </c>
      <c r="G51" s="6" t="n">
        <v>131</v>
      </c>
      <c r="H51" s="6" t="n">
        <v>252</v>
      </c>
      <c r="I51" s="6" t="n">
        <v>14</v>
      </c>
      <c r="J51" s="6" t="n">
        <v>66</v>
      </c>
      <c r="K51" s="9"/>
      <c r="L51" s="6"/>
      <c r="M51" s="6"/>
    </row>
    <row r="52" customFormat="false" ht="15.75" hidden="false" customHeight="false" outlineLevel="0" collapsed="false">
      <c r="A52" s="0" t="s">
        <v>62</v>
      </c>
      <c r="B52" s="1" t="n">
        <v>43912</v>
      </c>
      <c r="C52" s="6" t="n">
        <v>432</v>
      </c>
      <c r="D52" s="6" t="n">
        <v>47</v>
      </c>
      <c r="E52" s="6" t="n">
        <v>2</v>
      </c>
      <c r="F52" s="6" t="n">
        <v>0</v>
      </c>
      <c r="G52" s="6" t="n">
        <v>140</v>
      </c>
      <c r="H52" s="6" t="n">
        <v>290</v>
      </c>
      <c r="I52" s="6" t="n">
        <v>14</v>
      </c>
      <c r="J52" s="6" t="n">
        <v>74</v>
      </c>
      <c r="K52" s="9"/>
      <c r="L52" s="6"/>
      <c r="M52" s="6"/>
    </row>
    <row r="53" customFormat="false" ht="15.75" hidden="false" customHeight="false" outlineLevel="0" collapsed="false">
      <c r="A53" s="0" t="s">
        <v>62</v>
      </c>
      <c r="B53" s="1" t="n">
        <v>43913</v>
      </c>
      <c r="C53" s="6" t="n">
        <v>455</v>
      </c>
      <c r="D53" s="6" t="n">
        <v>23</v>
      </c>
      <c r="E53" s="6" t="n">
        <v>2</v>
      </c>
      <c r="F53" s="6" t="n">
        <v>0</v>
      </c>
      <c r="G53" s="6" t="n">
        <v>144</v>
      </c>
      <c r="H53" s="6" t="n">
        <v>309</v>
      </c>
      <c r="I53" s="6" t="n">
        <v>14</v>
      </c>
      <c r="J53" s="6" t="n">
        <v>78</v>
      </c>
      <c r="K53" s="9"/>
      <c r="L53" s="6"/>
      <c r="M53" s="6"/>
    </row>
    <row r="54" customFormat="false" ht="15.75" hidden="false" customHeight="false" outlineLevel="0" collapsed="false">
      <c r="A54" s="0" t="s">
        <v>62</v>
      </c>
      <c r="B54" s="1" t="n">
        <v>43914</v>
      </c>
      <c r="C54" s="6" t="n">
        <v>509</v>
      </c>
      <c r="D54" s="6" t="n">
        <v>54</v>
      </c>
      <c r="E54" s="6" t="n">
        <v>2</v>
      </c>
      <c r="F54" s="6" t="n">
        <v>0</v>
      </c>
      <c r="G54" s="6" t="n">
        <v>152</v>
      </c>
      <c r="H54" s="6" t="n">
        <v>355</v>
      </c>
      <c r="I54" s="6" t="n">
        <v>14</v>
      </c>
      <c r="J54" s="6" t="n">
        <v>87</v>
      </c>
      <c r="K54" s="9"/>
      <c r="L54" s="6"/>
      <c r="M54" s="6"/>
    </row>
    <row r="55" customFormat="false" ht="15.75" hidden="false" customHeight="false" outlineLevel="0" collapsed="false">
      <c r="A55" s="0" t="s">
        <v>62</v>
      </c>
      <c r="B55" s="1" t="n">
        <v>43915</v>
      </c>
      <c r="C55" s="7" t="n">
        <v>558</v>
      </c>
      <c r="D55" s="7" t="n">
        <v>49</v>
      </c>
      <c r="E55" s="7" t="n">
        <v>2</v>
      </c>
      <c r="F55" s="7" t="n">
        <v>0</v>
      </c>
      <c r="G55" s="7" t="n">
        <v>156</v>
      </c>
      <c r="H55" s="7" t="n">
        <v>400</v>
      </c>
      <c r="I55" s="7" t="n">
        <v>14</v>
      </c>
      <c r="J55" s="7" t="n">
        <v>95</v>
      </c>
      <c r="K55" s="9" t="n">
        <v>0.3</v>
      </c>
      <c r="L55" s="7"/>
      <c r="M55" s="7"/>
    </row>
    <row r="56" customFormat="false" ht="15.75" hidden="false" customHeight="false" outlineLevel="0" collapsed="false">
      <c r="A56" s="0" t="s">
        <v>62</v>
      </c>
      <c r="B56" s="1" t="n">
        <v>43916</v>
      </c>
      <c r="C56" s="7" t="n">
        <v>631</v>
      </c>
      <c r="D56" s="7" t="n">
        <v>73</v>
      </c>
      <c r="E56" s="7" t="n">
        <v>2</v>
      </c>
      <c r="F56" s="7" t="n">
        <v>0</v>
      </c>
      <c r="G56" s="7" t="n">
        <v>160</v>
      </c>
      <c r="H56" s="7" t="n">
        <v>469</v>
      </c>
      <c r="I56" s="7" t="n">
        <v>17</v>
      </c>
      <c r="J56" s="7" t="n">
        <v>108</v>
      </c>
      <c r="K56" s="9" t="n">
        <v>0.3</v>
      </c>
      <c r="L56" s="7"/>
      <c r="M56" s="7"/>
    </row>
    <row r="57" customFormat="false" ht="15.75" hidden="false" customHeight="false" outlineLevel="0" collapsed="false">
      <c r="A57" s="0" t="s">
        <v>62</v>
      </c>
      <c r="B57" s="1" t="n">
        <v>43917</v>
      </c>
      <c r="C57" s="7" t="n">
        <v>683</v>
      </c>
      <c r="D57" s="7" t="n">
        <v>52</v>
      </c>
      <c r="E57" s="7" t="n">
        <v>2</v>
      </c>
      <c r="F57" s="7" t="n">
        <v>0</v>
      </c>
      <c r="G57" s="7" t="n">
        <v>172</v>
      </c>
      <c r="H57" s="7" t="n">
        <v>509</v>
      </c>
      <c r="I57" s="7" t="n">
        <v>17</v>
      </c>
      <c r="J57" s="7" t="n">
        <v>117</v>
      </c>
      <c r="K57" s="9" t="n">
        <v>0.3</v>
      </c>
      <c r="L57" s="7"/>
      <c r="M57" s="7"/>
    </row>
    <row r="58" customFormat="false" ht="15.75" hidden="false" customHeight="false" outlineLevel="0" collapsed="false">
      <c r="A58" s="0" t="s">
        <v>62</v>
      </c>
      <c r="B58" s="1" t="n">
        <v>43918</v>
      </c>
      <c r="C58" s="7" t="n">
        <v>732</v>
      </c>
      <c r="D58" s="7" t="n">
        <v>49</v>
      </c>
      <c r="E58" s="7" t="n">
        <v>2</v>
      </c>
      <c r="F58" s="7" t="n">
        <v>0</v>
      </c>
      <c r="G58" s="7" t="n">
        <v>183</v>
      </c>
      <c r="H58" s="7" t="n">
        <v>547</v>
      </c>
      <c r="I58" s="7" t="n">
        <v>17</v>
      </c>
      <c r="J58" s="7" t="n">
        <v>125</v>
      </c>
      <c r="K58" s="9" t="n">
        <v>0.3</v>
      </c>
      <c r="L58" s="7"/>
      <c r="M58" s="7"/>
    </row>
    <row r="59" customFormat="false" ht="15.75" hidden="false" customHeight="false" outlineLevel="0" collapsed="false">
      <c r="A59" s="0" t="s">
        <v>62</v>
      </c>
      <c r="B59" s="1" t="n">
        <v>43919</v>
      </c>
      <c r="C59" s="7" t="n">
        <v>802</v>
      </c>
      <c r="D59" s="7" t="n">
        <v>70</v>
      </c>
      <c r="E59" s="7" t="n">
        <v>2</v>
      </c>
      <c r="F59" s="7" t="n">
        <v>0</v>
      </c>
      <c r="G59" s="7" t="n">
        <v>198</v>
      </c>
      <c r="H59" s="7" t="n">
        <v>602</v>
      </c>
      <c r="I59" s="7" t="n">
        <v>19</v>
      </c>
      <c r="J59" s="7" t="n">
        <v>137</v>
      </c>
      <c r="K59" s="9" t="n">
        <v>0.3</v>
      </c>
      <c r="M59" s="7"/>
    </row>
    <row r="60" customFormat="false" ht="15.75" hidden="false" customHeight="false" outlineLevel="0" collapsed="false">
      <c r="A60" s="0" t="s">
        <v>62</v>
      </c>
      <c r="B60" s="1" t="n">
        <v>43920</v>
      </c>
      <c r="C60" s="7" t="n">
        <v>844</v>
      </c>
      <c r="D60" s="7" t="n">
        <v>42</v>
      </c>
      <c r="E60" s="7" t="n">
        <v>3</v>
      </c>
      <c r="F60" s="7" t="n">
        <v>1</v>
      </c>
      <c r="G60" s="7" t="n">
        <v>212</v>
      </c>
      <c r="H60" s="7" t="n">
        <v>629</v>
      </c>
      <c r="I60" s="7" t="n">
        <v>19</v>
      </c>
      <c r="J60" s="7" t="n">
        <v>144</v>
      </c>
      <c r="K60" s="9" t="n">
        <v>0.5</v>
      </c>
      <c r="M60" s="7"/>
    </row>
    <row r="61" customFormat="false" ht="15.75" hidden="false" customHeight="false" outlineLevel="0" collapsed="false">
      <c r="A61" s="0" t="s">
        <v>62</v>
      </c>
      <c r="B61" s="1" t="n">
        <v>43921</v>
      </c>
      <c r="C61" s="7" t="n">
        <v>879</v>
      </c>
      <c r="D61" s="7" t="n">
        <v>35</v>
      </c>
      <c r="E61" s="7" t="n">
        <v>3</v>
      </c>
      <c r="F61" s="7" t="n">
        <v>0</v>
      </c>
      <c r="G61" s="7" t="n">
        <v>228</v>
      </c>
      <c r="H61" s="7" t="n">
        <v>648</v>
      </c>
      <c r="I61" s="7" t="n">
        <v>19</v>
      </c>
      <c r="J61" s="7" t="n">
        <v>150</v>
      </c>
      <c r="K61" s="9" t="n">
        <v>0.5</v>
      </c>
      <c r="M61" s="7"/>
    </row>
    <row r="62" customFormat="false" ht="15.75" hidden="false" customHeight="false" outlineLevel="0" collapsed="false">
      <c r="A62" s="0" t="s">
        <v>62</v>
      </c>
      <c r="B62" s="1" t="n">
        <v>43922</v>
      </c>
      <c r="C62" s="7" t="n">
        <v>926</v>
      </c>
      <c r="D62" s="7" t="n">
        <v>47</v>
      </c>
      <c r="E62" s="7" t="n">
        <v>3</v>
      </c>
      <c r="F62" s="7" t="n">
        <v>0</v>
      </c>
      <c r="G62" s="7" t="n">
        <v>240</v>
      </c>
      <c r="H62" s="7" t="n">
        <v>683</v>
      </c>
      <c r="I62" s="7" t="n">
        <v>22</v>
      </c>
      <c r="J62" s="7" t="n">
        <v>158</v>
      </c>
      <c r="K62" s="9" t="n">
        <v>0.5</v>
      </c>
      <c r="M62" s="7"/>
    </row>
    <row r="63" customFormat="false" ht="15.75" hidden="false" customHeight="false" outlineLevel="0" collapsed="false">
      <c r="A63" s="0" t="s">
        <v>62</v>
      </c>
      <c r="B63" s="1" t="n">
        <v>43923</v>
      </c>
      <c r="C63" s="7" t="n">
        <v>1000</v>
      </c>
      <c r="D63" s="7" t="n">
        <v>74</v>
      </c>
      <c r="E63" s="7" t="n">
        <v>3</v>
      </c>
      <c r="F63" s="7" t="n">
        <v>0</v>
      </c>
      <c r="G63" s="7" t="n">
        <v>245</v>
      </c>
      <c r="H63" s="7" t="n">
        <v>752</v>
      </c>
      <c r="I63" s="7" t="n">
        <v>24</v>
      </c>
      <c r="J63" s="7" t="n">
        <v>171</v>
      </c>
      <c r="K63" s="9" t="n">
        <v>0.5</v>
      </c>
      <c r="M63" s="7"/>
    </row>
    <row r="64" customFormat="false" ht="15.75" hidden="false" customHeight="false" outlineLevel="0" collapsed="false">
      <c r="A64" s="0" t="s">
        <v>62</v>
      </c>
      <c r="B64" s="1" t="n">
        <v>43924</v>
      </c>
      <c r="C64" s="7" t="n">
        <v>1049</v>
      </c>
      <c r="D64" s="7" t="n">
        <v>49</v>
      </c>
      <c r="E64" s="7" t="n">
        <v>4</v>
      </c>
      <c r="F64" s="7" t="n">
        <v>1</v>
      </c>
      <c r="G64" s="7" t="n">
        <v>266</v>
      </c>
      <c r="H64" s="7" t="n">
        <v>779</v>
      </c>
      <c r="I64" s="7" t="n">
        <v>24</v>
      </c>
      <c r="J64" s="7" t="n">
        <v>179</v>
      </c>
      <c r="K64" s="9" t="n">
        <v>0.7</v>
      </c>
      <c r="M64" s="7"/>
    </row>
    <row r="65" customFormat="false" ht="15.75" hidden="false" customHeight="false" outlineLevel="0" collapsed="false">
      <c r="A65" s="0" t="s">
        <v>62</v>
      </c>
      <c r="B65" s="1" t="n">
        <v>43925</v>
      </c>
      <c r="C65" s="7" t="n">
        <v>1114</v>
      </c>
      <c r="D65" s="7" t="n">
        <v>65</v>
      </c>
      <c r="E65" s="7" t="n">
        <v>5</v>
      </c>
      <c r="F65" s="7" t="n">
        <v>1</v>
      </c>
      <c r="G65" s="7" t="n">
        <v>282</v>
      </c>
      <c r="H65" s="7" t="n">
        <v>827</v>
      </c>
      <c r="I65" s="7" t="n">
        <v>24</v>
      </c>
      <c r="J65" s="7" t="n">
        <v>190</v>
      </c>
      <c r="K65" s="9" t="n">
        <v>0.9</v>
      </c>
      <c r="M65" s="7"/>
    </row>
    <row r="66" customFormat="false" ht="15.75" hidden="false" customHeight="false" outlineLevel="0" collapsed="false">
      <c r="A66" s="0" t="s">
        <v>62</v>
      </c>
      <c r="B66" s="1" t="n">
        <v>43926</v>
      </c>
      <c r="C66" s="7" t="n">
        <v>1189</v>
      </c>
      <c r="D66" s="7" t="n">
        <v>75</v>
      </c>
      <c r="E66" s="7" t="n">
        <v>6</v>
      </c>
      <c r="F66" s="7" t="n">
        <v>1</v>
      </c>
      <c r="G66" s="7" t="n">
        <v>297</v>
      </c>
      <c r="H66" s="7" t="n">
        <v>886</v>
      </c>
      <c r="I66" s="7" t="n">
        <v>24</v>
      </c>
      <c r="J66" s="7" t="n">
        <v>203</v>
      </c>
      <c r="K66" s="11" t="n">
        <v>1</v>
      </c>
      <c r="L66" s="7" t="n">
        <v>39000</v>
      </c>
      <c r="M66" s="7" t="n">
        <v>6666</v>
      </c>
    </row>
    <row r="67" customFormat="false" ht="15.75" hidden="false" customHeight="false" outlineLevel="0" collapsed="false">
      <c r="A67" s="0" t="s">
        <v>62</v>
      </c>
      <c r="B67" s="1" t="n">
        <v>43927</v>
      </c>
      <c r="C67" s="7" t="n">
        <v>1309</v>
      </c>
      <c r="D67" s="7" t="n">
        <v>120</v>
      </c>
      <c r="E67" s="7" t="n">
        <v>6</v>
      </c>
      <c r="F67" s="7" t="n">
        <v>0</v>
      </c>
      <c r="G67" s="7" t="n">
        <v>320</v>
      </c>
      <c r="H67" s="7" t="n">
        <v>983</v>
      </c>
      <c r="I67" s="7" t="n">
        <v>25</v>
      </c>
      <c r="J67" s="7" t="n">
        <v>224</v>
      </c>
      <c r="K67" s="11" t="n">
        <v>1</v>
      </c>
      <c r="L67" s="7" t="n">
        <v>39000</v>
      </c>
      <c r="M67" s="7" t="n">
        <v>6666</v>
      </c>
    </row>
    <row r="68" customFormat="false" ht="15.75" hidden="false" customHeight="false" outlineLevel="0" collapsed="false">
      <c r="A68" s="0" t="s">
        <v>62</v>
      </c>
      <c r="B68" s="1" t="n">
        <v>43928</v>
      </c>
      <c r="C68" s="12" t="n">
        <v>1375</v>
      </c>
      <c r="D68" s="12" t="n">
        <v>66</v>
      </c>
      <c r="E68" s="12" t="n">
        <v>6</v>
      </c>
      <c r="F68" s="12" t="n">
        <v>0</v>
      </c>
      <c r="G68" s="12" t="n">
        <v>344</v>
      </c>
      <c r="H68" s="12" t="n">
        <v>1025</v>
      </c>
      <c r="I68" s="12" t="n">
        <v>25</v>
      </c>
      <c r="J68" s="12" t="n">
        <v>235</v>
      </c>
      <c r="K68" s="28" t="n">
        <v>1</v>
      </c>
      <c r="L68" s="12" t="n">
        <v>65000</v>
      </c>
      <c r="M68" s="12" t="n">
        <v>11110</v>
      </c>
    </row>
    <row r="69" customFormat="false" ht="15.75" hidden="false" customHeight="false" outlineLevel="0" collapsed="false">
      <c r="A69" s="0" t="s">
        <v>62</v>
      </c>
      <c r="B69" s="1" t="n">
        <v>43929</v>
      </c>
      <c r="C69" s="14" t="n">
        <v>1481</v>
      </c>
      <c r="D69" s="14" t="n">
        <v>106</v>
      </c>
      <c r="E69" s="14" t="n">
        <v>6</v>
      </c>
      <c r="F69" s="14" t="n">
        <v>0</v>
      </c>
      <c r="G69" s="14" t="n">
        <v>377</v>
      </c>
      <c r="H69" s="14" t="n">
        <v>1098</v>
      </c>
      <c r="I69" s="14" t="n">
        <v>29</v>
      </c>
      <c r="J69" s="14" t="n">
        <v>253</v>
      </c>
      <c r="K69" s="28" t="n">
        <v>1</v>
      </c>
      <c r="L69" s="14" t="n">
        <v>65000</v>
      </c>
      <c r="M69" s="14" t="n">
        <v>11110</v>
      </c>
    </row>
    <row r="70" customFormat="false" ht="15.75" hidden="false" customHeight="false" outlineLevel="0" collapsed="false">
      <c r="A70" s="0" t="s">
        <v>62</v>
      </c>
      <c r="B70" s="1" t="n">
        <v>43930</v>
      </c>
      <c r="C70" s="14" t="n">
        <v>1623</v>
      </c>
      <c r="D70" s="14" t="n">
        <v>142</v>
      </c>
      <c r="E70" s="14" t="n">
        <v>6</v>
      </c>
      <c r="F70" s="14" t="n">
        <v>0</v>
      </c>
      <c r="G70" s="14" t="n">
        <v>406</v>
      </c>
      <c r="H70" s="14" t="n">
        <v>1211</v>
      </c>
      <c r="I70" s="14" t="n">
        <v>29</v>
      </c>
      <c r="J70" s="14" t="n">
        <v>277</v>
      </c>
      <c r="K70" s="28" t="n">
        <v>1</v>
      </c>
      <c r="L70" s="14" t="n">
        <v>65000</v>
      </c>
      <c r="M70" s="14" t="n">
        <v>11110</v>
      </c>
    </row>
    <row r="71" customFormat="false" ht="15.75" hidden="false" customHeight="false" outlineLevel="0" collapsed="false">
      <c r="A71" s="0" t="s">
        <v>62</v>
      </c>
      <c r="B71" s="1" t="n">
        <v>43931</v>
      </c>
      <c r="C71" s="14" t="n">
        <v>1910</v>
      </c>
      <c r="D71" s="14" t="n">
        <v>287</v>
      </c>
      <c r="E71" s="14" t="n">
        <v>6</v>
      </c>
      <c r="F71" s="14" t="n">
        <v>0</v>
      </c>
      <c r="G71" s="14" t="n">
        <v>460</v>
      </c>
      <c r="H71" s="14" t="n">
        <v>1444</v>
      </c>
      <c r="I71" s="14" t="n">
        <v>29</v>
      </c>
      <c r="J71" s="14" t="n">
        <v>326</v>
      </c>
      <c r="K71" s="28" t="n">
        <v>1</v>
      </c>
      <c r="L71" s="14" t="n">
        <v>65000</v>
      </c>
      <c r="M71" s="14" t="n">
        <v>11110</v>
      </c>
    </row>
    <row r="72" customFormat="false" ht="15.75" hidden="false" customHeight="false" outlineLevel="0" collapsed="false">
      <c r="A72" s="0" t="s">
        <v>62</v>
      </c>
      <c r="B72" s="1" t="n">
        <v>43932</v>
      </c>
      <c r="C72" s="14" t="n">
        <v>2108</v>
      </c>
      <c r="D72" s="14" t="n">
        <v>198</v>
      </c>
      <c r="E72" s="14" t="n">
        <v>7</v>
      </c>
      <c r="F72" s="14" t="n">
        <v>1</v>
      </c>
      <c r="G72" s="14" t="n">
        <v>492</v>
      </c>
      <c r="H72" s="14" t="n">
        <v>1609</v>
      </c>
      <c r="I72" s="14" t="n">
        <v>29</v>
      </c>
      <c r="J72" s="14" t="n">
        <v>360</v>
      </c>
      <c r="K72" s="28" t="n">
        <v>1</v>
      </c>
      <c r="L72" s="14" t="n">
        <v>72680</v>
      </c>
      <c r="M72" s="14" t="n">
        <v>12423</v>
      </c>
    </row>
    <row r="73" customFormat="false" ht="15.75" hidden="false" customHeight="false" outlineLevel="0" collapsed="false">
      <c r="A73" s="0" t="s">
        <v>62</v>
      </c>
      <c r="B73" s="1" t="n">
        <v>43933</v>
      </c>
      <c r="C73" s="14" t="n">
        <v>2299</v>
      </c>
      <c r="D73" s="14" t="n">
        <v>191</v>
      </c>
      <c r="E73" s="14" t="n">
        <v>8</v>
      </c>
      <c r="F73" s="14" t="n">
        <v>1</v>
      </c>
      <c r="G73" s="14" t="n">
        <v>528</v>
      </c>
      <c r="H73" s="14" t="n">
        <v>1763</v>
      </c>
      <c r="I73" s="14" t="n">
        <v>31</v>
      </c>
      <c r="J73" s="14" t="n">
        <v>393</v>
      </c>
      <c r="K73" s="28" t="n">
        <v>1</v>
      </c>
      <c r="L73" s="14" t="n">
        <v>72680</v>
      </c>
      <c r="M73" s="14" t="n">
        <v>12423</v>
      </c>
    </row>
    <row r="74" customFormat="false" ht="15.75" hidden="false" customHeight="false" outlineLevel="0" collapsed="false">
      <c r="A74" s="0" t="s">
        <v>62</v>
      </c>
      <c r="B74" s="1" t="n">
        <v>43934</v>
      </c>
      <c r="C74" s="14" t="n">
        <v>2532</v>
      </c>
      <c r="D74" s="14" t="n">
        <v>233</v>
      </c>
      <c r="E74" s="14" t="n">
        <v>8</v>
      </c>
      <c r="F74" s="14" t="n">
        <v>0</v>
      </c>
      <c r="G74" s="14" t="n">
        <v>560</v>
      </c>
      <c r="H74" s="14" t="n">
        <v>1964</v>
      </c>
      <c r="I74" s="14" t="n">
        <v>31</v>
      </c>
      <c r="J74" s="14" t="n">
        <v>433</v>
      </c>
      <c r="K74" s="28" t="n">
        <v>1</v>
      </c>
      <c r="L74" s="14" t="n">
        <v>72680</v>
      </c>
      <c r="M74" s="14" t="n">
        <v>12423</v>
      </c>
    </row>
    <row r="75" customFormat="false" ht="15.75" hidden="false" customHeight="false" outlineLevel="0" collapsed="false">
      <c r="A75" s="0" t="s">
        <v>62</v>
      </c>
      <c r="B75" s="1" t="n">
        <v>43935</v>
      </c>
      <c r="C75" s="14" t="n">
        <v>2918</v>
      </c>
      <c r="D75" s="14" t="n">
        <v>386</v>
      </c>
      <c r="E75" s="14" t="n">
        <v>9</v>
      </c>
      <c r="F75" s="14" t="n">
        <v>1</v>
      </c>
      <c r="G75" s="14" t="n">
        <v>586</v>
      </c>
      <c r="H75" s="14" t="n">
        <v>2323</v>
      </c>
      <c r="I75" s="14" t="n">
        <v>29</v>
      </c>
      <c r="J75" s="14" t="n">
        <v>499</v>
      </c>
      <c r="K75" s="28" t="n">
        <v>2</v>
      </c>
      <c r="L75" s="14" t="n">
        <v>72680</v>
      </c>
      <c r="M75" s="14" t="n">
        <v>12423</v>
      </c>
    </row>
    <row r="76" customFormat="false" ht="15.75" hidden="false" customHeight="false" outlineLevel="0" collapsed="false">
      <c r="A76" s="0" t="s">
        <v>62</v>
      </c>
      <c r="B76" s="1" t="n">
        <v>43936</v>
      </c>
      <c r="C76" s="14" t="n">
        <v>3252</v>
      </c>
      <c r="D76" s="14" t="n">
        <v>334</v>
      </c>
      <c r="E76" s="14" t="n">
        <v>10</v>
      </c>
      <c r="F76" s="14" t="n">
        <v>1</v>
      </c>
      <c r="G76" s="14" t="n">
        <v>611</v>
      </c>
      <c r="H76" s="14" t="n">
        <v>2631</v>
      </c>
      <c r="I76" s="14" t="n">
        <v>29</v>
      </c>
      <c r="J76" s="14" t="n">
        <v>556</v>
      </c>
      <c r="K76" s="28" t="n">
        <v>2</v>
      </c>
      <c r="L76" s="14" t="n">
        <v>72680</v>
      </c>
      <c r="M76" s="14" t="n">
        <v>12423</v>
      </c>
    </row>
    <row r="77" customFormat="false" ht="15.75" hidden="false" customHeight="false" outlineLevel="0" collapsed="false">
      <c r="A77" s="0" t="s">
        <v>62</v>
      </c>
      <c r="B77" s="1" t="n">
        <v>43937</v>
      </c>
      <c r="C77" s="14" t="n">
        <v>3699</v>
      </c>
      <c r="D77" s="14" t="n">
        <v>447</v>
      </c>
      <c r="E77" s="14" t="n">
        <v>10</v>
      </c>
      <c r="F77" s="14" t="n">
        <v>0</v>
      </c>
      <c r="G77" s="14" t="n">
        <v>652</v>
      </c>
      <c r="H77" s="14" t="n">
        <v>3037</v>
      </c>
      <c r="I77" s="14" t="n">
        <v>29</v>
      </c>
      <c r="J77" s="14" t="n">
        <v>632</v>
      </c>
      <c r="K77" s="28" t="n">
        <v>2</v>
      </c>
      <c r="L77" s="14" t="n">
        <v>72680</v>
      </c>
      <c r="M77" s="14" t="n">
        <v>12423</v>
      </c>
    </row>
    <row r="78" customFormat="false" ht="15.75" hidden="false" customHeight="false" outlineLevel="0" collapsed="false">
      <c r="A78" s="0" t="s">
        <v>62</v>
      </c>
      <c r="B78" s="1" t="n">
        <v>43938</v>
      </c>
      <c r="C78" s="14" t="n">
        <v>4427</v>
      </c>
      <c r="D78" s="14" t="n">
        <v>728</v>
      </c>
      <c r="E78" s="14" t="n">
        <v>10</v>
      </c>
      <c r="F78" s="14" t="n">
        <v>0</v>
      </c>
      <c r="G78" s="14" t="n">
        <v>683</v>
      </c>
      <c r="H78" s="14" t="n">
        <v>3734</v>
      </c>
      <c r="I78" s="14" t="n">
        <v>29</v>
      </c>
      <c r="J78" s="14" t="n">
        <v>757</v>
      </c>
      <c r="K78" s="28" t="n">
        <v>2</v>
      </c>
      <c r="L78" s="14" t="n">
        <v>72680</v>
      </c>
      <c r="M78" s="14" t="n">
        <v>12423</v>
      </c>
    </row>
    <row r="79" customFormat="false" ht="15.75" hidden="false" customHeight="false" outlineLevel="0" collapsed="false">
      <c r="A79" s="0" t="s">
        <v>62</v>
      </c>
      <c r="B79" s="1" t="n">
        <v>43939</v>
      </c>
      <c r="C79" s="14" t="n">
        <v>5050</v>
      </c>
      <c r="D79" s="14" t="n">
        <v>623</v>
      </c>
      <c r="E79" s="14" t="n">
        <v>11</v>
      </c>
      <c r="F79" s="14" t="n">
        <v>1</v>
      </c>
      <c r="G79" s="14" t="n">
        <v>708</v>
      </c>
      <c r="H79" s="14" t="n">
        <v>4331</v>
      </c>
      <c r="I79" s="14" t="n">
        <v>22</v>
      </c>
      <c r="J79" s="14" t="n">
        <v>863</v>
      </c>
      <c r="K79" s="28" t="n">
        <v>2</v>
      </c>
      <c r="L79" s="14" t="n">
        <v>94796</v>
      </c>
      <c r="M79" s="14" t="n">
        <v>16203</v>
      </c>
    </row>
    <row r="80" customFormat="false" ht="15.75" hidden="false" customHeight="false" outlineLevel="0" collapsed="false">
      <c r="A80" s="0" t="s">
        <v>62</v>
      </c>
      <c r="B80" s="1" t="n">
        <v>43940</v>
      </c>
      <c r="C80" s="14" t="n">
        <v>5992</v>
      </c>
      <c r="D80" s="14" t="n">
        <v>942</v>
      </c>
      <c r="E80" s="14" t="n">
        <v>11</v>
      </c>
      <c r="F80" s="14" t="n">
        <v>0</v>
      </c>
      <c r="G80" s="14" t="n">
        <v>740</v>
      </c>
      <c r="H80" s="14" t="n">
        <v>5241</v>
      </c>
      <c r="I80" s="14" t="n">
        <v>23</v>
      </c>
      <c r="J80" s="14" t="n">
        <v>1024</v>
      </c>
      <c r="K80" s="28" t="n">
        <v>2</v>
      </c>
      <c r="L80" s="14" t="n">
        <v>94796</v>
      </c>
      <c r="M80" s="14" t="n">
        <v>16203</v>
      </c>
    </row>
    <row r="81" customFormat="false" ht="15.75" hidden="false" customHeight="false" outlineLevel="0" collapsed="false">
      <c r="A81" s="0" t="s">
        <v>62</v>
      </c>
      <c r="B81" s="1" t="n">
        <v>43941</v>
      </c>
      <c r="C81" s="14" t="n">
        <v>6588</v>
      </c>
      <c r="D81" s="14" t="n">
        <v>596</v>
      </c>
      <c r="E81" s="14" t="n">
        <v>11</v>
      </c>
      <c r="F81" s="14" t="n">
        <v>0</v>
      </c>
      <c r="G81" s="14" t="n">
        <v>768</v>
      </c>
      <c r="H81" s="14" t="n">
        <v>5809</v>
      </c>
      <c r="I81" s="14" t="n">
        <v>22</v>
      </c>
      <c r="J81" s="14" t="n">
        <v>1126</v>
      </c>
      <c r="K81" s="28" t="n">
        <v>2</v>
      </c>
      <c r="L81" s="14" t="n">
        <v>94796</v>
      </c>
      <c r="M81" s="14" t="n">
        <v>16203</v>
      </c>
    </row>
    <row r="82" customFormat="false" ht="15.75" hidden="false" customHeight="false" outlineLevel="0" collapsed="false">
      <c r="A82" s="0" t="s">
        <v>62</v>
      </c>
      <c r="B82" s="1" t="n">
        <v>43942</v>
      </c>
      <c r="C82" s="6" t="n">
        <v>8014</v>
      </c>
      <c r="D82" s="6" t="n">
        <v>1426</v>
      </c>
      <c r="E82" s="6" t="n">
        <v>11</v>
      </c>
      <c r="F82" s="6" t="n">
        <v>0</v>
      </c>
      <c r="G82" s="6" t="n">
        <v>801</v>
      </c>
      <c r="H82" s="6" t="n">
        <v>7202</v>
      </c>
      <c r="I82" s="6" t="n">
        <v>23</v>
      </c>
      <c r="J82" s="6" t="n">
        <v>1370</v>
      </c>
      <c r="K82" s="11" t="n">
        <v>2</v>
      </c>
      <c r="L82" s="6" t="n">
        <v>94796</v>
      </c>
      <c r="M82" s="6" t="n">
        <v>16203</v>
      </c>
    </row>
    <row r="83" customFormat="false" ht="15.75" hidden="false" customHeight="false" outlineLevel="0" collapsed="false">
      <c r="A83" s="0" t="s">
        <v>62</v>
      </c>
      <c r="B83" s="1" t="n">
        <v>43943</v>
      </c>
      <c r="C83" s="6" t="n">
        <v>9125</v>
      </c>
      <c r="D83" s="6" t="n">
        <v>1111</v>
      </c>
      <c r="E83" s="6" t="n">
        <v>11</v>
      </c>
      <c r="F83" s="6" t="n">
        <v>0</v>
      </c>
      <c r="G83" s="6" t="n">
        <v>839</v>
      </c>
      <c r="H83" s="6" t="n">
        <v>8275</v>
      </c>
      <c r="I83" s="6" t="n">
        <v>23</v>
      </c>
      <c r="J83" s="6" t="n">
        <v>1560</v>
      </c>
      <c r="K83" s="11" t="n">
        <v>2</v>
      </c>
      <c r="L83" s="6" t="n">
        <v>94796</v>
      </c>
      <c r="M83" s="6" t="n">
        <v>16203</v>
      </c>
    </row>
    <row r="84" customFormat="false" ht="15.75" hidden="false" customHeight="false" outlineLevel="0" collapsed="false">
      <c r="A84" s="0" t="s">
        <v>62</v>
      </c>
      <c r="B84" s="1" t="n">
        <v>43944</v>
      </c>
      <c r="C84" s="6" t="n">
        <v>10141</v>
      </c>
      <c r="D84" s="6" t="n">
        <v>1016</v>
      </c>
      <c r="E84" s="6" t="n">
        <v>12</v>
      </c>
      <c r="F84" s="6" t="n">
        <v>1</v>
      </c>
      <c r="G84" s="6" t="n">
        <v>896</v>
      </c>
      <c r="H84" s="6" t="n">
        <v>9233</v>
      </c>
      <c r="I84" s="6" t="n">
        <v>27</v>
      </c>
      <c r="J84" s="6" t="n">
        <v>1733</v>
      </c>
      <c r="K84" s="11" t="n">
        <v>2</v>
      </c>
      <c r="L84" s="6" t="n">
        <v>94796</v>
      </c>
      <c r="M84" s="6" t="n">
        <v>16203</v>
      </c>
    </row>
    <row r="85" customFormat="false" ht="15.75" hidden="false" customHeight="false" outlineLevel="0" collapsed="false">
      <c r="A85" s="0" t="s">
        <v>62</v>
      </c>
      <c r="B85" s="1" t="n">
        <v>43945</v>
      </c>
      <c r="C85" s="6" t="n">
        <v>11178</v>
      </c>
      <c r="D85" s="6" t="n">
        <v>1037</v>
      </c>
      <c r="E85" s="6" t="n">
        <v>12</v>
      </c>
      <c r="F85" s="6" t="n">
        <v>0</v>
      </c>
      <c r="G85" s="6" t="n">
        <v>924</v>
      </c>
      <c r="H85" s="6" t="n">
        <v>10242</v>
      </c>
      <c r="I85" s="6" t="n">
        <v>26</v>
      </c>
      <c r="J85" s="6" t="n">
        <v>1911</v>
      </c>
      <c r="K85" s="11" t="n">
        <v>2</v>
      </c>
      <c r="L85" s="6" t="n">
        <v>94796</v>
      </c>
      <c r="M85" s="6" t="n">
        <v>16203</v>
      </c>
    </row>
    <row r="86" customFormat="false" ht="15.75" hidden="false" customHeight="false" outlineLevel="0" collapsed="false">
      <c r="A86" s="0" t="s">
        <v>62</v>
      </c>
      <c r="B86" s="1" t="n">
        <v>43946</v>
      </c>
      <c r="C86" s="6" t="n">
        <v>12075</v>
      </c>
      <c r="D86" s="6" t="n">
        <v>897</v>
      </c>
      <c r="E86" s="6" t="n">
        <v>12</v>
      </c>
      <c r="F86" s="6" t="n">
        <v>0</v>
      </c>
      <c r="G86" s="6" t="n">
        <v>924</v>
      </c>
      <c r="H86" s="6" t="n">
        <v>11139</v>
      </c>
      <c r="I86" s="6" t="n">
        <v>26</v>
      </c>
      <c r="J86" s="6" t="n">
        <v>2064</v>
      </c>
      <c r="K86" s="11" t="n">
        <v>2</v>
      </c>
      <c r="L86" s="6" t="n">
        <v>94796</v>
      </c>
      <c r="M86" s="6" t="n">
        <v>16203</v>
      </c>
    </row>
    <row r="87" customFormat="false" ht="15.75" hidden="false" customHeight="false" outlineLevel="0" collapsed="false">
      <c r="A87" s="0" t="s">
        <v>62</v>
      </c>
      <c r="B87" s="1" t="n">
        <v>43947</v>
      </c>
      <c r="C87" s="6" t="n">
        <v>12693</v>
      </c>
      <c r="D87" s="6" t="n">
        <v>618</v>
      </c>
      <c r="E87" s="6" t="n">
        <v>12</v>
      </c>
      <c r="F87" s="6" t="n">
        <v>0</v>
      </c>
      <c r="G87" s="6" t="n">
        <v>1002</v>
      </c>
      <c r="H87" s="6" t="n">
        <v>11679</v>
      </c>
      <c r="I87" s="6" t="n">
        <v>24</v>
      </c>
      <c r="J87" s="6" t="n">
        <v>2170</v>
      </c>
      <c r="K87" s="9" t="n">
        <v>2</v>
      </c>
      <c r="L87" s="6" t="n">
        <v>121774</v>
      </c>
      <c r="M87" s="6" t="n">
        <v>20815</v>
      </c>
    </row>
    <row r="88" customFormat="false" ht="15.75" hidden="false" customHeight="false" outlineLevel="0" collapsed="false">
      <c r="A88" s="0" t="s">
        <v>62</v>
      </c>
      <c r="B88" s="1" t="n">
        <v>43948</v>
      </c>
      <c r="C88" s="6" t="n">
        <v>13624</v>
      </c>
      <c r="D88" s="6" t="n">
        <v>931</v>
      </c>
      <c r="E88" s="6" t="n">
        <v>12</v>
      </c>
      <c r="F88" s="6" t="n">
        <v>0</v>
      </c>
      <c r="G88" s="6" t="n">
        <v>1060</v>
      </c>
      <c r="H88" s="6" t="n">
        <v>12552</v>
      </c>
      <c r="I88" s="6" t="n">
        <v>22</v>
      </c>
      <c r="J88" s="6" t="n">
        <v>2329</v>
      </c>
      <c r="K88" s="9" t="n">
        <v>2</v>
      </c>
      <c r="L88" s="6" t="n">
        <v>121774</v>
      </c>
      <c r="M88" s="6" t="n">
        <v>20815</v>
      </c>
    </row>
    <row r="89" customFormat="false" ht="13.5" hidden="false" customHeight="false" outlineLevel="0" collapsed="false">
      <c r="A89" s="0" t="s">
        <v>62</v>
      </c>
      <c r="B89" s="1" t="n">
        <v>43949</v>
      </c>
      <c r="C89" s="2" t="n">
        <v>14423</v>
      </c>
      <c r="D89" s="2" t="n">
        <v>799</v>
      </c>
      <c r="E89" s="2" t="n">
        <v>14</v>
      </c>
      <c r="F89" s="2" t="n">
        <v>2</v>
      </c>
      <c r="G89" s="2" t="n">
        <v>1095</v>
      </c>
      <c r="H89" s="2" t="n">
        <v>13314</v>
      </c>
      <c r="I89" s="2" t="n">
        <v>20</v>
      </c>
      <c r="J89" s="2" t="n">
        <v>2465</v>
      </c>
      <c r="K89" s="2" t="n">
        <v>2</v>
      </c>
      <c r="L89" s="2" t="n">
        <v>121774</v>
      </c>
      <c r="M89" s="2" t="n">
        <v>20815</v>
      </c>
    </row>
    <row r="90" customFormat="false" ht="13.5" hidden="false" customHeight="false" outlineLevel="0" collapsed="false">
      <c r="A90" s="0" t="s">
        <v>62</v>
      </c>
      <c r="B90" s="1" t="n">
        <v>43950</v>
      </c>
      <c r="C90" s="2" t="n">
        <v>14951</v>
      </c>
      <c r="D90" s="2" t="n">
        <v>528</v>
      </c>
      <c r="E90" s="2" t="n">
        <v>14</v>
      </c>
      <c r="F90" s="2" t="n">
        <v>0</v>
      </c>
      <c r="G90" s="2" t="n">
        <v>1128</v>
      </c>
      <c r="H90" s="2" t="n">
        <v>13809</v>
      </c>
      <c r="I90" s="2" t="n">
        <v>20</v>
      </c>
      <c r="J90" s="2" t="n">
        <v>2556</v>
      </c>
      <c r="K90" s="2" t="n">
        <v>2</v>
      </c>
      <c r="L90" s="2" t="n">
        <v>121774</v>
      </c>
      <c r="M90" s="2" t="n">
        <v>20815</v>
      </c>
    </row>
    <row r="91" customFormat="false" ht="13.5" hidden="false" customHeight="false" outlineLevel="0" collapsed="false">
      <c r="A91" s="0" t="s">
        <v>62</v>
      </c>
      <c r="B91" s="1" t="n">
        <v>43951</v>
      </c>
      <c r="C91" s="2" t="n">
        <v>15641</v>
      </c>
      <c r="D91" s="2" t="n">
        <v>690</v>
      </c>
      <c r="E91" s="2" t="n">
        <v>14</v>
      </c>
      <c r="F91" s="2" t="n">
        <v>0</v>
      </c>
      <c r="G91" s="2" t="n">
        <v>1188</v>
      </c>
      <c r="H91" s="2" t="n">
        <v>14439</v>
      </c>
      <c r="I91" s="2" t="n">
        <v>22</v>
      </c>
      <c r="J91" s="2" t="n">
        <v>2674</v>
      </c>
      <c r="K91" s="2" t="n">
        <v>2</v>
      </c>
      <c r="L91" s="2" t="n">
        <v>143919</v>
      </c>
      <c r="M91" s="2" t="n">
        <v>24600</v>
      </c>
    </row>
    <row r="92" customFormat="false" ht="14.25" hidden="false" customHeight="false" outlineLevel="0" collapsed="false">
      <c r="A92" s="0" t="s">
        <v>62</v>
      </c>
      <c r="B92" s="1" t="n">
        <v>43952</v>
      </c>
      <c r="C92" s="29" t="n">
        <v>16169</v>
      </c>
      <c r="D92" s="29" t="n">
        <v>528</v>
      </c>
      <c r="E92" s="29" t="n">
        <v>15</v>
      </c>
      <c r="F92" s="29" t="n">
        <v>1</v>
      </c>
      <c r="G92" s="29" t="n">
        <v>1244</v>
      </c>
      <c r="H92" s="29" t="n">
        <v>14910</v>
      </c>
      <c r="I92" s="29" t="n">
        <v>22</v>
      </c>
      <c r="J92" s="29" t="n">
        <v>2764</v>
      </c>
      <c r="K92" s="29" t="n">
        <v>3</v>
      </c>
      <c r="L92" s="29" t="n">
        <v>143919</v>
      </c>
      <c r="M92" s="29" t="n">
        <v>24600</v>
      </c>
    </row>
    <row r="93" customFormat="false" ht="15.75" hidden="false" customHeight="false" outlineLevel="0" collapsed="false">
      <c r="A93" s="0" t="s">
        <v>62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62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62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62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62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62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62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62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62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62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62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62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62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62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62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62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62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62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62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62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62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62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62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62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62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62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62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62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62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62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62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62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62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62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62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62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62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62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62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62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62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62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62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62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62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62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62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62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62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62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62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62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62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62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62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62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62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62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62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62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62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62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62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62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62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62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62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62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62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62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62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62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62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62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62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62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62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62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62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62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62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62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62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62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62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62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62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62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62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62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62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62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62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62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62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8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63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63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63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63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63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63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63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63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63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63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63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63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63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63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63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63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63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63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63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63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63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63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63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63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63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63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63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63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63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63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63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63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63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63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63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63</v>
      </c>
      <c r="B37" s="1" t="n">
        <v>43897</v>
      </c>
      <c r="C37" s="8" t="n">
        <v>1</v>
      </c>
      <c r="D37" s="8" t="n">
        <v>1</v>
      </c>
      <c r="E37" s="8"/>
      <c r="F37" s="8"/>
      <c r="G37" s="8"/>
      <c r="H37" s="8" t="n">
        <v>1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63</v>
      </c>
      <c r="B38" s="1" t="n">
        <v>43898</v>
      </c>
      <c r="C38" s="6" t="n">
        <v>1</v>
      </c>
      <c r="D38" s="6" t="n">
        <v>0</v>
      </c>
      <c r="E38" s="6"/>
      <c r="F38" s="6"/>
      <c r="G38" s="6"/>
      <c r="H38" s="6" t="n">
        <v>1</v>
      </c>
      <c r="I38" s="6"/>
      <c r="J38" s="6"/>
      <c r="K38" s="9"/>
      <c r="L38" s="6"/>
      <c r="M38" s="6"/>
    </row>
    <row r="39" customFormat="false" ht="15.75" hidden="false" customHeight="false" outlineLevel="0" collapsed="false">
      <c r="A39" s="0" t="s">
        <v>63</v>
      </c>
      <c r="B39" s="1" t="n">
        <v>43899</v>
      </c>
      <c r="C39" s="6" t="n">
        <v>1</v>
      </c>
      <c r="D39" s="6" t="n">
        <v>0</v>
      </c>
      <c r="E39" s="6"/>
      <c r="F39" s="6"/>
      <c r="G39" s="6"/>
      <c r="H39" s="6" t="n">
        <v>1</v>
      </c>
      <c r="I39" s="6"/>
      <c r="J39" s="6"/>
      <c r="K39" s="9"/>
      <c r="L39" s="6"/>
      <c r="M39" s="6"/>
    </row>
    <row r="40" customFormat="false" ht="15.75" hidden="false" customHeight="false" outlineLevel="0" collapsed="false">
      <c r="A40" s="0" t="s">
        <v>63</v>
      </c>
      <c r="B40" s="1" t="n">
        <v>43900</v>
      </c>
      <c r="C40" s="6" t="n">
        <v>3</v>
      </c>
      <c r="D40" s="6" t="n">
        <v>2</v>
      </c>
      <c r="E40" s="6"/>
      <c r="F40" s="6"/>
      <c r="G40" s="6"/>
      <c r="H40" s="6" t="n">
        <v>3</v>
      </c>
      <c r="I40" s="6"/>
      <c r="J40" s="6" t="n">
        <v>0.1</v>
      </c>
      <c r="K40" s="9"/>
      <c r="L40" s="6"/>
      <c r="M40" s="6"/>
    </row>
    <row r="41" customFormat="false" ht="15.75" hidden="false" customHeight="false" outlineLevel="0" collapsed="false">
      <c r="A41" s="0" t="s">
        <v>63</v>
      </c>
      <c r="B41" s="1" t="n">
        <v>43901</v>
      </c>
      <c r="C41" s="6" t="n">
        <v>3</v>
      </c>
      <c r="D41" s="6" t="n">
        <v>0</v>
      </c>
      <c r="E41" s="6"/>
      <c r="F41" s="6"/>
      <c r="G41" s="6"/>
      <c r="H41" s="6" t="n">
        <v>3</v>
      </c>
      <c r="I41" s="6"/>
      <c r="J41" s="6" t="n">
        <v>0.1</v>
      </c>
      <c r="K41" s="9"/>
      <c r="L41" s="6"/>
      <c r="M41" s="6"/>
    </row>
    <row r="42" customFormat="false" ht="15.75" hidden="false" customHeight="false" outlineLevel="0" collapsed="false">
      <c r="A42" s="0" t="s">
        <v>63</v>
      </c>
      <c r="B42" s="1" t="n">
        <v>43902</v>
      </c>
      <c r="C42" s="6" t="n">
        <v>9</v>
      </c>
      <c r="D42" s="6" t="n">
        <v>6</v>
      </c>
      <c r="E42" s="6"/>
      <c r="F42" s="6"/>
      <c r="G42" s="6"/>
      <c r="H42" s="6" t="n">
        <v>9</v>
      </c>
      <c r="I42" s="6"/>
      <c r="J42" s="6" t="n">
        <v>0.2</v>
      </c>
      <c r="K42" s="9"/>
      <c r="L42" s="6"/>
      <c r="M42" s="6"/>
    </row>
    <row r="43" customFormat="false" ht="15.75" hidden="false" customHeight="false" outlineLevel="0" collapsed="false">
      <c r="A43" s="0" t="s">
        <v>63</v>
      </c>
      <c r="B43" s="1" t="n">
        <v>43903</v>
      </c>
      <c r="C43" s="6" t="n">
        <v>9</v>
      </c>
      <c r="D43" s="6" t="n">
        <v>0</v>
      </c>
      <c r="E43" s="6"/>
      <c r="F43" s="6"/>
      <c r="G43" s="6"/>
      <c r="H43" s="6" t="n">
        <v>9</v>
      </c>
      <c r="I43" s="6"/>
      <c r="J43" s="6" t="n">
        <v>0.2</v>
      </c>
      <c r="K43" s="9"/>
      <c r="L43" s="6"/>
      <c r="M43" s="6"/>
    </row>
    <row r="44" customFormat="false" ht="15.75" hidden="false" customHeight="false" outlineLevel="0" collapsed="false">
      <c r="A44" s="0" t="s">
        <v>63</v>
      </c>
      <c r="B44" s="1" t="n">
        <v>43904</v>
      </c>
      <c r="C44" s="6" t="n">
        <v>13</v>
      </c>
      <c r="D44" s="6" t="n">
        <v>4</v>
      </c>
      <c r="E44" s="6"/>
      <c r="F44" s="6"/>
      <c r="G44" s="6"/>
      <c r="H44" s="6" t="n">
        <v>13</v>
      </c>
      <c r="I44" s="6"/>
      <c r="J44" s="6" t="n">
        <v>0.3</v>
      </c>
      <c r="K44" s="9"/>
      <c r="L44" s="6"/>
      <c r="M44" s="6"/>
    </row>
    <row r="45" customFormat="false" ht="15.75" hidden="false" customHeight="false" outlineLevel="0" collapsed="false">
      <c r="A45" s="0" t="s">
        <v>63</v>
      </c>
      <c r="B45" s="1" t="n">
        <v>43905</v>
      </c>
      <c r="C45" s="6" t="n">
        <v>22</v>
      </c>
      <c r="D45" s="6" t="n">
        <v>9</v>
      </c>
      <c r="E45" s="6"/>
      <c r="F45" s="6"/>
      <c r="G45" s="6"/>
      <c r="H45" s="6" t="n">
        <v>22</v>
      </c>
      <c r="I45" s="6"/>
      <c r="J45" s="6" t="n">
        <v>0.4</v>
      </c>
      <c r="K45" s="9"/>
      <c r="L45" s="6"/>
      <c r="M45" s="6"/>
    </row>
    <row r="46" customFormat="false" ht="15.75" hidden="false" customHeight="false" outlineLevel="0" collapsed="false">
      <c r="A46" s="0" t="s">
        <v>63</v>
      </c>
      <c r="B46" s="1" t="n">
        <v>43906</v>
      </c>
      <c r="C46" s="6" t="n">
        <v>34</v>
      </c>
      <c r="D46" s="6" t="n">
        <v>12</v>
      </c>
      <c r="E46" s="6"/>
      <c r="F46" s="6"/>
      <c r="G46" s="6"/>
      <c r="H46" s="6" t="n">
        <v>34</v>
      </c>
      <c r="I46" s="6"/>
      <c r="J46" s="6" t="n">
        <v>0.7</v>
      </c>
      <c r="K46" s="9"/>
      <c r="L46" s="6"/>
      <c r="M46" s="6"/>
    </row>
    <row r="47" customFormat="false" ht="15.75" hidden="false" customHeight="false" outlineLevel="0" collapsed="false">
      <c r="A47" s="0" t="s">
        <v>63</v>
      </c>
      <c r="B47" s="1" t="n">
        <v>43907</v>
      </c>
      <c r="C47" s="6" t="n">
        <v>54</v>
      </c>
      <c r="D47" s="6" t="n">
        <v>20</v>
      </c>
      <c r="E47" s="6"/>
      <c r="F47" s="6"/>
      <c r="G47" s="6" t="n">
        <v>1</v>
      </c>
      <c r="H47" s="6" t="n">
        <v>53</v>
      </c>
      <c r="I47" s="6"/>
      <c r="J47" s="6" t="n">
        <v>1.1</v>
      </c>
      <c r="K47" s="9"/>
      <c r="L47" s="6"/>
      <c r="M47" s="6"/>
    </row>
    <row r="48" customFormat="false" ht="15.75" hidden="false" customHeight="false" outlineLevel="0" collapsed="false">
      <c r="A48" s="0" t="s">
        <v>63</v>
      </c>
      <c r="B48" s="1" t="n">
        <v>43908</v>
      </c>
      <c r="C48" s="6" t="n">
        <v>65</v>
      </c>
      <c r="D48" s="6" t="n">
        <v>11</v>
      </c>
      <c r="E48" s="6"/>
      <c r="F48" s="6"/>
      <c r="G48" s="6" t="n">
        <v>1</v>
      </c>
      <c r="H48" s="6" t="n">
        <v>64</v>
      </c>
      <c r="I48" s="6"/>
      <c r="J48" s="6" t="n">
        <v>1.3</v>
      </c>
      <c r="K48" s="9"/>
      <c r="L48" s="6"/>
      <c r="M48" s="6"/>
    </row>
    <row r="49" customFormat="false" ht="15.75" hidden="false" customHeight="false" outlineLevel="0" collapsed="false">
      <c r="A49" s="0" t="s">
        <v>63</v>
      </c>
      <c r="B49" s="1" t="n">
        <v>43909</v>
      </c>
      <c r="C49" s="6" t="n">
        <v>93</v>
      </c>
      <c r="D49" s="6" t="n">
        <v>28</v>
      </c>
      <c r="E49" s="6"/>
      <c r="F49" s="6"/>
      <c r="G49" s="6" t="n">
        <v>1</v>
      </c>
      <c r="H49" s="6" t="n">
        <v>92</v>
      </c>
      <c r="I49" s="6"/>
      <c r="J49" s="6" t="n">
        <v>2</v>
      </c>
      <c r="K49" s="9"/>
      <c r="L49" s="6"/>
      <c r="M49" s="6"/>
    </row>
    <row r="50" customFormat="false" ht="15.75" hidden="false" customHeight="false" outlineLevel="0" collapsed="false">
      <c r="A50" s="0" t="s">
        <v>63</v>
      </c>
      <c r="B50" s="1" t="n">
        <v>43910</v>
      </c>
      <c r="C50" s="6" t="n">
        <v>108</v>
      </c>
      <c r="D50" s="6" t="n">
        <v>15</v>
      </c>
      <c r="E50" s="6"/>
      <c r="F50" s="6"/>
      <c r="G50" s="6" t="n">
        <v>1</v>
      </c>
      <c r="H50" s="6" t="n">
        <v>107</v>
      </c>
      <c r="I50" s="6"/>
      <c r="J50" s="6" t="n">
        <v>2</v>
      </c>
      <c r="K50" s="9"/>
      <c r="L50" s="6"/>
      <c r="M50" s="6"/>
    </row>
    <row r="51" customFormat="false" ht="15.75" hidden="false" customHeight="false" outlineLevel="0" collapsed="false">
      <c r="A51" s="0" t="s">
        <v>63</v>
      </c>
      <c r="B51" s="1" t="n">
        <v>43911</v>
      </c>
      <c r="C51" s="6" t="n">
        <v>158</v>
      </c>
      <c r="D51" s="6" t="n">
        <v>50</v>
      </c>
      <c r="E51" s="6"/>
      <c r="F51" s="6"/>
      <c r="G51" s="6" t="n">
        <v>1</v>
      </c>
      <c r="H51" s="6" t="n">
        <v>157</v>
      </c>
      <c r="I51" s="6"/>
      <c r="J51" s="6" t="n">
        <v>3</v>
      </c>
      <c r="K51" s="9"/>
      <c r="L51" s="6"/>
      <c r="M51" s="6"/>
    </row>
    <row r="52" customFormat="false" ht="15.75" hidden="false" customHeight="false" outlineLevel="0" collapsed="false">
      <c r="A52" s="0" t="s">
        <v>63</v>
      </c>
      <c r="B52" s="1" t="n">
        <v>43912</v>
      </c>
      <c r="C52" s="6" t="n">
        <v>196</v>
      </c>
      <c r="D52" s="6" t="n">
        <v>38</v>
      </c>
      <c r="E52" s="6"/>
      <c r="F52" s="6"/>
      <c r="G52" s="6" t="n">
        <v>1</v>
      </c>
      <c r="H52" s="6" t="n">
        <v>195</v>
      </c>
      <c r="I52" s="6"/>
      <c r="J52" s="6" t="n">
        <v>4</v>
      </c>
      <c r="K52" s="9"/>
      <c r="L52" s="6"/>
      <c r="M52" s="6"/>
    </row>
    <row r="53" customFormat="false" ht="15.75" hidden="false" customHeight="false" outlineLevel="0" collapsed="false">
      <c r="A53" s="0" t="s">
        <v>63</v>
      </c>
      <c r="B53" s="1" t="n">
        <v>43913</v>
      </c>
      <c r="C53" s="6" t="n">
        <v>231</v>
      </c>
      <c r="D53" s="6" t="n">
        <v>35</v>
      </c>
      <c r="E53" s="6" t="n">
        <v>2</v>
      </c>
      <c r="F53" s="6" t="n">
        <v>2</v>
      </c>
      <c r="G53" s="6" t="n">
        <v>3</v>
      </c>
      <c r="H53" s="6" t="n">
        <v>226</v>
      </c>
      <c r="I53" s="6"/>
      <c r="J53" s="6" t="n">
        <v>5</v>
      </c>
      <c r="K53" s="9"/>
      <c r="L53" s="6"/>
      <c r="M53" s="6"/>
    </row>
    <row r="54" customFormat="false" ht="15.75" hidden="false" customHeight="false" outlineLevel="0" collapsed="false">
      <c r="A54" s="0" t="s">
        <v>63</v>
      </c>
      <c r="B54" s="1" t="n">
        <v>43914</v>
      </c>
      <c r="C54" s="6" t="n">
        <v>277</v>
      </c>
      <c r="D54" s="6" t="n">
        <v>46</v>
      </c>
      <c r="E54" s="6" t="n">
        <v>3</v>
      </c>
      <c r="F54" s="6" t="n">
        <v>1</v>
      </c>
      <c r="G54" s="6" t="n">
        <v>3</v>
      </c>
      <c r="H54" s="6" t="n">
        <v>271</v>
      </c>
      <c r="I54" s="6"/>
      <c r="J54" s="6" t="n">
        <v>5</v>
      </c>
      <c r="K54" s="9"/>
      <c r="L54" s="6"/>
      <c r="M54" s="6"/>
    </row>
    <row r="55" customFormat="false" ht="15.75" hidden="false" customHeight="false" outlineLevel="0" collapsed="false">
      <c r="A55" s="0" t="s">
        <v>63</v>
      </c>
      <c r="B55" s="1" t="n">
        <v>43915</v>
      </c>
      <c r="C55" s="7" t="n">
        <v>378</v>
      </c>
      <c r="D55" s="7" t="n">
        <v>101</v>
      </c>
      <c r="E55" s="7" t="n">
        <v>3</v>
      </c>
      <c r="F55" s="7" t="n">
        <v>0</v>
      </c>
      <c r="G55" s="7" t="n">
        <v>6</v>
      </c>
      <c r="H55" s="7" t="n">
        <v>369</v>
      </c>
      <c r="I55" s="7"/>
      <c r="J55" s="7" t="n">
        <v>7</v>
      </c>
      <c r="K55" s="9" t="n">
        <v>0.06</v>
      </c>
      <c r="L55" s="7"/>
      <c r="M55" s="7"/>
    </row>
    <row r="56" customFormat="false" ht="15.75" hidden="false" customHeight="false" outlineLevel="0" collapsed="false">
      <c r="A56" s="0" t="s">
        <v>63</v>
      </c>
      <c r="B56" s="1" t="n">
        <v>43916</v>
      </c>
      <c r="C56" s="7" t="n">
        <v>470</v>
      </c>
      <c r="D56" s="7" t="n">
        <v>92</v>
      </c>
      <c r="E56" s="7" t="n">
        <v>4</v>
      </c>
      <c r="F56" s="7" t="n">
        <v>1</v>
      </c>
      <c r="G56" s="7" t="n">
        <v>8</v>
      </c>
      <c r="H56" s="7" t="n">
        <v>458</v>
      </c>
      <c r="I56" s="7"/>
      <c r="J56" s="7" t="n">
        <v>9</v>
      </c>
      <c r="K56" s="9" t="n">
        <v>0.08</v>
      </c>
      <c r="L56" s="7"/>
      <c r="M56" s="7"/>
    </row>
    <row r="57" customFormat="false" ht="15.75" hidden="false" customHeight="false" outlineLevel="0" collapsed="false">
      <c r="A57" s="0" t="s">
        <v>63</v>
      </c>
      <c r="B57" s="1" t="n">
        <v>43917</v>
      </c>
      <c r="C57" s="7" t="n">
        <v>491</v>
      </c>
      <c r="D57" s="7" t="n">
        <v>21</v>
      </c>
      <c r="E57" s="7" t="n">
        <v>6</v>
      </c>
      <c r="F57" s="7" t="n">
        <v>2</v>
      </c>
      <c r="G57" s="7" t="n">
        <v>8</v>
      </c>
      <c r="H57" s="7" t="n">
        <v>477</v>
      </c>
      <c r="I57" s="7"/>
      <c r="J57" s="7" t="n">
        <v>10</v>
      </c>
      <c r="K57" s="9" t="n">
        <v>0.1</v>
      </c>
      <c r="L57" s="7"/>
      <c r="M57" s="7"/>
    </row>
    <row r="58" customFormat="false" ht="15.75" hidden="false" customHeight="false" outlineLevel="0" collapsed="false">
      <c r="A58" s="0" t="s">
        <v>63</v>
      </c>
      <c r="B58" s="1" t="n">
        <v>43918</v>
      </c>
      <c r="C58" s="7" t="n">
        <v>539</v>
      </c>
      <c r="D58" s="7" t="n">
        <v>48</v>
      </c>
      <c r="E58" s="7" t="n">
        <v>6</v>
      </c>
      <c r="F58" s="7" t="n">
        <v>0</v>
      </c>
      <c r="G58" s="7" t="n">
        <v>10</v>
      </c>
      <c r="H58" s="7" t="n">
        <v>523</v>
      </c>
      <c r="I58" s="7"/>
      <c r="J58" s="7" t="n">
        <v>11</v>
      </c>
      <c r="K58" s="9" t="n">
        <v>0.1</v>
      </c>
      <c r="L58" s="7"/>
      <c r="M58" s="7"/>
    </row>
    <row r="59" customFormat="false" ht="15.75" hidden="false" customHeight="false" outlineLevel="0" collapsed="false">
      <c r="A59" s="0" t="s">
        <v>63</v>
      </c>
      <c r="B59" s="1" t="n">
        <v>43919</v>
      </c>
      <c r="C59" s="7" t="n">
        <v>608</v>
      </c>
      <c r="D59" s="7" t="n">
        <v>69</v>
      </c>
      <c r="E59" s="7" t="n">
        <v>6</v>
      </c>
      <c r="F59" s="7" t="n">
        <v>0</v>
      </c>
      <c r="G59" s="7" t="n">
        <v>10</v>
      </c>
      <c r="H59" s="7" t="n">
        <v>592</v>
      </c>
      <c r="I59" s="7"/>
      <c r="J59" s="7" t="n">
        <v>12</v>
      </c>
      <c r="K59" s="9" t="n">
        <v>0.1</v>
      </c>
      <c r="M59" s="7"/>
    </row>
    <row r="60" customFormat="false" ht="15.75" hidden="false" customHeight="false" outlineLevel="0" collapsed="false">
      <c r="A60" s="0" t="s">
        <v>63</v>
      </c>
      <c r="B60" s="1" t="n">
        <v>43920</v>
      </c>
      <c r="C60" s="7" t="n">
        <v>702</v>
      </c>
      <c r="D60" s="7" t="n">
        <v>94</v>
      </c>
      <c r="E60" s="7" t="n">
        <v>10</v>
      </c>
      <c r="F60" s="7" t="n">
        <v>4</v>
      </c>
      <c r="G60" s="7" t="n">
        <v>10</v>
      </c>
      <c r="H60" s="7" t="n">
        <v>682</v>
      </c>
      <c r="I60" s="7" t="n">
        <v>29</v>
      </c>
      <c r="J60" s="7" t="n">
        <v>14</v>
      </c>
      <c r="K60" s="9" t="n">
        <v>0.2</v>
      </c>
      <c r="M60" s="7"/>
    </row>
    <row r="61" customFormat="false" ht="15.75" hidden="false" customHeight="false" outlineLevel="0" collapsed="false">
      <c r="A61" s="0" t="s">
        <v>63</v>
      </c>
      <c r="B61" s="1" t="n">
        <v>43921</v>
      </c>
      <c r="C61" s="7" t="n">
        <v>798</v>
      </c>
      <c r="D61" s="7" t="n">
        <v>96</v>
      </c>
      <c r="E61" s="7" t="n">
        <v>12</v>
      </c>
      <c r="F61" s="7" t="n">
        <v>2</v>
      </c>
      <c r="G61" s="7" t="n">
        <v>15</v>
      </c>
      <c r="H61" s="7" t="n">
        <v>771</v>
      </c>
      <c r="I61" s="7" t="n">
        <v>29</v>
      </c>
      <c r="J61" s="7" t="n">
        <v>16</v>
      </c>
      <c r="K61" s="9" t="n">
        <v>0.2</v>
      </c>
      <c r="M61" s="7"/>
    </row>
    <row r="62" customFormat="false" ht="15.75" hidden="false" customHeight="false" outlineLevel="0" collapsed="false">
      <c r="A62" s="0" t="s">
        <v>63</v>
      </c>
      <c r="B62" s="1" t="n">
        <v>43922</v>
      </c>
      <c r="C62" s="7" t="n">
        <v>906</v>
      </c>
      <c r="D62" s="7" t="n">
        <v>108</v>
      </c>
      <c r="E62" s="7" t="n">
        <v>16</v>
      </c>
      <c r="F62" s="7" t="n">
        <v>4</v>
      </c>
      <c r="G62" s="7" t="n">
        <v>31</v>
      </c>
      <c r="H62" s="7" t="n">
        <v>859</v>
      </c>
      <c r="I62" s="7" t="n">
        <v>35</v>
      </c>
      <c r="J62" s="7" t="n">
        <v>18</v>
      </c>
      <c r="K62" s="9" t="n">
        <v>0.3</v>
      </c>
      <c r="M62" s="7"/>
    </row>
    <row r="63" customFormat="false" ht="15.75" hidden="false" customHeight="false" outlineLevel="0" collapsed="false">
      <c r="A63" s="0" t="s">
        <v>63</v>
      </c>
      <c r="B63" s="1" t="n">
        <v>43923</v>
      </c>
      <c r="C63" s="7" t="n">
        <v>1065</v>
      </c>
      <c r="D63" s="7" t="n">
        <v>159</v>
      </c>
      <c r="E63" s="7" t="n">
        <v>17</v>
      </c>
      <c r="F63" s="7" t="n">
        <v>1</v>
      </c>
      <c r="G63" s="7" t="n">
        <v>39</v>
      </c>
      <c r="H63" s="7" t="n">
        <v>1009</v>
      </c>
      <c r="I63" s="7" t="n">
        <v>47</v>
      </c>
      <c r="J63" s="7" t="n">
        <v>21</v>
      </c>
      <c r="K63" s="9" t="n">
        <v>0.3</v>
      </c>
      <c r="M63" s="7"/>
    </row>
    <row r="64" customFormat="false" ht="15.75" hidden="false" customHeight="false" outlineLevel="0" collapsed="false">
      <c r="A64" s="0" t="s">
        <v>63</v>
      </c>
      <c r="B64" s="1" t="n">
        <v>43924</v>
      </c>
      <c r="C64" s="7" t="n">
        <v>1161</v>
      </c>
      <c r="D64" s="7" t="n">
        <v>96</v>
      </c>
      <c r="E64" s="7" t="n">
        <v>19</v>
      </c>
      <c r="F64" s="7" t="n">
        <v>2</v>
      </c>
      <c r="G64" s="7" t="n">
        <v>55</v>
      </c>
      <c r="H64" s="7" t="n">
        <v>1087</v>
      </c>
      <c r="I64" s="7" t="n">
        <v>50</v>
      </c>
      <c r="J64" s="7" t="n">
        <v>23</v>
      </c>
      <c r="K64" s="9" t="n">
        <v>0.4</v>
      </c>
      <c r="M64" s="7"/>
    </row>
    <row r="65" customFormat="false" ht="15.75" hidden="false" customHeight="false" outlineLevel="0" collapsed="false">
      <c r="A65" s="0" t="s">
        <v>63</v>
      </c>
      <c r="B65" s="1" t="n">
        <v>43925</v>
      </c>
      <c r="C65" s="7" t="n">
        <v>1267</v>
      </c>
      <c r="D65" s="7" t="n">
        <v>106</v>
      </c>
      <c r="E65" s="7" t="n">
        <v>25</v>
      </c>
      <c r="F65" s="7" t="n">
        <v>6</v>
      </c>
      <c r="G65" s="7" t="n">
        <v>55</v>
      </c>
      <c r="H65" s="7" t="n">
        <v>1187</v>
      </c>
      <c r="I65" s="7" t="n">
        <v>50</v>
      </c>
      <c r="J65" s="7" t="n">
        <v>25</v>
      </c>
      <c r="K65" s="9" t="n">
        <v>0.5</v>
      </c>
      <c r="M65" s="7"/>
    </row>
    <row r="66" customFormat="false" ht="15.75" hidden="false" customHeight="false" outlineLevel="0" collapsed="false">
      <c r="A66" s="0" t="s">
        <v>63</v>
      </c>
      <c r="B66" s="1" t="n">
        <v>43926</v>
      </c>
      <c r="C66" s="7" t="n">
        <v>1406</v>
      </c>
      <c r="D66" s="7" t="n">
        <v>139</v>
      </c>
      <c r="E66" s="7" t="n">
        <v>32</v>
      </c>
      <c r="F66" s="7" t="n">
        <v>7</v>
      </c>
      <c r="G66" s="7" t="n">
        <v>85</v>
      </c>
      <c r="H66" s="7" t="n">
        <v>1289</v>
      </c>
      <c r="I66" s="7" t="n">
        <v>50</v>
      </c>
      <c r="J66" s="7" t="n">
        <v>28</v>
      </c>
      <c r="K66" s="9" t="n">
        <v>0.6</v>
      </c>
      <c r="L66" s="7" t="n">
        <v>21202</v>
      </c>
      <c r="M66" s="7" t="n">
        <v>417</v>
      </c>
    </row>
    <row r="67" customFormat="false" ht="15.75" hidden="false" customHeight="false" outlineLevel="0" collapsed="false">
      <c r="A67" s="0" t="s">
        <v>63</v>
      </c>
      <c r="B67" s="1" t="n">
        <v>43927</v>
      </c>
      <c r="C67" s="7" t="n">
        <v>1485</v>
      </c>
      <c r="D67" s="7" t="n">
        <v>79</v>
      </c>
      <c r="E67" s="7" t="n">
        <v>35</v>
      </c>
      <c r="F67" s="7" t="n">
        <v>3</v>
      </c>
      <c r="G67" s="7" t="n">
        <v>88</v>
      </c>
      <c r="H67" s="7" t="n">
        <v>1362</v>
      </c>
      <c r="I67" s="7" t="n">
        <v>50</v>
      </c>
      <c r="J67" s="7" t="n">
        <v>29</v>
      </c>
      <c r="K67" s="9" t="n">
        <v>0.7</v>
      </c>
      <c r="L67" s="7" t="n">
        <v>23706</v>
      </c>
      <c r="M67" s="7" t="n">
        <v>466</v>
      </c>
    </row>
    <row r="68" customFormat="false" ht="15.75" hidden="false" customHeight="false" outlineLevel="0" collapsed="false">
      <c r="A68" s="0" t="s">
        <v>63</v>
      </c>
      <c r="B68" s="1" t="n">
        <v>43928</v>
      </c>
      <c r="C68" s="12" t="n">
        <v>1579</v>
      </c>
      <c r="D68" s="12" t="n">
        <v>94</v>
      </c>
      <c r="E68" s="12" t="n">
        <v>46</v>
      </c>
      <c r="F68" s="12" t="n">
        <v>11</v>
      </c>
      <c r="G68" s="12" t="n">
        <v>88</v>
      </c>
      <c r="H68" s="12" t="n">
        <v>1445</v>
      </c>
      <c r="I68" s="12" t="n">
        <v>50</v>
      </c>
      <c r="J68" s="12" t="n">
        <v>31</v>
      </c>
      <c r="K68" s="13" t="n">
        <v>0.9</v>
      </c>
      <c r="L68" s="12" t="n">
        <v>27685</v>
      </c>
      <c r="M68" s="12" t="n">
        <v>544</v>
      </c>
    </row>
    <row r="69" customFormat="false" ht="15.75" hidden="false" customHeight="false" outlineLevel="0" collapsed="false">
      <c r="A69" s="0" t="s">
        <v>63</v>
      </c>
      <c r="B69" s="1" t="n">
        <v>43929</v>
      </c>
      <c r="C69" s="14" t="n">
        <v>1780</v>
      </c>
      <c r="D69" s="14" t="n">
        <v>201</v>
      </c>
      <c r="E69" s="14" t="n">
        <v>50</v>
      </c>
      <c r="F69" s="14" t="n">
        <v>4</v>
      </c>
      <c r="G69" s="14" t="n">
        <v>100</v>
      </c>
      <c r="H69" s="14" t="n">
        <v>1630</v>
      </c>
      <c r="I69" s="14" t="n">
        <v>76</v>
      </c>
      <c r="J69" s="14" t="n">
        <v>35</v>
      </c>
      <c r="K69" s="28" t="n">
        <v>1</v>
      </c>
      <c r="L69" s="14" t="n">
        <v>30445</v>
      </c>
      <c r="M69" s="14" t="n">
        <v>598</v>
      </c>
    </row>
    <row r="70" customFormat="false" ht="15.75" hidden="false" customHeight="false" outlineLevel="0" collapsed="false">
      <c r="A70" s="0" t="s">
        <v>63</v>
      </c>
      <c r="B70" s="1" t="n">
        <v>43930</v>
      </c>
      <c r="C70" s="14" t="n">
        <v>2054</v>
      </c>
      <c r="D70" s="14" t="n">
        <v>274</v>
      </c>
      <c r="E70" s="14" t="n">
        <v>54</v>
      </c>
      <c r="F70" s="14" t="n">
        <v>4</v>
      </c>
      <c r="G70" s="14" t="n">
        <v>123</v>
      </c>
      <c r="H70" s="14" t="n">
        <v>1877</v>
      </c>
      <c r="I70" s="14" t="n">
        <v>76</v>
      </c>
      <c r="J70" s="14" t="n">
        <v>40</v>
      </c>
      <c r="K70" s="28" t="n">
        <v>1</v>
      </c>
      <c r="L70" s="14" t="n">
        <v>33575</v>
      </c>
      <c r="M70" s="14" t="n">
        <v>660</v>
      </c>
    </row>
    <row r="71" customFormat="false" ht="15.75" hidden="false" customHeight="false" outlineLevel="0" collapsed="false">
      <c r="A71" s="0" t="s">
        <v>63</v>
      </c>
      <c r="B71" s="1" t="n">
        <v>43931</v>
      </c>
      <c r="C71" s="14" t="n">
        <v>2223</v>
      </c>
      <c r="D71" s="14" t="n">
        <v>169</v>
      </c>
      <c r="E71" s="14" t="n">
        <v>69</v>
      </c>
      <c r="F71" s="14" t="n">
        <v>15</v>
      </c>
      <c r="G71" s="14" t="n">
        <v>174</v>
      </c>
      <c r="H71" s="14" t="n">
        <v>1980</v>
      </c>
      <c r="I71" s="14" t="n">
        <v>85</v>
      </c>
      <c r="J71" s="14" t="n">
        <v>44</v>
      </c>
      <c r="K71" s="28" t="n">
        <v>1</v>
      </c>
      <c r="L71" s="14" t="n">
        <v>33575</v>
      </c>
      <c r="M71" s="14" t="n">
        <v>660</v>
      </c>
    </row>
    <row r="72" customFormat="false" ht="15.75" hidden="false" customHeight="false" outlineLevel="0" collapsed="false">
      <c r="A72" s="0" t="s">
        <v>63</v>
      </c>
      <c r="B72" s="1" t="n">
        <v>43932</v>
      </c>
      <c r="C72" s="14" t="n">
        <v>2473</v>
      </c>
      <c r="D72" s="14" t="n">
        <v>250</v>
      </c>
      <c r="E72" s="14" t="n">
        <v>80</v>
      </c>
      <c r="F72" s="14" t="n">
        <v>11</v>
      </c>
      <c r="G72" s="14" t="n">
        <v>197</v>
      </c>
      <c r="H72" s="14" t="n">
        <v>2196</v>
      </c>
      <c r="I72" s="14" t="n">
        <v>85</v>
      </c>
      <c r="J72" s="14" t="n">
        <v>49</v>
      </c>
      <c r="K72" s="28" t="n">
        <v>2</v>
      </c>
      <c r="L72" s="14" t="n">
        <v>34910</v>
      </c>
      <c r="M72" s="14" t="n">
        <v>686</v>
      </c>
    </row>
    <row r="73" customFormat="false" ht="15.75" hidden="false" customHeight="false" outlineLevel="0" collapsed="false">
      <c r="A73" s="0" t="s">
        <v>63</v>
      </c>
      <c r="B73" s="1" t="n">
        <v>43933</v>
      </c>
      <c r="C73" s="14" t="n">
        <v>2473</v>
      </c>
      <c r="D73" s="14" t="n">
        <v>0</v>
      </c>
      <c r="E73" s="14" t="n">
        <v>80</v>
      </c>
      <c r="F73" s="14" t="n">
        <v>0</v>
      </c>
      <c r="G73" s="14" t="n">
        <v>197</v>
      </c>
      <c r="H73" s="14" t="n">
        <v>2196</v>
      </c>
      <c r="I73" s="14" t="n">
        <v>85</v>
      </c>
      <c r="J73" s="14" t="n">
        <v>49</v>
      </c>
      <c r="K73" s="28" t="n">
        <v>2</v>
      </c>
      <c r="L73" s="14" t="n">
        <v>37593</v>
      </c>
      <c r="M73" s="14" t="n">
        <v>739</v>
      </c>
    </row>
    <row r="74" customFormat="false" ht="15.75" hidden="false" customHeight="false" outlineLevel="0" collapsed="false">
      <c r="A74" s="0" t="s">
        <v>63</v>
      </c>
      <c r="B74" s="1" t="n">
        <v>43934</v>
      </c>
      <c r="C74" s="14" t="n">
        <v>2709</v>
      </c>
      <c r="D74" s="14" t="n">
        <v>236</v>
      </c>
      <c r="E74" s="14" t="n">
        <v>100</v>
      </c>
      <c r="F74" s="14" t="n">
        <v>20</v>
      </c>
      <c r="G74" s="14" t="n">
        <v>214</v>
      </c>
      <c r="H74" s="14" t="n">
        <v>2395</v>
      </c>
      <c r="I74" s="14" t="n">
        <v>92</v>
      </c>
      <c r="J74" s="14" t="n">
        <v>53</v>
      </c>
      <c r="K74" s="28" t="n">
        <v>2</v>
      </c>
      <c r="L74" s="14" t="n">
        <v>40603</v>
      </c>
      <c r="M74" s="14" t="n">
        <v>798</v>
      </c>
    </row>
    <row r="75" customFormat="false" ht="15.75" hidden="false" customHeight="false" outlineLevel="0" collapsed="false">
      <c r="A75" s="0" t="s">
        <v>63</v>
      </c>
      <c r="B75" s="1" t="n">
        <v>43935</v>
      </c>
      <c r="C75" s="14" t="n">
        <v>2776</v>
      </c>
      <c r="D75" s="14" t="n">
        <v>67</v>
      </c>
      <c r="E75" s="14" t="n">
        <v>109</v>
      </c>
      <c r="F75" s="14" t="n">
        <v>9</v>
      </c>
      <c r="G75" s="14" t="n">
        <v>270</v>
      </c>
      <c r="H75" s="14" t="n">
        <v>2397</v>
      </c>
      <c r="I75" s="14" t="n">
        <v>92</v>
      </c>
      <c r="J75" s="14" t="n">
        <v>55</v>
      </c>
      <c r="K75" s="28" t="n">
        <v>2</v>
      </c>
      <c r="L75" s="14" t="n">
        <v>41765</v>
      </c>
      <c r="M75" s="14" t="n">
        <v>821</v>
      </c>
    </row>
    <row r="76" customFormat="false" ht="15.75" hidden="false" customHeight="false" outlineLevel="0" collapsed="false">
      <c r="A76" s="0" t="s">
        <v>63</v>
      </c>
      <c r="B76" s="1" t="n">
        <v>43936</v>
      </c>
      <c r="C76" s="14" t="n">
        <v>2979</v>
      </c>
      <c r="D76" s="14" t="n">
        <v>203</v>
      </c>
      <c r="E76" s="14" t="n">
        <v>127</v>
      </c>
      <c r="F76" s="14" t="n">
        <v>18</v>
      </c>
      <c r="G76" s="14" t="n">
        <v>354</v>
      </c>
      <c r="H76" s="14" t="n">
        <v>2498</v>
      </c>
      <c r="I76" s="14" t="n">
        <v>106</v>
      </c>
      <c r="J76" s="14" t="n">
        <v>59</v>
      </c>
      <c r="K76" s="28" t="n">
        <v>2</v>
      </c>
      <c r="L76" s="14" t="n">
        <v>43053</v>
      </c>
      <c r="M76" s="14" t="n">
        <v>846</v>
      </c>
    </row>
    <row r="77" customFormat="false" ht="15.75" hidden="false" customHeight="false" outlineLevel="0" collapsed="false">
      <c r="A77" s="0" t="s">
        <v>63</v>
      </c>
      <c r="B77" s="1" t="n">
        <v>43937</v>
      </c>
      <c r="C77" s="14" t="n">
        <v>2979</v>
      </c>
      <c r="D77" s="14" t="n">
        <v>0</v>
      </c>
      <c r="E77" s="14" t="n">
        <v>127</v>
      </c>
      <c r="F77" s="14" t="n">
        <v>0</v>
      </c>
      <c r="G77" s="14" t="n">
        <v>354</v>
      </c>
      <c r="H77" s="14" t="n">
        <v>2498</v>
      </c>
      <c r="I77" s="14" t="n">
        <v>106</v>
      </c>
      <c r="J77" s="14" t="n">
        <v>59</v>
      </c>
      <c r="K77" s="28" t="n">
        <v>2</v>
      </c>
      <c r="L77" s="14" t="n">
        <v>45423</v>
      </c>
      <c r="M77" s="14" t="n">
        <v>893</v>
      </c>
    </row>
    <row r="78" customFormat="false" ht="15.75" hidden="false" customHeight="false" outlineLevel="0" collapsed="false">
      <c r="A78" s="0" t="s">
        <v>63</v>
      </c>
      <c r="B78" s="1" t="n">
        <v>43938</v>
      </c>
      <c r="C78" s="14" t="n">
        <v>3233</v>
      </c>
      <c r="D78" s="14" t="n">
        <v>254</v>
      </c>
      <c r="E78" s="14" t="n">
        <v>144</v>
      </c>
      <c r="F78" s="14" t="n">
        <v>17</v>
      </c>
      <c r="G78" s="14" t="n">
        <v>550</v>
      </c>
      <c r="H78" s="14" t="n">
        <v>2539</v>
      </c>
      <c r="I78" s="14" t="n">
        <v>98</v>
      </c>
      <c r="J78" s="14" t="n">
        <v>64</v>
      </c>
      <c r="K78" s="28" t="n">
        <v>3</v>
      </c>
      <c r="L78" s="14" t="n">
        <v>52085</v>
      </c>
      <c r="M78" s="14" t="n">
        <v>1024</v>
      </c>
    </row>
    <row r="79" customFormat="false" ht="15.75" hidden="false" customHeight="false" outlineLevel="0" collapsed="false">
      <c r="A79" s="0" t="s">
        <v>63</v>
      </c>
      <c r="B79" s="1" t="n">
        <v>43939</v>
      </c>
      <c r="C79" s="14" t="n">
        <v>3439</v>
      </c>
      <c r="D79" s="14" t="n">
        <v>206</v>
      </c>
      <c r="E79" s="14" t="n">
        <v>153</v>
      </c>
      <c r="F79" s="14" t="n">
        <v>9</v>
      </c>
      <c r="G79" s="14" t="n">
        <v>634</v>
      </c>
      <c r="H79" s="14" t="n">
        <v>2652</v>
      </c>
      <c r="I79" s="14" t="n">
        <v>98</v>
      </c>
      <c r="J79" s="14" t="n">
        <v>68</v>
      </c>
      <c r="K79" s="28" t="n">
        <v>3</v>
      </c>
      <c r="L79" s="14" t="n">
        <v>52085</v>
      </c>
      <c r="M79" s="14" t="n">
        <v>1024</v>
      </c>
    </row>
    <row r="80" customFormat="false" ht="15.75" hidden="false" customHeight="false" outlineLevel="0" collapsed="false">
      <c r="A80" s="0" t="s">
        <v>63</v>
      </c>
      <c r="B80" s="1" t="n">
        <v>43940</v>
      </c>
      <c r="C80" s="14" t="n">
        <v>3439</v>
      </c>
      <c r="D80" s="14" t="n">
        <v>0</v>
      </c>
      <c r="E80" s="14" t="n">
        <v>153</v>
      </c>
      <c r="F80" s="14" t="n">
        <v>0</v>
      </c>
      <c r="G80" s="14" t="n">
        <v>634</v>
      </c>
      <c r="H80" s="14" t="n">
        <v>2652</v>
      </c>
      <c r="I80" s="14" t="n">
        <v>98</v>
      </c>
      <c r="J80" s="14" t="n">
        <v>68</v>
      </c>
      <c r="K80" s="28" t="n">
        <v>3</v>
      </c>
      <c r="L80" s="14" t="n">
        <v>55573</v>
      </c>
      <c r="M80" s="14" t="n">
        <v>1092</v>
      </c>
    </row>
    <row r="81" customFormat="false" ht="15.75" hidden="false" customHeight="false" outlineLevel="0" collapsed="false">
      <c r="A81" s="0" t="s">
        <v>63</v>
      </c>
      <c r="B81" s="1" t="n">
        <v>43941</v>
      </c>
      <c r="C81" s="14" t="n">
        <v>3621</v>
      </c>
      <c r="D81" s="14" t="n">
        <v>182</v>
      </c>
      <c r="E81" s="14" t="n">
        <v>166</v>
      </c>
      <c r="F81" s="14" t="n">
        <v>13</v>
      </c>
      <c r="G81" s="14" t="n">
        <v>691</v>
      </c>
      <c r="H81" s="14" t="n">
        <v>2764</v>
      </c>
      <c r="I81" s="14" t="n">
        <v>98</v>
      </c>
      <c r="J81" s="14" t="n">
        <v>71</v>
      </c>
      <c r="K81" s="28" t="n">
        <v>3</v>
      </c>
      <c r="L81" s="14" t="n">
        <v>59002</v>
      </c>
      <c r="M81" s="14" t="n">
        <v>1160</v>
      </c>
    </row>
    <row r="82" customFormat="false" ht="15.75" hidden="false" customHeight="false" outlineLevel="0" collapsed="false">
      <c r="A82" s="0" t="s">
        <v>63</v>
      </c>
      <c r="B82" s="1" t="n">
        <v>43942</v>
      </c>
      <c r="C82" s="6" t="n">
        <v>3792</v>
      </c>
      <c r="D82" s="6" t="n">
        <v>171</v>
      </c>
      <c r="E82" s="6" t="n">
        <v>179</v>
      </c>
      <c r="F82" s="6" t="n">
        <v>13</v>
      </c>
      <c r="G82" s="6" t="n">
        <v>711</v>
      </c>
      <c r="H82" s="6" t="n">
        <v>2902</v>
      </c>
      <c r="I82" s="6" t="n">
        <v>98</v>
      </c>
      <c r="J82" s="6" t="n">
        <v>75</v>
      </c>
      <c r="K82" s="11" t="n">
        <v>4</v>
      </c>
      <c r="L82" s="6" t="n">
        <v>62746</v>
      </c>
      <c r="M82" s="6" t="n">
        <v>1233</v>
      </c>
    </row>
    <row r="83" customFormat="false" ht="15.75" hidden="false" customHeight="false" outlineLevel="0" collapsed="false">
      <c r="A83" s="0" t="s">
        <v>63</v>
      </c>
      <c r="B83" s="1" t="n">
        <v>43943</v>
      </c>
      <c r="C83" s="6" t="n">
        <v>3977</v>
      </c>
      <c r="D83" s="6" t="n">
        <v>185</v>
      </c>
      <c r="E83" s="6" t="n">
        <v>189</v>
      </c>
      <c r="F83" s="6" t="n">
        <v>10</v>
      </c>
      <c r="G83" s="6" t="n">
        <v>804</v>
      </c>
      <c r="H83" s="6" t="n">
        <v>2984</v>
      </c>
      <c r="I83" s="6" t="n">
        <v>98</v>
      </c>
      <c r="J83" s="6" t="n">
        <v>78</v>
      </c>
      <c r="K83" s="11" t="n">
        <v>4</v>
      </c>
      <c r="L83" s="6" t="n">
        <v>65169</v>
      </c>
      <c r="M83" s="6" t="n">
        <v>1281</v>
      </c>
    </row>
    <row r="84" customFormat="false" ht="15.75" hidden="false" customHeight="false" outlineLevel="0" collapsed="false">
      <c r="A84" s="0" t="s">
        <v>63</v>
      </c>
      <c r="B84" s="1" t="n">
        <v>43944</v>
      </c>
      <c r="C84" s="6" t="n">
        <v>4149</v>
      </c>
      <c r="D84" s="6" t="n">
        <v>172</v>
      </c>
      <c r="E84" s="6" t="n">
        <v>196</v>
      </c>
      <c r="F84" s="6" t="n">
        <v>7</v>
      </c>
      <c r="G84" s="6" t="n">
        <v>804</v>
      </c>
      <c r="H84" s="6" t="n">
        <v>3149</v>
      </c>
      <c r="I84" s="6" t="n">
        <v>98</v>
      </c>
      <c r="J84" s="6" t="n">
        <v>82</v>
      </c>
      <c r="K84" s="11" t="n">
        <v>4</v>
      </c>
      <c r="L84" s="6" t="n">
        <v>68428</v>
      </c>
      <c r="M84" s="6" t="n">
        <v>1345</v>
      </c>
    </row>
    <row r="85" customFormat="false" ht="15.75" hidden="false" customHeight="false" outlineLevel="0" collapsed="false">
      <c r="A85" s="0" t="s">
        <v>63</v>
      </c>
      <c r="B85" s="1" t="n">
        <v>43945</v>
      </c>
      <c r="C85" s="6" t="n">
        <v>4561</v>
      </c>
      <c r="D85" s="6" t="n">
        <v>412</v>
      </c>
      <c r="E85" s="6" t="n">
        <v>215</v>
      </c>
      <c r="F85" s="6" t="n">
        <v>19</v>
      </c>
      <c r="G85" s="6" t="n">
        <v>927</v>
      </c>
      <c r="H85" s="6" t="n">
        <v>3419</v>
      </c>
      <c r="I85" s="6" t="n">
        <v>98</v>
      </c>
      <c r="J85" s="6" t="n">
        <v>90</v>
      </c>
      <c r="K85" s="11" t="n">
        <v>4</v>
      </c>
      <c r="L85" s="6" t="n">
        <v>71500</v>
      </c>
      <c r="M85" s="6" t="n">
        <v>1405</v>
      </c>
    </row>
    <row r="86" customFormat="false" ht="15.75" hidden="false" customHeight="false" outlineLevel="0" collapsed="false">
      <c r="A86" s="0" t="s">
        <v>63</v>
      </c>
      <c r="B86" s="1" t="n">
        <v>43946</v>
      </c>
      <c r="C86" s="6" t="n">
        <v>4881</v>
      </c>
      <c r="D86" s="6" t="n">
        <v>320</v>
      </c>
      <c r="E86" s="6" t="n">
        <v>225</v>
      </c>
      <c r="F86" s="6" t="n">
        <v>10</v>
      </c>
      <c r="G86" s="6" t="n">
        <v>1003</v>
      </c>
      <c r="H86" s="6" t="n">
        <v>3653</v>
      </c>
      <c r="I86" s="6" t="n">
        <v>98</v>
      </c>
      <c r="J86" s="6" t="n">
        <v>96</v>
      </c>
      <c r="K86" s="11" t="n">
        <v>4</v>
      </c>
      <c r="L86" s="6" t="n">
        <v>71500</v>
      </c>
      <c r="M86" s="6" t="n">
        <v>1405</v>
      </c>
    </row>
    <row r="87" customFormat="false" ht="15.75" hidden="false" customHeight="false" outlineLevel="0" collapsed="false">
      <c r="A87" s="0" t="s">
        <v>63</v>
      </c>
      <c r="B87" s="1" t="n">
        <v>43947</v>
      </c>
      <c r="C87" s="6" t="n">
        <v>4881</v>
      </c>
      <c r="D87" s="6" t="n">
        <v>0</v>
      </c>
      <c r="E87" s="6" t="n">
        <v>225</v>
      </c>
      <c r="F87" s="6" t="n">
        <v>0</v>
      </c>
      <c r="G87" s="6" t="n">
        <v>1003</v>
      </c>
      <c r="H87" s="6" t="n">
        <v>3653</v>
      </c>
      <c r="I87" s="6" t="n">
        <v>117</v>
      </c>
      <c r="J87" s="6" t="n">
        <v>96</v>
      </c>
      <c r="K87" s="11" t="n">
        <v>4</v>
      </c>
      <c r="L87" s="6" t="n">
        <v>78078</v>
      </c>
      <c r="M87" s="6" t="n">
        <v>1534</v>
      </c>
    </row>
    <row r="88" customFormat="false" ht="15.75" hidden="false" customHeight="false" outlineLevel="0" collapsed="false">
      <c r="A88" s="0" t="s">
        <v>63</v>
      </c>
      <c r="B88" s="1" t="n">
        <v>43948</v>
      </c>
      <c r="C88" s="6" t="n">
        <v>5142</v>
      </c>
      <c r="D88" s="6" t="n">
        <v>261</v>
      </c>
      <c r="E88" s="6" t="n">
        <v>233</v>
      </c>
      <c r="F88" s="6" t="n">
        <v>8</v>
      </c>
      <c r="G88" s="6" t="n">
        <v>1067</v>
      </c>
      <c r="H88" s="6" t="n">
        <v>3842</v>
      </c>
      <c r="I88" s="6" t="n">
        <v>117</v>
      </c>
      <c r="J88" s="6" t="n">
        <v>101</v>
      </c>
      <c r="K88" s="11" t="n">
        <v>5</v>
      </c>
      <c r="L88" s="6" t="n">
        <v>78078</v>
      </c>
      <c r="M88" s="6" t="n">
        <v>1534</v>
      </c>
    </row>
    <row r="89" customFormat="false" ht="13.5" hidden="false" customHeight="false" outlineLevel="0" collapsed="false">
      <c r="A89" s="0" t="s">
        <v>63</v>
      </c>
      <c r="B89" s="1" t="n">
        <v>43949</v>
      </c>
      <c r="C89" s="2" t="n">
        <v>5379</v>
      </c>
      <c r="D89" s="2" t="n">
        <v>237</v>
      </c>
      <c r="E89" s="2" t="n">
        <v>244</v>
      </c>
      <c r="F89" s="2" t="n">
        <v>11</v>
      </c>
      <c r="G89" s="2" t="n">
        <v>1133</v>
      </c>
      <c r="H89" s="2" t="n">
        <v>4002</v>
      </c>
      <c r="I89" s="2" t="n">
        <v>117</v>
      </c>
      <c r="J89" s="2" t="n">
        <v>106</v>
      </c>
      <c r="K89" s="2" t="n">
        <v>5</v>
      </c>
      <c r="L89" s="2" t="n">
        <v>87199</v>
      </c>
      <c r="M89" s="2" t="n">
        <v>1714</v>
      </c>
    </row>
    <row r="90" customFormat="false" ht="13.5" hidden="false" customHeight="false" outlineLevel="0" collapsed="false">
      <c r="A90" s="0" t="s">
        <v>63</v>
      </c>
      <c r="B90" s="1" t="n">
        <v>43950</v>
      </c>
      <c r="C90" s="2" t="n">
        <v>5597</v>
      </c>
      <c r="D90" s="2" t="n">
        <v>218</v>
      </c>
      <c r="E90" s="2" t="n">
        <v>253</v>
      </c>
      <c r="F90" s="2" t="n">
        <v>9</v>
      </c>
      <c r="G90" s="2" t="n">
        <v>1210</v>
      </c>
      <c r="H90" s="2" t="n">
        <v>4134</v>
      </c>
      <c r="I90" s="2" t="n">
        <v>118</v>
      </c>
      <c r="J90" s="2" t="n">
        <v>110</v>
      </c>
      <c r="K90" s="2" t="n">
        <v>5</v>
      </c>
      <c r="L90" s="2" t="n">
        <v>90899</v>
      </c>
      <c r="M90" s="2" t="n">
        <v>1786</v>
      </c>
    </row>
    <row r="91" customFormat="false" ht="13.5" hidden="false" customHeight="false" outlineLevel="0" collapsed="false">
      <c r="A91" s="0" t="s">
        <v>63</v>
      </c>
      <c r="B91" s="1" t="n">
        <v>43951</v>
      </c>
      <c r="C91" s="2" t="n">
        <v>5949</v>
      </c>
      <c r="D91" s="2" t="n">
        <v>352</v>
      </c>
      <c r="E91" s="2" t="n">
        <v>269</v>
      </c>
      <c r="F91" s="2" t="n">
        <v>16</v>
      </c>
      <c r="G91" s="2" t="n">
        <v>1268</v>
      </c>
      <c r="H91" s="2" t="n">
        <v>4412</v>
      </c>
      <c r="I91" s="2" t="n">
        <v>118</v>
      </c>
      <c r="J91" s="2" t="n">
        <v>117</v>
      </c>
      <c r="K91" s="2" t="n">
        <v>5</v>
      </c>
      <c r="L91" s="2" t="n">
        <v>95085</v>
      </c>
      <c r="M91" s="2" t="n">
        <v>1869</v>
      </c>
    </row>
    <row r="92" customFormat="false" ht="14.25" hidden="false" customHeight="false" outlineLevel="0" collapsed="false">
      <c r="A92" s="0" t="s">
        <v>63</v>
      </c>
      <c r="B92" s="1" t="n">
        <v>43952</v>
      </c>
      <c r="C92" s="2" t="n">
        <v>6211</v>
      </c>
      <c r="D92" s="2" t="n">
        <v>262</v>
      </c>
      <c r="E92" s="2" t="n">
        <v>278</v>
      </c>
      <c r="F92" s="2" t="n">
        <v>9</v>
      </c>
      <c r="G92" s="2" t="n">
        <v>1411</v>
      </c>
      <c r="H92" s="2" t="n">
        <v>4522</v>
      </c>
      <c r="I92" s="2" t="n">
        <v>118</v>
      </c>
      <c r="J92" s="2" t="n">
        <v>122</v>
      </c>
      <c r="K92" s="2" t="n">
        <v>5</v>
      </c>
      <c r="L92" s="2" t="n">
        <v>95085</v>
      </c>
      <c r="M92" s="2" t="n">
        <v>1869</v>
      </c>
    </row>
    <row r="93" customFormat="false" ht="15.75" hidden="false" customHeight="false" outlineLevel="0" collapsed="false">
      <c r="A93" s="0" t="s">
        <v>63</v>
      </c>
      <c r="B93" s="1" t="n">
        <v>43953</v>
      </c>
      <c r="C93" s="6" t="e">
        <f aca="false">sheet1!amy94</f>
        <v>#NAME?</v>
      </c>
      <c r="D93" s="6" t="e">
        <f aca="false">sheet1!amz94</f>
        <v>#NAME?</v>
      </c>
      <c r="E93" s="6" t="e">
        <f aca="false">sheet1!ana94</f>
        <v>#NAME?</v>
      </c>
      <c r="F93" s="6" t="e">
        <f aca="false">sheet1!anb94</f>
        <v>#NAME?</v>
      </c>
      <c r="G93" s="6" t="e">
        <f aca="false">sheet1!anc94</f>
        <v>#NAME?</v>
      </c>
      <c r="H93" s="6" t="e">
        <f aca="false">sheet1!and94</f>
        <v>#NAME?</v>
      </c>
      <c r="I93" s="6" t="e">
        <f aca="false">sheet1!ane94</f>
        <v>#NAME?</v>
      </c>
      <c r="J93" s="6" t="e">
        <f aca="false">sheet1!anf94</f>
        <v>#NAME?</v>
      </c>
      <c r="K93" s="6" t="e">
        <f aca="false">sheet1!ang94</f>
        <v>#NAME?</v>
      </c>
      <c r="L93" s="6" t="e">
        <f aca="false">sheet1!anh94</f>
        <v>#NAME?</v>
      </c>
      <c r="M93" s="6" t="e">
        <f aca="false">sheet1!ani94</f>
        <v>#NAME?</v>
      </c>
    </row>
    <row r="94" customFormat="false" ht="15.75" hidden="false" customHeight="false" outlineLevel="0" collapsed="false">
      <c r="A94" s="0" t="s">
        <v>63</v>
      </c>
      <c r="B94" s="1" t="n">
        <v>43954</v>
      </c>
      <c r="C94" s="6" t="e">
        <f aca="false">sheet1!amy95</f>
        <v>#NAME?</v>
      </c>
      <c r="D94" s="6" t="e">
        <f aca="false">sheet1!amz95</f>
        <v>#NAME?</v>
      </c>
      <c r="E94" s="6" t="e">
        <f aca="false">sheet1!ana95</f>
        <v>#NAME?</v>
      </c>
      <c r="F94" s="6" t="e">
        <f aca="false">sheet1!anb95</f>
        <v>#NAME?</v>
      </c>
      <c r="G94" s="6" t="e">
        <f aca="false">sheet1!anc95</f>
        <v>#NAME?</v>
      </c>
      <c r="H94" s="6" t="e">
        <f aca="false">sheet1!and95</f>
        <v>#NAME?</v>
      </c>
      <c r="I94" s="6" t="e">
        <f aca="false">sheet1!ane95</f>
        <v>#NAME?</v>
      </c>
      <c r="J94" s="6" t="e">
        <f aca="false">sheet1!anf95</f>
        <v>#NAME?</v>
      </c>
      <c r="K94" s="6" t="e">
        <f aca="false">sheet1!ang95</f>
        <v>#NAME?</v>
      </c>
      <c r="L94" s="6" t="e">
        <f aca="false">sheet1!anh95</f>
        <v>#NAME?</v>
      </c>
      <c r="M94" s="6" t="e">
        <f aca="false">sheet1!ani95</f>
        <v>#NAME?</v>
      </c>
    </row>
    <row r="95" customFormat="false" ht="15.75" hidden="false" customHeight="false" outlineLevel="0" collapsed="false">
      <c r="A95" s="0" t="s">
        <v>63</v>
      </c>
      <c r="B95" s="1" t="n">
        <v>43955</v>
      </c>
      <c r="C95" s="6" t="e">
        <f aca="false">sheet1!amy96</f>
        <v>#NAME?</v>
      </c>
      <c r="D95" s="6" t="e">
        <f aca="false">sheet1!amz96</f>
        <v>#NAME?</v>
      </c>
      <c r="E95" s="6" t="e">
        <f aca="false">sheet1!ana96</f>
        <v>#NAME?</v>
      </c>
      <c r="F95" s="6" t="e">
        <f aca="false">sheet1!anb96</f>
        <v>#NAME?</v>
      </c>
      <c r="G95" s="6" t="e">
        <f aca="false">sheet1!anc96</f>
        <v>#NAME?</v>
      </c>
      <c r="H95" s="6" t="e">
        <f aca="false">sheet1!and96</f>
        <v>#NAME?</v>
      </c>
      <c r="I95" s="6" t="e">
        <f aca="false">sheet1!ane96</f>
        <v>#NAME?</v>
      </c>
      <c r="J95" s="6" t="e">
        <f aca="false">sheet1!anf96</f>
        <v>#NAME?</v>
      </c>
      <c r="K95" s="6" t="e">
        <f aca="false">sheet1!ang96</f>
        <v>#NAME?</v>
      </c>
      <c r="L95" s="6" t="e">
        <f aca="false">sheet1!anh96</f>
        <v>#NAME?</v>
      </c>
      <c r="M95" s="6" t="e">
        <f aca="false">sheet1!ani96</f>
        <v>#NAME?</v>
      </c>
    </row>
    <row r="96" customFormat="false" ht="15.75" hidden="false" customHeight="false" outlineLevel="0" collapsed="false">
      <c r="A96" s="0" t="s">
        <v>63</v>
      </c>
      <c r="B96" s="1" t="n">
        <v>43956</v>
      </c>
      <c r="C96" s="6" t="e">
        <f aca="false">sheet1!amy97</f>
        <v>#NAME?</v>
      </c>
      <c r="D96" s="6" t="e">
        <f aca="false">sheet1!amz97</f>
        <v>#NAME?</v>
      </c>
      <c r="E96" s="6" t="e">
        <f aca="false">sheet1!ana97</f>
        <v>#NAME?</v>
      </c>
      <c r="F96" s="6" t="e">
        <f aca="false">sheet1!anb97</f>
        <v>#NAME?</v>
      </c>
      <c r="G96" s="6" t="e">
        <f aca="false">sheet1!anc97</f>
        <v>#NAME?</v>
      </c>
      <c r="H96" s="6" t="e">
        <f aca="false">sheet1!and97</f>
        <v>#NAME?</v>
      </c>
      <c r="I96" s="6" t="e">
        <f aca="false">sheet1!ane97</f>
        <v>#NAME?</v>
      </c>
      <c r="J96" s="6" t="e">
        <f aca="false">sheet1!anf97</f>
        <v>#NAME?</v>
      </c>
      <c r="K96" s="6" t="e">
        <f aca="false">sheet1!ang97</f>
        <v>#NAME?</v>
      </c>
      <c r="L96" s="6" t="e">
        <f aca="false">sheet1!anh97</f>
        <v>#NAME?</v>
      </c>
      <c r="M96" s="6" t="e">
        <f aca="false">sheet1!ani97</f>
        <v>#NAME?</v>
      </c>
    </row>
    <row r="97" customFormat="false" ht="15.75" hidden="false" customHeight="false" outlineLevel="0" collapsed="false">
      <c r="A97" s="0" t="s">
        <v>63</v>
      </c>
      <c r="B97" s="1" t="n">
        <v>43957</v>
      </c>
      <c r="C97" s="6" t="e">
        <f aca="false">sheet1!amy98</f>
        <v>#NAME?</v>
      </c>
      <c r="D97" s="6" t="e">
        <f aca="false">sheet1!amz98</f>
        <v>#NAME?</v>
      </c>
      <c r="E97" s="6" t="e">
        <f aca="false">sheet1!ana98</f>
        <v>#NAME?</v>
      </c>
      <c r="F97" s="6" t="e">
        <f aca="false">sheet1!anb98</f>
        <v>#NAME?</v>
      </c>
      <c r="G97" s="6" t="e">
        <f aca="false">sheet1!anc98</f>
        <v>#NAME?</v>
      </c>
      <c r="H97" s="6" t="e">
        <f aca="false">sheet1!and98</f>
        <v>#NAME?</v>
      </c>
      <c r="I97" s="6" t="e">
        <f aca="false">sheet1!ane98</f>
        <v>#NAME?</v>
      </c>
      <c r="J97" s="6" t="e">
        <f aca="false">sheet1!anf98</f>
        <v>#NAME?</v>
      </c>
      <c r="K97" s="6" t="e">
        <f aca="false">sheet1!ang98</f>
        <v>#NAME?</v>
      </c>
      <c r="L97" s="6" t="e">
        <f aca="false">sheet1!anh98</f>
        <v>#NAME?</v>
      </c>
      <c r="M97" s="6" t="e">
        <f aca="false">sheet1!ani98</f>
        <v>#NAME?</v>
      </c>
    </row>
    <row r="98" customFormat="false" ht="15.75" hidden="false" customHeight="false" outlineLevel="0" collapsed="false">
      <c r="A98" s="0" t="s">
        <v>63</v>
      </c>
      <c r="B98" s="1" t="n">
        <v>43958</v>
      </c>
      <c r="C98" s="6" t="e">
        <f aca="false">sheet1!amy99</f>
        <v>#NAME?</v>
      </c>
      <c r="D98" s="6" t="e">
        <f aca="false">sheet1!amz99</f>
        <v>#NAME?</v>
      </c>
      <c r="E98" s="6" t="e">
        <f aca="false">sheet1!ana99</f>
        <v>#NAME?</v>
      </c>
      <c r="F98" s="6" t="e">
        <f aca="false">sheet1!anb99</f>
        <v>#NAME?</v>
      </c>
      <c r="G98" s="6" t="e">
        <f aca="false">sheet1!anc99</f>
        <v>#NAME?</v>
      </c>
      <c r="H98" s="6" t="e">
        <f aca="false">sheet1!and99</f>
        <v>#NAME?</v>
      </c>
      <c r="I98" s="6" t="e">
        <f aca="false">sheet1!ane99</f>
        <v>#NAME?</v>
      </c>
      <c r="J98" s="6" t="e">
        <f aca="false">sheet1!anf99</f>
        <v>#NAME?</v>
      </c>
      <c r="K98" s="6" t="e">
        <f aca="false">sheet1!ang99</f>
        <v>#NAME?</v>
      </c>
      <c r="L98" s="6" t="e">
        <f aca="false">sheet1!anh99</f>
        <v>#NAME?</v>
      </c>
      <c r="M98" s="6" t="e">
        <f aca="false">sheet1!ani99</f>
        <v>#NAME?</v>
      </c>
    </row>
    <row r="99" customFormat="false" ht="15.75" hidden="false" customHeight="false" outlineLevel="0" collapsed="false">
      <c r="A99" s="0" t="s">
        <v>63</v>
      </c>
      <c r="B99" s="1" t="n">
        <v>43959</v>
      </c>
      <c r="C99" s="6" t="e">
        <f aca="false">sheet1!amy100</f>
        <v>#NAME?</v>
      </c>
      <c r="D99" s="6" t="e">
        <f aca="false">sheet1!amz100</f>
        <v>#NAME?</v>
      </c>
      <c r="E99" s="6" t="e">
        <f aca="false">sheet1!ana100</f>
        <v>#NAME?</v>
      </c>
      <c r="F99" s="6" t="e">
        <f aca="false">sheet1!anb100</f>
        <v>#NAME?</v>
      </c>
      <c r="G99" s="6" t="e">
        <f aca="false">sheet1!anc100</f>
        <v>#NAME?</v>
      </c>
      <c r="H99" s="6" t="e">
        <f aca="false">sheet1!and100</f>
        <v>#NAME?</v>
      </c>
      <c r="I99" s="6" t="e">
        <f aca="false">sheet1!ane100</f>
        <v>#NAME?</v>
      </c>
      <c r="J99" s="6" t="e">
        <f aca="false">sheet1!anf100</f>
        <v>#NAME?</v>
      </c>
      <c r="K99" s="6" t="e">
        <f aca="false">sheet1!ang100</f>
        <v>#NAME?</v>
      </c>
      <c r="L99" s="6" t="e">
        <f aca="false">sheet1!anh100</f>
        <v>#NAME?</v>
      </c>
      <c r="M99" s="6" t="e">
        <f aca="false">sheet1!ani100</f>
        <v>#NAME?</v>
      </c>
    </row>
    <row r="100" customFormat="false" ht="15.75" hidden="false" customHeight="false" outlineLevel="0" collapsed="false">
      <c r="A100" s="0" t="s">
        <v>63</v>
      </c>
      <c r="B100" s="1" t="n">
        <v>43960</v>
      </c>
      <c r="C100" s="6" t="e">
        <f aca="false">sheet1!amy101</f>
        <v>#NAME?</v>
      </c>
      <c r="D100" s="6" t="e">
        <f aca="false">sheet1!amz101</f>
        <v>#NAME?</v>
      </c>
      <c r="E100" s="6" t="e">
        <f aca="false">sheet1!ana101</f>
        <v>#NAME?</v>
      </c>
      <c r="F100" s="6" t="e">
        <f aca="false">sheet1!anb101</f>
        <v>#NAME?</v>
      </c>
      <c r="G100" s="6" t="e">
        <f aca="false">sheet1!anc101</f>
        <v>#NAME?</v>
      </c>
      <c r="H100" s="6" t="e">
        <f aca="false">sheet1!and101</f>
        <v>#NAME?</v>
      </c>
      <c r="I100" s="6" t="e">
        <f aca="false">sheet1!ane101</f>
        <v>#NAME?</v>
      </c>
      <c r="J100" s="6" t="e">
        <f aca="false">sheet1!anf101</f>
        <v>#NAME?</v>
      </c>
      <c r="K100" s="6" t="e">
        <f aca="false">sheet1!ang101</f>
        <v>#NAME?</v>
      </c>
      <c r="L100" s="6" t="e">
        <f aca="false">sheet1!anh101</f>
        <v>#NAME?</v>
      </c>
      <c r="M100" s="6" t="e">
        <f aca="false">sheet1!ani101</f>
        <v>#NAME?</v>
      </c>
    </row>
    <row r="101" customFormat="false" ht="15.75" hidden="false" customHeight="false" outlineLevel="0" collapsed="false">
      <c r="A101" s="0" t="s">
        <v>63</v>
      </c>
      <c r="B101" s="1" t="n">
        <v>43961</v>
      </c>
      <c r="C101" s="6" t="e">
        <f aca="false">sheet1!amy102</f>
        <v>#NAME?</v>
      </c>
      <c r="D101" s="6" t="e">
        <f aca="false">sheet1!amz102</f>
        <v>#NAME?</v>
      </c>
      <c r="E101" s="6" t="e">
        <f aca="false">sheet1!ana102</f>
        <v>#NAME?</v>
      </c>
      <c r="F101" s="6" t="e">
        <f aca="false">sheet1!anb102</f>
        <v>#NAME?</v>
      </c>
      <c r="G101" s="6" t="e">
        <f aca="false">sheet1!anc102</f>
        <v>#NAME?</v>
      </c>
      <c r="H101" s="6" t="e">
        <f aca="false">sheet1!and102</f>
        <v>#NAME?</v>
      </c>
      <c r="I101" s="6" t="e">
        <f aca="false">sheet1!ane102</f>
        <v>#NAME?</v>
      </c>
      <c r="J101" s="6" t="e">
        <f aca="false">sheet1!anf102</f>
        <v>#NAME?</v>
      </c>
      <c r="K101" s="6" t="e">
        <f aca="false">sheet1!ang102</f>
        <v>#NAME?</v>
      </c>
      <c r="L101" s="6" t="e">
        <f aca="false">sheet1!anh102</f>
        <v>#NAME?</v>
      </c>
      <c r="M101" s="6" t="e">
        <f aca="false">sheet1!ani102</f>
        <v>#NAME?</v>
      </c>
    </row>
    <row r="102" customFormat="false" ht="15.75" hidden="false" customHeight="false" outlineLevel="0" collapsed="false">
      <c r="A102" s="0" t="s">
        <v>63</v>
      </c>
      <c r="B102" s="1" t="n">
        <v>43962</v>
      </c>
      <c r="C102" s="6" t="e">
        <f aca="false">sheet1!amy103</f>
        <v>#NAME?</v>
      </c>
      <c r="D102" s="6" t="e">
        <f aca="false">sheet1!amz103</f>
        <v>#NAME?</v>
      </c>
      <c r="E102" s="6" t="e">
        <f aca="false">sheet1!ana103</f>
        <v>#NAME?</v>
      </c>
      <c r="F102" s="6" t="e">
        <f aca="false">sheet1!anb103</f>
        <v>#NAME?</v>
      </c>
      <c r="G102" s="6" t="e">
        <f aca="false">sheet1!anc103</f>
        <v>#NAME?</v>
      </c>
      <c r="H102" s="6" t="e">
        <f aca="false">sheet1!and103</f>
        <v>#NAME?</v>
      </c>
      <c r="I102" s="6" t="e">
        <f aca="false">sheet1!ane103</f>
        <v>#NAME?</v>
      </c>
      <c r="J102" s="6" t="e">
        <f aca="false">sheet1!anf103</f>
        <v>#NAME?</v>
      </c>
      <c r="K102" s="6" t="e">
        <f aca="false">sheet1!ang103</f>
        <v>#NAME?</v>
      </c>
      <c r="L102" s="6" t="e">
        <f aca="false">sheet1!anh103</f>
        <v>#NAME?</v>
      </c>
      <c r="M102" s="6" t="e">
        <f aca="false">sheet1!ani103</f>
        <v>#NAME?</v>
      </c>
    </row>
    <row r="103" customFormat="false" ht="15.75" hidden="false" customHeight="false" outlineLevel="0" collapsed="false">
      <c r="A103" s="0" t="s">
        <v>63</v>
      </c>
      <c r="B103" s="1" t="n">
        <v>43963</v>
      </c>
      <c r="C103" s="6" t="e">
        <f aca="false">sheet1!amy104</f>
        <v>#NAME?</v>
      </c>
      <c r="D103" s="6" t="e">
        <f aca="false">sheet1!amz104</f>
        <v>#NAME?</v>
      </c>
      <c r="E103" s="6" t="e">
        <f aca="false">sheet1!ana104</f>
        <v>#NAME?</v>
      </c>
      <c r="F103" s="6" t="e">
        <f aca="false">sheet1!anb104</f>
        <v>#NAME?</v>
      </c>
      <c r="G103" s="6" t="e">
        <f aca="false">sheet1!anc104</f>
        <v>#NAME?</v>
      </c>
      <c r="H103" s="6" t="e">
        <f aca="false">sheet1!and104</f>
        <v>#NAME?</v>
      </c>
      <c r="I103" s="6" t="e">
        <f aca="false">sheet1!ane104</f>
        <v>#NAME?</v>
      </c>
      <c r="J103" s="6" t="e">
        <f aca="false">sheet1!anf104</f>
        <v>#NAME?</v>
      </c>
      <c r="K103" s="6" t="e">
        <f aca="false">sheet1!ang104</f>
        <v>#NAME?</v>
      </c>
      <c r="L103" s="6" t="e">
        <f aca="false">sheet1!anh104</f>
        <v>#NAME?</v>
      </c>
      <c r="M103" s="6" t="e">
        <f aca="false">sheet1!ani104</f>
        <v>#NAME?</v>
      </c>
    </row>
    <row r="104" customFormat="false" ht="15.75" hidden="false" customHeight="false" outlineLevel="0" collapsed="false">
      <c r="A104" s="0" t="s">
        <v>63</v>
      </c>
      <c r="B104" s="1" t="n">
        <v>43964</v>
      </c>
      <c r="C104" s="6" t="e">
        <f aca="false">sheet1!amy105</f>
        <v>#NAME?</v>
      </c>
      <c r="D104" s="6" t="e">
        <f aca="false">sheet1!amz105</f>
        <v>#NAME?</v>
      </c>
      <c r="E104" s="6" t="e">
        <f aca="false">sheet1!ana105</f>
        <v>#NAME?</v>
      </c>
      <c r="F104" s="6" t="e">
        <f aca="false">sheet1!anb105</f>
        <v>#NAME?</v>
      </c>
      <c r="G104" s="6" t="e">
        <f aca="false">sheet1!anc105</f>
        <v>#NAME?</v>
      </c>
      <c r="H104" s="6" t="e">
        <f aca="false">sheet1!and105</f>
        <v>#NAME?</v>
      </c>
      <c r="I104" s="6" t="e">
        <f aca="false">sheet1!ane105</f>
        <v>#NAME?</v>
      </c>
      <c r="J104" s="6" t="e">
        <f aca="false">sheet1!anf105</f>
        <v>#NAME?</v>
      </c>
      <c r="K104" s="6" t="e">
        <f aca="false">sheet1!ang105</f>
        <v>#NAME?</v>
      </c>
      <c r="L104" s="6" t="e">
        <f aca="false">sheet1!anh105</f>
        <v>#NAME?</v>
      </c>
      <c r="M104" s="6" t="e">
        <f aca="false">sheet1!ani105</f>
        <v>#NAME?</v>
      </c>
    </row>
    <row r="105" customFormat="false" ht="15.75" hidden="false" customHeight="false" outlineLevel="0" collapsed="false">
      <c r="A105" s="0" t="s">
        <v>63</v>
      </c>
      <c r="B105" s="1" t="n">
        <v>43965</v>
      </c>
      <c r="C105" s="6" t="e">
        <f aca="false">sheet1!amy106</f>
        <v>#NAME?</v>
      </c>
      <c r="D105" s="6" t="e">
        <f aca="false">sheet1!amz106</f>
        <v>#NAME?</v>
      </c>
      <c r="E105" s="6" t="e">
        <f aca="false">sheet1!ana106</f>
        <v>#NAME?</v>
      </c>
      <c r="F105" s="6" t="e">
        <f aca="false">sheet1!anb106</f>
        <v>#NAME?</v>
      </c>
      <c r="G105" s="6" t="e">
        <f aca="false">sheet1!anc106</f>
        <v>#NAME?</v>
      </c>
      <c r="H105" s="6" t="e">
        <f aca="false">sheet1!and106</f>
        <v>#NAME?</v>
      </c>
      <c r="I105" s="6" t="e">
        <f aca="false">sheet1!ane106</f>
        <v>#NAME?</v>
      </c>
      <c r="J105" s="6" t="e">
        <f aca="false">sheet1!anf106</f>
        <v>#NAME?</v>
      </c>
      <c r="K105" s="6" t="e">
        <f aca="false">sheet1!ang106</f>
        <v>#NAME?</v>
      </c>
      <c r="L105" s="6" t="e">
        <f aca="false">sheet1!anh106</f>
        <v>#NAME?</v>
      </c>
      <c r="M105" s="6" t="e">
        <f aca="false">sheet1!ani106</f>
        <v>#NAME?</v>
      </c>
    </row>
    <row r="106" customFormat="false" ht="15.75" hidden="false" customHeight="false" outlineLevel="0" collapsed="false">
      <c r="A106" s="0" t="s">
        <v>63</v>
      </c>
      <c r="B106" s="1" t="n">
        <v>43966</v>
      </c>
      <c r="C106" s="6" t="e">
        <f aca="false">sheet1!amy107</f>
        <v>#NAME?</v>
      </c>
      <c r="D106" s="6" t="e">
        <f aca="false">sheet1!amz107</f>
        <v>#NAME?</v>
      </c>
      <c r="E106" s="6" t="e">
        <f aca="false">sheet1!ana107</f>
        <v>#NAME?</v>
      </c>
      <c r="F106" s="6" t="e">
        <f aca="false">sheet1!anb107</f>
        <v>#NAME?</v>
      </c>
      <c r="G106" s="6" t="e">
        <f aca="false">sheet1!anc107</f>
        <v>#NAME?</v>
      </c>
      <c r="H106" s="6" t="e">
        <f aca="false">sheet1!and107</f>
        <v>#NAME?</v>
      </c>
      <c r="I106" s="6" t="e">
        <f aca="false">sheet1!ane107</f>
        <v>#NAME?</v>
      </c>
      <c r="J106" s="6" t="e">
        <f aca="false">sheet1!anf107</f>
        <v>#NAME?</v>
      </c>
      <c r="K106" s="6" t="e">
        <f aca="false">sheet1!ang107</f>
        <v>#NAME?</v>
      </c>
      <c r="L106" s="6" t="e">
        <f aca="false">sheet1!anh107</f>
        <v>#NAME?</v>
      </c>
      <c r="M106" s="6" t="e">
        <f aca="false">sheet1!ani107</f>
        <v>#NAME?</v>
      </c>
    </row>
    <row r="107" customFormat="false" ht="15.75" hidden="false" customHeight="false" outlineLevel="0" collapsed="false">
      <c r="A107" s="0" t="s">
        <v>63</v>
      </c>
      <c r="B107" s="1" t="n">
        <v>43967</v>
      </c>
      <c r="C107" s="6" t="e">
        <f aca="false">sheet1!amy108</f>
        <v>#NAME?</v>
      </c>
      <c r="D107" s="6" t="e">
        <f aca="false">sheet1!amz108</f>
        <v>#NAME?</v>
      </c>
      <c r="E107" s="6" t="e">
        <f aca="false">sheet1!ana108</f>
        <v>#NAME?</v>
      </c>
      <c r="F107" s="6" t="e">
        <f aca="false">sheet1!anb108</f>
        <v>#NAME?</v>
      </c>
      <c r="G107" s="6" t="e">
        <f aca="false">sheet1!anc108</f>
        <v>#NAME?</v>
      </c>
      <c r="H107" s="6" t="e">
        <f aca="false">sheet1!and108</f>
        <v>#NAME?</v>
      </c>
      <c r="I107" s="6" t="e">
        <f aca="false">sheet1!ane108</f>
        <v>#NAME?</v>
      </c>
      <c r="J107" s="6" t="e">
        <f aca="false">sheet1!anf108</f>
        <v>#NAME?</v>
      </c>
      <c r="K107" s="6" t="e">
        <f aca="false">sheet1!ang108</f>
        <v>#NAME?</v>
      </c>
      <c r="L107" s="6" t="e">
        <f aca="false">sheet1!anh108</f>
        <v>#NAME?</v>
      </c>
      <c r="M107" s="6" t="e">
        <f aca="false">sheet1!ani108</f>
        <v>#NAME?</v>
      </c>
    </row>
    <row r="108" customFormat="false" ht="15.75" hidden="false" customHeight="false" outlineLevel="0" collapsed="false">
      <c r="A108" s="0" t="s">
        <v>63</v>
      </c>
      <c r="B108" s="1" t="n">
        <v>43968</v>
      </c>
      <c r="C108" s="6" t="e">
        <f aca="false">sheet1!amy109</f>
        <v>#NAME?</v>
      </c>
      <c r="D108" s="6" t="e">
        <f aca="false">sheet1!amz109</f>
        <v>#NAME?</v>
      </c>
      <c r="E108" s="6" t="e">
        <f aca="false">sheet1!ana109</f>
        <v>#NAME?</v>
      </c>
      <c r="F108" s="6" t="e">
        <f aca="false">sheet1!anb109</f>
        <v>#NAME?</v>
      </c>
      <c r="G108" s="6" t="e">
        <f aca="false">sheet1!anc109</f>
        <v>#NAME?</v>
      </c>
      <c r="H108" s="6" t="e">
        <f aca="false">sheet1!and109</f>
        <v>#NAME?</v>
      </c>
      <c r="I108" s="6" t="e">
        <f aca="false">sheet1!ane109</f>
        <v>#NAME?</v>
      </c>
      <c r="J108" s="6" t="e">
        <f aca="false">sheet1!anf109</f>
        <v>#NAME?</v>
      </c>
      <c r="K108" s="6" t="e">
        <f aca="false">sheet1!ang109</f>
        <v>#NAME?</v>
      </c>
      <c r="L108" s="6" t="e">
        <f aca="false">sheet1!anh109</f>
        <v>#NAME?</v>
      </c>
      <c r="M108" s="6" t="e">
        <f aca="false">sheet1!ani109</f>
        <v>#NAME?</v>
      </c>
    </row>
    <row r="109" customFormat="false" ht="15.75" hidden="false" customHeight="false" outlineLevel="0" collapsed="false">
      <c r="A109" s="0" t="s">
        <v>63</v>
      </c>
      <c r="B109" s="1" t="n">
        <v>43969</v>
      </c>
      <c r="C109" s="6" t="e">
        <f aca="false">sheet1!amy110</f>
        <v>#NAME?</v>
      </c>
      <c r="D109" s="6" t="e">
        <f aca="false">sheet1!amz110</f>
        <v>#NAME?</v>
      </c>
      <c r="E109" s="6" t="e">
        <f aca="false">sheet1!ana110</f>
        <v>#NAME?</v>
      </c>
      <c r="F109" s="6" t="e">
        <f aca="false">sheet1!anb110</f>
        <v>#NAME?</v>
      </c>
      <c r="G109" s="6" t="e">
        <f aca="false">sheet1!anc110</f>
        <v>#NAME?</v>
      </c>
      <c r="H109" s="6" t="e">
        <f aca="false">sheet1!and110</f>
        <v>#NAME?</v>
      </c>
      <c r="I109" s="6" t="e">
        <f aca="false">sheet1!ane110</f>
        <v>#NAME?</v>
      </c>
      <c r="J109" s="6" t="e">
        <f aca="false">sheet1!anf110</f>
        <v>#NAME?</v>
      </c>
      <c r="K109" s="6" t="e">
        <f aca="false">sheet1!ang110</f>
        <v>#NAME?</v>
      </c>
      <c r="L109" s="6" t="e">
        <f aca="false">sheet1!anh110</f>
        <v>#NAME?</v>
      </c>
      <c r="M109" s="6" t="e">
        <f aca="false">sheet1!ani110</f>
        <v>#NAME?</v>
      </c>
    </row>
    <row r="110" customFormat="false" ht="15.75" hidden="false" customHeight="false" outlineLevel="0" collapsed="false">
      <c r="A110" s="0" t="s">
        <v>63</v>
      </c>
      <c r="B110" s="1" t="n">
        <v>43970</v>
      </c>
      <c r="C110" s="6" t="e">
        <f aca="false">sheet1!amy111</f>
        <v>#NAME?</v>
      </c>
      <c r="D110" s="6" t="e">
        <f aca="false">sheet1!amz111</f>
        <v>#NAME?</v>
      </c>
      <c r="E110" s="6" t="e">
        <f aca="false">sheet1!ana111</f>
        <v>#NAME?</v>
      </c>
      <c r="F110" s="6" t="e">
        <f aca="false">sheet1!anb111</f>
        <v>#NAME?</v>
      </c>
      <c r="G110" s="6" t="e">
        <f aca="false">sheet1!anc111</f>
        <v>#NAME?</v>
      </c>
      <c r="H110" s="6" t="e">
        <f aca="false">sheet1!and111</f>
        <v>#NAME?</v>
      </c>
      <c r="I110" s="6" t="e">
        <f aca="false">sheet1!ane111</f>
        <v>#NAME?</v>
      </c>
      <c r="J110" s="6" t="e">
        <f aca="false">sheet1!anf111</f>
        <v>#NAME?</v>
      </c>
      <c r="K110" s="6" t="e">
        <f aca="false">sheet1!ang111</f>
        <v>#NAME?</v>
      </c>
      <c r="L110" s="6" t="e">
        <f aca="false">sheet1!anh111</f>
        <v>#NAME?</v>
      </c>
      <c r="M110" s="6" t="e">
        <f aca="false">sheet1!ani111</f>
        <v>#NAME?</v>
      </c>
    </row>
    <row r="111" customFormat="false" ht="15.75" hidden="false" customHeight="false" outlineLevel="0" collapsed="false">
      <c r="A111" s="0" t="s">
        <v>63</v>
      </c>
      <c r="B111" s="1" t="n">
        <v>43971</v>
      </c>
      <c r="C111" s="6" t="e">
        <f aca="false">sheet1!amy112</f>
        <v>#NAME?</v>
      </c>
      <c r="D111" s="6" t="e">
        <f aca="false">sheet1!amz112</f>
        <v>#NAME?</v>
      </c>
      <c r="E111" s="6" t="e">
        <f aca="false">sheet1!ana112</f>
        <v>#NAME?</v>
      </c>
      <c r="F111" s="6" t="e">
        <f aca="false">sheet1!anb112</f>
        <v>#NAME?</v>
      </c>
      <c r="G111" s="6" t="e">
        <f aca="false">sheet1!anc112</f>
        <v>#NAME?</v>
      </c>
      <c r="H111" s="6" t="e">
        <f aca="false">sheet1!and112</f>
        <v>#NAME?</v>
      </c>
      <c r="I111" s="6" t="e">
        <f aca="false">sheet1!ane112</f>
        <v>#NAME?</v>
      </c>
      <c r="J111" s="6" t="e">
        <f aca="false">sheet1!anf112</f>
        <v>#NAME?</v>
      </c>
      <c r="K111" s="6" t="e">
        <f aca="false">sheet1!ang112</f>
        <v>#NAME?</v>
      </c>
      <c r="L111" s="6" t="e">
        <f aca="false">sheet1!anh112</f>
        <v>#NAME?</v>
      </c>
      <c r="M111" s="6" t="e">
        <f aca="false">sheet1!ani112</f>
        <v>#NAME?</v>
      </c>
    </row>
    <row r="112" customFormat="false" ht="15.75" hidden="false" customHeight="false" outlineLevel="0" collapsed="false">
      <c r="A112" s="0" t="s">
        <v>63</v>
      </c>
      <c r="B112" s="1" t="n">
        <v>43972</v>
      </c>
      <c r="C112" s="6" t="e">
        <f aca="false">sheet1!amy113</f>
        <v>#NAME?</v>
      </c>
      <c r="D112" s="6" t="e">
        <f aca="false">sheet1!amz113</f>
        <v>#NAME?</v>
      </c>
      <c r="E112" s="6" t="e">
        <f aca="false">sheet1!ana113</f>
        <v>#NAME?</v>
      </c>
      <c r="F112" s="6" t="e">
        <f aca="false">sheet1!anb113</f>
        <v>#NAME?</v>
      </c>
      <c r="G112" s="6" t="e">
        <f aca="false">sheet1!anc113</f>
        <v>#NAME?</v>
      </c>
      <c r="H112" s="6" t="e">
        <f aca="false">sheet1!and113</f>
        <v>#NAME?</v>
      </c>
      <c r="I112" s="6" t="e">
        <f aca="false">sheet1!ane113</f>
        <v>#NAME?</v>
      </c>
      <c r="J112" s="6" t="e">
        <f aca="false">sheet1!anf113</f>
        <v>#NAME?</v>
      </c>
      <c r="K112" s="6" t="e">
        <f aca="false">sheet1!ang113</f>
        <v>#NAME?</v>
      </c>
      <c r="L112" s="6" t="e">
        <f aca="false">sheet1!anh113</f>
        <v>#NAME?</v>
      </c>
      <c r="M112" s="6" t="e">
        <f aca="false">sheet1!ani113</f>
        <v>#NAME?</v>
      </c>
    </row>
    <row r="113" customFormat="false" ht="15.75" hidden="false" customHeight="false" outlineLevel="0" collapsed="false">
      <c r="A113" s="0" t="s">
        <v>63</v>
      </c>
      <c r="B113" s="1" t="n">
        <v>43973</v>
      </c>
      <c r="C113" s="6" t="e">
        <f aca="false">sheet1!amy114</f>
        <v>#NAME?</v>
      </c>
      <c r="D113" s="6" t="e">
        <f aca="false">sheet1!amz114</f>
        <v>#NAME?</v>
      </c>
      <c r="E113" s="6" t="e">
        <f aca="false">sheet1!ana114</f>
        <v>#NAME?</v>
      </c>
      <c r="F113" s="6" t="e">
        <f aca="false">sheet1!anb114</f>
        <v>#NAME?</v>
      </c>
      <c r="G113" s="6" t="e">
        <f aca="false">sheet1!anc114</f>
        <v>#NAME?</v>
      </c>
      <c r="H113" s="6" t="e">
        <f aca="false">sheet1!and114</f>
        <v>#NAME?</v>
      </c>
      <c r="I113" s="6" t="e">
        <f aca="false">sheet1!ane114</f>
        <v>#NAME?</v>
      </c>
      <c r="J113" s="6" t="e">
        <f aca="false">sheet1!anf114</f>
        <v>#NAME?</v>
      </c>
      <c r="K113" s="6" t="e">
        <f aca="false">sheet1!ang114</f>
        <v>#NAME?</v>
      </c>
      <c r="L113" s="6" t="e">
        <f aca="false">sheet1!anh114</f>
        <v>#NAME?</v>
      </c>
      <c r="M113" s="6" t="e">
        <f aca="false">sheet1!ani114</f>
        <v>#NAME?</v>
      </c>
    </row>
    <row r="114" customFormat="false" ht="15.75" hidden="false" customHeight="false" outlineLevel="0" collapsed="false">
      <c r="A114" s="0" t="s">
        <v>63</v>
      </c>
      <c r="B114" s="1" t="n">
        <v>43974</v>
      </c>
      <c r="C114" s="6" t="e">
        <f aca="false">sheet1!amy115</f>
        <v>#NAME?</v>
      </c>
      <c r="D114" s="6" t="e">
        <f aca="false">sheet1!amz115</f>
        <v>#NAME?</v>
      </c>
      <c r="E114" s="6" t="e">
        <f aca="false">sheet1!ana115</f>
        <v>#NAME?</v>
      </c>
      <c r="F114" s="6" t="e">
        <f aca="false">sheet1!anb115</f>
        <v>#NAME?</v>
      </c>
      <c r="G114" s="6" t="e">
        <f aca="false">sheet1!anc115</f>
        <v>#NAME?</v>
      </c>
      <c r="H114" s="6" t="e">
        <f aca="false">sheet1!and115</f>
        <v>#NAME?</v>
      </c>
      <c r="I114" s="6" t="e">
        <f aca="false">sheet1!ane115</f>
        <v>#NAME?</v>
      </c>
      <c r="J114" s="6" t="e">
        <f aca="false">sheet1!anf115</f>
        <v>#NAME?</v>
      </c>
      <c r="K114" s="6" t="e">
        <f aca="false">sheet1!ang115</f>
        <v>#NAME?</v>
      </c>
      <c r="L114" s="6" t="e">
        <f aca="false">sheet1!anh115</f>
        <v>#NAME?</v>
      </c>
      <c r="M114" s="6" t="e">
        <f aca="false">sheet1!ani115</f>
        <v>#NAME?</v>
      </c>
    </row>
    <row r="115" customFormat="false" ht="15.75" hidden="false" customHeight="false" outlineLevel="0" collapsed="false">
      <c r="A115" s="0" t="s">
        <v>63</v>
      </c>
      <c r="B115" s="1" t="n">
        <v>43975</v>
      </c>
      <c r="C115" s="6" t="e">
        <f aca="false">sheet1!amy116</f>
        <v>#NAME?</v>
      </c>
      <c r="D115" s="6" t="e">
        <f aca="false">sheet1!amz116</f>
        <v>#NAME?</v>
      </c>
      <c r="E115" s="6" t="e">
        <f aca="false">sheet1!ana116</f>
        <v>#NAME?</v>
      </c>
      <c r="F115" s="6" t="e">
        <f aca="false">sheet1!anb116</f>
        <v>#NAME?</v>
      </c>
      <c r="G115" s="6" t="e">
        <f aca="false">sheet1!anc116</f>
        <v>#NAME?</v>
      </c>
      <c r="H115" s="6" t="e">
        <f aca="false">sheet1!and116</f>
        <v>#NAME?</v>
      </c>
      <c r="I115" s="6" t="e">
        <f aca="false">sheet1!ane116</f>
        <v>#NAME?</v>
      </c>
      <c r="J115" s="6" t="e">
        <f aca="false">sheet1!anf116</f>
        <v>#NAME?</v>
      </c>
      <c r="K115" s="6" t="e">
        <f aca="false">sheet1!ang116</f>
        <v>#NAME?</v>
      </c>
      <c r="L115" s="6" t="e">
        <f aca="false">sheet1!anh116</f>
        <v>#NAME?</v>
      </c>
      <c r="M115" s="6" t="e">
        <f aca="false">sheet1!ani116</f>
        <v>#NAME?</v>
      </c>
    </row>
    <row r="116" customFormat="false" ht="15.75" hidden="false" customHeight="false" outlineLevel="0" collapsed="false">
      <c r="A116" s="0" t="s">
        <v>63</v>
      </c>
      <c r="B116" s="1" t="n">
        <v>43976</v>
      </c>
      <c r="C116" s="6" t="e">
        <f aca="false">sheet1!amy117</f>
        <v>#NAME?</v>
      </c>
      <c r="D116" s="6" t="e">
        <f aca="false">sheet1!amz117</f>
        <v>#NAME?</v>
      </c>
      <c r="E116" s="6" t="e">
        <f aca="false">sheet1!ana117</f>
        <v>#NAME?</v>
      </c>
      <c r="F116" s="6" t="e">
        <f aca="false">sheet1!anb117</f>
        <v>#NAME?</v>
      </c>
      <c r="G116" s="6" t="e">
        <f aca="false">sheet1!anc117</f>
        <v>#NAME?</v>
      </c>
      <c r="H116" s="6" t="e">
        <f aca="false">sheet1!and117</f>
        <v>#NAME?</v>
      </c>
      <c r="I116" s="6" t="e">
        <f aca="false">sheet1!ane117</f>
        <v>#NAME?</v>
      </c>
      <c r="J116" s="6" t="e">
        <f aca="false">sheet1!anf117</f>
        <v>#NAME?</v>
      </c>
      <c r="K116" s="6" t="e">
        <f aca="false">sheet1!ang117</f>
        <v>#NAME?</v>
      </c>
      <c r="L116" s="6" t="e">
        <f aca="false">sheet1!anh117</f>
        <v>#NAME?</v>
      </c>
      <c r="M116" s="6" t="e">
        <f aca="false">sheet1!ani117</f>
        <v>#NAME?</v>
      </c>
    </row>
    <row r="117" customFormat="false" ht="15.75" hidden="false" customHeight="false" outlineLevel="0" collapsed="false">
      <c r="A117" s="0" t="s">
        <v>63</v>
      </c>
      <c r="B117" s="1" t="n">
        <v>43977</v>
      </c>
      <c r="C117" s="6" t="e">
        <f aca="false">sheet1!amy118</f>
        <v>#NAME?</v>
      </c>
      <c r="D117" s="6" t="e">
        <f aca="false">sheet1!amz118</f>
        <v>#NAME?</v>
      </c>
      <c r="E117" s="6" t="e">
        <f aca="false">sheet1!ana118</f>
        <v>#NAME?</v>
      </c>
      <c r="F117" s="6" t="e">
        <f aca="false">sheet1!anb118</f>
        <v>#NAME?</v>
      </c>
      <c r="G117" s="6" t="e">
        <f aca="false">sheet1!anc118</f>
        <v>#NAME?</v>
      </c>
      <c r="H117" s="6" t="e">
        <f aca="false">sheet1!and118</f>
        <v>#NAME?</v>
      </c>
      <c r="I117" s="6" t="e">
        <f aca="false">sheet1!ane118</f>
        <v>#NAME?</v>
      </c>
      <c r="J117" s="6" t="e">
        <f aca="false">sheet1!anf118</f>
        <v>#NAME?</v>
      </c>
      <c r="K117" s="6" t="e">
        <f aca="false">sheet1!ang118</f>
        <v>#NAME?</v>
      </c>
      <c r="L117" s="6" t="e">
        <f aca="false">sheet1!anh118</f>
        <v>#NAME?</v>
      </c>
      <c r="M117" s="6" t="e">
        <f aca="false">sheet1!ani118</f>
        <v>#NAME?</v>
      </c>
    </row>
    <row r="118" customFormat="false" ht="15.75" hidden="false" customHeight="false" outlineLevel="0" collapsed="false">
      <c r="A118" s="0" t="s">
        <v>63</v>
      </c>
      <c r="B118" s="1" t="n">
        <v>43978</v>
      </c>
      <c r="C118" s="6" t="e">
        <f aca="false">sheet1!amy119</f>
        <v>#NAME?</v>
      </c>
      <c r="D118" s="6" t="e">
        <f aca="false">sheet1!amz119</f>
        <v>#NAME?</v>
      </c>
      <c r="E118" s="6" t="e">
        <f aca="false">sheet1!ana119</f>
        <v>#NAME?</v>
      </c>
      <c r="F118" s="6" t="e">
        <f aca="false">sheet1!anb119</f>
        <v>#NAME?</v>
      </c>
      <c r="G118" s="6" t="e">
        <f aca="false">sheet1!anc119</f>
        <v>#NAME?</v>
      </c>
      <c r="H118" s="6" t="e">
        <f aca="false">sheet1!and119</f>
        <v>#NAME?</v>
      </c>
      <c r="I118" s="6" t="e">
        <f aca="false">sheet1!ane119</f>
        <v>#NAME?</v>
      </c>
      <c r="J118" s="6" t="e">
        <f aca="false">sheet1!anf119</f>
        <v>#NAME?</v>
      </c>
      <c r="K118" s="6" t="e">
        <f aca="false">sheet1!ang119</f>
        <v>#NAME?</v>
      </c>
      <c r="L118" s="6" t="e">
        <f aca="false">sheet1!anh119</f>
        <v>#NAME?</v>
      </c>
      <c r="M118" s="6" t="e">
        <f aca="false">sheet1!ani119</f>
        <v>#NAME?</v>
      </c>
    </row>
    <row r="119" customFormat="false" ht="15.75" hidden="false" customHeight="false" outlineLevel="0" collapsed="false">
      <c r="A119" s="0" t="s">
        <v>63</v>
      </c>
      <c r="B119" s="1" t="n">
        <v>43979</v>
      </c>
      <c r="C119" s="6" t="e">
        <f aca="false">sheet1!amy120</f>
        <v>#NAME?</v>
      </c>
      <c r="D119" s="6" t="e">
        <f aca="false">sheet1!amz120</f>
        <v>#NAME?</v>
      </c>
      <c r="E119" s="6" t="e">
        <f aca="false">sheet1!ana120</f>
        <v>#NAME?</v>
      </c>
      <c r="F119" s="6" t="e">
        <f aca="false">sheet1!anb120</f>
        <v>#NAME?</v>
      </c>
      <c r="G119" s="6" t="e">
        <f aca="false">sheet1!anc120</f>
        <v>#NAME?</v>
      </c>
      <c r="H119" s="6" t="e">
        <f aca="false">sheet1!and120</f>
        <v>#NAME?</v>
      </c>
      <c r="I119" s="6" t="e">
        <f aca="false">sheet1!ane120</f>
        <v>#NAME?</v>
      </c>
      <c r="J119" s="6" t="e">
        <f aca="false">sheet1!anf120</f>
        <v>#NAME?</v>
      </c>
      <c r="K119" s="6" t="e">
        <f aca="false">sheet1!ang120</f>
        <v>#NAME?</v>
      </c>
      <c r="L119" s="6" t="e">
        <f aca="false">sheet1!anh120</f>
        <v>#NAME?</v>
      </c>
      <c r="M119" s="6" t="e">
        <f aca="false">sheet1!ani120</f>
        <v>#NAME?</v>
      </c>
    </row>
    <row r="120" customFormat="false" ht="15.75" hidden="false" customHeight="false" outlineLevel="0" collapsed="false">
      <c r="A120" s="0" t="s">
        <v>63</v>
      </c>
      <c r="B120" s="1" t="n">
        <v>43980</v>
      </c>
      <c r="C120" s="6" t="e">
        <f aca="false">sheet1!amy121</f>
        <v>#NAME?</v>
      </c>
      <c r="D120" s="6" t="e">
        <f aca="false">sheet1!amz121</f>
        <v>#NAME?</v>
      </c>
      <c r="E120" s="6" t="e">
        <f aca="false">sheet1!ana121</f>
        <v>#NAME?</v>
      </c>
      <c r="F120" s="6" t="e">
        <f aca="false">sheet1!anb121</f>
        <v>#NAME?</v>
      </c>
      <c r="G120" s="6" t="e">
        <f aca="false">sheet1!anc121</f>
        <v>#NAME?</v>
      </c>
      <c r="H120" s="6" t="e">
        <f aca="false">sheet1!and121</f>
        <v>#NAME?</v>
      </c>
      <c r="I120" s="6" t="e">
        <f aca="false">sheet1!ane121</f>
        <v>#NAME?</v>
      </c>
      <c r="J120" s="6" t="e">
        <f aca="false">sheet1!anf121</f>
        <v>#NAME?</v>
      </c>
      <c r="K120" s="6" t="e">
        <f aca="false">sheet1!ang121</f>
        <v>#NAME?</v>
      </c>
      <c r="L120" s="6" t="e">
        <f aca="false">sheet1!anh121</f>
        <v>#NAME?</v>
      </c>
      <c r="M120" s="6" t="e">
        <f aca="false">sheet1!ani121</f>
        <v>#NAME?</v>
      </c>
    </row>
    <row r="121" customFormat="false" ht="15.75" hidden="false" customHeight="false" outlineLevel="0" collapsed="false">
      <c r="A121" s="0" t="s">
        <v>63</v>
      </c>
      <c r="B121" s="1" t="n">
        <v>43981</v>
      </c>
      <c r="C121" s="6" t="e">
        <f aca="false">sheet1!amy122</f>
        <v>#NAME?</v>
      </c>
      <c r="D121" s="6" t="e">
        <f aca="false">sheet1!amz122</f>
        <v>#NAME?</v>
      </c>
      <c r="E121" s="6" t="e">
        <f aca="false">sheet1!ana122</f>
        <v>#NAME?</v>
      </c>
      <c r="F121" s="6" t="e">
        <f aca="false">sheet1!anb122</f>
        <v>#NAME?</v>
      </c>
      <c r="G121" s="6" t="e">
        <f aca="false">sheet1!anc122</f>
        <v>#NAME?</v>
      </c>
      <c r="H121" s="6" t="e">
        <f aca="false">sheet1!and122</f>
        <v>#NAME?</v>
      </c>
      <c r="I121" s="6" t="e">
        <f aca="false">sheet1!ane122</f>
        <v>#NAME?</v>
      </c>
      <c r="J121" s="6" t="e">
        <f aca="false">sheet1!anf122</f>
        <v>#NAME?</v>
      </c>
      <c r="K121" s="6" t="e">
        <f aca="false">sheet1!ang122</f>
        <v>#NAME?</v>
      </c>
      <c r="L121" s="6" t="e">
        <f aca="false">sheet1!anh122</f>
        <v>#NAME?</v>
      </c>
      <c r="M121" s="6" t="e">
        <f aca="false">sheet1!ani122</f>
        <v>#NAME?</v>
      </c>
    </row>
    <row r="122" customFormat="false" ht="15.75" hidden="false" customHeight="false" outlineLevel="0" collapsed="false">
      <c r="A122" s="0" t="s">
        <v>63</v>
      </c>
      <c r="B122" s="1" t="n">
        <v>43982</v>
      </c>
      <c r="C122" s="6" t="e">
        <f aca="false">sheet1!amy123</f>
        <v>#NAME?</v>
      </c>
      <c r="D122" s="6" t="e">
        <f aca="false">sheet1!amz123</f>
        <v>#NAME?</v>
      </c>
      <c r="E122" s="6" t="e">
        <f aca="false">sheet1!ana123</f>
        <v>#NAME?</v>
      </c>
      <c r="F122" s="6" t="e">
        <f aca="false">sheet1!anb123</f>
        <v>#NAME?</v>
      </c>
      <c r="G122" s="6" t="e">
        <f aca="false">sheet1!anc123</f>
        <v>#NAME?</v>
      </c>
      <c r="H122" s="6" t="e">
        <f aca="false">sheet1!and123</f>
        <v>#NAME?</v>
      </c>
      <c r="I122" s="6" t="e">
        <f aca="false">sheet1!ane123</f>
        <v>#NAME?</v>
      </c>
      <c r="J122" s="6" t="e">
        <f aca="false">sheet1!anf123</f>
        <v>#NAME?</v>
      </c>
      <c r="K122" s="6" t="e">
        <f aca="false">sheet1!ang123</f>
        <v>#NAME?</v>
      </c>
      <c r="L122" s="6" t="e">
        <f aca="false">sheet1!anh123</f>
        <v>#NAME?</v>
      </c>
      <c r="M122" s="6" t="e">
        <f aca="false">sheet1!ani123</f>
        <v>#NAME?</v>
      </c>
    </row>
    <row r="123" customFormat="false" ht="15.75" hidden="false" customHeight="false" outlineLevel="0" collapsed="false">
      <c r="A123" s="0" t="s">
        <v>63</v>
      </c>
      <c r="B123" s="1" t="n">
        <v>43983</v>
      </c>
      <c r="C123" s="6" t="e">
        <f aca="false">sheet1!amy124</f>
        <v>#NAME?</v>
      </c>
      <c r="D123" s="6" t="e">
        <f aca="false">sheet1!amz124</f>
        <v>#NAME?</v>
      </c>
      <c r="E123" s="6" t="e">
        <f aca="false">sheet1!ana124</f>
        <v>#NAME?</v>
      </c>
      <c r="F123" s="6" t="e">
        <f aca="false">sheet1!anb124</f>
        <v>#NAME?</v>
      </c>
      <c r="G123" s="6" t="e">
        <f aca="false">sheet1!anc124</f>
        <v>#NAME?</v>
      </c>
      <c r="H123" s="6" t="e">
        <f aca="false">sheet1!and124</f>
        <v>#NAME?</v>
      </c>
      <c r="I123" s="6" t="e">
        <f aca="false">sheet1!ane124</f>
        <v>#NAME?</v>
      </c>
      <c r="J123" s="6" t="e">
        <f aca="false">sheet1!anf124</f>
        <v>#NAME?</v>
      </c>
      <c r="K123" s="6" t="e">
        <f aca="false">sheet1!ang124</f>
        <v>#NAME?</v>
      </c>
      <c r="L123" s="6" t="e">
        <f aca="false">sheet1!anh124</f>
        <v>#NAME?</v>
      </c>
      <c r="M123" s="6" t="e">
        <f aca="false">sheet1!ani124</f>
        <v>#NAME?</v>
      </c>
    </row>
    <row r="124" customFormat="false" ht="15.75" hidden="false" customHeight="false" outlineLevel="0" collapsed="false">
      <c r="A124" s="0" t="s">
        <v>63</v>
      </c>
      <c r="B124" s="1" t="n">
        <v>43984</v>
      </c>
      <c r="C124" s="6" t="e">
        <f aca="false">sheet1!amy125</f>
        <v>#NAME?</v>
      </c>
      <c r="D124" s="6" t="e">
        <f aca="false">sheet1!amz125</f>
        <v>#NAME?</v>
      </c>
      <c r="E124" s="6" t="e">
        <f aca="false">sheet1!ana125</f>
        <v>#NAME?</v>
      </c>
      <c r="F124" s="6" t="e">
        <f aca="false">sheet1!anb125</f>
        <v>#NAME?</v>
      </c>
      <c r="G124" s="6" t="e">
        <f aca="false">sheet1!anc125</f>
        <v>#NAME?</v>
      </c>
      <c r="H124" s="6" t="e">
        <f aca="false">sheet1!and125</f>
        <v>#NAME?</v>
      </c>
      <c r="I124" s="6" t="e">
        <f aca="false">sheet1!ane125</f>
        <v>#NAME?</v>
      </c>
      <c r="J124" s="6" t="e">
        <f aca="false">sheet1!anf125</f>
        <v>#NAME?</v>
      </c>
      <c r="K124" s="6" t="e">
        <f aca="false">sheet1!ang125</f>
        <v>#NAME?</v>
      </c>
      <c r="L124" s="6" t="e">
        <f aca="false">sheet1!anh125</f>
        <v>#NAME?</v>
      </c>
      <c r="M124" s="6" t="e">
        <f aca="false">sheet1!ani125</f>
        <v>#NAME?</v>
      </c>
    </row>
    <row r="125" customFormat="false" ht="15.75" hidden="false" customHeight="false" outlineLevel="0" collapsed="false">
      <c r="A125" s="0" t="s">
        <v>63</v>
      </c>
      <c r="B125" s="1" t="n">
        <v>43985</v>
      </c>
      <c r="C125" s="6" t="e">
        <f aca="false">sheet1!amy126</f>
        <v>#NAME?</v>
      </c>
      <c r="D125" s="6" t="e">
        <f aca="false">sheet1!amz126</f>
        <v>#NAME?</v>
      </c>
      <c r="E125" s="6" t="e">
        <f aca="false">sheet1!ana126</f>
        <v>#NAME?</v>
      </c>
      <c r="F125" s="6" t="e">
        <f aca="false">sheet1!anb126</f>
        <v>#NAME?</v>
      </c>
      <c r="G125" s="6" t="e">
        <f aca="false">sheet1!anc126</f>
        <v>#NAME?</v>
      </c>
      <c r="H125" s="6" t="e">
        <f aca="false">sheet1!and126</f>
        <v>#NAME?</v>
      </c>
      <c r="I125" s="6" t="e">
        <f aca="false">sheet1!ane126</f>
        <v>#NAME?</v>
      </c>
      <c r="J125" s="6" t="e">
        <f aca="false">sheet1!anf126</f>
        <v>#NAME?</v>
      </c>
      <c r="K125" s="6" t="e">
        <f aca="false">sheet1!ang126</f>
        <v>#NAME?</v>
      </c>
      <c r="L125" s="6" t="e">
        <f aca="false">sheet1!anh126</f>
        <v>#NAME?</v>
      </c>
      <c r="M125" s="6" t="e">
        <f aca="false">sheet1!ani126</f>
        <v>#NAME?</v>
      </c>
    </row>
    <row r="126" customFormat="false" ht="15.75" hidden="false" customHeight="false" outlineLevel="0" collapsed="false">
      <c r="A126" s="0" t="s">
        <v>63</v>
      </c>
      <c r="B126" s="1" t="n">
        <v>43986</v>
      </c>
      <c r="C126" s="6" t="e">
        <f aca="false">sheet1!amy127</f>
        <v>#NAME?</v>
      </c>
      <c r="D126" s="6" t="e">
        <f aca="false">sheet1!amz127</f>
        <v>#NAME?</v>
      </c>
      <c r="E126" s="6" t="e">
        <f aca="false">sheet1!ana127</f>
        <v>#NAME?</v>
      </c>
      <c r="F126" s="6" t="e">
        <f aca="false">sheet1!anb127</f>
        <v>#NAME?</v>
      </c>
      <c r="G126" s="6" t="e">
        <f aca="false">sheet1!anc127</f>
        <v>#NAME?</v>
      </c>
      <c r="H126" s="6" t="e">
        <f aca="false">sheet1!and127</f>
        <v>#NAME?</v>
      </c>
      <c r="I126" s="6" t="e">
        <f aca="false">sheet1!ane127</f>
        <v>#NAME?</v>
      </c>
      <c r="J126" s="6" t="e">
        <f aca="false">sheet1!anf127</f>
        <v>#NAME?</v>
      </c>
      <c r="K126" s="6" t="e">
        <f aca="false">sheet1!ang127</f>
        <v>#NAME?</v>
      </c>
      <c r="L126" s="6" t="e">
        <f aca="false">sheet1!anh127</f>
        <v>#NAME?</v>
      </c>
      <c r="M126" s="6" t="e">
        <f aca="false">sheet1!ani127</f>
        <v>#NAME?</v>
      </c>
    </row>
    <row r="127" customFormat="false" ht="15.75" hidden="false" customHeight="false" outlineLevel="0" collapsed="false">
      <c r="A127" s="0" t="s">
        <v>63</v>
      </c>
      <c r="B127" s="1" t="n">
        <v>43987</v>
      </c>
      <c r="C127" s="6" t="e">
        <f aca="false">sheet1!amy128</f>
        <v>#NAME?</v>
      </c>
      <c r="D127" s="6" t="e">
        <f aca="false">sheet1!amz128</f>
        <v>#NAME?</v>
      </c>
      <c r="E127" s="6" t="e">
        <f aca="false">sheet1!ana128</f>
        <v>#NAME?</v>
      </c>
      <c r="F127" s="6" t="e">
        <f aca="false">sheet1!anb128</f>
        <v>#NAME?</v>
      </c>
      <c r="G127" s="6" t="e">
        <f aca="false">sheet1!anc128</f>
        <v>#NAME?</v>
      </c>
      <c r="H127" s="6" t="e">
        <f aca="false">sheet1!and128</f>
        <v>#NAME?</v>
      </c>
      <c r="I127" s="6" t="e">
        <f aca="false">sheet1!ane128</f>
        <v>#NAME?</v>
      </c>
      <c r="J127" s="6" t="e">
        <f aca="false">sheet1!anf128</f>
        <v>#NAME?</v>
      </c>
      <c r="K127" s="6" t="e">
        <f aca="false">sheet1!ang128</f>
        <v>#NAME?</v>
      </c>
      <c r="L127" s="6" t="e">
        <f aca="false">sheet1!anh128</f>
        <v>#NAME?</v>
      </c>
      <c r="M127" s="6" t="e">
        <f aca="false">sheet1!ani128</f>
        <v>#NAME?</v>
      </c>
    </row>
    <row r="128" customFormat="false" ht="15.75" hidden="false" customHeight="false" outlineLevel="0" collapsed="false">
      <c r="A128" s="0" t="s">
        <v>63</v>
      </c>
      <c r="B128" s="1" t="n">
        <v>43988</v>
      </c>
      <c r="C128" s="6" t="e">
        <f aca="false">sheet1!amy129</f>
        <v>#NAME?</v>
      </c>
      <c r="D128" s="6" t="e">
        <f aca="false">sheet1!amz129</f>
        <v>#NAME?</v>
      </c>
      <c r="E128" s="6" t="e">
        <f aca="false">sheet1!ana129</f>
        <v>#NAME?</v>
      </c>
      <c r="F128" s="6" t="e">
        <f aca="false">sheet1!anb129</f>
        <v>#NAME?</v>
      </c>
      <c r="G128" s="6" t="e">
        <f aca="false">sheet1!anc129</f>
        <v>#NAME?</v>
      </c>
      <c r="H128" s="6" t="e">
        <f aca="false">sheet1!and129</f>
        <v>#NAME?</v>
      </c>
      <c r="I128" s="6" t="e">
        <f aca="false">sheet1!ane129</f>
        <v>#NAME?</v>
      </c>
      <c r="J128" s="6" t="e">
        <f aca="false">sheet1!anf129</f>
        <v>#NAME?</v>
      </c>
      <c r="K128" s="6" t="e">
        <f aca="false">sheet1!ang129</f>
        <v>#NAME?</v>
      </c>
      <c r="L128" s="6" t="e">
        <f aca="false">sheet1!anh129</f>
        <v>#NAME?</v>
      </c>
      <c r="M128" s="6" t="e">
        <f aca="false">sheet1!ani129</f>
        <v>#NAME?</v>
      </c>
    </row>
    <row r="129" customFormat="false" ht="15.75" hidden="false" customHeight="false" outlineLevel="0" collapsed="false">
      <c r="A129" s="0" t="s">
        <v>63</v>
      </c>
      <c r="B129" s="1" t="n">
        <v>43989</v>
      </c>
      <c r="C129" s="6" t="e">
        <f aca="false">sheet1!amy130</f>
        <v>#NAME?</v>
      </c>
      <c r="D129" s="6" t="e">
        <f aca="false">sheet1!amz130</f>
        <v>#NAME?</v>
      </c>
      <c r="E129" s="6" t="e">
        <f aca="false">sheet1!ana130</f>
        <v>#NAME?</v>
      </c>
      <c r="F129" s="6" t="e">
        <f aca="false">sheet1!anb130</f>
        <v>#NAME?</v>
      </c>
      <c r="G129" s="6" t="e">
        <f aca="false">sheet1!anc130</f>
        <v>#NAME?</v>
      </c>
      <c r="H129" s="6" t="e">
        <f aca="false">sheet1!and130</f>
        <v>#NAME?</v>
      </c>
      <c r="I129" s="6" t="e">
        <f aca="false">sheet1!ane130</f>
        <v>#NAME?</v>
      </c>
      <c r="J129" s="6" t="e">
        <f aca="false">sheet1!anf130</f>
        <v>#NAME?</v>
      </c>
      <c r="K129" s="6" t="e">
        <f aca="false">sheet1!ang130</f>
        <v>#NAME?</v>
      </c>
      <c r="L129" s="6" t="e">
        <f aca="false">sheet1!anh130</f>
        <v>#NAME?</v>
      </c>
      <c r="M129" s="6" t="e">
        <f aca="false">sheet1!ani130</f>
        <v>#NAME?</v>
      </c>
    </row>
    <row r="130" customFormat="false" ht="15.75" hidden="false" customHeight="false" outlineLevel="0" collapsed="false">
      <c r="A130" s="0" t="s">
        <v>63</v>
      </c>
      <c r="B130" s="1" t="n">
        <v>43990</v>
      </c>
      <c r="C130" s="6" t="e">
        <f aca="false">sheet1!amy131</f>
        <v>#NAME?</v>
      </c>
      <c r="D130" s="6" t="e">
        <f aca="false">sheet1!amz131</f>
        <v>#NAME?</v>
      </c>
      <c r="E130" s="6" t="e">
        <f aca="false">sheet1!ana131</f>
        <v>#NAME?</v>
      </c>
      <c r="F130" s="6" t="e">
        <f aca="false">sheet1!anb131</f>
        <v>#NAME?</v>
      </c>
      <c r="G130" s="6" t="e">
        <f aca="false">sheet1!anc131</f>
        <v>#NAME?</v>
      </c>
      <c r="H130" s="6" t="e">
        <f aca="false">sheet1!and131</f>
        <v>#NAME?</v>
      </c>
      <c r="I130" s="6" t="e">
        <f aca="false">sheet1!ane131</f>
        <v>#NAME?</v>
      </c>
      <c r="J130" s="6" t="e">
        <f aca="false">sheet1!anf131</f>
        <v>#NAME?</v>
      </c>
      <c r="K130" s="6" t="e">
        <f aca="false">sheet1!ang131</f>
        <v>#NAME?</v>
      </c>
      <c r="L130" s="6" t="e">
        <f aca="false">sheet1!anh131</f>
        <v>#NAME?</v>
      </c>
      <c r="M130" s="6" t="e">
        <f aca="false">sheet1!ani131</f>
        <v>#NAME?</v>
      </c>
    </row>
    <row r="131" customFormat="false" ht="15.75" hidden="false" customHeight="false" outlineLevel="0" collapsed="false">
      <c r="A131" s="0" t="s">
        <v>63</v>
      </c>
      <c r="B131" s="1" t="n">
        <v>43991</v>
      </c>
      <c r="C131" s="6" t="e">
        <f aca="false">sheet1!amy132</f>
        <v>#NAME?</v>
      </c>
      <c r="D131" s="6" t="e">
        <f aca="false">sheet1!amz132</f>
        <v>#NAME?</v>
      </c>
      <c r="E131" s="6" t="e">
        <f aca="false">sheet1!ana132</f>
        <v>#NAME?</v>
      </c>
      <c r="F131" s="6" t="e">
        <f aca="false">sheet1!anb132</f>
        <v>#NAME?</v>
      </c>
      <c r="G131" s="6" t="e">
        <f aca="false">sheet1!anc132</f>
        <v>#NAME?</v>
      </c>
      <c r="H131" s="6" t="e">
        <f aca="false">sheet1!and132</f>
        <v>#NAME?</v>
      </c>
      <c r="I131" s="6" t="e">
        <f aca="false">sheet1!ane132</f>
        <v>#NAME?</v>
      </c>
      <c r="J131" s="6" t="e">
        <f aca="false">sheet1!anf132</f>
        <v>#NAME?</v>
      </c>
      <c r="K131" s="6" t="e">
        <f aca="false">sheet1!ang132</f>
        <v>#NAME?</v>
      </c>
      <c r="L131" s="6" t="e">
        <f aca="false">sheet1!anh132</f>
        <v>#NAME?</v>
      </c>
      <c r="M131" s="6" t="e">
        <f aca="false">sheet1!ani132</f>
        <v>#NAME?</v>
      </c>
    </row>
    <row r="132" customFormat="false" ht="15.75" hidden="false" customHeight="false" outlineLevel="0" collapsed="false">
      <c r="A132" s="0" t="s">
        <v>63</v>
      </c>
      <c r="B132" s="1" t="n">
        <v>43992</v>
      </c>
      <c r="C132" s="6" t="e">
        <f aca="false">sheet1!amy133</f>
        <v>#NAME?</v>
      </c>
      <c r="D132" s="6" t="e">
        <f aca="false">sheet1!amz133</f>
        <v>#NAME?</v>
      </c>
      <c r="E132" s="6" t="e">
        <f aca="false">sheet1!ana133</f>
        <v>#NAME?</v>
      </c>
      <c r="F132" s="6" t="e">
        <f aca="false">sheet1!anb133</f>
        <v>#NAME?</v>
      </c>
      <c r="G132" s="6" t="e">
        <f aca="false">sheet1!anc133</f>
        <v>#NAME?</v>
      </c>
      <c r="H132" s="6" t="e">
        <f aca="false">sheet1!and133</f>
        <v>#NAME?</v>
      </c>
      <c r="I132" s="6" t="e">
        <f aca="false">sheet1!ane133</f>
        <v>#NAME?</v>
      </c>
      <c r="J132" s="6" t="e">
        <f aca="false">sheet1!anf133</f>
        <v>#NAME?</v>
      </c>
      <c r="K132" s="6" t="e">
        <f aca="false">sheet1!ang133</f>
        <v>#NAME?</v>
      </c>
      <c r="L132" s="6" t="e">
        <f aca="false">sheet1!anh133</f>
        <v>#NAME?</v>
      </c>
      <c r="M132" s="6" t="e">
        <f aca="false">sheet1!ani133</f>
        <v>#NAME?</v>
      </c>
    </row>
    <row r="133" customFormat="false" ht="15.75" hidden="false" customHeight="false" outlineLevel="0" collapsed="false">
      <c r="A133" s="0" t="s">
        <v>63</v>
      </c>
      <c r="B133" s="1" t="n">
        <v>43993</v>
      </c>
      <c r="C133" s="6" t="e">
        <f aca="false">sheet1!amy134</f>
        <v>#NAME?</v>
      </c>
      <c r="D133" s="6" t="e">
        <f aca="false">sheet1!amz134</f>
        <v>#NAME?</v>
      </c>
      <c r="E133" s="6" t="e">
        <f aca="false">sheet1!ana134</f>
        <v>#NAME?</v>
      </c>
      <c r="F133" s="6" t="e">
        <f aca="false">sheet1!anb134</f>
        <v>#NAME?</v>
      </c>
      <c r="G133" s="6" t="e">
        <f aca="false">sheet1!anc134</f>
        <v>#NAME?</v>
      </c>
      <c r="H133" s="6" t="e">
        <f aca="false">sheet1!and134</f>
        <v>#NAME?</v>
      </c>
      <c r="I133" s="6" t="e">
        <f aca="false">sheet1!ane134</f>
        <v>#NAME?</v>
      </c>
      <c r="J133" s="6" t="e">
        <f aca="false">sheet1!anf134</f>
        <v>#NAME?</v>
      </c>
      <c r="K133" s="6" t="e">
        <f aca="false">sheet1!ang134</f>
        <v>#NAME?</v>
      </c>
      <c r="L133" s="6" t="e">
        <f aca="false">sheet1!anh134</f>
        <v>#NAME?</v>
      </c>
      <c r="M133" s="6" t="e">
        <f aca="false">sheet1!ani134</f>
        <v>#NAME?</v>
      </c>
    </row>
    <row r="134" customFormat="false" ht="15.75" hidden="false" customHeight="false" outlineLevel="0" collapsed="false">
      <c r="A134" s="0" t="s">
        <v>63</v>
      </c>
      <c r="B134" s="1" t="n">
        <v>43994</v>
      </c>
      <c r="C134" s="6" t="e">
        <f aca="false">sheet1!amy135</f>
        <v>#NAME?</v>
      </c>
      <c r="D134" s="6" t="e">
        <f aca="false">sheet1!amz135</f>
        <v>#NAME?</v>
      </c>
      <c r="E134" s="6" t="e">
        <f aca="false">sheet1!ana135</f>
        <v>#NAME?</v>
      </c>
      <c r="F134" s="6" t="e">
        <f aca="false">sheet1!anb135</f>
        <v>#NAME?</v>
      </c>
      <c r="G134" s="6" t="e">
        <f aca="false">sheet1!anc135</f>
        <v>#NAME?</v>
      </c>
      <c r="H134" s="6" t="e">
        <f aca="false">sheet1!and135</f>
        <v>#NAME?</v>
      </c>
      <c r="I134" s="6" t="e">
        <f aca="false">sheet1!ane135</f>
        <v>#NAME?</v>
      </c>
      <c r="J134" s="6" t="e">
        <f aca="false">sheet1!anf135</f>
        <v>#NAME?</v>
      </c>
      <c r="K134" s="6" t="e">
        <f aca="false">sheet1!ang135</f>
        <v>#NAME?</v>
      </c>
      <c r="L134" s="6" t="e">
        <f aca="false">sheet1!anh135</f>
        <v>#NAME?</v>
      </c>
      <c r="M134" s="6" t="e">
        <f aca="false">sheet1!ani135</f>
        <v>#NAME?</v>
      </c>
    </row>
    <row r="135" customFormat="false" ht="15.75" hidden="false" customHeight="false" outlineLevel="0" collapsed="false">
      <c r="A135" s="0" t="s">
        <v>63</v>
      </c>
      <c r="B135" s="1" t="n">
        <v>43995</v>
      </c>
      <c r="C135" s="6" t="e">
        <f aca="false">sheet1!amy136</f>
        <v>#NAME?</v>
      </c>
      <c r="D135" s="6" t="e">
        <f aca="false">sheet1!amz136</f>
        <v>#NAME?</v>
      </c>
      <c r="E135" s="6" t="e">
        <f aca="false">sheet1!ana136</f>
        <v>#NAME?</v>
      </c>
      <c r="F135" s="6" t="e">
        <f aca="false">sheet1!anb136</f>
        <v>#NAME?</v>
      </c>
      <c r="G135" s="6" t="e">
        <f aca="false">sheet1!anc136</f>
        <v>#NAME?</v>
      </c>
      <c r="H135" s="6" t="e">
        <f aca="false">sheet1!and136</f>
        <v>#NAME?</v>
      </c>
      <c r="I135" s="6" t="e">
        <f aca="false">sheet1!ane136</f>
        <v>#NAME?</v>
      </c>
      <c r="J135" s="6" t="e">
        <f aca="false">sheet1!anf136</f>
        <v>#NAME?</v>
      </c>
      <c r="K135" s="6" t="e">
        <f aca="false">sheet1!ang136</f>
        <v>#NAME?</v>
      </c>
      <c r="L135" s="6" t="e">
        <f aca="false">sheet1!anh136</f>
        <v>#NAME?</v>
      </c>
      <c r="M135" s="6" t="e">
        <f aca="false">sheet1!ani136</f>
        <v>#NAME?</v>
      </c>
    </row>
    <row r="136" customFormat="false" ht="15.75" hidden="false" customHeight="false" outlineLevel="0" collapsed="false">
      <c r="A136" s="0" t="s">
        <v>63</v>
      </c>
      <c r="B136" s="1" t="n">
        <v>43996</v>
      </c>
      <c r="C136" s="6" t="e">
        <f aca="false">sheet1!amy137</f>
        <v>#NAME?</v>
      </c>
      <c r="D136" s="6" t="e">
        <f aca="false">sheet1!amz137</f>
        <v>#NAME?</v>
      </c>
      <c r="E136" s="6" t="e">
        <f aca="false">sheet1!ana137</f>
        <v>#NAME?</v>
      </c>
      <c r="F136" s="6" t="e">
        <f aca="false">sheet1!anb137</f>
        <v>#NAME?</v>
      </c>
      <c r="G136" s="6" t="e">
        <f aca="false">sheet1!anc137</f>
        <v>#NAME?</v>
      </c>
      <c r="H136" s="6" t="e">
        <f aca="false">sheet1!and137</f>
        <v>#NAME?</v>
      </c>
      <c r="I136" s="6" t="e">
        <f aca="false">sheet1!ane137</f>
        <v>#NAME?</v>
      </c>
      <c r="J136" s="6" t="e">
        <f aca="false">sheet1!anf137</f>
        <v>#NAME?</v>
      </c>
      <c r="K136" s="6" t="e">
        <f aca="false">sheet1!ang137</f>
        <v>#NAME?</v>
      </c>
      <c r="L136" s="6" t="e">
        <f aca="false">sheet1!anh137</f>
        <v>#NAME?</v>
      </c>
      <c r="M136" s="6" t="e">
        <f aca="false">sheet1!ani137</f>
        <v>#NAME?</v>
      </c>
    </row>
    <row r="137" customFormat="false" ht="15.75" hidden="false" customHeight="false" outlineLevel="0" collapsed="false">
      <c r="A137" s="0" t="s">
        <v>63</v>
      </c>
      <c r="B137" s="1" t="n">
        <v>43997</v>
      </c>
      <c r="C137" s="6" t="e">
        <f aca="false">sheet1!amy138</f>
        <v>#NAME?</v>
      </c>
      <c r="D137" s="6" t="e">
        <f aca="false">sheet1!amz138</f>
        <v>#NAME?</v>
      </c>
      <c r="E137" s="6" t="e">
        <f aca="false">sheet1!ana138</f>
        <v>#NAME?</v>
      </c>
      <c r="F137" s="6" t="e">
        <f aca="false">sheet1!anb138</f>
        <v>#NAME?</v>
      </c>
      <c r="G137" s="6" t="e">
        <f aca="false">sheet1!anc138</f>
        <v>#NAME?</v>
      </c>
      <c r="H137" s="6" t="e">
        <f aca="false">sheet1!and138</f>
        <v>#NAME?</v>
      </c>
      <c r="I137" s="6" t="e">
        <f aca="false">sheet1!ane138</f>
        <v>#NAME?</v>
      </c>
      <c r="J137" s="6" t="e">
        <f aca="false">sheet1!anf138</f>
        <v>#NAME?</v>
      </c>
      <c r="K137" s="6" t="e">
        <f aca="false">sheet1!ang138</f>
        <v>#NAME?</v>
      </c>
      <c r="L137" s="6" t="e">
        <f aca="false">sheet1!anh138</f>
        <v>#NAME?</v>
      </c>
      <c r="M137" s="6" t="e">
        <f aca="false">sheet1!ani138</f>
        <v>#NAME?</v>
      </c>
    </row>
    <row r="138" customFormat="false" ht="15.75" hidden="false" customHeight="false" outlineLevel="0" collapsed="false">
      <c r="A138" s="0" t="s">
        <v>63</v>
      </c>
      <c r="B138" s="1" t="n">
        <v>43998</v>
      </c>
      <c r="C138" s="6" t="e">
        <f aca="false">sheet1!amy139</f>
        <v>#NAME?</v>
      </c>
      <c r="D138" s="6" t="e">
        <f aca="false">sheet1!amz139</f>
        <v>#NAME?</v>
      </c>
      <c r="E138" s="6" t="e">
        <f aca="false">sheet1!ana139</f>
        <v>#NAME?</v>
      </c>
      <c r="F138" s="6" t="e">
        <f aca="false">sheet1!anb139</f>
        <v>#NAME?</v>
      </c>
      <c r="G138" s="6" t="e">
        <f aca="false">sheet1!anc139</f>
        <v>#NAME?</v>
      </c>
      <c r="H138" s="6" t="e">
        <f aca="false">sheet1!and139</f>
        <v>#NAME?</v>
      </c>
      <c r="I138" s="6" t="e">
        <f aca="false">sheet1!ane139</f>
        <v>#NAME?</v>
      </c>
      <c r="J138" s="6" t="e">
        <f aca="false">sheet1!anf139</f>
        <v>#NAME?</v>
      </c>
      <c r="K138" s="6" t="e">
        <f aca="false">sheet1!ang139</f>
        <v>#NAME?</v>
      </c>
      <c r="L138" s="6" t="e">
        <f aca="false">sheet1!anh139</f>
        <v>#NAME?</v>
      </c>
      <c r="M138" s="6" t="e">
        <f aca="false">sheet1!ani139</f>
        <v>#NAME?</v>
      </c>
    </row>
    <row r="139" customFormat="false" ht="15.75" hidden="false" customHeight="false" outlineLevel="0" collapsed="false">
      <c r="A139" s="0" t="s">
        <v>63</v>
      </c>
      <c r="B139" s="1" t="n">
        <v>43999</v>
      </c>
      <c r="C139" s="6" t="e">
        <f aca="false">sheet1!amy140</f>
        <v>#NAME?</v>
      </c>
      <c r="D139" s="6" t="e">
        <f aca="false">sheet1!amz140</f>
        <v>#NAME?</v>
      </c>
      <c r="E139" s="6" t="e">
        <f aca="false">sheet1!ana140</f>
        <v>#NAME?</v>
      </c>
      <c r="F139" s="6" t="e">
        <f aca="false">sheet1!anb140</f>
        <v>#NAME?</v>
      </c>
      <c r="G139" s="6" t="e">
        <f aca="false">sheet1!anc140</f>
        <v>#NAME?</v>
      </c>
      <c r="H139" s="6" t="e">
        <f aca="false">sheet1!and140</f>
        <v>#NAME?</v>
      </c>
      <c r="I139" s="6" t="e">
        <f aca="false">sheet1!ane140</f>
        <v>#NAME?</v>
      </c>
      <c r="J139" s="6" t="e">
        <f aca="false">sheet1!anf140</f>
        <v>#NAME?</v>
      </c>
      <c r="K139" s="6" t="e">
        <f aca="false">sheet1!ang140</f>
        <v>#NAME?</v>
      </c>
      <c r="L139" s="6" t="e">
        <f aca="false">sheet1!anh140</f>
        <v>#NAME?</v>
      </c>
      <c r="M139" s="6" t="e">
        <f aca="false">sheet1!ani140</f>
        <v>#NAME?</v>
      </c>
    </row>
    <row r="140" customFormat="false" ht="15.75" hidden="false" customHeight="false" outlineLevel="0" collapsed="false">
      <c r="A140" s="0" t="s">
        <v>63</v>
      </c>
      <c r="B140" s="1" t="n">
        <v>44000</v>
      </c>
      <c r="C140" s="6" t="e">
        <f aca="false">sheet1!amy141</f>
        <v>#NAME?</v>
      </c>
      <c r="D140" s="6" t="e">
        <f aca="false">sheet1!amz141</f>
        <v>#NAME?</v>
      </c>
      <c r="E140" s="6" t="e">
        <f aca="false">sheet1!ana141</f>
        <v>#NAME?</v>
      </c>
      <c r="F140" s="6" t="e">
        <f aca="false">sheet1!anb141</f>
        <v>#NAME?</v>
      </c>
      <c r="G140" s="6" t="e">
        <f aca="false">sheet1!anc141</f>
        <v>#NAME?</v>
      </c>
      <c r="H140" s="6" t="e">
        <f aca="false">sheet1!and141</f>
        <v>#NAME?</v>
      </c>
      <c r="I140" s="6" t="e">
        <f aca="false">sheet1!ane141</f>
        <v>#NAME?</v>
      </c>
      <c r="J140" s="6" t="e">
        <f aca="false">sheet1!anf141</f>
        <v>#NAME?</v>
      </c>
      <c r="K140" s="6" t="e">
        <f aca="false">sheet1!ang141</f>
        <v>#NAME?</v>
      </c>
      <c r="L140" s="6" t="e">
        <f aca="false">sheet1!anh141</f>
        <v>#NAME?</v>
      </c>
      <c r="M140" s="6" t="e">
        <f aca="false">sheet1!ani141</f>
        <v>#NAME?</v>
      </c>
    </row>
    <row r="141" customFormat="false" ht="15.75" hidden="false" customHeight="false" outlineLevel="0" collapsed="false">
      <c r="A141" s="0" t="s">
        <v>63</v>
      </c>
      <c r="B141" s="1" t="n">
        <v>44001</v>
      </c>
      <c r="C141" s="6" t="e">
        <f aca="false">sheet1!amy142</f>
        <v>#NAME?</v>
      </c>
      <c r="D141" s="6" t="e">
        <f aca="false">sheet1!amz142</f>
        <v>#NAME?</v>
      </c>
      <c r="E141" s="6" t="e">
        <f aca="false">sheet1!ana142</f>
        <v>#NAME?</v>
      </c>
      <c r="F141" s="6" t="e">
        <f aca="false">sheet1!anb142</f>
        <v>#NAME?</v>
      </c>
      <c r="G141" s="6" t="e">
        <f aca="false">sheet1!anc142</f>
        <v>#NAME?</v>
      </c>
      <c r="H141" s="6" t="e">
        <f aca="false">sheet1!and142</f>
        <v>#NAME?</v>
      </c>
      <c r="I141" s="6" t="e">
        <f aca="false">sheet1!ane142</f>
        <v>#NAME?</v>
      </c>
      <c r="J141" s="6" t="e">
        <f aca="false">sheet1!anf142</f>
        <v>#NAME?</v>
      </c>
      <c r="K141" s="6" t="e">
        <f aca="false">sheet1!ang142</f>
        <v>#NAME?</v>
      </c>
      <c r="L141" s="6" t="e">
        <f aca="false">sheet1!anh142</f>
        <v>#NAME?</v>
      </c>
      <c r="M141" s="6" t="e">
        <f aca="false">sheet1!ani142</f>
        <v>#NAME?</v>
      </c>
    </row>
    <row r="142" customFormat="false" ht="15.75" hidden="false" customHeight="false" outlineLevel="0" collapsed="false">
      <c r="A142" s="0" t="s">
        <v>63</v>
      </c>
      <c r="B142" s="1" t="n">
        <v>44002</v>
      </c>
      <c r="C142" s="6" t="e">
        <f aca="false">sheet1!amy143</f>
        <v>#NAME?</v>
      </c>
      <c r="D142" s="6" t="e">
        <f aca="false">sheet1!amz143</f>
        <v>#NAME?</v>
      </c>
      <c r="E142" s="6" t="e">
        <f aca="false">sheet1!ana143</f>
        <v>#NAME?</v>
      </c>
      <c r="F142" s="6" t="e">
        <f aca="false">sheet1!anb143</f>
        <v>#NAME?</v>
      </c>
      <c r="G142" s="6" t="e">
        <f aca="false">sheet1!anc143</f>
        <v>#NAME?</v>
      </c>
      <c r="H142" s="6" t="e">
        <f aca="false">sheet1!and143</f>
        <v>#NAME?</v>
      </c>
      <c r="I142" s="6" t="e">
        <f aca="false">sheet1!ane143</f>
        <v>#NAME?</v>
      </c>
      <c r="J142" s="6" t="e">
        <f aca="false">sheet1!anf143</f>
        <v>#NAME?</v>
      </c>
      <c r="K142" s="6" t="e">
        <f aca="false">sheet1!ang143</f>
        <v>#NAME?</v>
      </c>
      <c r="L142" s="6" t="e">
        <f aca="false">sheet1!anh143</f>
        <v>#NAME?</v>
      </c>
      <c r="M142" s="6" t="e">
        <f aca="false">sheet1!ani143</f>
        <v>#NAME?</v>
      </c>
    </row>
    <row r="143" customFormat="false" ht="15.75" hidden="false" customHeight="false" outlineLevel="0" collapsed="false">
      <c r="A143" s="0" t="s">
        <v>63</v>
      </c>
      <c r="B143" s="1" t="n">
        <v>44003</v>
      </c>
      <c r="C143" s="6" t="e">
        <f aca="false">sheet1!amy144</f>
        <v>#NAME?</v>
      </c>
      <c r="D143" s="6" t="e">
        <f aca="false">sheet1!amz144</f>
        <v>#NAME?</v>
      </c>
      <c r="E143" s="6" t="e">
        <f aca="false">sheet1!ana144</f>
        <v>#NAME?</v>
      </c>
      <c r="F143" s="6" t="e">
        <f aca="false">sheet1!anb144</f>
        <v>#NAME?</v>
      </c>
      <c r="G143" s="6" t="e">
        <f aca="false">sheet1!anc144</f>
        <v>#NAME?</v>
      </c>
      <c r="H143" s="6" t="e">
        <f aca="false">sheet1!and144</f>
        <v>#NAME?</v>
      </c>
      <c r="I143" s="6" t="e">
        <f aca="false">sheet1!ane144</f>
        <v>#NAME?</v>
      </c>
      <c r="J143" s="6" t="e">
        <f aca="false">sheet1!anf144</f>
        <v>#NAME?</v>
      </c>
      <c r="K143" s="6" t="e">
        <f aca="false">sheet1!ang144</f>
        <v>#NAME?</v>
      </c>
      <c r="L143" s="6" t="e">
        <f aca="false">sheet1!anh144</f>
        <v>#NAME?</v>
      </c>
      <c r="M143" s="6" t="e">
        <f aca="false">sheet1!ani144</f>
        <v>#NAME?</v>
      </c>
    </row>
    <row r="144" customFormat="false" ht="15.75" hidden="false" customHeight="false" outlineLevel="0" collapsed="false">
      <c r="A144" s="0" t="s">
        <v>63</v>
      </c>
      <c r="B144" s="1" t="n">
        <v>44004</v>
      </c>
      <c r="C144" s="6" t="e">
        <f aca="false">sheet1!amy145</f>
        <v>#NAME?</v>
      </c>
      <c r="D144" s="6" t="e">
        <f aca="false">sheet1!amz145</f>
        <v>#NAME?</v>
      </c>
      <c r="E144" s="6" t="e">
        <f aca="false">sheet1!ana145</f>
        <v>#NAME?</v>
      </c>
      <c r="F144" s="6" t="e">
        <f aca="false">sheet1!anb145</f>
        <v>#NAME?</v>
      </c>
      <c r="G144" s="6" t="e">
        <f aca="false">sheet1!anc145</f>
        <v>#NAME?</v>
      </c>
      <c r="H144" s="6" t="e">
        <f aca="false">sheet1!and145</f>
        <v>#NAME?</v>
      </c>
      <c r="I144" s="6" t="e">
        <f aca="false">sheet1!ane145</f>
        <v>#NAME?</v>
      </c>
      <c r="J144" s="6" t="e">
        <f aca="false">sheet1!anf145</f>
        <v>#NAME?</v>
      </c>
      <c r="K144" s="6" t="e">
        <f aca="false">sheet1!ang145</f>
        <v>#NAME?</v>
      </c>
      <c r="L144" s="6" t="e">
        <f aca="false">sheet1!anh145</f>
        <v>#NAME?</v>
      </c>
      <c r="M144" s="6" t="e">
        <f aca="false">sheet1!ani145</f>
        <v>#NAME?</v>
      </c>
    </row>
    <row r="145" customFormat="false" ht="15.75" hidden="false" customHeight="false" outlineLevel="0" collapsed="false">
      <c r="A145" s="0" t="s">
        <v>63</v>
      </c>
      <c r="B145" s="1" t="n">
        <v>44005</v>
      </c>
      <c r="C145" s="6" t="e">
        <f aca="false">sheet1!amy146</f>
        <v>#NAME?</v>
      </c>
      <c r="D145" s="6" t="e">
        <f aca="false">sheet1!amz146</f>
        <v>#NAME?</v>
      </c>
      <c r="E145" s="6" t="e">
        <f aca="false">sheet1!ana146</f>
        <v>#NAME?</v>
      </c>
      <c r="F145" s="6" t="e">
        <f aca="false">sheet1!anb146</f>
        <v>#NAME?</v>
      </c>
      <c r="G145" s="6" t="e">
        <f aca="false">sheet1!anc146</f>
        <v>#NAME?</v>
      </c>
      <c r="H145" s="6" t="e">
        <f aca="false">sheet1!and146</f>
        <v>#NAME?</v>
      </c>
      <c r="I145" s="6" t="e">
        <f aca="false">sheet1!ane146</f>
        <v>#NAME?</v>
      </c>
      <c r="J145" s="6" t="e">
        <f aca="false">sheet1!anf146</f>
        <v>#NAME?</v>
      </c>
      <c r="K145" s="6" t="e">
        <f aca="false">sheet1!ang146</f>
        <v>#NAME?</v>
      </c>
      <c r="L145" s="6" t="e">
        <f aca="false">sheet1!anh146</f>
        <v>#NAME?</v>
      </c>
      <c r="M145" s="6" t="e">
        <f aca="false">sheet1!ani146</f>
        <v>#NAME?</v>
      </c>
    </row>
    <row r="146" customFormat="false" ht="15.75" hidden="false" customHeight="false" outlineLevel="0" collapsed="false">
      <c r="A146" s="0" t="s">
        <v>63</v>
      </c>
      <c r="B146" s="1" t="n">
        <v>44006</v>
      </c>
      <c r="C146" s="6" t="e">
        <f aca="false">sheet1!amy147</f>
        <v>#NAME?</v>
      </c>
      <c r="D146" s="6" t="e">
        <f aca="false">sheet1!amz147</f>
        <v>#NAME?</v>
      </c>
      <c r="E146" s="6" t="e">
        <f aca="false">sheet1!ana147</f>
        <v>#NAME?</v>
      </c>
      <c r="F146" s="6" t="e">
        <f aca="false">sheet1!anb147</f>
        <v>#NAME?</v>
      </c>
      <c r="G146" s="6" t="e">
        <f aca="false">sheet1!anc147</f>
        <v>#NAME?</v>
      </c>
      <c r="H146" s="6" t="e">
        <f aca="false">sheet1!and147</f>
        <v>#NAME?</v>
      </c>
      <c r="I146" s="6" t="e">
        <f aca="false">sheet1!ane147</f>
        <v>#NAME?</v>
      </c>
      <c r="J146" s="6" t="e">
        <f aca="false">sheet1!anf147</f>
        <v>#NAME?</v>
      </c>
      <c r="K146" s="6" t="e">
        <f aca="false">sheet1!ang147</f>
        <v>#NAME?</v>
      </c>
      <c r="L146" s="6" t="e">
        <f aca="false">sheet1!anh147</f>
        <v>#NAME?</v>
      </c>
      <c r="M146" s="6" t="e">
        <f aca="false">sheet1!ani147</f>
        <v>#NAME?</v>
      </c>
    </row>
    <row r="147" customFormat="false" ht="15.75" hidden="false" customHeight="false" outlineLevel="0" collapsed="false">
      <c r="A147" s="0" t="s">
        <v>63</v>
      </c>
      <c r="B147" s="1" t="n">
        <v>44007</v>
      </c>
      <c r="C147" s="6" t="e">
        <f aca="false">sheet1!amy148</f>
        <v>#NAME?</v>
      </c>
      <c r="D147" s="6" t="e">
        <f aca="false">sheet1!amz148</f>
        <v>#NAME?</v>
      </c>
      <c r="E147" s="6" t="e">
        <f aca="false">sheet1!ana148</f>
        <v>#NAME?</v>
      </c>
      <c r="F147" s="6" t="e">
        <f aca="false">sheet1!anb148</f>
        <v>#NAME?</v>
      </c>
      <c r="G147" s="6" t="e">
        <f aca="false">sheet1!anc148</f>
        <v>#NAME?</v>
      </c>
      <c r="H147" s="6" t="e">
        <f aca="false">sheet1!and148</f>
        <v>#NAME?</v>
      </c>
      <c r="I147" s="6" t="e">
        <f aca="false">sheet1!ane148</f>
        <v>#NAME?</v>
      </c>
      <c r="J147" s="6" t="e">
        <f aca="false">sheet1!anf148</f>
        <v>#NAME?</v>
      </c>
      <c r="K147" s="6" t="e">
        <f aca="false">sheet1!ang148</f>
        <v>#NAME?</v>
      </c>
      <c r="L147" s="6" t="e">
        <f aca="false">sheet1!anh148</f>
        <v>#NAME?</v>
      </c>
      <c r="M147" s="6" t="e">
        <f aca="false">sheet1!ani148</f>
        <v>#NAME?</v>
      </c>
    </row>
    <row r="148" customFormat="false" ht="15.75" hidden="false" customHeight="false" outlineLevel="0" collapsed="false">
      <c r="A148" s="0" t="s">
        <v>63</v>
      </c>
      <c r="B148" s="1" t="n">
        <v>44008</v>
      </c>
      <c r="C148" s="6" t="e">
        <f aca="false">sheet1!amy149</f>
        <v>#NAME?</v>
      </c>
      <c r="D148" s="6" t="e">
        <f aca="false">sheet1!amz149</f>
        <v>#NAME?</v>
      </c>
      <c r="E148" s="6" t="e">
        <f aca="false">sheet1!ana149</f>
        <v>#NAME?</v>
      </c>
      <c r="F148" s="6" t="e">
        <f aca="false">sheet1!anb149</f>
        <v>#NAME?</v>
      </c>
      <c r="G148" s="6" t="e">
        <f aca="false">sheet1!anc149</f>
        <v>#NAME?</v>
      </c>
      <c r="H148" s="6" t="e">
        <f aca="false">sheet1!and149</f>
        <v>#NAME?</v>
      </c>
      <c r="I148" s="6" t="e">
        <f aca="false">sheet1!ane149</f>
        <v>#NAME?</v>
      </c>
      <c r="J148" s="6" t="e">
        <f aca="false">sheet1!anf149</f>
        <v>#NAME?</v>
      </c>
      <c r="K148" s="6" t="e">
        <f aca="false">sheet1!ang149</f>
        <v>#NAME?</v>
      </c>
      <c r="L148" s="6" t="e">
        <f aca="false">sheet1!anh149</f>
        <v>#NAME?</v>
      </c>
      <c r="M148" s="6" t="e">
        <f aca="false">sheet1!ani149</f>
        <v>#NAME?</v>
      </c>
    </row>
    <row r="149" customFormat="false" ht="15.75" hidden="false" customHeight="false" outlineLevel="0" collapsed="false">
      <c r="A149" s="0" t="s">
        <v>63</v>
      </c>
      <c r="B149" s="1" t="n">
        <v>44009</v>
      </c>
      <c r="C149" s="6" t="e">
        <f aca="false">sheet1!amy150</f>
        <v>#NAME?</v>
      </c>
      <c r="D149" s="6" t="e">
        <f aca="false">sheet1!amz150</f>
        <v>#NAME?</v>
      </c>
      <c r="E149" s="6" t="e">
        <f aca="false">sheet1!ana150</f>
        <v>#NAME?</v>
      </c>
      <c r="F149" s="6" t="e">
        <f aca="false">sheet1!anb150</f>
        <v>#NAME?</v>
      </c>
      <c r="G149" s="6" t="e">
        <f aca="false">sheet1!anc150</f>
        <v>#NAME?</v>
      </c>
      <c r="H149" s="6" t="e">
        <f aca="false">sheet1!and150</f>
        <v>#NAME?</v>
      </c>
      <c r="I149" s="6" t="e">
        <f aca="false">sheet1!ane150</f>
        <v>#NAME?</v>
      </c>
      <c r="J149" s="6" t="e">
        <f aca="false">sheet1!anf150</f>
        <v>#NAME?</v>
      </c>
      <c r="K149" s="6" t="e">
        <f aca="false">sheet1!ang150</f>
        <v>#NAME?</v>
      </c>
      <c r="L149" s="6" t="e">
        <f aca="false">sheet1!anh150</f>
        <v>#NAME?</v>
      </c>
      <c r="M149" s="6" t="e">
        <f aca="false">sheet1!ani150</f>
        <v>#NAME?</v>
      </c>
    </row>
    <row r="150" customFormat="false" ht="15.75" hidden="false" customHeight="false" outlineLevel="0" collapsed="false">
      <c r="A150" s="0" t="s">
        <v>63</v>
      </c>
      <c r="B150" s="1" t="n">
        <v>44010</v>
      </c>
      <c r="C150" s="6" t="e">
        <f aca="false">sheet1!amy151</f>
        <v>#NAME?</v>
      </c>
      <c r="D150" s="6" t="e">
        <f aca="false">sheet1!amz151</f>
        <v>#NAME?</v>
      </c>
      <c r="E150" s="6" t="e">
        <f aca="false">sheet1!ana151</f>
        <v>#NAME?</v>
      </c>
      <c r="F150" s="6" t="e">
        <f aca="false">sheet1!anb151</f>
        <v>#NAME?</v>
      </c>
      <c r="G150" s="6" t="e">
        <f aca="false">sheet1!anc151</f>
        <v>#NAME?</v>
      </c>
      <c r="H150" s="6" t="e">
        <f aca="false">sheet1!and151</f>
        <v>#NAME?</v>
      </c>
      <c r="I150" s="6" t="e">
        <f aca="false">sheet1!ane151</f>
        <v>#NAME?</v>
      </c>
      <c r="J150" s="6" t="e">
        <f aca="false">sheet1!anf151</f>
        <v>#NAME?</v>
      </c>
      <c r="K150" s="6" t="e">
        <f aca="false">sheet1!ang151</f>
        <v>#NAME?</v>
      </c>
      <c r="L150" s="6" t="e">
        <f aca="false">sheet1!anh151</f>
        <v>#NAME?</v>
      </c>
      <c r="M150" s="6" t="e">
        <f aca="false">sheet1!ani151</f>
        <v>#NAME?</v>
      </c>
    </row>
    <row r="151" customFormat="false" ht="15.75" hidden="false" customHeight="false" outlineLevel="0" collapsed="false">
      <c r="A151" s="0" t="s">
        <v>63</v>
      </c>
      <c r="B151" s="1" t="n">
        <v>44011</v>
      </c>
      <c r="C151" s="6" t="e">
        <f aca="false">sheet1!amy152</f>
        <v>#NAME?</v>
      </c>
      <c r="D151" s="6" t="e">
        <f aca="false">sheet1!amz152</f>
        <v>#NAME?</v>
      </c>
      <c r="E151" s="6" t="e">
        <f aca="false">sheet1!ana152</f>
        <v>#NAME?</v>
      </c>
      <c r="F151" s="6" t="e">
        <f aca="false">sheet1!anb152</f>
        <v>#NAME?</v>
      </c>
      <c r="G151" s="6" t="e">
        <f aca="false">sheet1!anc152</f>
        <v>#NAME?</v>
      </c>
      <c r="H151" s="6" t="e">
        <f aca="false">sheet1!and152</f>
        <v>#NAME?</v>
      </c>
      <c r="I151" s="6" t="e">
        <f aca="false">sheet1!ane152</f>
        <v>#NAME?</v>
      </c>
      <c r="J151" s="6" t="e">
        <f aca="false">sheet1!anf152</f>
        <v>#NAME?</v>
      </c>
      <c r="K151" s="6" t="e">
        <f aca="false">sheet1!ang152</f>
        <v>#NAME?</v>
      </c>
      <c r="L151" s="6" t="e">
        <f aca="false">sheet1!anh152</f>
        <v>#NAME?</v>
      </c>
      <c r="M151" s="6" t="e">
        <f aca="false">sheet1!ani152</f>
        <v>#NAME?</v>
      </c>
    </row>
    <row r="152" customFormat="false" ht="15.75" hidden="false" customHeight="false" outlineLevel="0" collapsed="false">
      <c r="A152" s="0" t="s">
        <v>63</v>
      </c>
      <c r="B152" s="1" t="n">
        <v>44012</v>
      </c>
      <c r="C152" s="6" t="e">
        <f aca="false">sheet1!amy153</f>
        <v>#NAME?</v>
      </c>
      <c r="D152" s="6" t="e">
        <f aca="false">sheet1!amz153</f>
        <v>#NAME?</v>
      </c>
      <c r="E152" s="6" t="e">
        <f aca="false">sheet1!ana153</f>
        <v>#NAME?</v>
      </c>
      <c r="F152" s="6" t="e">
        <f aca="false">sheet1!anb153</f>
        <v>#NAME?</v>
      </c>
      <c r="G152" s="6" t="e">
        <f aca="false">sheet1!anc153</f>
        <v>#NAME?</v>
      </c>
      <c r="H152" s="6" t="e">
        <f aca="false">sheet1!and153</f>
        <v>#NAME?</v>
      </c>
      <c r="I152" s="6" t="e">
        <f aca="false">sheet1!ane153</f>
        <v>#NAME?</v>
      </c>
      <c r="J152" s="6" t="e">
        <f aca="false">sheet1!anf153</f>
        <v>#NAME?</v>
      </c>
      <c r="K152" s="6" t="e">
        <f aca="false">sheet1!ang153</f>
        <v>#NAME?</v>
      </c>
      <c r="L152" s="6" t="e">
        <f aca="false">sheet1!anh153</f>
        <v>#NAME?</v>
      </c>
      <c r="M152" s="6" t="e">
        <f aca="false">sheet1!ani153</f>
        <v>#NAME?</v>
      </c>
    </row>
    <row r="153" customFormat="false" ht="15.75" hidden="false" customHeight="false" outlineLevel="0" collapsed="false">
      <c r="A153" s="0" t="s">
        <v>63</v>
      </c>
      <c r="B153" s="1" t="n">
        <v>44013</v>
      </c>
      <c r="C153" s="6" t="e">
        <f aca="false">sheet1!amy154</f>
        <v>#NAME?</v>
      </c>
      <c r="D153" s="6" t="e">
        <f aca="false">sheet1!amz154</f>
        <v>#NAME?</v>
      </c>
      <c r="E153" s="6" t="e">
        <f aca="false">sheet1!ana154</f>
        <v>#NAME?</v>
      </c>
      <c r="F153" s="6" t="e">
        <f aca="false">sheet1!anb154</f>
        <v>#NAME?</v>
      </c>
      <c r="G153" s="6" t="e">
        <f aca="false">sheet1!anc154</f>
        <v>#NAME?</v>
      </c>
      <c r="H153" s="6" t="e">
        <f aca="false">sheet1!and154</f>
        <v>#NAME?</v>
      </c>
      <c r="I153" s="6" t="e">
        <f aca="false">sheet1!ane154</f>
        <v>#NAME?</v>
      </c>
      <c r="J153" s="6" t="e">
        <f aca="false">sheet1!anf154</f>
        <v>#NAME?</v>
      </c>
      <c r="K153" s="6" t="e">
        <f aca="false">sheet1!ang154</f>
        <v>#NAME?</v>
      </c>
      <c r="L153" s="6" t="e">
        <f aca="false">sheet1!anh154</f>
        <v>#NAME?</v>
      </c>
      <c r="M153" s="6" t="e">
        <f aca="false">sheet1!ani154</f>
        <v>#NAME?</v>
      </c>
    </row>
    <row r="154" customFormat="false" ht="15.75" hidden="false" customHeight="false" outlineLevel="0" collapsed="false">
      <c r="A154" s="0" t="s">
        <v>63</v>
      </c>
      <c r="B154" s="1" t="n">
        <v>44014</v>
      </c>
      <c r="C154" s="6" t="e">
        <f aca="false">sheet1!amy155</f>
        <v>#NAME?</v>
      </c>
      <c r="D154" s="6" t="e">
        <f aca="false">sheet1!amz155</f>
        <v>#NAME?</v>
      </c>
      <c r="E154" s="6" t="e">
        <f aca="false">sheet1!ana155</f>
        <v>#NAME?</v>
      </c>
      <c r="F154" s="6" t="e">
        <f aca="false">sheet1!anb155</f>
        <v>#NAME?</v>
      </c>
      <c r="G154" s="6" t="e">
        <f aca="false">sheet1!anc155</f>
        <v>#NAME?</v>
      </c>
      <c r="H154" s="6" t="e">
        <f aca="false">sheet1!and155</f>
        <v>#NAME?</v>
      </c>
      <c r="I154" s="6" t="e">
        <f aca="false">sheet1!ane155</f>
        <v>#NAME?</v>
      </c>
      <c r="J154" s="6" t="e">
        <f aca="false">sheet1!anf155</f>
        <v>#NAME?</v>
      </c>
      <c r="K154" s="6" t="e">
        <f aca="false">sheet1!ang155</f>
        <v>#NAME?</v>
      </c>
      <c r="L154" s="6" t="e">
        <f aca="false">sheet1!anh155</f>
        <v>#NAME?</v>
      </c>
      <c r="M154" s="6" t="e">
        <f aca="false">sheet1!ani155</f>
        <v>#NAME?</v>
      </c>
    </row>
    <row r="155" customFormat="false" ht="15.75" hidden="false" customHeight="false" outlineLevel="0" collapsed="false">
      <c r="A155" s="0" t="s">
        <v>63</v>
      </c>
      <c r="B155" s="1" t="n">
        <v>44015</v>
      </c>
      <c r="C155" s="6" t="e">
        <f aca="false">sheet1!amy156</f>
        <v>#NAME?</v>
      </c>
      <c r="D155" s="6" t="e">
        <f aca="false">sheet1!amz156</f>
        <v>#NAME?</v>
      </c>
      <c r="E155" s="6" t="e">
        <f aca="false">sheet1!ana156</f>
        <v>#NAME?</v>
      </c>
      <c r="F155" s="6" t="e">
        <f aca="false">sheet1!anb156</f>
        <v>#NAME?</v>
      </c>
      <c r="G155" s="6" t="e">
        <f aca="false">sheet1!anc156</f>
        <v>#NAME?</v>
      </c>
      <c r="H155" s="6" t="e">
        <f aca="false">sheet1!and156</f>
        <v>#NAME?</v>
      </c>
      <c r="I155" s="6" t="e">
        <f aca="false">sheet1!ane156</f>
        <v>#NAME?</v>
      </c>
      <c r="J155" s="6" t="e">
        <f aca="false">sheet1!anf156</f>
        <v>#NAME?</v>
      </c>
      <c r="K155" s="6" t="e">
        <f aca="false">sheet1!ang156</f>
        <v>#NAME?</v>
      </c>
      <c r="L155" s="6" t="e">
        <f aca="false">sheet1!anh156</f>
        <v>#NAME?</v>
      </c>
      <c r="M155" s="6" t="e">
        <f aca="false">sheet1!ani156</f>
        <v>#NAME?</v>
      </c>
    </row>
    <row r="156" customFormat="false" ht="15.75" hidden="false" customHeight="false" outlineLevel="0" collapsed="false">
      <c r="A156" s="0" t="s">
        <v>63</v>
      </c>
      <c r="B156" s="1" t="n">
        <v>44016</v>
      </c>
      <c r="C156" s="6" t="e">
        <f aca="false">sheet1!amy157</f>
        <v>#NAME?</v>
      </c>
      <c r="D156" s="6" t="e">
        <f aca="false">sheet1!amz157</f>
        <v>#NAME?</v>
      </c>
      <c r="E156" s="6" t="e">
        <f aca="false">sheet1!ana157</f>
        <v>#NAME?</v>
      </c>
      <c r="F156" s="6" t="e">
        <f aca="false">sheet1!anb157</f>
        <v>#NAME?</v>
      </c>
      <c r="G156" s="6" t="e">
        <f aca="false">sheet1!anc157</f>
        <v>#NAME?</v>
      </c>
      <c r="H156" s="6" t="e">
        <f aca="false">sheet1!and157</f>
        <v>#NAME?</v>
      </c>
      <c r="I156" s="6" t="e">
        <f aca="false">sheet1!ane157</f>
        <v>#NAME?</v>
      </c>
      <c r="J156" s="6" t="e">
        <f aca="false">sheet1!anf157</f>
        <v>#NAME?</v>
      </c>
      <c r="K156" s="6" t="e">
        <f aca="false">sheet1!ang157</f>
        <v>#NAME?</v>
      </c>
      <c r="L156" s="6" t="e">
        <f aca="false">sheet1!anh157</f>
        <v>#NAME?</v>
      </c>
      <c r="M156" s="6" t="e">
        <f aca="false">sheet1!ani157</f>
        <v>#NAME?</v>
      </c>
    </row>
    <row r="157" customFormat="false" ht="15.75" hidden="false" customHeight="false" outlineLevel="0" collapsed="false">
      <c r="A157" s="0" t="s">
        <v>63</v>
      </c>
      <c r="B157" s="1" t="n">
        <v>44017</v>
      </c>
      <c r="C157" s="6" t="e">
        <f aca="false">sheet1!amy158</f>
        <v>#NAME?</v>
      </c>
      <c r="D157" s="6" t="e">
        <f aca="false">sheet1!amz158</f>
        <v>#NAME?</v>
      </c>
      <c r="E157" s="6" t="e">
        <f aca="false">sheet1!ana158</f>
        <v>#NAME?</v>
      </c>
      <c r="F157" s="6" t="e">
        <f aca="false">sheet1!anb158</f>
        <v>#NAME?</v>
      </c>
      <c r="G157" s="6" t="e">
        <f aca="false">sheet1!anc158</f>
        <v>#NAME?</v>
      </c>
      <c r="H157" s="6" t="e">
        <f aca="false">sheet1!and158</f>
        <v>#NAME?</v>
      </c>
      <c r="I157" s="6" t="e">
        <f aca="false">sheet1!ane158</f>
        <v>#NAME?</v>
      </c>
      <c r="J157" s="6" t="e">
        <f aca="false">sheet1!anf158</f>
        <v>#NAME?</v>
      </c>
      <c r="K157" s="6" t="e">
        <f aca="false">sheet1!ang158</f>
        <v>#NAME?</v>
      </c>
      <c r="L157" s="6" t="e">
        <f aca="false">sheet1!anh158</f>
        <v>#NAME?</v>
      </c>
      <c r="M157" s="6" t="e">
        <f aca="false">sheet1!ani158</f>
        <v>#NAME?</v>
      </c>
    </row>
    <row r="158" customFormat="false" ht="15.75" hidden="false" customHeight="false" outlineLevel="0" collapsed="false">
      <c r="A158" s="0" t="s">
        <v>63</v>
      </c>
      <c r="B158" s="1" t="n">
        <v>44018</v>
      </c>
      <c r="C158" s="6" t="e">
        <f aca="false">sheet1!amy159</f>
        <v>#NAME?</v>
      </c>
      <c r="D158" s="6" t="e">
        <f aca="false">sheet1!amz159</f>
        <v>#NAME?</v>
      </c>
      <c r="E158" s="6" t="e">
        <f aca="false">sheet1!ana159</f>
        <v>#NAME?</v>
      </c>
      <c r="F158" s="6" t="e">
        <f aca="false">sheet1!anb159</f>
        <v>#NAME?</v>
      </c>
      <c r="G158" s="6" t="e">
        <f aca="false">sheet1!anc159</f>
        <v>#NAME?</v>
      </c>
      <c r="H158" s="6" t="e">
        <f aca="false">sheet1!and159</f>
        <v>#NAME?</v>
      </c>
      <c r="I158" s="6" t="e">
        <f aca="false">sheet1!ane159</f>
        <v>#NAME?</v>
      </c>
      <c r="J158" s="6" t="e">
        <f aca="false">sheet1!anf159</f>
        <v>#NAME?</v>
      </c>
      <c r="K158" s="6" t="e">
        <f aca="false">sheet1!ang159</f>
        <v>#NAME?</v>
      </c>
      <c r="L158" s="6" t="e">
        <f aca="false">sheet1!anh159</f>
        <v>#NAME?</v>
      </c>
      <c r="M158" s="6" t="e">
        <f aca="false">sheet1!ani159</f>
        <v>#NAME?</v>
      </c>
    </row>
    <row r="159" customFormat="false" ht="15.75" hidden="false" customHeight="false" outlineLevel="0" collapsed="false">
      <c r="A159" s="0" t="s">
        <v>63</v>
      </c>
      <c r="B159" s="1" t="n">
        <v>44019</v>
      </c>
      <c r="C159" s="6" t="e">
        <f aca="false">sheet1!amy160</f>
        <v>#NAME?</v>
      </c>
      <c r="D159" s="6" t="e">
        <f aca="false">sheet1!amz160</f>
        <v>#NAME?</v>
      </c>
      <c r="E159" s="6" t="e">
        <f aca="false">sheet1!ana160</f>
        <v>#NAME?</v>
      </c>
      <c r="F159" s="6" t="e">
        <f aca="false">sheet1!anb160</f>
        <v>#NAME?</v>
      </c>
      <c r="G159" s="6" t="e">
        <f aca="false">sheet1!anc160</f>
        <v>#NAME?</v>
      </c>
      <c r="H159" s="6" t="e">
        <f aca="false">sheet1!and160</f>
        <v>#NAME?</v>
      </c>
      <c r="I159" s="6" t="e">
        <f aca="false">sheet1!ane160</f>
        <v>#NAME?</v>
      </c>
      <c r="J159" s="6" t="e">
        <f aca="false">sheet1!anf160</f>
        <v>#NAME?</v>
      </c>
      <c r="K159" s="6" t="e">
        <f aca="false">sheet1!ang160</f>
        <v>#NAME?</v>
      </c>
      <c r="L159" s="6" t="e">
        <f aca="false">sheet1!anh160</f>
        <v>#NAME?</v>
      </c>
      <c r="M159" s="6" t="e">
        <f aca="false">sheet1!ani160</f>
        <v>#NAME?</v>
      </c>
    </row>
    <row r="160" customFormat="false" ht="15.75" hidden="false" customHeight="false" outlineLevel="0" collapsed="false">
      <c r="A160" s="0" t="s">
        <v>63</v>
      </c>
      <c r="B160" s="1" t="n">
        <v>44020</v>
      </c>
      <c r="C160" s="6" t="e">
        <f aca="false">sheet1!amy161</f>
        <v>#NAME?</v>
      </c>
      <c r="D160" s="6" t="e">
        <f aca="false">sheet1!amz161</f>
        <v>#NAME?</v>
      </c>
      <c r="E160" s="6" t="e">
        <f aca="false">sheet1!ana161</f>
        <v>#NAME?</v>
      </c>
      <c r="F160" s="6" t="e">
        <f aca="false">sheet1!anb161</f>
        <v>#NAME?</v>
      </c>
      <c r="G160" s="6" t="e">
        <f aca="false">sheet1!anc161</f>
        <v>#NAME?</v>
      </c>
      <c r="H160" s="6" t="e">
        <f aca="false">sheet1!and161</f>
        <v>#NAME?</v>
      </c>
      <c r="I160" s="6" t="e">
        <f aca="false">sheet1!ane161</f>
        <v>#NAME?</v>
      </c>
      <c r="J160" s="6" t="e">
        <f aca="false">sheet1!anf161</f>
        <v>#NAME?</v>
      </c>
      <c r="K160" s="6" t="e">
        <f aca="false">sheet1!ang161</f>
        <v>#NAME?</v>
      </c>
      <c r="L160" s="6" t="e">
        <f aca="false">sheet1!anh161</f>
        <v>#NAME?</v>
      </c>
      <c r="M160" s="6" t="e">
        <f aca="false">sheet1!ani161</f>
        <v>#NAME?</v>
      </c>
    </row>
    <row r="161" customFormat="false" ht="15.75" hidden="false" customHeight="false" outlineLevel="0" collapsed="false">
      <c r="A161" s="0" t="s">
        <v>63</v>
      </c>
      <c r="B161" s="1" t="n">
        <v>44021</v>
      </c>
      <c r="C161" s="6" t="e">
        <f aca="false">sheet1!amy162</f>
        <v>#NAME?</v>
      </c>
      <c r="D161" s="6" t="e">
        <f aca="false">sheet1!amz162</f>
        <v>#NAME?</v>
      </c>
      <c r="E161" s="6" t="e">
        <f aca="false">sheet1!ana162</f>
        <v>#NAME?</v>
      </c>
      <c r="F161" s="6" t="e">
        <f aca="false">sheet1!anb162</f>
        <v>#NAME?</v>
      </c>
      <c r="G161" s="6" t="e">
        <f aca="false">sheet1!anc162</f>
        <v>#NAME?</v>
      </c>
      <c r="H161" s="6" t="e">
        <f aca="false">sheet1!and162</f>
        <v>#NAME?</v>
      </c>
      <c r="I161" s="6" t="e">
        <f aca="false">sheet1!ane162</f>
        <v>#NAME?</v>
      </c>
      <c r="J161" s="6" t="e">
        <f aca="false">sheet1!anf162</f>
        <v>#NAME?</v>
      </c>
      <c r="K161" s="6" t="e">
        <f aca="false">sheet1!ang162</f>
        <v>#NAME?</v>
      </c>
      <c r="L161" s="6" t="e">
        <f aca="false">sheet1!anh162</f>
        <v>#NAME?</v>
      </c>
      <c r="M161" s="6" t="e">
        <f aca="false">sheet1!ani162</f>
        <v>#NAME?</v>
      </c>
    </row>
    <row r="162" customFormat="false" ht="15.75" hidden="false" customHeight="false" outlineLevel="0" collapsed="false">
      <c r="A162" s="0" t="s">
        <v>63</v>
      </c>
      <c r="B162" s="1" t="n">
        <v>44022</v>
      </c>
      <c r="C162" s="6" t="e">
        <f aca="false">sheet1!amy163</f>
        <v>#NAME?</v>
      </c>
      <c r="D162" s="6" t="e">
        <f aca="false">sheet1!amz163</f>
        <v>#NAME?</v>
      </c>
      <c r="E162" s="6" t="e">
        <f aca="false">sheet1!ana163</f>
        <v>#NAME?</v>
      </c>
      <c r="F162" s="6" t="e">
        <f aca="false">sheet1!anb163</f>
        <v>#NAME?</v>
      </c>
      <c r="G162" s="6" t="e">
        <f aca="false">sheet1!anc163</f>
        <v>#NAME?</v>
      </c>
      <c r="H162" s="6" t="e">
        <f aca="false">sheet1!and163</f>
        <v>#NAME?</v>
      </c>
      <c r="I162" s="6" t="e">
        <f aca="false">sheet1!ane163</f>
        <v>#NAME?</v>
      </c>
      <c r="J162" s="6" t="e">
        <f aca="false">sheet1!anf163</f>
        <v>#NAME?</v>
      </c>
      <c r="K162" s="6" t="e">
        <f aca="false">sheet1!ang163</f>
        <v>#NAME?</v>
      </c>
      <c r="L162" s="6" t="e">
        <f aca="false">sheet1!anh163</f>
        <v>#NAME?</v>
      </c>
      <c r="M162" s="6" t="e">
        <f aca="false">sheet1!ani163</f>
        <v>#NAME?</v>
      </c>
    </row>
    <row r="163" customFormat="false" ht="15.75" hidden="false" customHeight="false" outlineLevel="0" collapsed="false">
      <c r="A163" s="0" t="s">
        <v>63</v>
      </c>
      <c r="B163" s="1" t="n">
        <v>44023</v>
      </c>
      <c r="C163" s="6" t="e">
        <f aca="false">sheet1!amy164</f>
        <v>#NAME?</v>
      </c>
      <c r="D163" s="6" t="e">
        <f aca="false">sheet1!amz164</f>
        <v>#NAME?</v>
      </c>
      <c r="E163" s="6" t="e">
        <f aca="false">sheet1!ana164</f>
        <v>#NAME?</v>
      </c>
      <c r="F163" s="6" t="e">
        <f aca="false">sheet1!anb164</f>
        <v>#NAME?</v>
      </c>
      <c r="G163" s="6" t="e">
        <f aca="false">sheet1!anc164</f>
        <v>#NAME?</v>
      </c>
      <c r="H163" s="6" t="e">
        <f aca="false">sheet1!and164</f>
        <v>#NAME?</v>
      </c>
      <c r="I163" s="6" t="e">
        <f aca="false">sheet1!ane164</f>
        <v>#NAME?</v>
      </c>
      <c r="J163" s="6" t="e">
        <f aca="false">sheet1!anf164</f>
        <v>#NAME?</v>
      </c>
      <c r="K163" s="6" t="e">
        <f aca="false">sheet1!ang164</f>
        <v>#NAME?</v>
      </c>
      <c r="L163" s="6" t="e">
        <f aca="false">sheet1!anh164</f>
        <v>#NAME?</v>
      </c>
      <c r="M163" s="6" t="e">
        <f aca="false">sheet1!ani164</f>
        <v>#NAME?</v>
      </c>
    </row>
    <row r="164" customFormat="false" ht="15.75" hidden="false" customHeight="false" outlineLevel="0" collapsed="false">
      <c r="A164" s="0" t="s">
        <v>63</v>
      </c>
      <c r="B164" s="1" t="n">
        <v>44024</v>
      </c>
      <c r="C164" s="6" t="e">
        <f aca="false">sheet1!amy165</f>
        <v>#NAME?</v>
      </c>
      <c r="D164" s="6" t="e">
        <f aca="false">sheet1!amz165</f>
        <v>#NAME?</v>
      </c>
      <c r="E164" s="6" t="e">
        <f aca="false">sheet1!ana165</f>
        <v>#NAME?</v>
      </c>
      <c r="F164" s="6" t="e">
        <f aca="false">sheet1!anb165</f>
        <v>#NAME?</v>
      </c>
      <c r="G164" s="6" t="e">
        <f aca="false">sheet1!anc165</f>
        <v>#NAME?</v>
      </c>
      <c r="H164" s="6" t="e">
        <f aca="false">sheet1!and165</f>
        <v>#NAME?</v>
      </c>
      <c r="I164" s="6" t="e">
        <f aca="false">sheet1!ane165</f>
        <v>#NAME?</v>
      </c>
      <c r="J164" s="6" t="e">
        <f aca="false">sheet1!anf165</f>
        <v>#NAME?</v>
      </c>
      <c r="K164" s="6" t="e">
        <f aca="false">sheet1!ang165</f>
        <v>#NAME?</v>
      </c>
      <c r="L164" s="6" t="e">
        <f aca="false">sheet1!anh165</f>
        <v>#NAME?</v>
      </c>
      <c r="M164" s="6" t="e">
        <f aca="false">sheet1!ani165</f>
        <v>#NAME?</v>
      </c>
    </row>
    <row r="165" customFormat="false" ht="15.75" hidden="false" customHeight="false" outlineLevel="0" collapsed="false">
      <c r="A165" s="0" t="s">
        <v>63</v>
      </c>
      <c r="B165" s="1" t="n">
        <v>44025</v>
      </c>
      <c r="C165" s="6" t="e">
        <f aca="false">sheet1!amy166</f>
        <v>#NAME?</v>
      </c>
      <c r="D165" s="6" t="e">
        <f aca="false">sheet1!amz166</f>
        <v>#NAME?</v>
      </c>
      <c r="E165" s="6" t="e">
        <f aca="false">sheet1!ana166</f>
        <v>#NAME?</v>
      </c>
      <c r="F165" s="6" t="e">
        <f aca="false">sheet1!anb166</f>
        <v>#NAME?</v>
      </c>
      <c r="G165" s="6" t="e">
        <f aca="false">sheet1!anc166</f>
        <v>#NAME?</v>
      </c>
      <c r="H165" s="6" t="e">
        <f aca="false">sheet1!and166</f>
        <v>#NAME?</v>
      </c>
      <c r="I165" s="6" t="e">
        <f aca="false">sheet1!ane166</f>
        <v>#NAME?</v>
      </c>
      <c r="J165" s="6" t="e">
        <f aca="false">sheet1!anf166</f>
        <v>#NAME?</v>
      </c>
      <c r="K165" s="6" t="e">
        <f aca="false">sheet1!ang166</f>
        <v>#NAME?</v>
      </c>
      <c r="L165" s="6" t="e">
        <f aca="false">sheet1!anh166</f>
        <v>#NAME?</v>
      </c>
      <c r="M165" s="6" t="e">
        <f aca="false">sheet1!ani166</f>
        <v>#NAME?</v>
      </c>
    </row>
    <row r="166" customFormat="false" ht="15.75" hidden="false" customHeight="false" outlineLevel="0" collapsed="false">
      <c r="A166" s="0" t="s">
        <v>63</v>
      </c>
      <c r="B166" s="1" t="n">
        <v>44026</v>
      </c>
      <c r="C166" s="6" t="e">
        <f aca="false">sheet1!amy167</f>
        <v>#NAME?</v>
      </c>
      <c r="D166" s="6" t="e">
        <f aca="false">sheet1!amz167</f>
        <v>#NAME?</v>
      </c>
      <c r="E166" s="6" t="e">
        <f aca="false">sheet1!ana167</f>
        <v>#NAME?</v>
      </c>
      <c r="F166" s="6" t="e">
        <f aca="false">sheet1!anb167</f>
        <v>#NAME?</v>
      </c>
      <c r="G166" s="6" t="e">
        <f aca="false">sheet1!anc167</f>
        <v>#NAME?</v>
      </c>
      <c r="H166" s="6" t="e">
        <f aca="false">sheet1!and167</f>
        <v>#NAME?</v>
      </c>
      <c r="I166" s="6" t="e">
        <f aca="false">sheet1!ane167</f>
        <v>#NAME?</v>
      </c>
      <c r="J166" s="6" t="e">
        <f aca="false">sheet1!anf167</f>
        <v>#NAME?</v>
      </c>
      <c r="K166" s="6" t="e">
        <f aca="false">sheet1!ang167</f>
        <v>#NAME?</v>
      </c>
      <c r="L166" s="6" t="e">
        <f aca="false">sheet1!anh167</f>
        <v>#NAME?</v>
      </c>
      <c r="M166" s="6" t="e">
        <f aca="false">sheet1!ani167</f>
        <v>#NAME?</v>
      </c>
    </row>
    <row r="167" customFormat="false" ht="15.75" hidden="false" customHeight="false" outlineLevel="0" collapsed="false">
      <c r="A167" s="0" t="s">
        <v>63</v>
      </c>
      <c r="B167" s="1" t="n">
        <v>44027</v>
      </c>
      <c r="C167" s="6" t="e">
        <f aca="false">sheet1!amy168</f>
        <v>#NAME?</v>
      </c>
      <c r="D167" s="6" t="e">
        <f aca="false">sheet1!amz168</f>
        <v>#NAME?</v>
      </c>
      <c r="E167" s="6" t="e">
        <f aca="false">sheet1!ana168</f>
        <v>#NAME?</v>
      </c>
      <c r="F167" s="6" t="e">
        <f aca="false">sheet1!anb168</f>
        <v>#NAME?</v>
      </c>
      <c r="G167" s="6" t="e">
        <f aca="false">sheet1!anc168</f>
        <v>#NAME?</v>
      </c>
      <c r="H167" s="6" t="e">
        <f aca="false">sheet1!and168</f>
        <v>#NAME?</v>
      </c>
      <c r="I167" s="6" t="e">
        <f aca="false">sheet1!ane168</f>
        <v>#NAME?</v>
      </c>
      <c r="J167" s="6" t="e">
        <f aca="false">sheet1!anf168</f>
        <v>#NAME?</v>
      </c>
      <c r="K167" s="6" t="e">
        <f aca="false">sheet1!ang168</f>
        <v>#NAME?</v>
      </c>
      <c r="L167" s="6" t="e">
        <f aca="false">sheet1!anh168</f>
        <v>#NAME?</v>
      </c>
      <c r="M167" s="6" t="e">
        <f aca="false">sheet1!ani168</f>
        <v>#NAME?</v>
      </c>
    </row>
    <row r="168" customFormat="false" ht="15.75" hidden="false" customHeight="false" outlineLevel="0" collapsed="false">
      <c r="A168" s="0" t="s">
        <v>63</v>
      </c>
      <c r="B168" s="1" t="n">
        <v>44028</v>
      </c>
      <c r="C168" s="6" t="e">
        <f aca="false">sheet1!amy169</f>
        <v>#NAME?</v>
      </c>
      <c r="D168" s="6" t="e">
        <f aca="false">sheet1!amz169</f>
        <v>#NAME?</v>
      </c>
      <c r="E168" s="6" t="e">
        <f aca="false">sheet1!ana169</f>
        <v>#NAME?</v>
      </c>
      <c r="F168" s="6" t="e">
        <f aca="false">sheet1!anb169</f>
        <v>#NAME?</v>
      </c>
      <c r="G168" s="6" t="e">
        <f aca="false">sheet1!anc169</f>
        <v>#NAME?</v>
      </c>
      <c r="H168" s="6" t="e">
        <f aca="false">sheet1!and169</f>
        <v>#NAME?</v>
      </c>
      <c r="I168" s="6" t="e">
        <f aca="false">sheet1!ane169</f>
        <v>#NAME?</v>
      </c>
      <c r="J168" s="6" t="e">
        <f aca="false">sheet1!anf169</f>
        <v>#NAME?</v>
      </c>
      <c r="K168" s="6" t="e">
        <f aca="false">sheet1!ang169</f>
        <v>#NAME?</v>
      </c>
      <c r="L168" s="6" t="e">
        <f aca="false">sheet1!anh169</f>
        <v>#NAME?</v>
      </c>
      <c r="M168" s="6" t="e">
        <f aca="false">sheet1!ani169</f>
        <v>#NAME?</v>
      </c>
    </row>
    <row r="169" customFormat="false" ht="15.75" hidden="false" customHeight="false" outlineLevel="0" collapsed="false">
      <c r="A169" s="0" t="s">
        <v>63</v>
      </c>
      <c r="B169" s="1" t="n">
        <v>44029</v>
      </c>
      <c r="C169" s="6" t="e">
        <f aca="false">sheet1!amy170</f>
        <v>#NAME?</v>
      </c>
      <c r="D169" s="6" t="e">
        <f aca="false">sheet1!amz170</f>
        <v>#NAME?</v>
      </c>
      <c r="E169" s="6" t="e">
        <f aca="false">sheet1!ana170</f>
        <v>#NAME?</v>
      </c>
      <c r="F169" s="6" t="e">
        <f aca="false">sheet1!anb170</f>
        <v>#NAME?</v>
      </c>
      <c r="G169" s="6" t="e">
        <f aca="false">sheet1!anc170</f>
        <v>#NAME?</v>
      </c>
      <c r="H169" s="6" t="e">
        <f aca="false">sheet1!and170</f>
        <v>#NAME?</v>
      </c>
      <c r="I169" s="6" t="e">
        <f aca="false">sheet1!ane170</f>
        <v>#NAME?</v>
      </c>
      <c r="J169" s="6" t="e">
        <f aca="false">sheet1!anf170</f>
        <v>#NAME?</v>
      </c>
      <c r="K169" s="6" t="e">
        <f aca="false">sheet1!ang170</f>
        <v>#NAME?</v>
      </c>
      <c r="L169" s="6" t="e">
        <f aca="false">sheet1!anh170</f>
        <v>#NAME?</v>
      </c>
      <c r="M169" s="6" t="e">
        <f aca="false">sheet1!ani170</f>
        <v>#NAME?</v>
      </c>
    </row>
    <row r="170" customFormat="false" ht="15.75" hidden="false" customHeight="false" outlineLevel="0" collapsed="false">
      <c r="A170" s="0" t="s">
        <v>63</v>
      </c>
      <c r="B170" s="1" t="n">
        <v>44030</v>
      </c>
      <c r="C170" s="6" t="e">
        <f aca="false">sheet1!amy171</f>
        <v>#NAME?</v>
      </c>
      <c r="D170" s="6" t="e">
        <f aca="false">sheet1!amz171</f>
        <v>#NAME?</v>
      </c>
      <c r="E170" s="6" t="e">
        <f aca="false">sheet1!ana171</f>
        <v>#NAME?</v>
      </c>
      <c r="F170" s="6" t="e">
        <f aca="false">sheet1!anb171</f>
        <v>#NAME?</v>
      </c>
      <c r="G170" s="6" t="e">
        <f aca="false">sheet1!anc171</f>
        <v>#NAME?</v>
      </c>
      <c r="H170" s="6" t="e">
        <f aca="false">sheet1!and171</f>
        <v>#NAME?</v>
      </c>
      <c r="I170" s="6" t="e">
        <f aca="false">sheet1!ane171</f>
        <v>#NAME?</v>
      </c>
      <c r="J170" s="6" t="e">
        <f aca="false">sheet1!anf171</f>
        <v>#NAME?</v>
      </c>
      <c r="K170" s="6" t="e">
        <f aca="false">sheet1!ang171</f>
        <v>#NAME?</v>
      </c>
      <c r="L170" s="6" t="e">
        <f aca="false">sheet1!anh171</f>
        <v>#NAME?</v>
      </c>
      <c r="M170" s="6" t="e">
        <f aca="false">sheet1!ani171</f>
        <v>#NAME?</v>
      </c>
    </row>
    <row r="171" customFormat="false" ht="15.75" hidden="false" customHeight="false" outlineLevel="0" collapsed="false">
      <c r="A171" s="0" t="s">
        <v>63</v>
      </c>
      <c r="B171" s="1" t="n">
        <v>44031</v>
      </c>
      <c r="C171" s="6" t="e">
        <f aca="false">sheet1!amy172</f>
        <v>#NAME?</v>
      </c>
      <c r="D171" s="6" t="e">
        <f aca="false">sheet1!amz172</f>
        <v>#NAME?</v>
      </c>
      <c r="E171" s="6" t="e">
        <f aca="false">sheet1!ana172</f>
        <v>#NAME?</v>
      </c>
      <c r="F171" s="6" t="e">
        <f aca="false">sheet1!anb172</f>
        <v>#NAME?</v>
      </c>
      <c r="G171" s="6" t="e">
        <f aca="false">sheet1!anc172</f>
        <v>#NAME?</v>
      </c>
      <c r="H171" s="6" t="e">
        <f aca="false">sheet1!and172</f>
        <v>#NAME?</v>
      </c>
      <c r="I171" s="6" t="e">
        <f aca="false">sheet1!ane172</f>
        <v>#NAME?</v>
      </c>
      <c r="J171" s="6" t="e">
        <f aca="false">sheet1!anf172</f>
        <v>#NAME?</v>
      </c>
      <c r="K171" s="6" t="e">
        <f aca="false">sheet1!ang172</f>
        <v>#NAME?</v>
      </c>
      <c r="L171" s="6" t="e">
        <f aca="false">sheet1!anh172</f>
        <v>#NAME?</v>
      </c>
      <c r="M171" s="6" t="e">
        <f aca="false">sheet1!ani172</f>
        <v>#NAME?</v>
      </c>
    </row>
    <row r="172" customFormat="false" ht="15.75" hidden="false" customHeight="false" outlineLevel="0" collapsed="false">
      <c r="A172" s="0" t="s">
        <v>63</v>
      </c>
      <c r="B172" s="1" t="n">
        <v>44032</v>
      </c>
      <c r="C172" s="6" t="e">
        <f aca="false">sheet1!amy173</f>
        <v>#NAME?</v>
      </c>
      <c r="D172" s="6" t="e">
        <f aca="false">sheet1!amz173</f>
        <v>#NAME?</v>
      </c>
      <c r="E172" s="6" t="e">
        <f aca="false">sheet1!ana173</f>
        <v>#NAME?</v>
      </c>
      <c r="F172" s="6" t="e">
        <f aca="false">sheet1!anb173</f>
        <v>#NAME?</v>
      </c>
      <c r="G172" s="6" t="e">
        <f aca="false">sheet1!anc173</f>
        <v>#NAME?</v>
      </c>
      <c r="H172" s="6" t="e">
        <f aca="false">sheet1!and173</f>
        <v>#NAME?</v>
      </c>
      <c r="I172" s="6" t="e">
        <f aca="false">sheet1!ane173</f>
        <v>#NAME?</v>
      </c>
      <c r="J172" s="6" t="e">
        <f aca="false">sheet1!anf173</f>
        <v>#NAME?</v>
      </c>
      <c r="K172" s="6" t="e">
        <f aca="false">sheet1!ang173</f>
        <v>#NAME?</v>
      </c>
      <c r="L172" s="6" t="e">
        <f aca="false">sheet1!anh173</f>
        <v>#NAME?</v>
      </c>
      <c r="M172" s="6" t="e">
        <f aca="false">sheet1!ani173</f>
        <v>#NAME?</v>
      </c>
    </row>
    <row r="173" customFormat="false" ht="15.75" hidden="false" customHeight="false" outlineLevel="0" collapsed="false">
      <c r="A173" s="0" t="s">
        <v>63</v>
      </c>
      <c r="B173" s="1" t="n">
        <v>44033</v>
      </c>
      <c r="C173" s="6" t="e">
        <f aca="false">sheet1!amy174</f>
        <v>#NAME?</v>
      </c>
      <c r="D173" s="6" t="e">
        <f aca="false">sheet1!amz174</f>
        <v>#NAME?</v>
      </c>
      <c r="E173" s="6" t="e">
        <f aca="false">sheet1!ana174</f>
        <v>#NAME?</v>
      </c>
      <c r="F173" s="6" t="e">
        <f aca="false">sheet1!anb174</f>
        <v>#NAME?</v>
      </c>
      <c r="G173" s="6" t="e">
        <f aca="false">sheet1!anc174</f>
        <v>#NAME?</v>
      </c>
      <c r="H173" s="6" t="e">
        <f aca="false">sheet1!and174</f>
        <v>#NAME?</v>
      </c>
      <c r="I173" s="6" t="e">
        <f aca="false">sheet1!ane174</f>
        <v>#NAME?</v>
      </c>
      <c r="J173" s="6" t="e">
        <f aca="false">sheet1!anf174</f>
        <v>#NAME?</v>
      </c>
      <c r="K173" s="6" t="e">
        <f aca="false">sheet1!ang174</f>
        <v>#NAME?</v>
      </c>
      <c r="L173" s="6" t="e">
        <f aca="false">sheet1!anh174</f>
        <v>#NAME?</v>
      </c>
      <c r="M173" s="6" t="e">
        <f aca="false">sheet1!ani174</f>
        <v>#NAME?</v>
      </c>
    </row>
    <row r="174" customFormat="false" ht="15.75" hidden="false" customHeight="false" outlineLevel="0" collapsed="false">
      <c r="A174" s="0" t="s">
        <v>63</v>
      </c>
      <c r="B174" s="1" t="n">
        <v>44034</v>
      </c>
      <c r="C174" s="6" t="e">
        <f aca="false">sheet1!amy175</f>
        <v>#NAME?</v>
      </c>
      <c r="D174" s="6" t="e">
        <f aca="false">sheet1!amz175</f>
        <v>#NAME?</v>
      </c>
      <c r="E174" s="6" t="e">
        <f aca="false">sheet1!ana175</f>
        <v>#NAME?</v>
      </c>
      <c r="F174" s="6" t="e">
        <f aca="false">sheet1!anb175</f>
        <v>#NAME?</v>
      </c>
      <c r="G174" s="6" t="e">
        <f aca="false">sheet1!anc175</f>
        <v>#NAME?</v>
      </c>
      <c r="H174" s="6" t="e">
        <f aca="false">sheet1!and175</f>
        <v>#NAME?</v>
      </c>
      <c r="I174" s="6" t="e">
        <f aca="false">sheet1!ane175</f>
        <v>#NAME?</v>
      </c>
      <c r="J174" s="6" t="e">
        <f aca="false">sheet1!anf175</f>
        <v>#NAME?</v>
      </c>
      <c r="K174" s="6" t="e">
        <f aca="false">sheet1!ang175</f>
        <v>#NAME?</v>
      </c>
      <c r="L174" s="6" t="e">
        <f aca="false">sheet1!anh175</f>
        <v>#NAME?</v>
      </c>
      <c r="M174" s="6" t="e">
        <f aca="false">sheet1!ani175</f>
        <v>#NAME?</v>
      </c>
    </row>
    <row r="175" customFormat="false" ht="15.75" hidden="false" customHeight="false" outlineLevel="0" collapsed="false">
      <c r="A175" s="0" t="s">
        <v>63</v>
      </c>
      <c r="B175" s="1" t="n">
        <v>44035</v>
      </c>
      <c r="C175" s="6" t="e">
        <f aca="false">sheet1!amy176</f>
        <v>#NAME?</v>
      </c>
      <c r="D175" s="6" t="e">
        <f aca="false">sheet1!amz176</f>
        <v>#NAME?</v>
      </c>
      <c r="E175" s="6" t="e">
        <f aca="false">sheet1!ana176</f>
        <v>#NAME?</v>
      </c>
      <c r="F175" s="6" t="e">
        <f aca="false">sheet1!anb176</f>
        <v>#NAME?</v>
      </c>
      <c r="G175" s="6" t="e">
        <f aca="false">sheet1!anc176</f>
        <v>#NAME?</v>
      </c>
      <c r="H175" s="6" t="e">
        <f aca="false">sheet1!and176</f>
        <v>#NAME?</v>
      </c>
      <c r="I175" s="6" t="e">
        <f aca="false">sheet1!ane176</f>
        <v>#NAME?</v>
      </c>
      <c r="J175" s="6" t="e">
        <f aca="false">sheet1!anf176</f>
        <v>#NAME?</v>
      </c>
      <c r="K175" s="6" t="e">
        <f aca="false">sheet1!ang176</f>
        <v>#NAME?</v>
      </c>
      <c r="L175" s="6" t="e">
        <f aca="false">sheet1!anh176</f>
        <v>#NAME?</v>
      </c>
      <c r="M175" s="6" t="e">
        <f aca="false">sheet1!ani176</f>
        <v>#NAME?</v>
      </c>
    </row>
    <row r="176" customFormat="false" ht="15.75" hidden="false" customHeight="false" outlineLevel="0" collapsed="false">
      <c r="A176" s="0" t="s">
        <v>63</v>
      </c>
      <c r="B176" s="1" t="n">
        <v>44036</v>
      </c>
      <c r="C176" s="6" t="e">
        <f aca="false">sheet1!amy177</f>
        <v>#NAME?</v>
      </c>
      <c r="D176" s="6" t="e">
        <f aca="false">sheet1!amz177</f>
        <v>#NAME?</v>
      </c>
      <c r="E176" s="6" t="e">
        <f aca="false">sheet1!ana177</f>
        <v>#NAME?</v>
      </c>
      <c r="F176" s="6" t="e">
        <f aca="false">sheet1!anb177</f>
        <v>#NAME?</v>
      </c>
      <c r="G176" s="6" t="e">
        <f aca="false">sheet1!anc177</f>
        <v>#NAME?</v>
      </c>
      <c r="H176" s="6" t="e">
        <f aca="false">sheet1!and177</f>
        <v>#NAME?</v>
      </c>
      <c r="I176" s="6" t="e">
        <f aca="false">sheet1!ane177</f>
        <v>#NAME?</v>
      </c>
      <c r="J176" s="6" t="e">
        <f aca="false">sheet1!anf177</f>
        <v>#NAME?</v>
      </c>
      <c r="K176" s="6" t="e">
        <f aca="false">sheet1!ang177</f>
        <v>#NAME?</v>
      </c>
      <c r="L176" s="6" t="e">
        <f aca="false">sheet1!anh177</f>
        <v>#NAME?</v>
      </c>
      <c r="M176" s="6" t="e">
        <f aca="false">sheet1!ani177</f>
        <v>#NAME?</v>
      </c>
    </row>
    <row r="177" customFormat="false" ht="15.75" hidden="false" customHeight="false" outlineLevel="0" collapsed="false">
      <c r="A177" s="0" t="s">
        <v>63</v>
      </c>
      <c r="B177" s="1" t="n">
        <v>44037</v>
      </c>
      <c r="C177" s="6" t="e">
        <f aca="false">sheet1!amy178</f>
        <v>#NAME?</v>
      </c>
      <c r="D177" s="6" t="e">
        <f aca="false">sheet1!amz178</f>
        <v>#NAME?</v>
      </c>
      <c r="E177" s="6" t="e">
        <f aca="false">sheet1!ana178</f>
        <v>#NAME?</v>
      </c>
      <c r="F177" s="6" t="e">
        <f aca="false">sheet1!anb178</f>
        <v>#NAME?</v>
      </c>
      <c r="G177" s="6" t="e">
        <f aca="false">sheet1!anc178</f>
        <v>#NAME?</v>
      </c>
      <c r="H177" s="6" t="e">
        <f aca="false">sheet1!and178</f>
        <v>#NAME?</v>
      </c>
      <c r="I177" s="6" t="e">
        <f aca="false">sheet1!ane178</f>
        <v>#NAME?</v>
      </c>
      <c r="J177" s="6" t="e">
        <f aca="false">sheet1!anf178</f>
        <v>#NAME?</v>
      </c>
      <c r="K177" s="6" t="e">
        <f aca="false">sheet1!ang178</f>
        <v>#NAME?</v>
      </c>
      <c r="L177" s="6" t="e">
        <f aca="false">sheet1!anh178</f>
        <v>#NAME?</v>
      </c>
      <c r="M177" s="6" t="e">
        <f aca="false">sheet1!ani178</f>
        <v>#NAME?</v>
      </c>
    </row>
    <row r="178" customFormat="false" ht="15.75" hidden="false" customHeight="false" outlineLevel="0" collapsed="false">
      <c r="A178" s="0" t="s">
        <v>63</v>
      </c>
      <c r="B178" s="1" t="n">
        <v>44038</v>
      </c>
      <c r="C178" s="6" t="e">
        <f aca="false">sheet1!amy179</f>
        <v>#NAME?</v>
      </c>
      <c r="D178" s="6" t="e">
        <f aca="false">sheet1!amz179</f>
        <v>#NAME?</v>
      </c>
      <c r="E178" s="6" t="e">
        <f aca="false">sheet1!ana179</f>
        <v>#NAME?</v>
      </c>
      <c r="F178" s="6" t="e">
        <f aca="false">sheet1!anb179</f>
        <v>#NAME?</v>
      </c>
      <c r="G178" s="6" t="e">
        <f aca="false">sheet1!anc179</f>
        <v>#NAME?</v>
      </c>
      <c r="H178" s="6" t="e">
        <f aca="false">sheet1!and179</f>
        <v>#NAME?</v>
      </c>
      <c r="I178" s="6" t="e">
        <f aca="false">sheet1!ane179</f>
        <v>#NAME?</v>
      </c>
      <c r="J178" s="6" t="e">
        <f aca="false">sheet1!anf179</f>
        <v>#NAME?</v>
      </c>
      <c r="K178" s="6" t="e">
        <f aca="false">sheet1!ang179</f>
        <v>#NAME?</v>
      </c>
      <c r="L178" s="6" t="e">
        <f aca="false">sheet1!anh179</f>
        <v>#NAME?</v>
      </c>
      <c r="M178" s="6" t="e">
        <f aca="false">sheet1!ani179</f>
        <v>#NAME?</v>
      </c>
    </row>
    <row r="179" customFormat="false" ht="15.75" hidden="false" customHeight="false" outlineLevel="0" collapsed="false">
      <c r="A179" s="0" t="s">
        <v>63</v>
      </c>
      <c r="B179" s="1" t="n">
        <v>44039</v>
      </c>
      <c r="C179" s="6" t="e">
        <f aca="false">sheet1!amy180</f>
        <v>#NAME?</v>
      </c>
      <c r="D179" s="6" t="e">
        <f aca="false">sheet1!amz180</f>
        <v>#NAME?</v>
      </c>
      <c r="E179" s="6" t="e">
        <f aca="false">sheet1!ana180</f>
        <v>#NAME?</v>
      </c>
      <c r="F179" s="6" t="e">
        <f aca="false">sheet1!anb180</f>
        <v>#NAME?</v>
      </c>
      <c r="G179" s="6" t="e">
        <f aca="false">sheet1!anc180</f>
        <v>#NAME?</v>
      </c>
      <c r="H179" s="6" t="e">
        <f aca="false">sheet1!and180</f>
        <v>#NAME?</v>
      </c>
      <c r="I179" s="6" t="e">
        <f aca="false">sheet1!ane180</f>
        <v>#NAME?</v>
      </c>
      <c r="J179" s="6" t="e">
        <f aca="false">sheet1!anf180</f>
        <v>#NAME?</v>
      </c>
      <c r="K179" s="6" t="e">
        <f aca="false">sheet1!ang180</f>
        <v>#NAME?</v>
      </c>
      <c r="L179" s="6" t="e">
        <f aca="false">sheet1!anh180</f>
        <v>#NAME?</v>
      </c>
      <c r="M179" s="6" t="e">
        <f aca="false">sheet1!ani180</f>
        <v>#NAME?</v>
      </c>
    </row>
    <row r="180" customFormat="false" ht="15.75" hidden="false" customHeight="false" outlineLevel="0" collapsed="false">
      <c r="A180" s="0" t="s">
        <v>63</v>
      </c>
      <c r="B180" s="1" t="n">
        <v>44040</v>
      </c>
      <c r="C180" s="6" t="e">
        <f aca="false">sheet1!amy181</f>
        <v>#NAME?</v>
      </c>
      <c r="D180" s="6" t="e">
        <f aca="false">sheet1!amz181</f>
        <v>#NAME?</v>
      </c>
      <c r="E180" s="6" t="e">
        <f aca="false">sheet1!ana181</f>
        <v>#NAME?</v>
      </c>
      <c r="F180" s="6" t="e">
        <f aca="false">sheet1!anb181</f>
        <v>#NAME?</v>
      </c>
      <c r="G180" s="6" t="e">
        <f aca="false">sheet1!anc181</f>
        <v>#NAME?</v>
      </c>
      <c r="H180" s="6" t="e">
        <f aca="false">sheet1!and181</f>
        <v>#NAME?</v>
      </c>
      <c r="I180" s="6" t="e">
        <f aca="false">sheet1!ane181</f>
        <v>#NAME?</v>
      </c>
      <c r="J180" s="6" t="e">
        <f aca="false">sheet1!anf181</f>
        <v>#NAME?</v>
      </c>
      <c r="K180" s="6" t="e">
        <f aca="false">sheet1!ang181</f>
        <v>#NAME?</v>
      </c>
      <c r="L180" s="6" t="e">
        <f aca="false">sheet1!anh181</f>
        <v>#NAME?</v>
      </c>
      <c r="M180" s="6" t="e">
        <f aca="false">sheet1!ani181</f>
        <v>#NAME?</v>
      </c>
    </row>
    <row r="181" customFormat="false" ht="15.75" hidden="false" customHeight="false" outlineLevel="0" collapsed="false">
      <c r="A181" s="0" t="s">
        <v>63</v>
      </c>
      <c r="B181" s="1" t="n">
        <v>44041</v>
      </c>
      <c r="C181" s="6" t="e">
        <f aca="false">sheet1!amy182</f>
        <v>#NAME?</v>
      </c>
      <c r="D181" s="6" t="e">
        <f aca="false">sheet1!amz182</f>
        <v>#NAME?</v>
      </c>
      <c r="E181" s="6" t="e">
        <f aca="false">sheet1!ana182</f>
        <v>#NAME?</v>
      </c>
      <c r="F181" s="6" t="e">
        <f aca="false">sheet1!anb182</f>
        <v>#NAME?</v>
      </c>
      <c r="G181" s="6" t="e">
        <f aca="false">sheet1!anc182</f>
        <v>#NAME?</v>
      </c>
      <c r="H181" s="6" t="e">
        <f aca="false">sheet1!and182</f>
        <v>#NAME?</v>
      </c>
      <c r="I181" s="6" t="e">
        <f aca="false">sheet1!ane182</f>
        <v>#NAME?</v>
      </c>
      <c r="J181" s="6" t="e">
        <f aca="false">sheet1!anf182</f>
        <v>#NAME?</v>
      </c>
      <c r="K181" s="6" t="e">
        <f aca="false">sheet1!ang182</f>
        <v>#NAME?</v>
      </c>
      <c r="L181" s="6" t="e">
        <f aca="false">sheet1!anh182</f>
        <v>#NAME?</v>
      </c>
      <c r="M181" s="6" t="e">
        <f aca="false">sheet1!ani182</f>
        <v>#NAME?</v>
      </c>
    </row>
    <row r="182" customFormat="false" ht="15.75" hidden="false" customHeight="false" outlineLevel="0" collapsed="false">
      <c r="A182" s="0" t="s">
        <v>63</v>
      </c>
      <c r="B182" s="1" t="n">
        <v>44042</v>
      </c>
      <c r="C182" s="6" t="e">
        <f aca="false">sheet1!amy183</f>
        <v>#NAME?</v>
      </c>
      <c r="D182" s="6" t="e">
        <f aca="false">sheet1!amz183</f>
        <v>#NAME?</v>
      </c>
      <c r="E182" s="6" t="e">
        <f aca="false">sheet1!ana183</f>
        <v>#NAME?</v>
      </c>
      <c r="F182" s="6" t="e">
        <f aca="false">sheet1!anb183</f>
        <v>#NAME?</v>
      </c>
      <c r="G182" s="6" t="e">
        <f aca="false">sheet1!anc183</f>
        <v>#NAME?</v>
      </c>
      <c r="H182" s="6" t="e">
        <f aca="false">sheet1!and183</f>
        <v>#NAME?</v>
      </c>
      <c r="I182" s="6" t="e">
        <f aca="false">sheet1!ane183</f>
        <v>#NAME?</v>
      </c>
      <c r="J182" s="6" t="e">
        <f aca="false">sheet1!anf183</f>
        <v>#NAME?</v>
      </c>
      <c r="K182" s="6" t="e">
        <f aca="false">sheet1!ang183</f>
        <v>#NAME?</v>
      </c>
      <c r="L182" s="6" t="e">
        <f aca="false">sheet1!anh183</f>
        <v>#NAME?</v>
      </c>
      <c r="M182" s="6" t="e">
        <f aca="false">sheet1!ani183</f>
        <v>#NAME?</v>
      </c>
    </row>
    <row r="183" customFormat="false" ht="15.75" hidden="false" customHeight="false" outlineLevel="0" collapsed="false">
      <c r="A183" s="0" t="s">
        <v>63</v>
      </c>
      <c r="B183" s="1" t="n">
        <v>44043</v>
      </c>
      <c r="C183" s="6" t="e">
        <f aca="false">sheet1!amy184</f>
        <v>#NAME?</v>
      </c>
      <c r="D183" s="6" t="e">
        <f aca="false">sheet1!amz184</f>
        <v>#NAME?</v>
      </c>
      <c r="E183" s="6" t="e">
        <f aca="false">sheet1!ana184</f>
        <v>#NAME?</v>
      </c>
      <c r="F183" s="6" t="e">
        <f aca="false">sheet1!anb184</f>
        <v>#NAME?</v>
      </c>
      <c r="G183" s="6" t="e">
        <f aca="false">sheet1!anc184</f>
        <v>#NAME?</v>
      </c>
      <c r="H183" s="6" t="e">
        <f aca="false">sheet1!and184</f>
        <v>#NAME?</v>
      </c>
      <c r="I183" s="6" t="e">
        <f aca="false">sheet1!ane184</f>
        <v>#NAME?</v>
      </c>
      <c r="J183" s="6" t="e">
        <f aca="false">sheet1!anf184</f>
        <v>#NAME?</v>
      </c>
      <c r="K183" s="6" t="e">
        <f aca="false">sheet1!ang184</f>
        <v>#NAME?</v>
      </c>
      <c r="L183" s="6" t="e">
        <f aca="false">sheet1!anh184</f>
        <v>#NAME?</v>
      </c>
      <c r="M183" s="6" t="e">
        <f aca="false">sheet1!ani184</f>
        <v>#NAME?</v>
      </c>
    </row>
    <row r="184" customFormat="false" ht="15.75" hidden="false" customHeight="false" outlineLevel="0" collapsed="false">
      <c r="A184" s="0" t="s">
        <v>63</v>
      </c>
      <c r="B184" s="1" t="n">
        <v>44044</v>
      </c>
      <c r="C184" s="6" t="e">
        <f aca="false">sheet1!amy185</f>
        <v>#NAME?</v>
      </c>
      <c r="D184" s="6" t="e">
        <f aca="false">sheet1!amz185</f>
        <v>#NAME?</v>
      </c>
      <c r="E184" s="6" t="e">
        <f aca="false">sheet1!ana185</f>
        <v>#NAME?</v>
      </c>
      <c r="F184" s="6" t="e">
        <f aca="false">sheet1!anb185</f>
        <v>#NAME?</v>
      </c>
      <c r="G184" s="6" t="e">
        <f aca="false">sheet1!anc185</f>
        <v>#NAME?</v>
      </c>
      <c r="H184" s="6" t="e">
        <f aca="false">sheet1!and185</f>
        <v>#NAME?</v>
      </c>
      <c r="I184" s="6" t="e">
        <f aca="false">sheet1!ane185</f>
        <v>#NAME?</v>
      </c>
      <c r="J184" s="6" t="e">
        <f aca="false">sheet1!anf185</f>
        <v>#NAME?</v>
      </c>
      <c r="K184" s="6" t="e">
        <f aca="false">sheet1!ang185</f>
        <v>#NAME?</v>
      </c>
      <c r="L184" s="6" t="e">
        <f aca="false">sheet1!anh185</f>
        <v>#NAME?</v>
      </c>
      <c r="M184" s="6" t="e">
        <f aca="false">sheet1!ani185</f>
        <v>#NAME?</v>
      </c>
    </row>
    <row r="185" customFormat="false" ht="15.75" hidden="false" customHeight="false" outlineLevel="0" collapsed="false">
      <c r="A185" s="0" t="s">
        <v>63</v>
      </c>
      <c r="B185" s="1" t="n">
        <v>44045</v>
      </c>
      <c r="C185" s="6" t="e">
        <f aca="false">sheet1!amy186</f>
        <v>#NAME?</v>
      </c>
      <c r="D185" s="6" t="e">
        <f aca="false">sheet1!amz186</f>
        <v>#NAME?</v>
      </c>
      <c r="E185" s="6" t="e">
        <f aca="false">sheet1!ana186</f>
        <v>#NAME?</v>
      </c>
      <c r="F185" s="6" t="e">
        <f aca="false">sheet1!anb186</f>
        <v>#NAME?</v>
      </c>
      <c r="G185" s="6" t="e">
        <f aca="false">sheet1!anc186</f>
        <v>#NAME?</v>
      </c>
      <c r="H185" s="6" t="e">
        <f aca="false">sheet1!and186</f>
        <v>#NAME?</v>
      </c>
      <c r="I185" s="6" t="e">
        <f aca="false">sheet1!ane186</f>
        <v>#NAME?</v>
      </c>
      <c r="J185" s="6" t="e">
        <f aca="false">sheet1!anf186</f>
        <v>#NAME?</v>
      </c>
      <c r="K185" s="6" t="e">
        <f aca="false">sheet1!ang186</f>
        <v>#NAME?</v>
      </c>
      <c r="L185" s="6" t="e">
        <f aca="false">sheet1!anh186</f>
        <v>#NAME?</v>
      </c>
      <c r="M185" s="6" t="e">
        <f aca="false">sheet1!ani186</f>
        <v>#NAME?</v>
      </c>
    </row>
    <row r="186" customFormat="false" ht="15.75" hidden="false" customHeight="false" outlineLevel="0" collapsed="false">
      <c r="A186" s="0" t="s">
        <v>63</v>
      </c>
      <c r="B186" s="1" t="n">
        <v>44046</v>
      </c>
      <c r="C186" s="6" t="e">
        <f aca="false">sheet1!amy187</f>
        <v>#NAME?</v>
      </c>
      <c r="D186" s="6" t="e">
        <f aca="false">sheet1!amz187</f>
        <v>#NAME?</v>
      </c>
      <c r="E186" s="6" t="e">
        <f aca="false">sheet1!ana187</f>
        <v>#NAME?</v>
      </c>
      <c r="F186" s="6" t="e">
        <f aca="false">sheet1!anb187</f>
        <v>#NAME?</v>
      </c>
      <c r="G186" s="6" t="e">
        <f aca="false">sheet1!anc187</f>
        <v>#NAME?</v>
      </c>
      <c r="H186" s="6" t="e">
        <f aca="false">sheet1!and187</f>
        <v>#NAME?</v>
      </c>
      <c r="I186" s="6" t="e">
        <f aca="false">sheet1!ane187</f>
        <v>#NAME?</v>
      </c>
      <c r="J186" s="6" t="e">
        <f aca="false">sheet1!anf187</f>
        <v>#NAME?</v>
      </c>
      <c r="K186" s="6" t="e">
        <f aca="false">sheet1!ang187</f>
        <v>#NAME?</v>
      </c>
      <c r="L186" s="6" t="e">
        <f aca="false">sheet1!anh187</f>
        <v>#NAME?</v>
      </c>
      <c r="M186" s="6" t="e">
        <f aca="false">sheet1!ani187</f>
        <v>#NAME?</v>
      </c>
    </row>
    <row r="187" customFormat="false" ht="15.75" hidden="false" customHeight="false" outlineLevel="0" collapsed="false">
      <c r="A187" s="0" t="s">
        <v>63</v>
      </c>
      <c r="B187" s="1" t="n">
        <v>44047</v>
      </c>
      <c r="C187" s="6" t="e">
        <f aca="false">sheet1!amy188</f>
        <v>#NAME?</v>
      </c>
      <c r="D187" s="6" t="e">
        <f aca="false">sheet1!amz188</f>
        <v>#NAME?</v>
      </c>
      <c r="E187" s="6" t="e">
        <f aca="false">sheet1!ana188</f>
        <v>#NAME?</v>
      </c>
      <c r="F187" s="6" t="e">
        <f aca="false">sheet1!anb188</f>
        <v>#NAME?</v>
      </c>
      <c r="G187" s="6" t="e">
        <f aca="false">sheet1!anc188</f>
        <v>#NAME?</v>
      </c>
      <c r="H187" s="6" t="e">
        <f aca="false">sheet1!and188</f>
        <v>#NAME?</v>
      </c>
      <c r="I187" s="6" t="e">
        <f aca="false">sheet1!ane188</f>
        <v>#NAME?</v>
      </c>
      <c r="J187" s="6" t="e">
        <f aca="false">sheet1!anf188</f>
        <v>#NAME?</v>
      </c>
      <c r="K187" s="6" t="e">
        <f aca="false">sheet1!ang188</f>
        <v>#NAME?</v>
      </c>
      <c r="L187" s="6" t="e">
        <f aca="false">sheet1!anh188</f>
        <v>#NAME?</v>
      </c>
      <c r="M187" s="6" t="e">
        <f aca="false">sheet1!ani188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64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64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64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64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64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64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64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64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64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64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64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64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64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64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64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64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64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64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64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64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64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64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64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64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64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64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64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64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64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64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64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64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64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64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64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64</v>
      </c>
      <c r="B37" s="1" t="n">
        <v>43897</v>
      </c>
      <c r="C37" s="8" t="n">
        <v>48</v>
      </c>
      <c r="D37" s="8" t="n">
        <v>1</v>
      </c>
      <c r="E37" s="8" t="n">
        <v>1</v>
      </c>
      <c r="F37" s="8"/>
      <c r="G37" s="8" t="n">
        <v>31</v>
      </c>
      <c r="H37" s="8" t="n">
        <v>16</v>
      </c>
      <c r="I37" s="8" t="n">
        <v>1</v>
      </c>
      <c r="J37" s="8"/>
      <c r="K37" s="9"/>
      <c r="L37" s="8"/>
      <c r="M37" s="8"/>
    </row>
    <row r="38" customFormat="false" ht="15.75" hidden="false" customHeight="false" outlineLevel="0" collapsed="false">
      <c r="A38" s="0" t="s">
        <v>64</v>
      </c>
      <c r="B38" s="1" t="n">
        <v>43898</v>
      </c>
      <c r="C38" s="6" t="n">
        <v>50</v>
      </c>
      <c r="D38" s="6" t="n">
        <v>2</v>
      </c>
      <c r="E38" s="6" t="n">
        <v>1</v>
      </c>
      <c r="F38" s="6"/>
      <c r="G38" s="6" t="n">
        <v>31</v>
      </c>
      <c r="H38" s="6" t="n">
        <v>18</v>
      </c>
      <c r="I38" s="6" t="n">
        <v>1</v>
      </c>
      <c r="J38" s="6" t="n">
        <v>0.7</v>
      </c>
      <c r="K38" s="9"/>
      <c r="L38" s="6"/>
      <c r="M38" s="6"/>
    </row>
    <row r="39" customFormat="false" ht="15.75" hidden="false" customHeight="false" outlineLevel="0" collapsed="false">
      <c r="A39" s="0" t="s">
        <v>64</v>
      </c>
      <c r="B39" s="1" t="n">
        <v>43899</v>
      </c>
      <c r="C39" s="6" t="n">
        <v>50</v>
      </c>
      <c r="D39" s="6" t="n">
        <v>0</v>
      </c>
      <c r="E39" s="6" t="n">
        <v>1</v>
      </c>
      <c r="F39" s="6"/>
      <c r="G39" s="6" t="n">
        <v>31</v>
      </c>
      <c r="H39" s="6" t="n">
        <v>18</v>
      </c>
      <c r="I39" s="6" t="n">
        <v>1</v>
      </c>
      <c r="J39" s="6" t="n">
        <v>0.7</v>
      </c>
      <c r="K39" s="9"/>
      <c r="L39" s="6"/>
      <c r="M39" s="6"/>
    </row>
    <row r="40" customFormat="false" ht="15.75" hidden="false" customHeight="false" outlineLevel="0" collapsed="false">
      <c r="A40" s="0" t="s">
        <v>64</v>
      </c>
      <c r="B40" s="1" t="n">
        <v>43900</v>
      </c>
      <c r="C40" s="6" t="n">
        <v>50</v>
      </c>
      <c r="D40" s="6" t="n">
        <v>0</v>
      </c>
      <c r="E40" s="6" t="n">
        <v>1</v>
      </c>
      <c r="F40" s="6"/>
      <c r="G40" s="6" t="n">
        <v>33</v>
      </c>
      <c r="H40" s="6" t="n">
        <v>16</v>
      </c>
      <c r="I40" s="6" t="n">
        <v>1</v>
      </c>
      <c r="J40" s="6" t="n">
        <v>0.7</v>
      </c>
      <c r="K40" s="9"/>
      <c r="L40" s="6"/>
      <c r="M40" s="6"/>
    </row>
    <row r="41" customFormat="false" ht="15.75" hidden="false" customHeight="false" outlineLevel="0" collapsed="false">
      <c r="A41" s="0" t="s">
        <v>64</v>
      </c>
      <c r="B41" s="1" t="n">
        <v>43901</v>
      </c>
      <c r="C41" s="6" t="n">
        <v>53</v>
      </c>
      <c r="D41" s="6" t="n">
        <v>3</v>
      </c>
      <c r="E41" s="6" t="n">
        <v>1</v>
      </c>
      <c r="F41" s="6"/>
      <c r="G41" s="6" t="n">
        <v>33</v>
      </c>
      <c r="H41" s="6" t="n">
        <v>19</v>
      </c>
      <c r="I41" s="6" t="n">
        <v>1</v>
      </c>
      <c r="J41" s="6" t="n">
        <v>0.8</v>
      </c>
      <c r="K41" s="9"/>
      <c r="L41" s="6"/>
      <c r="M41" s="6"/>
    </row>
    <row r="42" customFormat="false" ht="15.75" hidden="false" customHeight="false" outlineLevel="0" collapsed="false">
      <c r="A42" s="0" t="s">
        <v>64</v>
      </c>
      <c r="B42" s="1" t="n">
        <v>43902</v>
      </c>
      <c r="C42" s="6" t="n">
        <v>59</v>
      </c>
      <c r="D42" s="6" t="n">
        <v>6</v>
      </c>
      <c r="E42" s="6" t="n">
        <v>1</v>
      </c>
      <c r="F42" s="6"/>
      <c r="G42" s="6" t="n">
        <v>34</v>
      </c>
      <c r="H42" s="6" t="n">
        <v>24</v>
      </c>
      <c r="I42" s="6" t="n">
        <v>1</v>
      </c>
      <c r="J42" s="6" t="n">
        <v>0.8</v>
      </c>
      <c r="K42" s="9"/>
      <c r="L42" s="6"/>
      <c r="M42" s="6"/>
    </row>
    <row r="43" customFormat="false" ht="15.75" hidden="false" customHeight="false" outlineLevel="0" collapsed="false">
      <c r="A43" s="0" t="s">
        <v>64</v>
      </c>
      <c r="B43" s="1" t="n">
        <v>43903</v>
      </c>
      <c r="C43" s="6" t="n">
        <v>70</v>
      </c>
      <c r="D43" s="6" t="n">
        <v>11</v>
      </c>
      <c r="E43" s="6" t="n">
        <v>1</v>
      </c>
      <c r="F43" s="6"/>
      <c r="G43" s="6" t="n">
        <v>35</v>
      </c>
      <c r="H43" s="6" t="n">
        <v>34</v>
      </c>
      <c r="I43" s="6" t="n">
        <v>1</v>
      </c>
      <c r="J43" s="6" t="n">
        <v>1</v>
      </c>
      <c r="K43" s="9"/>
      <c r="L43" s="6"/>
      <c r="M43" s="6"/>
    </row>
    <row r="44" customFormat="false" ht="15.75" hidden="false" customHeight="false" outlineLevel="0" collapsed="false">
      <c r="A44" s="0" t="s">
        <v>64</v>
      </c>
      <c r="B44" s="1" t="n">
        <v>43904</v>
      </c>
      <c r="C44" s="6" t="n">
        <v>75</v>
      </c>
      <c r="D44" s="6" t="n">
        <v>5</v>
      </c>
      <c r="E44" s="6" t="n">
        <v>1</v>
      </c>
      <c r="F44" s="6"/>
      <c r="G44" s="6" t="n">
        <v>35</v>
      </c>
      <c r="H44" s="6" t="n">
        <v>39</v>
      </c>
      <c r="I44" s="6" t="n">
        <v>1</v>
      </c>
      <c r="J44" s="6" t="n">
        <v>1.1</v>
      </c>
      <c r="K44" s="9"/>
      <c r="L44" s="6"/>
      <c r="M44" s="6"/>
    </row>
    <row r="45" customFormat="false" ht="15.75" hidden="false" customHeight="false" outlineLevel="0" collapsed="false">
      <c r="A45" s="0" t="s">
        <v>64</v>
      </c>
      <c r="B45" s="1" t="n">
        <v>43905</v>
      </c>
      <c r="C45" s="6" t="n">
        <v>82</v>
      </c>
      <c r="D45" s="6" t="n">
        <v>7</v>
      </c>
      <c r="E45" s="6" t="n">
        <v>1</v>
      </c>
      <c r="F45" s="6"/>
      <c r="G45" s="6" t="n">
        <v>35</v>
      </c>
      <c r="H45" s="6" t="n">
        <v>46</v>
      </c>
      <c r="I45" s="6" t="n">
        <v>1</v>
      </c>
      <c r="J45" s="6" t="n">
        <v>1.2</v>
      </c>
      <c r="K45" s="9"/>
      <c r="L45" s="6"/>
      <c r="M45" s="6"/>
    </row>
    <row r="46" customFormat="false" ht="15.75" hidden="false" customHeight="false" outlineLevel="0" collapsed="false">
      <c r="A46" s="0" t="s">
        <v>64</v>
      </c>
      <c r="B46" s="1" t="n">
        <v>43906</v>
      </c>
      <c r="C46" s="6" t="n">
        <v>114</v>
      </c>
      <c r="D46" s="6" t="n">
        <v>32</v>
      </c>
      <c r="E46" s="6" t="n">
        <v>1</v>
      </c>
      <c r="F46" s="6"/>
      <c r="G46" s="6" t="n">
        <v>35</v>
      </c>
      <c r="H46" s="6" t="n">
        <v>78</v>
      </c>
      <c r="I46" s="6" t="n">
        <v>1</v>
      </c>
      <c r="J46" s="6" t="n">
        <v>1.6</v>
      </c>
      <c r="K46" s="9"/>
      <c r="L46" s="6"/>
      <c r="M46" s="6"/>
    </row>
    <row r="47" customFormat="false" ht="15.75" hidden="false" customHeight="false" outlineLevel="0" collapsed="false">
      <c r="A47" s="0" t="s">
        <v>64</v>
      </c>
      <c r="B47" s="1" t="n">
        <v>43907</v>
      </c>
      <c r="C47" s="6" t="n">
        <v>147</v>
      </c>
      <c r="D47" s="6" t="n">
        <v>33</v>
      </c>
      <c r="E47" s="6" t="n">
        <v>1</v>
      </c>
      <c r="F47" s="6"/>
      <c r="G47" s="6" t="n">
        <v>35</v>
      </c>
      <c r="H47" s="6" t="n">
        <v>111</v>
      </c>
      <c r="I47" s="6" t="n">
        <v>1</v>
      </c>
      <c r="J47" s="6" t="n">
        <v>2.1</v>
      </c>
      <c r="K47" s="9"/>
      <c r="L47" s="6"/>
      <c r="M47" s="6"/>
    </row>
    <row r="48" customFormat="false" ht="15.75" hidden="false" customHeight="false" outlineLevel="0" collapsed="false">
      <c r="A48" s="0" t="s">
        <v>64</v>
      </c>
      <c r="B48" s="1" t="n">
        <v>43908</v>
      </c>
      <c r="C48" s="6" t="n">
        <v>177</v>
      </c>
      <c r="D48" s="6" t="n">
        <v>30</v>
      </c>
      <c r="E48" s="6" t="n">
        <v>1</v>
      </c>
      <c r="F48" s="6"/>
      <c r="G48" s="6" t="n">
        <v>41</v>
      </c>
      <c r="H48" s="6" t="n">
        <v>135</v>
      </c>
      <c r="I48" s="6" t="n">
        <v>1</v>
      </c>
      <c r="J48" s="6" t="n">
        <v>2.5</v>
      </c>
      <c r="K48" s="9"/>
      <c r="L48" s="6"/>
      <c r="M48" s="6"/>
    </row>
    <row r="49" customFormat="false" ht="15.75" hidden="false" customHeight="false" outlineLevel="0" collapsed="false">
      <c r="A49" s="0" t="s">
        <v>64</v>
      </c>
      <c r="B49" s="1" t="n">
        <v>43909</v>
      </c>
      <c r="C49" s="6" t="n">
        <v>212</v>
      </c>
      <c r="D49" s="6" t="n">
        <v>35</v>
      </c>
      <c r="E49" s="6" t="n">
        <v>1</v>
      </c>
      <c r="F49" s="6"/>
      <c r="G49" s="6" t="n">
        <v>41</v>
      </c>
      <c r="H49" s="6" t="n">
        <v>170</v>
      </c>
      <c r="I49" s="6" t="n">
        <v>1</v>
      </c>
      <c r="J49" s="6" t="n">
        <v>3</v>
      </c>
      <c r="K49" s="9"/>
      <c r="L49" s="6"/>
      <c r="M49" s="6"/>
    </row>
    <row r="50" customFormat="false" ht="15.75" hidden="false" customHeight="false" outlineLevel="0" collapsed="false">
      <c r="A50" s="0" t="s">
        <v>64</v>
      </c>
      <c r="B50" s="1" t="n">
        <v>43910</v>
      </c>
      <c r="C50" s="6" t="n">
        <v>272</v>
      </c>
      <c r="D50" s="6" t="n">
        <v>60</v>
      </c>
      <c r="E50" s="6" t="n">
        <v>1</v>
      </c>
      <c r="F50" s="6"/>
      <c r="G50" s="6" t="n">
        <v>42</v>
      </c>
      <c r="H50" s="6" t="n">
        <v>229</v>
      </c>
      <c r="I50" s="6" t="n">
        <v>1</v>
      </c>
      <c r="J50" s="6" t="n">
        <v>4</v>
      </c>
      <c r="K50" s="9"/>
      <c r="L50" s="6"/>
      <c r="M50" s="6"/>
    </row>
    <row r="51" customFormat="false" ht="15.75" hidden="false" customHeight="false" outlineLevel="0" collapsed="false">
      <c r="A51" s="0" t="s">
        <v>64</v>
      </c>
      <c r="B51" s="1" t="n">
        <v>43911</v>
      </c>
      <c r="C51" s="6" t="n">
        <v>411</v>
      </c>
      <c r="D51" s="6" t="n">
        <v>139</v>
      </c>
      <c r="E51" s="6" t="n">
        <v>1</v>
      </c>
      <c r="F51" s="6"/>
      <c r="G51" s="6" t="n">
        <v>42</v>
      </c>
      <c r="H51" s="6" t="n">
        <v>368</v>
      </c>
      <c r="I51" s="6" t="n">
        <v>1</v>
      </c>
      <c r="J51" s="6" t="n">
        <v>6</v>
      </c>
      <c r="K51" s="9"/>
      <c r="L51" s="6"/>
      <c r="M51" s="6"/>
    </row>
    <row r="52" customFormat="false" ht="15.75" hidden="false" customHeight="false" outlineLevel="0" collapsed="false">
      <c r="A52" s="0" t="s">
        <v>64</v>
      </c>
      <c r="B52" s="1" t="n">
        <v>43912</v>
      </c>
      <c r="C52" s="6" t="n">
        <v>411</v>
      </c>
      <c r="D52" s="6" t="n">
        <v>0</v>
      </c>
      <c r="E52" s="6" t="n">
        <v>1</v>
      </c>
      <c r="F52" s="6"/>
      <c r="G52" s="6" t="n">
        <v>44</v>
      </c>
      <c r="H52" s="6" t="n">
        <v>366</v>
      </c>
      <c r="I52" s="6" t="n">
        <v>7</v>
      </c>
      <c r="J52" s="6" t="n">
        <v>6</v>
      </c>
      <c r="K52" s="9"/>
      <c r="L52" s="6"/>
      <c r="M52" s="6"/>
    </row>
    <row r="53" customFormat="false" ht="15.75" hidden="false" customHeight="false" outlineLevel="0" collapsed="false">
      <c r="A53" s="0" t="s">
        <v>64</v>
      </c>
      <c r="B53" s="1" t="n">
        <v>43913</v>
      </c>
      <c r="C53" s="6" t="n">
        <v>599</v>
      </c>
      <c r="D53" s="6" t="n">
        <v>188</v>
      </c>
      <c r="E53" s="6" t="n">
        <v>1</v>
      </c>
      <c r="F53" s="6"/>
      <c r="G53" s="6" t="n">
        <v>44</v>
      </c>
      <c r="H53" s="6" t="n">
        <v>554</v>
      </c>
      <c r="I53" s="6" t="n">
        <v>7</v>
      </c>
      <c r="J53" s="6" t="n">
        <v>9</v>
      </c>
      <c r="K53" s="9"/>
      <c r="L53" s="6"/>
      <c r="M53" s="6"/>
    </row>
    <row r="54" customFormat="false" ht="15.75" hidden="false" customHeight="false" outlineLevel="0" collapsed="false">
      <c r="A54" s="0" t="s">
        <v>64</v>
      </c>
      <c r="B54" s="1" t="n">
        <v>43914</v>
      </c>
      <c r="C54" s="6" t="n">
        <v>721</v>
      </c>
      <c r="D54" s="6" t="n">
        <v>122</v>
      </c>
      <c r="E54" s="6" t="n">
        <v>1</v>
      </c>
      <c r="F54" s="6"/>
      <c r="G54" s="6" t="n">
        <v>52</v>
      </c>
      <c r="H54" s="6" t="n">
        <v>668</v>
      </c>
      <c r="I54" s="6" t="n">
        <v>7</v>
      </c>
      <c r="J54" s="6" t="n">
        <v>10</v>
      </c>
      <c r="K54" s="9"/>
      <c r="L54" s="6"/>
      <c r="M54" s="6"/>
    </row>
    <row r="55" customFormat="false" ht="15.75" hidden="false" customHeight="false" outlineLevel="0" collapsed="false">
      <c r="A55" s="0" t="s">
        <v>64</v>
      </c>
      <c r="B55" s="1" t="n">
        <v>43915</v>
      </c>
      <c r="C55" s="7" t="n">
        <v>827</v>
      </c>
      <c r="D55" s="7" t="n">
        <v>106</v>
      </c>
      <c r="E55" s="7" t="n">
        <v>4</v>
      </c>
      <c r="F55" s="7" t="n">
        <v>3</v>
      </c>
      <c r="G55" s="7" t="n">
        <v>52</v>
      </c>
      <c r="H55" s="7" t="n">
        <v>771</v>
      </c>
      <c r="I55" s="7" t="n">
        <v>7</v>
      </c>
      <c r="J55" s="7" t="n">
        <v>12</v>
      </c>
      <c r="K55" s="9" t="n">
        <v>0.06</v>
      </c>
      <c r="L55" s="7"/>
      <c r="M55" s="7"/>
    </row>
    <row r="56" customFormat="false" ht="15.75" hidden="false" customHeight="false" outlineLevel="0" collapsed="false">
      <c r="A56" s="0" t="s">
        <v>64</v>
      </c>
      <c r="B56" s="1" t="n">
        <v>43916</v>
      </c>
      <c r="C56" s="7" t="n">
        <v>934</v>
      </c>
      <c r="D56" s="7" t="n">
        <v>107</v>
      </c>
      <c r="E56" s="7" t="n">
        <v>4</v>
      </c>
      <c r="F56" s="7" t="n">
        <v>0</v>
      </c>
      <c r="G56" s="7" t="n">
        <v>70</v>
      </c>
      <c r="H56" s="7" t="n">
        <v>860</v>
      </c>
      <c r="I56" s="7" t="n">
        <v>11</v>
      </c>
      <c r="J56" s="7" t="n">
        <v>13</v>
      </c>
      <c r="K56" s="9" t="n">
        <v>0.06</v>
      </c>
      <c r="L56" s="7"/>
      <c r="M56" s="7"/>
    </row>
    <row r="57" customFormat="false" ht="15.75" hidden="false" customHeight="false" outlineLevel="0" collapsed="false">
      <c r="A57" s="0" t="s">
        <v>64</v>
      </c>
      <c r="B57" s="1" t="n">
        <v>43917</v>
      </c>
      <c r="C57" s="7" t="n">
        <v>1045</v>
      </c>
      <c r="D57" s="7" t="n">
        <v>111</v>
      </c>
      <c r="E57" s="7" t="n">
        <v>4</v>
      </c>
      <c r="F57" s="7" t="n">
        <v>0</v>
      </c>
      <c r="G57" s="7" t="n">
        <v>88</v>
      </c>
      <c r="H57" s="7" t="n">
        <v>953</v>
      </c>
      <c r="I57" s="7" t="n">
        <v>4</v>
      </c>
      <c r="J57" s="7" t="n">
        <v>15</v>
      </c>
      <c r="K57" s="9" t="n">
        <v>0.06</v>
      </c>
      <c r="L57" s="7"/>
      <c r="M57" s="7"/>
    </row>
    <row r="58" customFormat="false" ht="15.75" hidden="false" customHeight="false" outlineLevel="0" collapsed="false">
      <c r="A58" s="0" t="s">
        <v>64</v>
      </c>
      <c r="B58" s="1" t="n">
        <v>43918</v>
      </c>
      <c r="C58" s="7" t="n">
        <v>1136</v>
      </c>
      <c r="D58" s="7" t="n">
        <v>91</v>
      </c>
      <c r="E58" s="7" t="n">
        <v>5</v>
      </c>
      <c r="F58" s="7" t="n">
        <v>1</v>
      </c>
      <c r="G58" s="7" t="n">
        <v>97</v>
      </c>
      <c r="H58" s="7" t="n">
        <v>1034</v>
      </c>
      <c r="I58" s="7" t="n">
        <v>11</v>
      </c>
      <c r="J58" s="7" t="n">
        <v>16</v>
      </c>
      <c r="K58" s="9" t="n">
        <v>0.07</v>
      </c>
      <c r="L58" s="7"/>
      <c r="M58" s="7"/>
    </row>
    <row r="59" customFormat="false" ht="15.75" hidden="false" customHeight="false" outlineLevel="0" collapsed="false">
      <c r="A59" s="0" t="s">
        <v>64</v>
      </c>
      <c r="B59" s="1" t="n">
        <v>43919</v>
      </c>
      <c r="C59" s="7" t="n">
        <v>1245</v>
      </c>
      <c r="D59" s="7" t="n">
        <v>109</v>
      </c>
      <c r="E59" s="7" t="n">
        <v>6</v>
      </c>
      <c r="F59" s="7" t="n">
        <v>1</v>
      </c>
      <c r="G59" s="7" t="n">
        <v>97</v>
      </c>
      <c r="H59" s="7" t="n">
        <v>1142</v>
      </c>
      <c r="I59" s="7" t="n">
        <v>11</v>
      </c>
      <c r="J59" s="7" t="n">
        <v>18</v>
      </c>
      <c r="K59" s="9" t="n">
        <v>0.09</v>
      </c>
      <c r="M59" s="7"/>
    </row>
    <row r="60" customFormat="false" ht="15.75" hidden="false" customHeight="false" outlineLevel="0" collapsed="false">
      <c r="A60" s="0" t="s">
        <v>64</v>
      </c>
      <c r="B60" s="1" t="n">
        <v>43920</v>
      </c>
      <c r="C60" s="7" t="n">
        <v>1388</v>
      </c>
      <c r="D60" s="7" t="n">
        <v>143</v>
      </c>
      <c r="E60" s="7" t="n">
        <v>7</v>
      </c>
      <c r="F60" s="7" t="n">
        <v>1</v>
      </c>
      <c r="G60" s="7" t="n">
        <v>97</v>
      </c>
      <c r="H60" s="7" t="n">
        <v>1284</v>
      </c>
      <c r="I60" s="7" t="n">
        <v>11</v>
      </c>
      <c r="J60" s="7" t="n">
        <v>20</v>
      </c>
      <c r="K60" s="9" t="n">
        <v>0.1</v>
      </c>
      <c r="M60" s="7"/>
    </row>
    <row r="61" customFormat="false" ht="15.75" hidden="false" customHeight="false" outlineLevel="0" collapsed="false">
      <c r="A61" s="0" t="s">
        <v>64</v>
      </c>
      <c r="B61" s="1" t="n">
        <v>43921</v>
      </c>
      <c r="C61" s="7" t="n">
        <v>1524</v>
      </c>
      <c r="D61" s="7" t="n">
        <v>136</v>
      </c>
      <c r="E61" s="7" t="n">
        <v>9</v>
      </c>
      <c r="F61" s="7" t="n">
        <v>2</v>
      </c>
      <c r="G61" s="7" t="n">
        <v>229</v>
      </c>
      <c r="H61" s="7" t="n">
        <v>1286</v>
      </c>
      <c r="I61" s="7" t="n">
        <v>11</v>
      </c>
      <c r="J61" s="7" t="n">
        <v>22</v>
      </c>
      <c r="K61" s="9" t="n">
        <v>0.1</v>
      </c>
      <c r="M61" s="7"/>
    </row>
    <row r="62" customFormat="false" ht="15.75" hidden="false" customHeight="false" outlineLevel="0" collapsed="false">
      <c r="A62" s="0" t="s">
        <v>64</v>
      </c>
      <c r="B62" s="1" t="n">
        <v>43922</v>
      </c>
      <c r="C62" s="7" t="n">
        <v>1651</v>
      </c>
      <c r="D62" s="7" t="n">
        <v>127</v>
      </c>
      <c r="E62" s="7" t="n">
        <v>10</v>
      </c>
      <c r="F62" s="7" t="n">
        <v>1</v>
      </c>
      <c r="G62" s="7" t="n">
        <v>342</v>
      </c>
      <c r="H62" s="7" t="n">
        <v>1299</v>
      </c>
      <c r="I62" s="7" t="n">
        <v>23</v>
      </c>
      <c r="J62" s="7" t="n">
        <v>24</v>
      </c>
      <c r="K62" s="9" t="n">
        <v>0.1</v>
      </c>
      <c r="M62" s="7"/>
    </row>
    <row r="63" customFormat="false" ht="15.75" hidden="false" customHeight="false" outlineLevel="0" collapsed="false">
      <c r="A63" s="0" t="s">
        <v>64</v>
      </c>
      <c r="B63" s="1" t="n">
        <v>43923</v>
      </c>
      <c r="C63" s="7" t="n">
        <v>1771</v>
      </c>
      <c r="D63" s="7" t="n">
        <v>120</v>
      </c>
      <c r="E63" s="7" t="n">
        <v>12</v>
      </c>
      <c r="F63" s="7" t="n">
        <v>2</v>
      </c>
      <c r="G63" s="7" t="n">
        <v>505</v>
      </c>
      <c r="H63" s="7" t="n">
        <v>1254</v>
      </c>
      <c r="I63" s="7" t="n">
        <v>23</v>
      </c>
      <c r="J63" s="7" t="n">
        <v>25</v>
      </c>
      <c r="K63" s="9" t="n">
        <v>0.2</v>
      </c>
      <c r="M63" s="7"/>
    </row>
    <row r="64" customFormat="false" ht="15.75" hidden="false" customHeight="false" outlineLevel="0" collapsed="false">
      <c r="A64" s="0" t="s">
        <v>64</v>
      </c>
      <c r="B64" s="1" t="n">
        <v>43924</v>
      </c>
      <c r="C64" s="7" t="n">
        <v>1875</v>
      </c>
      <c r="D64" s="7" t="n">
        <v>104</v>
      </c>
      <c r="E64" s="7" t="n">
        <v>15</v>
      </c>
      <c r="F64" s="7" t="n">
        <v>3</v>
      </c>
      <c r="G64" s="7" t="n">
        <v>505</v>
      </c>
      <c r="H64" s="7" t="n">
        <v>1355</v>
      </c>
      <c r="I64" s="7" t="n">
        <v>23</v>
      </c>
      <c r="J64" s="7" t="n">
        <v>27</v>
      </c>
      <c r="K64" s="9" t="n">
        <v>0.2</v>
      </c>
      <c r="M64" s="7"/>
    </row>
    <row r="65" customFormat="false" ht="15.75" hidden="false" customHeight="false" outlineLevel="0" collapsed="false">
      <c r="A65" s="0" t="s">
        <v>64</v>
      </c>
      <c r="B65" s="1" t="n">
        <v>43925</v>
      </c>
      <c r="C65" s="7" t="n">
        <v>1978</v>
      </c>
      <c r="D65" s="7" t="n">
        <v>103</v>
      </c>
      <c r="E65" s="7" t="n">
        <v>19</v>
      </c>
      <c r="F65" s="7" t="n">
        <v>4</v>
      </c>
      <c r="G65" s="7" t="n">
        <v>612</v>
      </c>
      <c r="H65" s="7" t="n">
        <v>1347</v>
      </c>
      <c r="I65" s="7" t="n">
        <v>23</v>
      </c>
      <c r="J65" s="7" t="n">
        <v>28</v>
      </c>
      <c r="K65" s="9" t="n">
        <v>0.3</v>
      </c>
      <c r="M65" s="7"/>
    </row>
    <row r="66" customFormat="false" ht="15.75" hidden="false" customHeight="false" outlineLevel="0" collapsed="false">
      <c r="A66" s="0" t="s">
        <v>64</v>
      </c>
      <c r="B66" s="1" t="n">
        <v>43926</v>
      </c>
      <c r="C66" s="7" t="n">
        <v>2067</v>
      </c>
      <c r="D66" s="7" t="n">
        <v>89</v>
      </c>
      <c r="E66" s="7" t="n">
        <v>20</v>
      </c>
      <c r="F66" s="7" t="n">
        <v>1</v>
      </c>
      <c r="G66" s="7" t="n">
        <v>674</v>
      </c>
      <c r="H66" s="7" t="n">
        <v>1373</v>
      </c>
      <c r="I66" s="7" t="n">
        <v>23</v>
      </c>
      <c r="J66" s="7" t="n">
        <v>30</v>
      </c>
      <c r="K66" s="9" t="n">
        <v>0.3</v>
      </c>
      <c r="L66" s="7" t="n">
        <v>23669</v>
      </c>
      <c r="M66" s="7" t="n">
        <v>339</v>
      </c>
    </row>
    <row r="67" customFormat="false" ht="15.75" hidden="false" customHeight="false" outlineLevel="0" collapsed="false">
      <c r="A67" s="0" t="s">
        <v>64</v>
      </c>
      <c r="B67" s="1" t="n">
        <v>43927</v>
      </c>
      <c r="C67" s="7" t="n">
        <v>2169</v>
      </c>
      <c r="D67" s="7" t="n">
        <v>102</v>
      </c>
      <c r="E67" s="7" t="n">
        <v>23</v>
      </c>
      <c r="F67" s="7" t="n">
        <v>3</v>
      </c>
      <c r="G67" s="7" t="n">
        <v>793</v>
      </c>
      <c r="H67" s="7" t="n">
        <v>1353</v>
      </c>
      <c r="I67" s="7" t="n">
        <v>23</v>
      </c>
      <c r="J67" s="7" t="n">
        <v>31</v>
      </c>
      <c r="K67" s="9" t="n">
        <v>0.3</v>
      </c>
      <c r="L67" s="7" t="n">
        <v>25071</v>
      </c>
      <c r="M67" s="7" t="n">
        <v>359</v>
      </c>
    </row>
    <row r="68" customFormat="false" ht="15.75" hidden="false" customHeight="false" outlineLevel="0" collapsed="false">
      <c r="A68" s="0" t="s">
        <v>64</v>
      </c>
      <c r="B68" s="1" t="n">
        <v>43928</v>
      </c>
      <c r="C68" s="12" t="n">
        <v>2220</v>
      </c>
      <c r="D68" s="12" t="n">
        <v>51</v>
      </c>
      <c r="E68" s="12" t="n">
        <v>26</v>
      </c>
      <c r="F68" s="12" t="n">
        <v>3</v>
      </c>
      <c r="G68" s="12" t="n">
        <v>793</v>
      </c>
      <c r="H68" s="12" t="n">
        <v>1401</v>
      </c>
      <c r="I68" s="12" t="n">
        <v>23</v>
      </c>
      <c r="J68" s="12" t="n">
        <v>32</v>
      </c>
      <c r="K68" s="13" t="n">
        <v>0.4</v>
      </c>
      <c r="L68" s="12" t="n">
        <v>25071</v>
      </c>
      <c r="M68" s="12" t="n">
        <v>359</v>
      </c>
    </row>
    <row r="69" customFormat="false" ht="15.75" hidden="false" customHeight="false" outlineLevel="0" collapsed="false">
      <c r="A69" s="0" t="s">
        <v>64</v>
      </c>
      <c r="B69" s="1" t="n">
        <v>43929</v>
      </c>
      <c r="C69" s="14" t="n">
        <v>2258</v>
      </c>
      <c r="D69" s="14" t="n">
        <v>38</v>
      </c>
      <c r="E69" s="14" t="n">
        <v>27</v>
      </c>
      <c r="F69" s="14" t="n">
        <v>1</v>
      </c>
      <c r="G69" s="14" t="n">
        <v>888</v>
      </c>
      <c r="H69" s="14" t="n">
        <v>1343</v>
      </c>
      <c r="I69" s="14" t="n">
        <v>61</v>
      </c>
      <c r="J69" s="14" t="n">
        <v>32</v>
      </c>
      <c r="K69" s="13" t="n">
        <v>0.4</v>
      </c>
      <c r="L69" s="14" t="n">
        <v>71860</v>
      </c>
      <c r="M69" s="14" t="n">
        <v>1030</v>
      </c>
    </row>
    <row r="70" customFormat="false" ht="15.75" hidden="false" customHeight="false" outlineLevel="0" collapsed="false">
      <c r="A70" s="0" t="s">
        <v>64</v>
      </c>
      <c r="B70" s="1" t="n">
        <v>43930</v>
      </c>
      <c r="C70" s="14" t="n">
        <v>2369</v>
      </c>
      <c r="D70" s="14" t="n">
        <v>111</v>
      </c>
      <c r="E70" s="14" t="n">
        <v>30</v>
      </c>
      <c r="F70" s="14" t="n">
        <v>3</v>
      </c>
      <c r="G70" s="14" t="n">
        <v>888</v>
      </c>
      <c r="H70" s="14" t="n">
        <v>1451</v>
      </c>
      <c r="I70" s="14" t="n">
        <v>61</v>
      </c>
      <c r="J70" s="14" t="n">
        <v>34</v>
      </c>
      <c r="K70" s="13" t="n">
        <v>0.4</v>
      </c>
      <c r="L70" s="14" t="n">
        <v>71860</v>
      </c>
      <c r="M70" s="14" t="n">
        <v>1030</v>
      </c>
    </row>
    <row r="71" customFormat="false" ht="15.75" hidden="false" customHeight="false" outlineLevel="0" collapsed="false">
      <c r="A71" s="0" t="s">
        <v>64</v>
      </c>
      <c r="B71" s="1" t="n">
        <v>43931</v>
      </c>
      <c r="C71" s="14" t="n">
        <v>2423</v>
      </c>
      <c r="D71" s="14" t="n">
        <v>54</v>
      </c>
      <c r="E71" s="14" t="n">
        <v>32</v>
      </c>
      <c r="F71" s="14" t="n">
        <v>2</v>
      </c>
      <c r="G71" s="14" t="n">
        <v>940</v>
      </c>
      <c r="H71" s="14" t="n">
        <v>1451</v>
      </c>
      <c r="I71" s="14" t="n">
        <v>61</v>
      </c>
      <c r="J71" s="14" t="n">
        <v>35</v>
      </c>
      <c r="K71" s="13" t="n">
        <v>0.5</v>
      </c>
      <c r="L71" s="14" t="n">
        <v>71860</v>
      </c>
      <c r="M71" s="14" t="n">
        <v>1030</v>
      </c>
    </row>
    <row r="72" customFormat="false" ht="15.75" hidden="false" customHeight="false" outlineLevel="0" collapsed="false">
      <c r="A72" s="0" t="s">
        <v>64</v>
      </c>
      <c r="B72" s="1" t="n">
        <v>43932</v>
      </c>
      <c r="C72" s="14" t="n">
        <v>2473</v>
      </c>
      <c r="D72" s="14" t="n">
        <v>50</v>
      </c>
      <c r="E72" s="14" t="n">
        <v>33</v>
      </c>
      <c r="F72" s="14" t="n">
        <v>1</v>
      </c>
      <c r="G72" s="14" t="n">
        <v>1013</v>
      </c>
      <c r="H72" s="14" t="n">
        <v>1427</v>
      </c>
      <c r="I72" s="14" t="n">
        <v>61</v>
      </c>
      <c r="J72" s="14" t="n">
        <v>35</v>
      </c>
      <c r="K72" s="13" t="n">
        <v>0.5</v>
      </c>
      <c r="L72" s="14" t="n">
        <v>71860</v>
      </c>
      <c r="M72" s="14" t="n">
        <v>1030</v>
      </c>
    </row>
    <row r="73" customFormat="false" ht="15.75" hidden="false" customHeight="false" outlineLevel="0" collapsed="false">
      <c r="A73" s="0" t="s">
        <v>64</v>
      </c>
      <c r="B73" s="1" t="n">
        <v>43933</v>
      </c>
      <c r="C73" s="14" t="n">
        <v>2518</v>
      </c>
      <c r="D73" s="14" t="n">
        <v>45</v>
      </c>
      <c r="E73" s="14" t="n">
        <v>35</v>
      </c>
      <c r="F73" s="14" t="n">
        <v>2</v>
      </c>
      <c r="G73" s="14" t="n">
        <v>1135</v>
      </c>
      <c r="H73" s="14" t="n">
        <v>1348</v>
      </c>
      <c r="I73" s="14" t="n">
        <v>61</v>
      </c>
      <c r="J73" s="14" t="n">
        <v>36</v>
      </c>
      <c r="K73" s="13" t="n">
        <v>0.5</v>
      </c>
      <c r="L73" s="14" t="n">
        <v>71860</v>
      </c>
      <c r="M73" s="14" t="n">
        <v>1030</v>
      </c>
    </row>
    <row r="74" customFormat="false" ht="15.75" hidden="false" customHeight="false" outlineLevel="0" collapsed="false">
      <c r="A74" s="0" t="s">
        <v>64</v>
      </c>
      <c r="B74" s="1" t="n">
        <v>43934</v>
      </c>
      <c r="C74" s="14" t="n">
        <v>2551</v>
      </c>
      <c r="D74" s="14" t="n">
        <v>33</v>
      </c>
      <c r="E74" s="14" t="n">
        <v>38</v>
      </c>
      <c r="F74" s="14" t="n">
        <v>3</v>
      </c>
      <c r="G74" s="14" t="n">
        <v>1218</v>
      </c>
      <c r="H74" s="14" t="n">
        <v>1295</v>
      </c>
      <c r="I74" s="14" t="n">
        <v>61</v>
      </c>
      <c r="J74" s="14" t="n">
        <v>37</v>
      </c>
      <c r="K74" s="13" t="n">
        <v>0.5</v>
      </c>
      <c r="L74" s="14" t="n">
        <v>71860</v>
      </c>
      <c r="M74" s="14" t="n">
        <v>1030</v>
      </c>
    </row>
    <row r="75" customFormat="false" ht="15.75" hidden="false" customHeight="false" outlineLevel="0" collapsed="false">
      <c r="A75" s="0" t="s">
        <v>64</v>
      </c>
      <c r="B75" s="1" t="n">
        <v>43935</v>
      </c>
      <c r="C75" s="14" t="n">
        <v>2579</v>
      </c>
      <c r="D75" s="14" t="n">
        <v>28</v>
      </c>
      <c r="E75" s="14" t="n">
        <v>40</v>
      </c>
      <c r="F75" s="14" t="n">
        <v>2</v>
      </c>
      <c r="G75" s="14" t="n">
        <v>1288</v>
      </c>
      <c r="H75" s="14" t="n">
        <v>1251</v>
      </c>
      <c r="I75" s="14" t="n">
        <v>61</v>
      </c>
      <c r="J75" s="14" t="n">
        <v>37</v>
      </c>
      <c r="K75" s="13" t="n">
        <v>0.6</v>
      </c>
      <c r="L75" s="14" t="n">
        <v>71860</v>
      </c>
      <c r="M75" s="14" t="n">
        <v>1030</v>
      </c>
    </row>
    <row r="76" customFormat="false" ht="15.75" hidden="false" customHeight="false" outlineLevel="0" collapsed="false">
      <c r="A76" s="0" t="s">
        <v>64</v>
      </c>
      <c r="B76" s="1" t="n">
        <v>43936</v>
      </c>
      <c r="C76" s="14" t="n">
        <v>2613</v>
      </c>
      <c r="D76" s="14" t="n">
        <v>34</v>
      </c>
      <c r="E76" s="14" t="n">
        <v>41</v>
      </c>
      <c r="F76" s="14" t="n">
        <v>1</v>
      </c>
      <c r="G76" s="14" t="n">
        <v>1405</v>
      </c>
      <c r="H76" s="14" t="n">
        <v>1167</v>
      </c>
      <c r="I76" s="14" t="n">
        <v>61</v>
      </c>
      <c r="J76" s="14" t="n">
        <v>37</v>
      </c>
      <c r="K76" s="13" t="n">
        <v>0.6</v>
      </c>
      <c r="L76" s="14" t="n">
        <v>100498</v>
      </c>
      <c r="M76" s="14" t="n">
        <v>1440</v>
      </c>
    </row>
    <row r="77" customFormat="false" ht="15.75" hidden="false" customHeight="false" outlineLevel="0" collapsed="false">
      <c r="A77" s="0" t="s">
        <v>64</v>
      </c>
      <c r="B77" s="1" t="n">
        <v>43937</v>
      </c>
      <c r="C77" s="14" t="n">
        <v>2643</v>
      </c>
      <c r="D77" s="14" t="n">
        <v>30</v>
      </c>
      <c r="E77" s="14" t="n">
        <v>43</v>
      </c>
      <c r="F77" s="14" t="n">
        <v>2</v>
      </c>
      <c r="G77" s="14" t="n">
        <v>1497</v>
      </c>
      <c r="H77" s="14" t="n">
        <v>1103</v>
      </c>
      <c r="I77" s="14" t="n">
        <v>61</v>
      </c>
      <c r="J77" s="14" t="n">
        <v>38</v>
      </c>
      <c r="K77" s="13" t="n">
        <v>0.6</v>
      </c>
      <c r="L77" s="14" t="n">
        <v>100498</v>
      </c>
      <c r="M77" s="14" t="n">
        <v>1440</v>
      </c>
    </row>
    <row r="78" customFormat="false" ht="15.75" hidden="false" customHeight="false" outlineLevel="0" collapsed="false">
      <c r="A78" s="0" t="s">
        <v>64</v>
      </c>
      <c r="B78" s="1" t="n">
        <v>43938</v>
      </c>
      <c r="C78" s="14" t="n">
        <v>2672</v>
      </c>
      <c r="D78" s="14" t="n">
        <v>29</v>
      </c>
      <c r="E78" s="14" t="n">
        <v>46</v>
      </c>
      <c r="F78" s="14" t="n">
        <v>3</v>
      </c>
      <c r="G78" s="14" t="n">
        <v>1593</v>
      </c>
      <c r="H78" s="14" t="n">
        <v>1033</v>
      </c>
      <c r="I78" s="14" t="n">
        <v>61</v>
      </c>
      <c r="J78" s="14" t="n">
        <v>38</v>
      </c>
      <c r="K78" s="13" t="n">
        <v>0.7</v>
      </c>
      <c r="L78" s="14" t="n">
        <v>100498</v>
      </c>
      <c r="M78" s="14" t="n">
        <v>1440</v>
      </c>
    </row>
    <row r="79" customFormat="false" ht="15.75" hidden="false" customHeight="false" outlineLevel="0" collapsed="false">
      <c r="A79" s="0" t="s">
        <v>64</v>
      </c>
      <c r="B79" s="1" t="n">
        <v>43939</v>
      </c>
      <c r="C79" s="14" t="n">
        <v>2700</v>
      </c>
      <c r="D79" s="14" t="n">
        <v>28</v>
      </c>
      <c r="E79" s="14" t="n">
        <v>47</v>
      </c>
      <c r="F79" s="14" t="n">
        <v>1</v>
      </c>
      <c r="G79" s="14" t="n">
        <v>1689</v>
      </c>
      <c r="H79" s="14" t="n">
        <v>964</v>
      </c>
      <c r="I79" s="14" t="n">
        <v>61</v>
      </c>
      <c r="J79" s="14" t="n">
        <v>39</v>
      </c>
      <c r="K79" s="13" t="n">
        <v>0.7</v>
      </c>
      <c r="L79" s="14" t="n">
        <v>100498</v>
      </c>
      <c r="M79" s="14" t="n">
        <v>1440</v>
      </c>
    </row>
    <row r="80" customFormat="false" ht="15.75" hidden="false" customHeight="false" outlineLevel="0" collapsed="false">
      <c r="A80" s="0" t="s">
        <v>64</v>
      </c>
      <c r="B80" s="1" t="n">
        <v>43940</v>
      </c>
      <c r="C80" s="14" t="n">
        <v>2733</v>
      </c>
      <c r="D80" s="14" t="n">
        <v>33</v>
      </c>
      <c r="E80" s="14" t="n">
        <v>47</v>
      </c>
      <c r="F80" s="14" t="n">
        <v>0</v>
      </c>
      <c r="G80" s="14" t="n">
        <v>1787</v>
      </c>
      <c r="H80" s="14" t="n">
        <v>899</v>
      </c>
      <c r="I80" s="14" t="n">
        <v>61</v>
      </c>
      <c r="J80" s="14" t="n">
        <v>39</v>
      </c>
      <c r="K80" s="13" t="n">
        <v>0.7</v>
      </c>
      <c r="L80" s="14" t="n">
        <v>100498</v>
      </c>
      <c r="M80" s="14" t="n">
        <v>1440</v>
      </c>
    </row>
    <row r="81" customFormat="false" ht="15.75" hidden="false" customHeight="false" outlineLevel="0" collapsed="false">
      <c r="A81" s="0" t="s">
        <v>64</v>
      </c>
      <c r="B81" s="1" t="n">
        <v>43941</v>
      </c>
      <c r="C81" s="14" t="n">
        <v>2765</v>
      </c>
      <c r="D81" s="14" t="n">
        <v>32</v>
      </c>
      <c r="E81" s="14" t="n">
        <v>47</v>
      </c>
      <c r="F81" s="14" t="n">
        <v>0</v>
      </c>
      <c r="G81" s="14" t="n">
        <v>1928</v>
      </c>
      <c r="H81" s="14" t="n">
        <v>790</v>
      </c>
      <c r="I81" s="14" t="n">
        <v>61</v>
      </c>
      <c r="J81" s="14" t="n">
        <v>40</v>
      </c>
      <c r="K81" s="13" t="n">
        <v>0.7</v>
      </c>
      <c r="L81" s="14" t="n">
        <v>100498</v>
      </c>
      <c r="M81" s="14" t="n">
        <v>1440</v>
      </c>
    </row>
    <row r="82" customFormat="false" ht="15.75" hidden="false" customHeight="false" outlineLevel="0" collapsed="false">
      <c r="A82" s="0" t="s">
        <v>64</v>
      </c>
      <c r="B82" s="1" t="n">
        <v>43942</v>
      </c>
      <c r="C82" s="6" t="n">
        <v>2792</v>
      </c>
      <c r="D82" s="6" t="n">
        <v>27</v>
      </c>
      <c r="E82" s="6" t="n">
        <v>47</v>
      </c>
      <c r="F82" s="6" t="n">
        <v>0</v>
      </c>
      <c r="G82" s="6" t="n">
        <v>1999</v>
      </c>
      <c r="H82" s="6" t="n">
        <v>746</v>
      </c>
      <c r="I82" s="6" t="n">
        <v>61</v>
      </c>
      <c r="J82" s="6" t="n">
        <v>40</v>
      </c>
      <c r="K82" s="9" t="n">
        <v>0.7</v>
      </c>
      <c r="L82" s="6" t="n">
        <v>142589</v>
      </c>
      <c r="M82" s="6" t="n">
        <v>2043</v>
      </c>
    </row>
    <row r="83" customFormat="false" ht="15.75" hidden="false" customHeight="false" outlineLevel="0" collapsed="false">
      <c r="A83" s="0" t="s">
        <v>64</v>
      </c>
      <c r="B83" s="1" t="n">
        <v>43943</v>
      </c>
      <c r="C83" s="6" t="n">
        <v>2811</v>
      </c>
      <c r="D83" s="6" t="n">
        <v>19</v>
      </c>
      <c r="E83" s="6" t="n">
        <v>48</v>
      </c>
      <c r="F83" s="6" t="n">
        <v>1</v>
      </c>
      <c r="G83" s="6" t="n">
        <v>2108</v>
      </c>
      <c r="H83" s="6" t="n">
        <v>655</v>
      </c>
      <c r="I83" s="6" t="n">
        <v>61</v>
      </c>
      <c r="J83" s="6" t="n">
        <v>40</v>
      </c>
      <c r="K83" s="9" t="n">
        <v>0.7</v>
      </c>
      <c r="L83" s="6" t="n">
        <v>142589</v>
      </c>
      <c r="M83" s="6" t="n">
        <v>2043</v>
      </c>
    </row>
    <row r="84" customFormat="false" ht="15.75" hidden="false" customHeight="false" outlineLevel="0" collapsed="false">
      <c r="A84" s="0" t="s">
        <v>64</v>
      </c>
      <c r="B84" s="1" t="n">
        <v>43944</v>
      </c>
      <c r="C84" s="6" t="n">
        <v>2826</v>
      </c>
      <c r="D84" s="6" t="n">
        <v>15</v>
      </c>
      <c r="E84" s="6" t="n">
        <v>49</v>
      </c>
      <c r="F84" s="6" t="n">
        <v>1</v>
      </c>
      <c r="G84" s="6" t="n">
        <v>2352</v>
      </c>
      <c r="H84" s="6" t="n">
        <v>425</v>
      </c>
      <c r="I84" s="6" t="n">
        <v>61</v>
      </c>
      <c r="J84" s="6" t="n">
        <v>40</v>
      </c>
      <c r="K84" s="9" t="n">
        <v>0.7</v>
      </c>
      <c r="L84" s="6" t="n">
        <v>142589</v>
      </c>
      <c r="M84" s="6" t="n">
        <v>2043</v>
      </c>
    </row>
    <row r="85" customFormat="false" ht="15.75" hidden="false" customHeight="false" outlineLevel="0" collapsed="false">
      <c r="A85" s="0" t="s">
        <v>64</v>
      </c>
      <c r="B85" s="1" t="n">
        <v>43945</v>
      </c>
      <c r="C85" s="6" t="n">
        <v>2839</v>
      </c>
      <c r="D85" s="6" t="n">
        <v>13</v>
      </c>
      <c r="E85" s="6" t="n">
        <v>50</v>
      </c>
      <c r="F85" s="6" t="n">
        <v>1</v>
      </c>
      <c r="G85" s="6" t="n">
        <v>2430</v>
      </c>
      <c r="H85" s="6" t="n">
        <v>359</v>
      </c>
      <c r="I85" s="6" t="n">
        <v>61</v>
      </c>
      <c r="J85" s="6" t="n">
        <v>41</v>
      </c>
      <c r="K85" s="9" t="n">
        <v>0.7</v>
      </c>
      <c r="L85" s="6" t="n">
        <v>142589</v>
      </c>
      <c r="M85" s="6" t="n">
        <v>2043</v>
      </c>
    </row>
    <row r="86" customFormat="false" ht="15.75" hidden="false" customHeight="false" outlineLevel="0" collapsed="false">
      <c r="A86" s="0" t="s">
        <v>64</v>
      </c>
      <c r="B86" s="1" t="n">
        <v>43946</v>
      </c>
      <c r="C86" s="6" t="n">
        <v>2854</v>
      </c>
      <c r="D86" s="6" t="n">
        <v>15</v>
      </c>
      <c r="E86" s="6" t="n">
        <v>50</v>
      </c>
      <c r="F86" s="6" t="n">
        <v>0</v>
      </c>
      <c r="G86" s="6" t="n">
        <v>2490</v>
      </c>
      <c r="H86" s="6" t="n">
        <v>314</v>
      </c>
      <c r="I86" s="6" t="n">
        <v>61</v>
      </c>
      <c r="J86" s="6" t="n">
        <v>41</v>
      </c>
      <c r="K86" s="9" t="n">
        <v>0.7</v>
      </c>
      <c r="L86" s="6" t="n">
        <v>142589</v>
      </c>
      <c r="M86" s="6" t="n">
        <v>2043</v>
      </c>
    </row>
    <row r="87" customFormat="false" ht="15.75" hidden="false" customHeight="false" outlineLevel="0" collapsed="false">
      <c r="A87" s="0" t="s">
        <v>64</v>
      </c>
      <c r="B87" s="1" t="n">
        <v>43947</v>
      </c>
      <c r="C87" s="6" t="n">
        <v>2907</v>
      </c>
      <c r="D87" s="6" t="n">
        <v>53</v>
      </c>
      <c r="E87" s="6" t="n">
        <v>51</v>
      </c>
      <c r="F87" s="6" t="n">
        <v>1</v>
      </c>
      <c r="G87" s="6" t="n">
        <v>2547</v>
      </c>
      <c r="H87" s="6" t="n">
        <v>309</v>
      </c>
      <c r="I87" s="6" t="n">
        <v>61</v>
      </c>
      <c r="J87" s="6" t="n">
        <v>42</v>
      </c>
      <c r="K87" s="9" t="n">
        <v>0.7</v>
      </c>
      <c r="L87" s="6" t="n">
        <v>142589</v>
      </c>
      <c r="M87" s="6" t="n">
        <v>2043</v>
      </c>
    </row>
    <row r="88" customFormat="false" ht="15.75" hidden="false" customHeight="false" outlineLevel="0" collapsed="false">
      <c r="A88" s="0" t="s">
        <v>64</v>
      </c>
      <c r="B88" s="1" t="n">
        <v>43948</v>
      </c>
      <c r="C88" s="6" t="n">
        <v>2922</v>
      </c>
      <c r="D88" s="6" t="n">
        <v>15</v>
      </c>
      <c r="E88" s="6" t="n">
        <v>51</v>
      </c>
      <c r="F88" s="6" t="n">
        <v>0</v>
      </c>
      <c r="G88" s="6" t="n">
        <v>2594</v>
      </c>
      <c r="H88" s="6" t="n">
        <v>277</v>
      </c>
      <c r="I88" s="6" t="n">
        <v>61</v>
      </c>
      <c r="J88" s="6" t="n">
        <v>42</v>
      </c>
      <c r="K88" s="9" t="n">
        <v>0.7</v>
      </c>
      <c r="L88" s="6" t="n">
        <v>142589</v>
      </c>
      <c r="M88" s="6" t="n">
        <v>2043</v>
      </c>
    </row>
    <row r="89" customFormat="false" ht="13.5" hidden="false" customHeight="false" outlineLevel="0" collapsed="false">
      <c r="A89" s="0" t="s">
        <v>64</v>
      </c>
      <c r="B89" s="1" t="n">
        <v>43949</v>
      </c>
      <c r="C89" s="2" t="n">
        <v>2931</v>
      </c>
      <c r="D89" s="2" t="n">
        <v>9</v>
      </c>
      <c r="E89" s="2" t="n">
        <v>52</v>
      </c>
      <c r="F89" s="2" t="n">
        <v>1</v>
      </c>
      <c r="G89" s="2" t="n">
        <v>2609</v>
      </c>
      <c r="H89" s="2" t="n">
        <v>270</v>
      </c>
      <c r="I89" s="2" t="n">
        <v>61</v>
      </c>
      <c r="J89" s="2" t="n">
        <v>42</v>
      </c>
      <c r="K89" s="2" t="n">
        <v>0.7</v>
      </c>
      <c r="L89" s="2" t="n">
        <v>178083</v>
      </c>
      <c r="M89" s="2" t="n">
        <v>2551</v>
      </c>
    </row>
    <row r="90" customFormat="false" ht="13.5" hidden="false" customHeight="false" outlineLevel="0" collapsed="false">
      <c r="A90" s="0" t="s">
        <v>64</v>
      </c>
      <c r="B90" s="1" t="n">
        <v>43950</v>
      </c>
      <c r="C90" s="2" t="n">
        <v>2938</v>
      </c>
      <c r="D90" s="2" t="n">
        <v>7</v>
      </c>
      <c r="E90" s="2" t="n">
        <v>54</v>
      </c>
      <c r="F90" s="2" t="n">
        <v>2</v>
      </c>
      <c r="G90" s="2" t="n">
        <v>2652</v>
      </c>
      <c r="H90" s="2" t="n">
        <v>232</v>
      </c>
      <c r="I90" s="2" t="n">
        <v>61</v>
      </c>
      <c r="J90" s="2" t="n">
        <v>42</v>
      </c>
      <c r="K90" s="2" t="n">
        <v>0.8</v>
      </c>
      <c r="L90" s="2" t="n">
        <v>178083</v>
      </c>
      <c r="M90" s="2" t="n">
        <v>2551</v>
      </c>
    </row>
    <row r="91" customFormat="false" ht="13.5" hidden="false" customHeight="false" outlineLevel="0" collapsed="false">
      <c r="A91" s="0" t="s">
        <v>64</v>
      </c>
      <c r="B91" s="1" t="n">
        <v>43951</v>
      </c>
      <c r="C91" s="2" t="n">
        <v>2947</v>
      </c>
      <c r="D91" s="2" t="n">
        <v>9</v>
      </c>
      <c r="E91" s="2" t="n">
        <v>54</v>
      </c>
      <c r="F91" s="2" t="n">
        <v>0</v>
      </c>
      <c r="G91" s="2" t="n">
        <v>2665</v>
      </c>
      <c r="H91" s="2" t="n">
        <v>228</v>
      </c>
      <c r="I91" s="2" t="n">
        <v>61</v>
      </c>
      <c r="J91" s="2" t="n">
        <v>42</v>
      </c>
      <c r="K91" s="2" t="n">
        <v>0.8</v>
      </c>
      <c r="L91" s="2" t="n">
        <v>178083</v>
      </c>
      <c r="M91" s="2" t="n">
        <v>2551</v>
      </c>
    </row>
    <row r="92" customFormat="false" ht="14.25" hidden="false" customHeight="false" outlineLevel="0" collapsed="false">
      <c r="A92" s="0" t="s">
        <v>64</v>
      </c>
      <c r="B92" s="1" t="n">
        <v>43952</v>
      </c>
      <c r="C92" s="2" t="n">
        <v>2954</v>
      </c>
      <c r="D92" s="2" t="n">
        <v>7</v>
      </c>
      <c r="E92" s="2" t="n">
        <v>54</v>
      </c>
      <c r="F92" s="2" t="n">
        <v>0</v>
      </c>
      <c r="G92" s="2" t="n">
        <v>2684</v>
      </c>
      <c r="H92" s="2" t="n">
        <v>216</v>
      </c>
      <c r="I92" s="2" t="n">
        <v>61</v>
      </c>
      <c r="J92" s="2" t="n">
        <v>42</v>
      </c>
      <c r="K92" s="2" t="n">
        <v>0.8</v>
      </c>
      <c r="L92" s="2" t="n">
        <v>178083</v>
      </c>
      <c r="M92" s="2" t="n">
        <v>2551</v>
      </c>
    </row>
    <row r="93" customFormat="false" ht="15.75" hidden="false" customHeight="false" outlineLevel="0" collapsed="false">
      <c r="A93" s="0" t="s">
        <v>64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64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64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64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64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64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64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64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64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64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64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64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64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64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64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64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64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64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64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64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64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64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64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64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64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64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64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64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64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64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64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64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64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64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64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64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64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64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64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64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64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64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64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64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64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64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64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64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64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64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64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64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64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64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64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64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64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64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64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64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64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64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64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64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64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64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64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64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64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64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64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64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64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64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64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64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64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64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64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64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64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64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64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64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64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64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64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64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64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64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64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64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64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64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64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65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65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65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65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65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65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65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65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65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65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65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65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65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65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65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65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65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65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65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65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65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65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65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65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65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65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65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65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65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65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65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65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65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65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65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65</v>
      </c>
      <c r="B37" s="1" t="n">
        <v>43897</v>
      </c>
      <c r="C37" s="8" t="n">
        <v>8</v>
      </c>
      <c r="D37" s="8" t="n">
        <v>6</v>
      </c>
      <c r="E37" s="8"/>
      <c r="F37" s="8"/>
      <c r="G37" s="8"/>
      <c r="H37" s="8" t="n">
        <v>8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65</v>
      </c>
      <c r="B38" s="1" t="n">
        <v>43898</v>
      </c>
      <c r="C38" s="6" t="n">
        <v>9</v>
      </c>
      <c r="D38" s="6" t="n">
        <v>1</v>
      </c>
      <c r="E38" s="6" t="n">
        <v>1</v>
      </c>
      <c r="F38" s="6" t="n">
        <v>1</v>
      </c>
      <c r="G38" s="6"/>
      <c r="H38" s="6" t="n">
        <v>8</v>
      </c>
      <c r="I38" s="6"/>
      <c r="J38" s="6"/>
      <c r="K38" s="9"/>
      <c r="L38" s="6"/>
      <c r="M38" s="6"/>
    </row>
    <row r="39" customFormat="false" ht="15.75" hidden="false" customHeight="false" outlineLevel="0" collapsed="false">
      <c r="A39" s="0" t="s">
        <v>65</v>
      </c>
      <c r="B39" s="1" t="n">
        <v>43899</v>
      </c>
      <c r="C39" s="6" t="n">
        <v>12</v>
      </c>
      <c r="D39" s="6" t="n">
        <v>3</v>
      </c>
      <c r="E39" s="6" t="n">
        <v>1</v>
      </c>
      <c r="F39" s="6" t="n">
        <v>0</v>
      </c>
      <c r="G39" s="6"/>
      <c r="H39" s="6" t="n">
        <v>11</v>
      </c>
      <c r="I39" s="6"/>
      <c r="J39" s="6" t="n">
        <v>0.3</v>
      </c>
      <c r="K39" s="9"/>
      <c r="L39" s="6"/>
      <c r="M39" s="6"/>
    </row>
    <row r="40" customFormat="false" ht="15.75" hidden="false" customHeight="false" outlineLevel="0" collapsed="false">
      <c r="A40" s="0" t="s">
        <v>65</v>
      </c>
      <c r="B40" s="1" t="n">
        <v>43900</v>
      </c>
      <c r="C40" s="6" t="n">
        <v>17</v>
      </c>
      <c r="D40" s="6" t="n">
        <v>5</v>
      </c>
      <c r="E40" s="6" t="n">
        <v>1</v>
      </c>
      <c r="F40" s="6" t="n">
        <v>0</v>
      </c>
      <c r="G40" s="6"/>
      <c r="H40" s="6" t="n">
        <v>16</v>
      </c>
      <c r="I40" s="6"/>
      <c r="J40" s="6" t="n">
        <v>0.4</v>
      </c>
      <c r="K40" s="9"/>
      <c r="L40" s="6"/>
      <c r="M40" s="6"/>
    </row>
    <row r="41" customFormat="false" ht="15.75" hidden="false" customHeight="false" outlineLevel="0" collapsed="false">
      <c r="A41" s="0" t="s">
        <v>65</v>
      </c>
      <c r="B41" s="1" t="n">
        <v>43901</v>
      </c>
      <c r="C41" s="6" t="n">
        <v>19</v>
      </c>
      <c r="D41" s="6" t="n">
        <v>2</v>
      </c>
      <c r="E41" s="6" t="n">
        <v>1</v>
      </c>
      <c r="F41" s="6" t="n">
        <v>0</v>
      </c>
      <c r="G41" s="6"/>
      <c r="H41" s="6" t="n">
        <v>18</v>
      </c>
      <c r="I41" s="6" t="n">
        <v>1</v>
      </c>
      <c r="J41" s="6" t="n">
        <v>0.4</v>
      </c>
      <c r="K41" s="9"/>
      <c r="L41" s="6"/>
      <c r="M41" s="6"/>
    </row>
    <row r="42" customFormat="false" ht="15.75" hidden="false" customHeight="false" outlineLevel="0" collapsed="false">
      <c r="A42" s="0" t="s">
        <v>65</v>
      </c>
      <c r="B42" s="1" t="n">
        <v>43902</v>
      </c>
      <c r="C42" s="6" t="n">
        <v>19</v>
      </c>
      <c r="D42" s="6" t="n">
        <v>0</v>
      </c>
      <c r="E42" s="6" t="n">
        <v>1</v>
      </c>
      <c r="F42" s="6" t="n">
        <v>0</v>
      </c>
      <c r="G42" s="6"/>
      <c r="H42" s="6" t="n">
        <v>18</v>
      </c>
      <c r="I42" s="6" t="n">
        <v>1</v>
      </c>
      <c r="J42" s="6" t="n">
        <v>0.4</v>
      </c>
      <c r="K42" s="9"/>
      <c r="L42" s="6"/>
      <c r="M42" s="6"/>
    </row>
    <row r="43" customFormat="false" ht="15.75" hidden="false" customHeight="false" outlineLevel="0" collapsed="false">
      <c r="A43" s="0" t="s">
        <v>65</v>
      </c>
      <c r="B43" s="1" t="n">
        <v>43903</v>
      </c>
      <c r="C43" s="6" t="n">
        <v>30</v>
      </c>
      <c r="D43" s="6" t="n">
        <v>11</v>
      </c>
      <c r="E43" s="6" t="n">
        <v>1</v>
      </c>
      <c r="F43" s="6" t="n">
        <v>0</v>
      </c>
      <c r="G43" s="6"/>
      <c r="H43" s="6" t="n">
        <v>29</v>
      </c>
      <c r="I43" s="6" t="n">
        <v>1</v>
      </c>
      <c r="J43" s="6" t="n">
        <v>0.7</v>
      </c>
      <c r="K43" s="9"/>
      <c r="L43" s="6"/>
      <c r="M43" s="6"/>
    </row>
    <row r="44" customFormat="false" ht="15.75" hidden="false" customHeight="false" outlineLevel="0" collapsed="false">
      <c r="A44" s="0" t="s">
        <v>65</v>
      </c>
      <c r="B44" s="1" t="n">
        <v>43904</v>
      </c>
      <c r="C44" s="6" t="n">
        <v>31</v>
      </c>
      <c r="D44" s="6" t="n">
        <v>1</v>
      </c>
      <c r="E44" s="6" t="n">
        <v>2</v>
      </c>
      <c r="F44" s="6" t="n">
        <v>1</v>
      </c>
      <c r="G44" s="6"/>
      <c r="H44" s="6" t="n">
        <v>29</v>
      </c>
      <c r="I44" s="6" t="n">
        <v>1</v>
      </c>
      <c r="J44" s="6" t="n">
        <v>0.7</v>
      </c>
      <c r="K44" s="9"/>
      <c r="L44" s="6"/>
      <c r="M44" s="6"/>
    </row>
    <row r="45" customFormat="false" ht="15.75" hidden="false" customHeight="false" outlineLevel="0" collapsed="false">
      <c r="A45" s="0" t="s">
        <v>65</v>
      </c>
      <c r="B45" s="1" t="n">
        <v>43905</v>
      </c>
      <c r="C45" s="6" t="n">
        <v>45</v>
      </c>
      <c r="D45" s="6" t="n">
        <v>14</v>
      </c>
      <c r="E45" s="6" t="n">
        <v>2</v>
      </c>
      <c r="F45" s="6" t="n">
        <v>0</v>
      </c>
      <c r="G45" s="6"/>
      <c r="H45" s="6" t="n">
        <v>43</v>
      </c>
      <c r="I45" s="6" t="n">
        <v>1</v>
      </c>
      <c r="J45" s="6" t="n">
        <v>1</v>
      </c>
      <c r="K45" s="9"/>
      <c r="L45" s="6"/>
      <c r="M45" s="6"/>
    </row>
    <row r="46" customFormat="false" ht="15.75" hidden="false" customHeight="false" outlineLevel="0" collapsed="false">
      <c r="A46" s="0" t="s">
        <v>65</v>
      </c>
      <c r="B46" s="1" t="n">
        <v>43906</v>
      </c>
      <c r="C46" s="6" t="n">
        <v>46</v>
      </c>
      <c r="D46" s="6" t="n">
        <v>1</v>
      </c>
      <c r="E46" s="6" t="n">
        <v>2</v>
      </c>
      <c r="F46" s="6" t="n">
        <v>0</v>
      </c>
      <c r="G46" s="6"/>
      <c r="H46" s="6" t="n">
        <v>44</v>
      </c>
      <c r="I46" s="6" t="n">
        <v>1</v>
      </c>
      <c r="J46" s="6" t="n">
        <v>1</v>
      </c>
      <c r="K46" s="9"/>
      <c r="L46" s="6"/>
      <c r="M46" s="6"/>
    </row>
    <row r="47" customFormat="false" ht="15.75" hidden="false" customHeight="false" outlineLevel="0" collapsed="false">
      <c r="A47" s="0" t="s">
        <v>65</v>
      </c>
      <c r="B47" s="1" t="n">
        <v>43907</v>
      </c>
      <c r="C47" s="6" t="n">
        <v>56</v>
      </c>
      <c r="D47" s="6" t="n">
        <v>10</v>
      </c>
      <c r="E47" s="6" t="n">
        <v>2</v>
      </c>
      <c r="F47" s="6" t="n">
        <v>0</v>
      </c>
      <c r="G47" s="6" t="n">
        <v>3</v>
      </c>
      <c r="H47" s="6" t="n">
        <v>51</v>
      </c>
      <c r="I47" s="6" t="n">
        <v>1</v>
      </c>
      <c r="J47" s="6" t="n">
        <v>1.2</v>
      </c>
      <c r="K47" s="9"/>
      <c r="L47" s="6"/>
      <c r="M47" s="6"/>
    </row>
    <row r="48" customFormat="false" ht="15.75" hidden="false" customHeight="false" outlineLevel="0" collapsed="false">
      <c r="A48" s="0" t="s">
        <v>65</v>
      </c>
      <c r="B48" s="1" t="n">
        <v>43908</v>
      </c>
      <c r="C48" s="6" t="n">
        <v>79</v>
      </c>
      <c r="D48" s="6" t="n">
        <v>23</v>
      </c>
      <c r="E48" s="6" t="n">
        <v>2</v>
      </c>
      <c r="F48" s="6" t="n">
        <v>0</v>
      </c>
      <c r="G48" s="6" t="n">
        <v>3</v>
      </c>
      <c r="H48" s="6" t="n">
        <v>74</v>
      </c>
      <c r="I48" s="6" t="n">
        <v>1</v>
      </c>
      <c r="J48" s="6" t="n">
        <v>1.7</v>
      </c>
      <c r="K48" s="9"/>
      <c r="L48" s="6"/>
      <c r="M48" s="6"/>
    </row>
    <row r="49" customFormat="false" ht="15.75" hidden="false" customHeight="false" outlineLevel="0" collapsed="false">
      <c r="A49" s="0" t="s">
        <v>65</v>
      </c>
      <c r="B49" s="1" t="n">
        <v>43909</v>
      </c>
      <c r="C49" s="6" t="n">
        <v>97</v>
      </c>
      <c r="D49" s="6" t="n">
        <v>18</v>
      </c>
      <c r="E49" s="6" t="n">
        <v>2</v>
      </c>
      <c r="F49" s="6" t="n">
        <v>0</v>
      </c>
      <c r="G49" s="6" t="n">
        <v>3</v>
      </c>
      <c r="H49" s="6" t="n">
        <v>92</v>
      </c>
      <c r="I49" s="6" t="n">
        <v>1</v>
      </c>
      <c r="J49" s="6" t="n">
        <v>2</v>
      </c>
      <c r="K49" s="9"/>
      <c r="L49" s="6"/>
      <c r="M49" s="6"/>
    </row>
    <row r="50" customFormat="false" ht="15.75" hidden="false" customHeight="false" outlineLevel="0" collapsed="false">
      <c r="A50" s="0" t="s">
        <v>65</v>
      </c>
      <c r="B50" s="1" t="n">
        <v>43910</v>
      </c>
      <c r="C50" s="6" t="n">
        <v>128</v>
      </c>
      <c r="D50" s="6" t="n">
        <v>31</v>
      </c>
      <c r="E50" s="6" t="n">
        <v>3</v>
      </c>
      <c r="F50" s="6" t="n">
        <v>1</v>
      </c>
      <c r="G50" s="6" t="n">
        <v>3</v>
      </c>
      <c r="H50" s="6" t="n">
        <v>122</v>
      </c>
      <c r="I50" s="6"/>
      <c r="J50" s="6" t="n">
        <v>3</v>
      </c>
      <c r="K50" s="9"/>
      <c r="L50" s="6"/>
      <c r="M50" s="6"/>
    </row>
    <row r="51" customFormat="false" ht="15.75" hidden="false" customHeight="false" outlineLevel="0" collapsed="false">
      <c r="A51" s="0" t="s">
        <v>65</v>
      </c>
      <c r="B51" s="1" t="n">
        <v>43911</v>
      </c>
      <c r="C51" s="6" t="n">
        <v>158</v>
      </c>
      <c r="D51" s="6" t="n">
        <v>30</v>
      </c>
      <c r="E51" s="6" t="n">
        <v>3</v>
      </c>
      <c r="F51" s="6" t="n">
        <v>0</v>
      </c>
      <c r="G51" s="6" t="n">
        <v>3</v>
      </c>
      <c r="H51" s="6" t="n">
        <v>152</v>
      </c>
      <c r="I51" s="6"/>
      <c r="J51" s="6" t="n">
        <v>3</v>
      </c>
      <c r="K51" s="9"/>
      <c r="L51" s="6"/>
      <c r="M51" s="6"/>
    </row>
    <row r="52" customFormat="false" ht="15.75" hidden="false" customHeight="false" outlineLevel="0" collapsed="false">
      <c r="A52" s="0" t="s">
        <v>65</v>
      </c>
      <c r="B52" s="1" t="n">
        <v>43912</v>
      </c>
      <c r="C52" s="6" t="n">
        <v>158</v>
      </c>
      <c r="D52" s="6" t="n">
        <v>0</v>
      </c>
      <c r="E52" s="6" t="n">
        <v>4</v>
      </c>
      <c r="F52" s="6" t="n">
        <v>1</v>
      </c>
      <c r="G52" s="6" t="n">
        <v>3</v>
      </c>
      <c r="H52" s="6" t="n">
        <v>151</v>
      </c>
      <c r="I52" s="6"/>
      <c r="J52" s="6" t="n">
        <v>3</v>
      </c>
      <c r="K52" s="9"/>
      <c r="L52" s="6"/>
      <c r="M52" s="6"/>
    </row>
    <row r="53" customFormat="false" ht="15.75" hidden="false" customHeight="false" outlineLevel="0" collapsed="false">
      <c r="A53" s="0" t="s">
        <v>65</v>
      </c>
      <c r="B53" s="1" t="n">
        <v>43913</v>
      </c>
      <c r="C53" s="6" t="n">
        <v>225</v>
      </c>
      <c r="D53" s="6" t="n">
        <v>67</v>
      </c>
      <c r="E53" s="6" t="n">
        <v>4</v>
      </c>
      <c r="F53" s="6" t="n">
        <v>0</v>
      </c>
      <c r="G53" s="6" t="n">
        <v>27</v>
      </c>
      <c r="H53" s="6" t="n">
        <v>194</v>
      </c>
      <c r="I53" s="6"/>
      <c r="J53" s="6" t="n">
        <v>5</v>
      </c>
      <c r="K53" s="9"/>
      <c r="L53" s="6"/>
      <c r="M53" s="6"/>
    </row>
    <row r="54" customFormat="false" ht="15.75" hidden="false" customHeight="false" outlineLevel="0" collapsed="false">
      <c r="A54" s="0" t="s">
        <v>65</v>
      </c>
      <c r="B54" s="1" t="n">
        <v>43914</v>
      </c>
      <c r="C54" s="6" t="n">
        <v>266</v>
      </c>
      <c r="D54" s="6" t="n">
        <v>41</v>
      </c>
      <c r="E54" s="6" t="n">
        <v>4</v>
      </c>
      <c r="F54" s="6" t="n">
        <v>0</v>
      </c>
      <c r="G54" s="6" t="n">
        <v>27</v>
      </c>
      <c r="H54" s="6" t="n">
        <v>235</v>
      </c>
      <c r="I54" s="6"/>
      <c r="J54" s="6" t="n">
        <v>6</v>
      </c>
      <c r="K54" s="9"/>
      <c r="L54" s="6"/>
      <c r="M54" s="6"/>
    </row>
    <row r="55" customFormat="false" ht="15.75" hidden="false" customHeight="false" outlineLevel="0" collapsed="false">
      <c r="A55" s="0" t="s">
        <v>65</v>
      </c>
      <c r="B55" s="1" t="n">
        <v>43915</v>
      </c>
      <c r="C55" s="7" t="n">
        <v>387</v>
      </c>
      <c r="D55" s="7" t="n">
        <v>121</v>
      </c>
      <c r="E55" s="7" t="n">
        <v>6</v>
      </c>
      <c r="F55" s="7" t="n">
        <v>2</v>
      </c>
      <c r="G55" s="7" t="n">
        <v>52</v>
      </c>
      <c r="H55" s="7" t="n">
        <v>329</v>
      </c>
      <c r="I55" s="7"/>
      <c r="J55" s="7" t="n">
        <v>9</v>
      </c>
      <c r="K55" s="9" t="n">
        <v>0.1</v>
      </c>
      <c r="L55" s="7"/>
      <c r="M55" s="7"/>
    </row>
    <row r="56" customFormat="false" ht="15.75" hidden="false" customHeight="false" outlineLevel="0" collapsed="false">
      <c r="A56" s="0" t="s">
        <v>65</v>
      </c>
      <c r="B56" s="1" t="n">
        <v>43916</v>
      </c>
      <c r="C56" s="7" t="n">
        <v>387</v>
      </c>
      <c r="D56" s="7" t="n">
        <v>0</v>
      </c>
      <c r="E56" s="7" t="n">
        <v>8</v>
      </c>
      <c r="F56" s="7" t="n">
        <v>2</v>
      </c>
      <c r="G56" s="7" t="n">
        <v>52</v>
      </c>
      <c r="H56" s="7" t="n">
        <v>327</v>
      </c>
      <c r="I56" s="7"/>
      <c r="J56" s="7" t="n">
        <v>9</v>
      </c>
      <c r="K56" s="9" t="n">
        <v>0.2</v>
      </c>
      <c r="L56" s="7"/>
      <c r="M56" s="7"/>
    </row>
    <row r="57" customFormat="false" ht="15.75" hidden="false" customHeight="false" outlineLevel="0" collapsed="false">
      <c r="A57" s="0" t="s">
        <v>65</v>
      </c>
      <c r="B57" s="1" t="n">
        <v>43917</v>
      </c>
      <c r="C57" s="7" t="n">
        <v>502</v>
      </c>
      <c r="D57" s="7" t="n">
        <v>115</v>
      </c>
      <c r="E57" s="7" t="n">
        <v>8</v>
      </c>
      <c r="F57" s="7" t="n">
        <v>0</v>
      </c>
      <c r="G57" s="7" t="n">
        <v>63</v>
      </c>
      <c r="H57" s="7" t="n">
        <v>431</v>
      </c>
      <c r="I57" s="7"/>
      <c r="J57" s="7" t="n">
        <v>11</v>
      </c>
      <c r="K57" s="9" t="n">
        <v>0.2</v>
      </c>
      <c r="L57" s="7"/>
      <c r="M57" s="7"/>
    </row>
    <row r="58" customFormat="false" ht="15.75" hidden="false" customHeight="false" outlineLevel="0" collapsed="false">
      <c r="A58" s="0" t="s">
        <v>65</v>
      </c>
      <c r="B58" s="1" t="n">
        <v>43918</v>
      </c>
      <c r="C58" s="7" t="n">
        <v>589</v>
      </c>
      <c r="D58" s="7" t="n">
        <v>87</v>
      </c>
      <c r="E58" s="7" t="n">
        <v>13</v>
      </c>
      <c r="F58" s="7" t="n">
        <v>5</v>
      </c>
      <c r="G58" s="7" t="n">
        <v>72</v>
      </c>
      <c r="H58" s="7" t="n">
        <v>504</v>
      </c>
      <c r="I58" s="7"/>
      <c r="J58" s="7" t="n">
        <v>13</v>
      </c>
      <c r="K58" s="9" t="n">
        <v>0.3</v>
      </c>
      <c r="L58" s="7"/>
      <c r="M58" s="7"/>
    </row>
    <row r="59" customFormat="false" ht="15.75" hidden="false" customHeight="false" outlineLevel="0" collapsed="false">
      <c r="A59" s="0" t="s">
        <v>65</v>
      </c>
      <c r="B59" s="1" t="n">
        <v>43919</v>
      </c>
      <c r="C59" s="7" t="n">
        <v>690</v>
      </c>
      <c r="D59" s="7" t="n">
        <v>101</v>
      </c>
      <c r="E59" s="7" t="n">
        <v>18</v>
      </c>
      <c r="F59" s="7" t="n">
        <v>5</v>
      </c>
      <c r="G59" s="7" t="n">
        <v>72</v>
      </c>
      <c r="H59" s="7" t="n">
        <v>600</v>
      </c>
      <c r="I59" s="7"/>
      <c r="J59" s="7" t="n">
        <v>15</v>
      </c>
      <c r="K59" s="9" t="n">
        <v>0.4</v>
      </c>
      <c r="M59" s="7"/>
    </row>
    <row r="60" customFormat="false" ht="15.75" hidden="false" customHeight="false" outlineLevel="0" collapsed="false">
      <c r="A60" s="0" t="s">
        <v>65</v>
      </c>
      <c r="B60" s="1" t="n">
        <v>43920</v>
      </c>
      <c r="C60" s="7" t="n">
        <v>745</v>
      </c>
      <c r="D60" s="7" t="n">
        <v>55</v>
      </c>
      <c r="E60" s="7" t="n">
        <v>19</v>
      </c>
      <c r="F60" s="7" t="n">
        <v>1</v>
      </c>
      <c r="G60" s="7" t="n">
        <v>72</v>
      </c>
      <c r="H60" s="7" t="n">
        <v>654</v>
      </c>
      <c r="I60" s="7"/>
      <c r="J60" s="7" t="n">
        <v>16</v>
      </c>
      <c r="K60" s="9" t="n">
        <v>0.4</v>
      </c>
      <c r="M60" s="7"/>
    </row>
    <row r="61" customFormat="false" ht="15.75" hidden="false" customHeight="false" outlineLevel="0" collapsed="false">
      <c r="A61" s="0" t="s">
        <v>65</v>
      </c>
      <c r="B61" s="1" t="n">
        <v>43921</v>
      </c>
      <c r="C61" s="7" t="n">
        <v>820</v>
      </c>
      <c r="D61" s="7" t="n">
        <v>75</v>
      </c>
      <c r="E61" s="7" t="n">
        <v>23</v>
      </c>
      <c r="F61" s="7" t="n">
        <v>4</v>
      </c>
      <c r="G61" s="7" t="n">
        <v>228</v>
      </c>
      <c r="H61" s="7" t="n">
        <v>569</v>
      </c>
      <c r="I61" s="7"/>
      <c r="J61" s="7" t="n">
        <v>18</v>
      </c>
      <c r="K61" s="9" t="n">
        <v>0.5</v>
      </c>
      <c r="M61" s="7"/>
    </row>
    <row r="62" customFormat="false" ht="15.75" hidden="false" customHeight="false" outlineLevel="0" collapsed="false">
      <c r="A62" s="0" t="s">
        <v>65</v>
      </c>
      <c r="B62" s="1" t="n">
        <v>43922</v>
      </c>
      <c r="C62" s="7" t="n">
        <v>966</v>
      </c>
      <c r="D62" s="7" t="n">
        <v>146</v>
      </c>
      <c r="E62" s="7" t="n">
        <v>26</v>
      </c>
      <c r="F62" s="7" t="n">
        <v>3</v>
      </c>
      <c r="G62" s="7" t="n">
        <v>240</v>
      </c>
      <c r="H62" s="7" t="n">
        <v>700</v>
      </c>
      <c r="I62" s="7"/>
      <c r="J62" s="7" t="n">
        <v>21</v>
      </c>
      <c r="K62" s="9" t="n">
        <v>0.6</v>
      </c>
      <c r="M62" s="7"/>
    </row>
    <row r="63" customFormat="false" ht="15.75" hidden="false" customHeight="false" outlineLevel="0" collapsed="false">
      <c r="A63" s="0" t="s">
        <v>65</v>
      </c>
      <c r="B63" s="1" t="n">
        <v>43923</v>
      </c>
      <c r="C63" s="7" t="n">
        <v>1054</v>
      </c>
      <c r="D63" s="7" t="n">
        <v>88</v>
      </c>
      <c r="E63" s="7" t="n">
        <v>28</v>
      </c>
      <c r="F63" s="7" t="n">
        <v>2</v>
      </c>
      <c r="G63" s="7" t="n">
        <v>248</v>
      </c>
      <c r="H63" s="7" t="n">
        <v>778</v>
      </c>
      <c r="I63" s="7"/>
      <c r="J63" s="7" t="n">
        <v>23</v>
      </c>
      <c r="K63" s="9" t="n">
        <v>0.6</v>
      </c>
      <c r="M63" s="7"/>
    </row>
    <row r="64" customFormat="false" ht="15.75" hidden="false" customHeight="false" outlineLevel="0" collapsed="false">
      <c r="A64" s="0" t="s">
        <v>65</v>
      </c>
      <c r="B64" s="1" t="n">
        <v>43924</v>
      </c>
      <c r="C64" s="7" t="n">
        <v>1133</v>
      </c>
      <c r="D64" s="7" t="n">
        <v>79</v>
      </c>
      <c r="E64" s="7" t="n">
        <v>34</v>
      </c>
      <c r="F64" s="7" t="n">
        <v>6</v>
      </c>
      <c r="G64" s="7" t="n">
        <v>256</v>
      </c>
      <c r="H64" s="7" t="n">
        <v>843</v>
      </c>
      <c r="I64" s="7"/>
      <c r="J64" s="7" t="n">
        <v>25</v>
      </c>
      <c r="K64" s="9" t="n">
        <v>0.8</v>
      </c>
      <c r="M64" s="7"/>
    </row>
    <row r="65" customFormat="false" ht="15.75" hidden="false" customHeight="false" outlineLevel="0" collapsed="false">
      <c r="A65" s="0" t="s">
        <v>65</v>
      </c>
      <c r="B65" s="1" t="n">
        <v>43925</v>
      </c>
      <c r="C65" s="7" t="n">
        <v>1265</v>
      </c>
      <c r="D65" s="7" t="n">
        <v>132</v>
      </c>
      <c r="E65" s="7" t="n">
        <v>39</v>
      </c>
      <c r="F65" s="7" t="n">
        <v>5</v>
      </c>
      <c r="G65" s="7" t="n">
        <v>266</v>
      </c>
      <c r="H65" s="7" t="n">
        <v>960</v>
      </c>
      <c r="I65" s="7"/>
      <c r="J65" s="7" t="n">
        <v>28</v>
      </c>
      <c r="K65" s="9" t="n">
        <v>0.9</v>
      </c>
      <c r="M65" s="7"/>
    </row>
    <row r="66" customFormat="false" ht="15.75" hidden="false" customHeight="false" outlineLevel="0" collapsed="false">
      <c r="A66" s="0" t="s">
        <v>65</v>
      </c>
      <c r="B66" s="1" t="n">
        <v>43926</v>
      </c>
      <c r="C66" s="7" t="n">
        <v>1353</v>
      </c>
      <c r="D66" s="7" t="n">
        <v>88</v>
      </c>
      <c r="E66" s="7" t="n">
        <v>42</v>
      </c>
      <c r="F66" s="7" t="n">
        <v>3</v>
      </c>
      <c r="G66" s="7" t="n">
        <v>279</v>
      </c>
      <c r="H66" s="7" t="n">
        <v>1032</v>
      </c>
      <c r="I66" s="7"/>
      <c r="J66" s="7" t="n">
        <v>30</v>
      </c>
      <c r="K66" s="9" t="n">
        <v>0.9</v>
      </c>
      <c r="L66" s="7" t="n">
        <v>8488</v>
      </c>
      <c r="M66" s="7" t="n">
        <v>188</v>
      </c>
    </row>
    <row r="67" customFormat="false" ht="15.75" hidden="false" customHeight="false" outlineLevel="0" collapsed="false">
      <c r="A67" s="0" t="s">
        <v>65</v>
      </c>
      <c r="B67" s="1" t="n">
        <v>43927</v>
      </c>
      <c r="C67" s="7" t="n">
        <v>1451</v>
      </c>
      <c r="D67" s="7" t="n">
        <v>98</v>
      </c>
      <c r="E67" s="7" t="n">
        <v>44</v>
      </c>
      <c r="F67" s="7" t="n">
        <v>2</v>
      </c>
      <c r="G67" s="7" t="n">
        <v>280</v>
      </c>
      <c r="H67" s="7" t="n">
        <v>1127</v>
      </c>
      <c r="I67" s="7" t="n">
        <v>86</v>
      </c>
      <c r="J67" s="7" t="n">
        <v>32</v>
      </c>
      <c r="K67" s="9" t="n">
        <v>1</v>
      </c>
      <c r="L67" s="7" t="n">
        <v>8488</v>
      </c>
      <c r="M67" s="7" t="n">
        <v>188</v>
      </c>
    </row>
    <row r="68" customFormat="false" ht="15.75" hidden="false" customHeight="false" outlineLevel="0" collapsed="false">
      <c r="A68" s="0" t="s">
        <v>65</v>
      </c>
      <c r="B68" s="1" t="n">
        <v>43928</v>
      </c>
      <c r="C68" s="12" t="n">
        <v>1554</v>
      </c>
      <c r="D68" s="12" t="n">
        <v>103</v>
      </c>
      <c r="E68" s="12" t="n">
        <v>48</v>
      </c>
      <c r="F68" s="12" t="n">
        <v>4</v>
      </c>
      <c r="G68" s="12" t="n">
        <v>325</v>
      </c>
      <c r="H68" s="12" t="n">
        <v>1181</v>
      </c>
      <c r="I68" s="12" t="n">
        <v>94</v>
      </c>
      <c r="J68" s="12" t="n">
        <v>34</v>
      </c>
      <c r="K68" s="13" t="n">
        <v>1</v>
      </c>
      <c r="L68" s="12" t="n">
        <v>10709</v>
      </c>
      <c r="M68" s="12" t="n">
        <v>237</v>
      </c>
    </row>
    <row r="69" customFormat="false" ht="15.75" hidden="false" customHeight="false" outlineLevel="0" collapsed="false">
      <c r="A69" s="0" t="s">
        <v>65</v>
      </c>
      <c r="B69" s="1" t="n">
        <v>43929</v>
      </c>
      <c r="C69" s="14" t="n">
        <v>1628</v>
      </c>
      <c r="D69" s="14" t="n">
        <v>74</v>
      </c>
      <c r="E69" s="14" t="n">
        <v>56</v>
      </c>
      <c r="F69" s="14" t="n">
        <v>8</v>
      </c>
      <c r="G69" s="14" t="n">
        <v>338</v>
      </c>
      <c r="H69" s="14" t="n">
        <v>1234</v>
      </c>
      <c r="I69" s="14" t="n">
        <v>96</v>
      </c>
      <c r="J69" s="14" t="n">
        <v>36</v>
      </c>
      <c r="K69" s="13" t="n">
        <v>1</v>
      </c>
      <c r="L69" s="14" t="n">
        <v>11778</v>
      </c>
      <c r="M69" s="14" t="n">
        <v>261</v>
      </c>
    </row>
    <row r="70" customFormat="false" ht="15.75" hidden="false" customHeight="false" outlineLevel="0" collapsed="false">
      <c r="A70" s="0" t="s">
        <v>65</v>
      </c>
      <c r="B70" s="1" t="n">
        <v>43930</v>
      </c>
      <c r="C70" s="14" t="n">
        <v>1715</v>
      </c>
      <c r="D70" s="14" t="n">
        <v>87</v>
      </c>
      <c r="E70" s="14" t="n">
        <v>63</v>
      </c>
      <c r="F70" s="14" t="n">
        <v>7</v>
      </c>
      <c r="G70" s="14" t="n">
        <v>358</v>
      </c>
      <c r="H70" s="14" t="n">
        <v>1294</v>
      </c>
      <c r="I70" s="14" t="n">
        <v>96</v>
      </c>
      <c r="J70" s="14" t="n">
        <v>38</v>
      </c>
      <c r="K70" s="13" t="n">
        <v>1</v>
      </c>
      <c r="L70" s="14" t="n">
        <v>13330</v>
      </c>
      <c r="M70" s="14" t="n">
        <v>295</v>
      </c>
    </row>
    <row r="71" customFormat="false" ht="15.75" hidden="false" customHeight="false" outlineLevel="0" collapsed="false">
      <c r="A71" s="0" t="s">
        <v>65</v>
      </c>
      <c r="B71" s="1" t="n">
        <v>43931</v>
      </c>
      <c r="C71" s="14" t="n">
        <v>1795</v>
      </c>
      <c r="D71" s="14" t="n">
        <v>80</v>
      </c>
      <c r="E71" s="14" t="n">
        <v>71</v>
      </c>
      <c r="F71" s="14" t="n">
        <v>8</v>
      </c>
      <c r="G71" s="14" t="n">
        <v>365</v>
      </c>
      <c r="H71" s="14" t="n">
        <v>1359</v>
      </c>
      <c r="I71" s="14" t="n">
        <v>96</v>
      </c>
      <c r="J71" s="14" t="n">
        <v>40</v>
      </c>
      <c r="K71" s="13" t="n">
        <v>2</v>
      </c>
      <c r="L71" s="14" t="n">
        <v>14850</v>
      </c>
      <c r="M71" s="14" t="n">
        <v>329</v>
      </c>
    </row>
    <row r="72" customFormat="false" ht="15.75" hidden="false" customHeight="false" outlineLevel="0" collapsed="false">
      <c r="A72" s="0" t="s">
        <v>65</v>
      </c>
      <c r="B72" s="1" t="n">
        <v>43932</v>
      </c>
      <c r="C72" s="14" t="n">
        <v>1894</v>
      </c>
      <c r="D72" s="14" t="n">
        <v>99</v>
      </c>
      <c r="E72" s="14" t="n">
        <v>81</v>
      </c>
      <c r="F72" s="14" t="n">
        <v>10</v>
      </c>
      <c r="G72" s="14" t="n">
        <v>375</v>
      </c>
      <c r="H72" s="14" t="n">
        <v>1438</v>
      </c>
      <c r="I72" s="14" t="n">
        <v>96</v>
      </c>
      <c r="J72" s="14" t="n">
        <v>42</v>
      </c>
      <c r="K72" s="13" t="n">
        <v>2</v>
      </c>
      <c r="L72" s="14" t="n">
        <v>16379</v>
      </c>
      <c r="M72" s="14" t="n">
        <v>362</v>
      </c>
    </row>
    <row r="73" customFormat="false" ht="15.75" hidden="false" customHeight="false" outlineLevel="0" collapsed="false">
      <c r="A73" s="0" t="s">
        <v>65</v>
      </c>
      <c r="B73" s="1" t="n">
        <v>43933</v>
      </c>
      <c r="C73" s="14" t="n">
        <v>1975</v>
      </c>
      <c r="D73" s="14" t="n">
        <v>81</v>
      </c>
      <c r="E73" s="14" t="n">
        <v>83</v>
      </c>
      <c r="F73" s="14" t="n">
        <v>2</v>
      </c>
      <c r="G73" s="14" t="n">
        <v>440</v>
      </c>
      <c r="H73" s="14" t="n">
        <v>1452</v>
      </c>
      <c r="I73" s="14" t="n">
        <v>115</v>
      </c>
      <c r="J73" s="14" t="n">
        <v>44</v>
      </c>
      <c r="K73" s="13" t="n">
        <v>2</v>
      </c>
      <c r="L73" s="14" t="n">
        <v>16379</v>
      </c>
      <c r="M73" s="14" t="n">
        <v>362</v>
      </c>
    </row>
    <row r="74" customFormat="false" ht="15.75" hidden="false" customHeight="false" outlineLevel="0" collapsed="false">
      <c r="A74" s="0" t="s">
        <v>65</v>
      </c>
      <c r="B74" s="1" t="n">
        <v>43934</v>
      </c>
      <c r="C74" s="14" t="n">
        <v>2142</v>
      </c>
      <c r="D74" s="14" t="n">
        <v>167</v>
      </c>
      <c r="E74" s="14" t="n">
        <v>90</v>
      </c>
      <c r="F74" s="14" t="n">
        <v>7</v>
      </c>
      <c r="G74" s="14" t="n">
        <v>468</v>
      </c>
      <c r="H74" s="14" t="n">
        <v>1584</v>
      </c>
      <c r="I74" s="14" t="n">
        <v>83</v>
      </c>
      <c r="J74" s="14" t="n">
        <v>47</v>
      </c>
      <c r="K74" s="13" t="n">
        <v>2</v>
      </c>
      <c r="L74" s="14" t="n">
        <v>19758</v>
      </c>
      <c r="M74" s="14" t="n">
        <v>437</v>
      </c>
    </row>
    <row r="75" customFormat="false" ht="15.75" hidden="false" customHeight="false" outlineLevel="0" collapsed="false">
      <c r="A75" s="0" t="s">
        <v>65</v>
      </c>
      <c r="B75" s="1" t="n">
        <v>43935</v>
      </c>
      <c r="C75" s="14" t="n">
        <v>2208</v>
      </c>
      <c r="D75" s="14" t="n">
        <v>66</v>
      </c>
      <c r="E75" s="14" t="n">
        <v>97</v>
      </c>
      <c r="F75" s="14" t="n">
        <v>7</v>
      </c>
      <c r="G75" s="14" t="n">
        <v>515</v>
      </c>
      <c r="H75" s="14" t="n">
        <v>1596</v>
      </c>
      <c r="I75" s="14" t="n">
        <v>83</v>
      </c>
      <c r="J75" s="14" t="n">
        <v>49</v>
      </c>
      <c r="K75" s="13" t="n">
        <v>2</v>
      </c>
      <c r="L75" s="14" t="n">
        <v>19758</v>
      </c>
      <c r="M75" s="14" t="n">
        <v>437</v>
      </c>
    </row>
    <row r="76" customFormat="false" ht="15.75" hidden="false" customHeight="false" outlineLevel="0" collapsed="false">
      <c r="A76" s="0" t="s">
        <v>65</v>
      </c>
      <c r="B76" s="1" t="n">
        <v>43936</v>
      </c>
      <c r="C76" s="14" t="n">
        <v>2277</v>
      </c>
      <c r="D76" s="14" t="n">
        <v>69</v>
      </c>
      <c r="E76" s="14" t="n">
        <v>102</v>
      </c>
      <c r="F76" s="14" t="n">
        <v>5</v>
      </c>
      <c r="G76" s="14" t="n">
        <v>559</v>
      </c>
      <c r="H76" s="14" t="n">
        <v>1616</v>
      </c>
      <c r="I76" s="14" t="n">
        <v>83</v>
      </c>
      <c r="J76" s="14" t="n">
        <v>50</v>
      </c>
      <c r="K76" s="13" t="n">
        <v>2</v>
      </c>
      <c r="L76" s="14" t="n">
        <v>22805</v>
      </c>
      <c r="M76" s="14" t="n">
        <v>505</v>
      </c>
    </row>
    <row r="77" customFormat="false" ht="15.75" hidden="false" customHeight="false" outlineLevel="0" collapsed="false">
      <c r="A77" s="0" t="s">
        <v>65</v>
      </c>
      <c r="B77" s="1" t="n">
        <v>43937</v>
      </c>
      <c r="C77" s="14" t="n">
        <v>2443</v>
      </c>
      <c r="D77" s="14" t="n">
        <v>166</v>
      </c>
      <c r="E77" s="14" t="n">
        <v>111</v>
      </c>
      <c r="F77" s="14" t="n">
        <v>9</v>
      </c>
      <c r="G77" s="14" t="n">
        <v>596</v>
      </c>
      <c r="H77" s="14" t="n">
        <v>1736</v>
      </c>
      <c r="I77" s="14" t="n">
        <v>117</v>
      </c>
      <c r="J77" s="14" t="n">
        <v>54</v>
      </c>
      <c r="K77" s="13" t="n">
        <v>2</v>
      </c>
      <c r="L77" s="14" t="n">
        <v>24374</v>
      </c>
      <c r="M77" s="14" t="n">
        <v>539</v>
      </c>
    </row>
    <row r="78" customFormat="false" ht="15.75" hidden="false" customHeight="false" outlineLevel="0" collapsed="false">
      <c r="A78" s="0" t="s">
        <v>65</v>
      </c>
      <c r="B78" s="1" t="n">
        <v>43938</v>
      </c>
      <c r="C78" s="14" t="n">
        <v>2571</v>
      </c>
      <c r="D78" s="14" t="n">
        <v>128</v>
      </c>
      <c r="E78" s="14" t="n">
        <v>122</v>
      </c>
      <c r="F78" s="14" t="n">
        <v>11</v>
      </c>
      <c r="G78" s="14" t="n">
        <v>631</v>
      </c>
      <c r="H78" s="14" t="n">
        <v>1916</v>
      </c>
      <c r="I78" s="14" t="n">
        <v>121</v>
      </c>
      <c r="J78" s="14" t="n">
        <v>59</v>
      </c>
      <c r="K78" s="13" t="n">
        <v>3</v>
      </c>
      <c r="L78" s="14" t="n">
        <v>26457</v>
      </c>
      <c r="M78" s="14" t="n">
        <v>585</v>
      </c>
    </row>
    <row r="79" customFormat="false" ht="15.75" hidden="false" customHeight="false" outlineLevel="0" collapsed="false">
      <c r="A79" s="0" t="s">
        <v>65</v>
      </c>
      <c r="B79" s="1" t="n">
        <v>43939</v>
      </c>
      <c r="C79" s="14" t="n">
        <v>2669</v>
      </c>
      <c r="D79" s="14" t="n">
        <v>98</v>
      </c>
      <c r="E79" s="14" t="n">
        <v>123</v>
      </c>
      <c r="F79" s="14" t="n">
        <v>1</v>
      </c>
      <c r="G79" s="14" t="n">
        <v>666</v>
      </c>
      <c r="H79" s="14" t="n">
        <v>1880</v>
      </c>
      <c r="I79" s="14" t="n">
        <v>126</v>
      </c>
      <c r="J79" s="14" t="n">
        <v>59</v>
      </c>
      <c r="K79" s="13" t="n">
        <v>3</v>
      </c>
      <c r="L79" s="14" t="n">
        <v>28650</v>
      </c>
      <c r="M79" s="14" t="n">
        <v>634</v>
      </c>
    </row>
    <row r="80" customFormat="false" ht="15.75" hidden="false" customHeight="false" outlineLevel="0" collapsed="false">
      <c r="A80" s="0" t="s">
        <v>65</v>
      </c>
      <c r="B80" s="1" t="n">
        <v>43940</v>
      </c>
      <c r="C80" s="14" t="n">
        <v>2758</v>
      </c>
      <c r="D80" s="14" t="n">
        <v>89</v>
      </c>
      <c r="E80" s="14" t="n">
        <v>129</v>
      </c>
      <c r="F80" s="14" t="n">
        <v>6</v>
      </c>
      <c r="G80" s="14" t="n">
        <v>685</v>
      </c>
      <c r="H80" s="14" t="n">
        <v>1944</v>
      </c>
      <c r="I80" s="14" t="n">
        <v>127</v>
      </c>
      <c r="J80" s="14" t="n">
        <v>61</v>
      </c>
      <c r="K80" s="13" t="n">
        <v>3</v>
      </c>
      <c r="L80" s="14" t="n">
        <v>30942</v>
      </c>
      <c r="M80" s="14" t="n">
        <v>685</v>
      </c>
    </row>
    <row r="81" customFormat="false" ht="15.75" hidden="false" customHeight="false" outlineLevel="0" collapsed="false">
      <c r="A81" s="0" t="s">
        <v>65</v>
      </c>
      <c r="B81" s="1" t="n">
        <v>43941</v>
      </c>
      <c r="C81" s="14" t="n">
        <v>2839</v>
      </c>
      <c r="D81" s="14" t="n">
        <v>81</v>
      </c>
      <c r="E81" s="14" t="n">
        <v>132</v>
      </c>
      <c r="F81" s="14" t="n">
        <v>3</v>
      </c>
      <c r="G81" s="14" t="n">
        <v>709</v>
      </c>
      <c r="H81" s="14" t="n">
        <v>1998</v>
      </c>
      <c r="I81" s="14" t="n">
        <v>123</v>
      </c>
      <c r="J81" s="14" t="n">
        <v>63</v>
      </c>
      <c r="K81" s="13" t="n">
        <v>3</v>
      </c>
      <c r="L81" s="14" t="n">
        <v>32712</v>
      </c>
      <c r="M81" s="14" t="n">
        <v>724</v>
      </c>
    </row>
    <row r="82" customFormat="false" ht="15.75" hidden="false" customHeight="false" outlineLevel="0" collapsed="false">
      <c r="A82" s="0" t="s">
        <v>65</v>
      </c>
      <c r="B82" s="1" t="n">
        <v>43942</v>
      </c>
      <c r="C82" s="6" t="n">
        <v>2941</v>
      </c>
      <c r="D82" s="6" t="n">
        <v>102</v>
      </c>
      <c r="E82" s="6" t="n">
        <v>136</v>
      </c>
      <c r="F82" s="6" t="n">
        <v>4</v>
      </c>
      <c r="G82" s="6" t="n">
        <v>737</v>
      </c>
      <c r="H82" s="6" t="n">
        <v>2068</v>
      </c>
      <c r="I82" s="6" t="n">
        <v>123</v>
      </c>
      <c r="J82" s="6" t="n">
        <v>65</v>
      </c>
      <c r="K82" s="9" t="n">
        <v>3</v>
      </c>
      <c r="L82" s="6" t="n">
        <v>34568</v>
      </c>
      <c r="M82" s="6" t="n">
        <v>765</v>
      </c>
    </row>
    <row r="83" customFormat="false" ht="15.75" hidden="false" customHeight="false" outlineLevel="0" collapsed="false">
      <c r="A83" s="0" t="s">
        <v>65</v>
      </c>
      <c r="B83" s="1" t="n">
        <v>43943</v>
      </c>
      <c r="C83" s="6" t="n">
        <v>3031</v>
      </c>
      <c r="D83" s="6" t="n">
        <v>90</v>
      </c>
      <c r="E83" s="6" t="n">
        <v>147</v>
      </c>
      <c r="F83" s="6" t="n">
        <v>11</v>
      </c>
      <c r="G83" s="6" t="n">
        <v>840</v>
      </c>
      <c r="H83" s="6" t="n">
        <v>2044</v>
      </c>
      <c r="I83" s="6" t="n">
        <v>123</v>
      </c>
      <c r="J83" s="6" t="n">
        <v>67</v>
      </c>
      <c r="K83" s="9" t="n">
        <v>3</v>
      </c>
      <c r="L83" s="6" t="n">
        <v>36611</v>
      </c>
      <c r="M83" s="6" t="n">
        <v>810</v>
      </c>
    </row>
    <row r="84" customFormat="false" ht="15.75" hidden="false" customHeight="false" outlineLevel="0" collapsed="false">
      <c r="A84" s="0" t="s">
        <v>65</v>
      </c>
      <c r="B84" s="1" t="n">
        <v>43944</v>
      </c>
      <c r="C84" s="6" t="n">
        <v>3144</v>
      </c>
      <c r="D84" s="6" t="n">
        <v>113</v>
      </c>
      <c r="E84" s="6" t="n">
        <v>152</v>
      </c>
      <c r="F84" s="6" t="n">
        <v>5</v>
      </c>
      <c r="G84" s="6" t="n">
        <v>872</v>
      </c>
      <c r="H84" s="6" t="n">
        <v>2120</v>
      </c>
      <c r="I84" s="6" t="n">
        <v>123</v>
      </c>
      <c r="J84" s="6" t="n">
        <v>70</v>
      </c>
      <c r="K84" s="9" t="n">
        <v>3</v>
      </c>
      <c r="L84" s="6" t="n">
        <v>39228</v>
      </c>
      <c r="M84" s="6" t="n">
        <v>868</v>
      </c>
    </row>
    <row r="85" customFormat="false" ht="15.75" hidden="false" customHeight="false" outlineLevel="0" collapsed="false">
      <c r="A85" s="0" t="s">
        <v>65</v>
      </c>
      <c r="B85" s="1" t="n">
        <v>43945</v>
      </c>
      <c r="C85" s="6" t="n">
        <v>3288</v>
      </c>
      <c r="D85" s="6" t="n">
        <v>144</v>
      </c>
      <c r="E85" s="6" t="n">
        <v>159</v>
      </c>
      <c r="F85" s="6" t="n">
        <v>7</v>
      </c>
      <c r="G85" s="6" t="n">
        <v>919</v>
      </c>
      <c r="H85" s="6" t="n">
        <v>2210</v>
      </c>
      <c r="I85" s="6" t="n">
        <v>123</v>
      </c>
      <c r="J85" s="6" t="n">
        <v>73</v>
      </c>
      <c r="K85" s="9" t="n">
        <v>4</v>
      </c>
      <c r="L85" s="6" t="n">
        <v>41786</v>
      </c>
      <c r="M85" s="6" t="n">
        <v>925</v>
      </c>
    </row>
    <row r="86" customFormat="false" ht="15.75" hidden="false" customHeight="false" outlineLevel="0" collapsed="false">
      <c r="A86" s="0" t="s">
        <v>65</v>
      </c>
      <c r="B86" s="1" t="n">
        <v>43946</v>
      </c>
      <c r="C86" s="6" t="n">
        <v>3435</v>
      </c>
      <c r="D86" s="6" t="n">
        <v>147</v>
      </c>
      <c r="E86" s="6" t="n">
        <v>167</v>
      </c>
      <c r="F86" s="6" t="n">
        <v>8</v>
      </c>
      <c r="G86" s="6" t="n">
        <v>976</v>
      </c>
      <c r="H86" s="6" t="n">
        <v>2292</v>
      </c>
      <c r="I86" s="6" t="n">
        <v>123</v>
      </c>
      <c r="J86" s="6" t="n">
        <v>76</v>
      </c>
      <c r="K86" s="9" t="n">
        <v>4</v>
      </c>
      <c r="L86" s="6" t="n">
        <v>44654</v>
      </c>
      <c r="M86" s="6" t="n">
        <v>988</v>
      </c>
    </row>
    <row r="87" customFormat="false" ht="15.75" hidden="false" customHeight="false" outlineLevel="0" collapsed="false">
      <c r="A87" s="0" t="s">
        <v>65</v>
      </c>
      <c r="B87" s="1" t="n">
        <v>43947</v>
      </c>
      <c r="C87" s="6" t="n">
        <v>3607</v>
      </c>
      <c r="D87" s="6" t="n">
        <v>172</v>
      </c>
      <c r="E87" s="6" t="n">
        <v>179</v>
      </c>
      <c r="F87" s="6" t="n">
        <v>12</v>
      </c>
      <c r="G87" s="6" t="n">
        <v>1030</v>
      </c>
      <c r="H87" s="6" t="n">
        <v>2398</v>
      </c>
      <c r="I87" s="6" t="n">
        <v>144</v>
      </c>
      <c r="J87" s="6" t="n">
        <v>80</v>
      </c>
      <c r="K87" s="9" t="n">
        <v>4</v>
      </c>
      <c r="L87" s="6" t="n">
        <v>47406</v>
      </c>
      <c r="M87" s="6" t="n">
        <v>1049</v>
      </c>
    </row>
    <row r="88" customFormat="false" ht="15.75" hidden="false" customHeight="false" outlineLevel="0" collapsed="false">
      <c r="A88" s="0" t="s">
        <v>65</v>
      </c>
      <c r="B88" s="1" t="n">
        <v>43948</v>
      </c>
      <c r="C88" s="6" t="n">
        <v>3780</v>
      </c>
      <c r="D88" s="6" t="n">
        <v>173</v>
      </c>
      <c r="E88" s="6" t="n">
        <v>187</v>
      </c>
      <c r="F88" s="6" t="n">
        <v>8</v>
      </c>
      <c r="G88" s="6" t="n">
        <v>1107</v>
      </c>
      <c r="H88" s="6" t="n">
        <v>2486</v>
      </c>
      <c r="I88" s="6" t="n">
        <v>144</v>
      </c>
      <c r="J88" s="6" t="n">
        <v>84</v>
      </c>
      <c r="K88" s="9" t="n">
        <v>4</v>
      </c>
      <c r="L88" s="6" t="n">
        <v>49905</v>
      </c>
      <c r="M88" s="6" t="n">
        <v>1104</v>
      </c>
    </row>
    <row r="89" customFormat="false" ht="13.5" hidden="false" customHeight="false" outlineLevel="0" collapsed="false">
      <c r="A89" s="0" t="s">
        <v>65</v>
      </c>
      <c r="B89" s="1" t="n">
        <v>43949</v>
      </c>
      <c r="C89" s="2" t="n">
        <v>3892</v>
      </c>
      <c r="D89" s="2" t="n">
        <v>112</v>
      </c>
      <c r="E89" s="2" t="n">
        <v>192</v>
      </c>
      <c r="F89" s="2" t="n">
        <v>5</v>
      </c>
      <c r="G89" s="2" t="n">
        <v>1140</v>
      </c>
      <c r="H89" s="2" t="n">
        <v>2560</v>
      </c>
      <c r="I89" s="2" t="n">
        <v>144</v>
      </c>
      <c r="J89" s="2" t="n">
        <v>86</v>
      </c>
      <c r="K89" s="2" t="n">
        <v>4</v>
      </c>
      <c r="L89" s="2" t="n">
        <v>49905</v>
      </c>
      <c r="M89" s="2" t="n">
        <v>1104</v>
      </c>
    </row>
    <row r="90" customFormat="false" ht="13.5" hidden="false" customHeight="false" outlineLevel="0" collapsed="false">
      <c r="A90" s="0" t="s">
        <v>65</v>
      </c>
      <c r="B90" s="1" t="n">
        <v>43950</v>
      </c>
      <c r="C90" s="2" t="n">
        <v>4003</v>
      </c>
      <c r="D90" s="2" t="n">
        <v>111</v>
      </c>
      <c r="E90" s="2" t="n">
        <v>197</v>
      </c>
      <c r="F90" s="2" t="n">
        <v>5</v>
      </c>
      <c r="G90" s="2" t="n">
        <v>1140</v>
      </c>
      <c r="H90" s="2" t="n">
        <v>2666</v>
      </c>
      <c r="I90" s="2" t="n">
        <v>144</v>
      </c>
      <c r="J90" s="2" t="n">
        <v>89</v>
      </c>
      <c r="K90" s="2" t="n">
        <v>4</v>
      </c>
      <c r="L90" s="2" t="n">
        <v>51900</v>
      </c>
      <c r="M90" s="2" t="n">
        <v>1148</v>
      </c>
    </row>
    <row r="91" customFormat="false" ht="13.5" hidden="false" customHeight="false" outlineLevel="0" collapsed="false">
      <c r="A91" s="0" t="s">
        <v>65</v>
      </c>
      <c r="B91" s="1" t="n">
        <v>43951</v>
      </c>
      <c r="C91" s="2" t="n">
        <v>4127</v>
      </c>
      <c r="D91" s="2" t="n">
        <v>124</v>
      </c>
      <c r="E91" s="2" t="n">
        <v>207</v>
      </c>
      <c r="F91" s="2" t="n">
        <v>10</v>
      </c>
      <c r="G91" s="2" t="n">
        <v>1192</v>
      </c>
      <c r="H91" s="2" t="n">
        <v>2728</v>
      </c>
      <c r="I91" s="2" t="n">
        <v>144</v>
      </c>
      <c r="J91" s="2" t="n">
        <v>91</v>
      </c>
      <c r="K91" s="2" t="n">
        <v>5</v>
      </c>
      <c r="L91" s="2" t="n">
        <v>56058</v>
      </c>
      <c r="M91" s="2" t="n">
        <v>1240</v>
      </c>
    </row>
    <row r="92" customFormat="false" ht="14.25" hidden="false" customHeight="false" outlineLevel="0" collapsed="false">
      <c r="A92" s="0" t="s">
        <v>65</v>
      </c>
      <c r="B92" s="1" t="n">
        <v>43952</v>
      </c>
      <c r="C92" s="2" t="n">
        <v>4285</v>
      </c>
      <c r="D92" s="2" t="n">
        <v>158</v>
      </c>
      <c r="E92" s="2" t="n">
        <v>216</v>
      </c>
      <c r="F92" s="2" t="n">
        <v>9</v>
      </c>
      <c r="G92" s="2" t="n">
        <v>1256</v>
      </c>
      <c r="H92" s="2" t="n">
        <v>2813</v>
      </c>
      <c r="I92" s="2" t="n">
        <v>157</v>
      </c>
      <c r="J92" s="2" t="n">
        <v>95</v>
      </c>
      <c r="K92" s="2" t="n">
        <v>5</v>
      </c>
      <c r="L92" s="2" t="n">
        <v>56058</v>
      </c>
      <c r="M92" s="2" t="n">
        <v>1240</v>
      </c>
    </row>
    <row r="93" customFormat="false" ht="15.75" hidden="false" customHeight="false" outlineLevel="0" collapsed="false">
      <c r="A93" s="0" t="s">
        <v>65</v>
      </c>
      <c r="B93" s="1" t="n">
        <v>43953</v>
      </c>
      <c r="C93" s="6" t="e">
        <f aca="false">sheet1!anu94</f>
        <v>#NAME?</v>
      </c>
      <c r="D93" s="6" t="e">
        <f aca="false">sheet1!anv94</f>
        <v>#NAME?</v>
      </c>
      <c r="E93" s="6" t="e">
        <f aca="false">sheet1!anw94</f>
        <v>#NAME?</v>
      </c>
      <c r="F93" s="6" t="e">
        <f aca="false">sheet1!anx94</f>
        <v>#NAME?</v>
      </c>
      <c r="G93" s="6" t="e">
        <f aca="false">sheet1!any94</f>
        <v>#NAME?</v>
      </c>
      <c r="H93" s="6" t="e">
        <f aca="false">sheet1!anz94</f>
        <v>#NAME?</v>
      </c>
      <c r="I93" s="6" t="e">
        <f aca="false">sheet1!aoa94</f>
        <v>#NAME?</v>
      </c>
      <c r="J93" s="6" t="e">
        <f aca="false">sheet1!aob94</f>
        <v>#NAME?</v>
      </c>
      <c r="K93" s="6" t="e">
        <f aca="false">sheet1!aoc94</f>
        <v>#NAME?</v>
      </c>
      <c r="L93" s="6" t="e">
        <f aca="false">sheet1!aod94</f>
        <v>#NAME?</v>
      </c>
      <c r="M93" s="6" t="e">
        <f aca="false">sheet1!aoe94</f>
        <v>#NAME?</v>
      </c>
    </row>
    <row r="94" customFormat="false" ht="15.75" hidden="false" customHeight="false" outlineLevel="0" collapsed="false">
      <c r="A94" s="0" t="s">
        <v>65</v>
      </c>
      <c r="B94" s="1" t="n">
        <v>43954</v>
      </c>
      <c r="C94" s="6" t="e">
        <f aca="false">sheet1!anu95</f>
        <v>#NAME?</v>
      </c>
      <c r="D94" s="6" t="e">
        <f aca="false">sheet1!anv95</f>
        <v>#NAME?</v>
      </c>
      <c r="E94" s="6" t="e">
        <f aca="false">sheet1!anw95</f>
        <v>#NAME?</v>
      </c>
      <c r="F94" s="6" t="e">
        <f aca="false">sheet1!anx95</f>
        <v>#NAME?</v>
      </c>
      <c r="G94" s="6" t="e">
        <f aca="false">sheet1!any95</f>
        <v>#NAME?</v>
      </c>
      <c r="H94" s="6" t="e">
        <f aca="false">sheet1!anz95</f>
        <v>#NAME?</v>
      </c>
      <c r="I94" s="6" t="e">
        <f aca="false">sheet1!aoa95</f>
        <v>#NAME?</v>
      </c>
      <c r="J94" s="6" t="e">
        <f aca="false">sheet1!aob95</f>
        <v>#NAME?</v>
      </c>
      <c r="K94" s="6" t="e">
        <f aca="false">sheet1!aoc95</f>
        <v>#NAME?</v>
      </c>
      <c r="L94" s="6" t="e">
        <f aca="false">sheet1!aod95</f>
        <v>#NAME?</v>
      </c>
      <c r="M94" s="6" t="e">
        <f aca="false">sheet1!aoe95</f>
        <v>#NAME?</v>
      </c>
    </row>
    <row r="95" customFormat="false" ht="15.75" hidden="false" customHeight="false" outlineLevel="0" collapsed="false">
      <c r="A95" s="0" t="s">
        <v>65</v>
      </c>
      <c r="B95" s="1" t="n">
        <v>43955</v>
      </c>
      <c r="C95" s="6" t="e">
        <f aca="false">sheet1!anu96</f>
        <v>#NAME?</v>
      </c>
      <c r="D95" s="6" t="e">
        <f aca="false">sheet1!anv96</f>
        <v>#NAME?</v>
      </c>
      <c r="E95" s="6" t="e">
        <f aca="false">sheet1!anw96</f>
        <v>#NAME?</v>
      </c>
      <c r="F95" s="6" t="e">
        <f aca="false">sheet1!anx96</f>
        <v>#NAME?</v>
      </c>
      <c r="G95" s="6" t="e">
        <f aca="false">sheet1!any96</f>
        <v>#NAME?</v>
      </c>
      <c r="H95" s="6" t="e">
        <f aca="false">sheet1!anz96</f>
        <v>#NAME?</v>
      </c>
      <c r="I95" s="6" t="e">
        <f aca="false">sheet1!aoa96</f>
        <v>#NAME?</v>
      </c>
      <c r="J95" s="6" t="e">
        <f aca="false">sheet1!aob96</f>
        <v>#NAME?</v>
      </c>
      <c r="K95" s="6" t="e">
        <f aca="false">sheet1!aoc96</f>
        <v>#NAME?</v>
      </c>
      <c r="L95" s="6" t="e">
        <f aca="false">sheet1!aod96</f>
        <v>#NAME?</v>
      </c>
      <c r="M95" s="6" t="e">
        <f aca="false">sheet1!aoe96</f>
        <v>#NAME?</v>
      </c>
    </row>
    <row r="96" customFormat="false" ht="15.75" hidden="false" customHeight="false" outlineLevel="0" collapsed="false">
      <c r="A96" s="0" t="s">
        <v>65</v>
      </c>
      <c r="B96" s="1" t="n">
        <v>43956</v>
      </c>
      <c r="C96" s="6" t="e">
        <f aca="false">sheet1!anu97</f>
        <v>#NAME?</v>
      </c>
      <c r="D96" s="6" t="e">
        <f aca="false">sheet1!anv97</f>
        <v>#NAME?</v>
      </c>
      <c r="E96" s="6" t="e">
        <f aca="false">sheet1!anw97</f>
        <v>#NAME?</v>
      </c>
      <c r="F96" s="6" t="e">
        <f aca="false">sheet1!anx97</f>
        <v>#NAME?</v>
      </c>
      <c r="G96" s="6" t="e">
        <f aca="false">sheet1!any97</f>
        <v>#NAME?</v>
      </c>
      <c r="H96" s="6" t="e">
        <f aca="false">sheet1!anz97</f>
        <v>#NAME?</v>
      </c>
      <c r="I96" s="6" t="e">
        <f aca="false">sheet1!aoa97</f>
        <v>#NAME?</v>
      </c>
      <c r="J96" s="6" t="e">
        <f aca="false">sheet1!aob97</f>
        <v>#NAME?</v>
      </c>
      <c r="K96" s="6" t="e">
        <f aca="false">sheet1!aoc97</f>
        <v>#NAME?</v>
      </c>
      <c r="L96" s="6" t="e">
        <f aca="false">sheet1!aod97</f>
        <v>#NAME?</v>
      </c>
      <c r="M96" s="6" t="e">
        <f aca="false">sheet1!aoe97</f>
        <v>#NAME?</v>
      </c>
    </row>
    <row r="97" customFormat="false" ht="15.75" hidden="false" customHeight="false" outlineLevel="0" collapsed="false">
      <c r="A97" s="0" t="s">
        <v>65</v>
      </c>
      <c r="B97" s="1" t="n">
        <v>43957</v>
      </c>
      <c r="C97" s="6" t="e">
        <f aca="false">sheet1!anu98</f>
        <v>#NAME?</v>
      </c>
      <c r="D97" s="6" t="e">
        <f aca="false">sheet1!anv98</f>
        <v>#NAME?</v>
      </c>
      <c r="E97" s="6" t="e">
        <f aca="false">sheet1!anw98</f>
        <v>#NAME?</v>
      </c>
      <c r="F97" s="6" t="e">
        <f aca="false">sheet1!anx98</f>
        <v>#NAME?</v>
      </c>
      <c r="G97" s="6" t="e">
        <f aca="false">sheet1!any98</f>
        <v>#NAME?</v>
      </c>
      <c r="H97" s="6" t="e">
        <f aca="false">sheet1!anz98</f>
        <v>#NAME?</v>
      </c>
      <c r="I97" s="6" t="e">
        <f aca="false">sheet1!aoa98</f>
        <v>#NAME?</v>
      </c>
      <c r="J97" s="6" t="e">
        <f aca="false">sheet1!aob98</f>
        <v>#NAME?</v>
      </c>
      <c r="K97" s="6" t="e">
        <f aca="false">sheet1!aoc98</f>
        <v>#NAME?</v>
      </c>
      <c r="L97" s="6" t="e">
        <f aca="false">sheet1!aod98</f>
        <v>#NAME?</v>
      </c>
      <c r="M97" s="6" t="e">
        <f aca="false">sheet1!aoe98</f>
        <v>#NAME?</v>
      </c>
    </row>
    <row r="98" customFormat="false" ht="15.75" hidden="false" customHeight="false" outlineLevel="0" collapsed="false">
      <c r="A98" s="0" t="s">
        <v>65</v>
      </c>
      <c r="B98" s="1" t="n">
        <v>43958</v>
      </c>
      <c r="C98" s="6" t="e">
        <f aca="false">sheet1!anu99</f>
        <v>#NAME?</v>
      </c>
      <c r="D98" s="6" t="e">
        <f aca="false">sheet1!anv99</f>
        <v>#NAME?</v>
      </c>
      <c r="E98" s="6" t="e">
        <f aca="false">sheet1!anw99</f>
        <v>#NAME?</v>
      </c>
      <c r="F98" s="6" t="e">
        <f aca="false">sheet1!anx99</f>
        <v>#NAME?</v>
      </c>
      <c r="G98" s="6" t="e">
        <f aca="false">sheet1!any99</f>
        <v>#NAME?</v>
      </c>
      <c r="H98" s="6" t="e">
        <f aca="false">sheet1!anz99</f>
        <v>#NAME?</v>
      </c>
      <c r="I98" s="6" t="e">
        <f aca="false">sheet1!aoa99</f>
        <v>#NAME?</v>
      </c>
      <c r="J98" s="6" t="e">
        <f aca="false">sheet1!aob99</f>
        <v>#NAME?</v>
      </c>
      <c r="K98" s="6" t="e">
        <f aca="false">sheet1!aoc99</f>
        <v>#NAME?</v>
      </c>
      <c r="L98" s="6" t="e">
        <f aca="false">sheet1!aod99</f>
        <v>#NAME?</v>
      </c>
      <c r="M98" s="6" t="e">
        <f aca="false">sheet1!aoe99</f>
        <v>#NAME?</v>
      </c>
    </row>
    <row r="99" customFormat="false" ht="15.75" hidden="false" customHeight="false" outlineLevel="0" collapsed="false">
      <c r="A99" s="0" t="s">
        <v>65</v>
      </c>
      <c r="B99" s="1" t="n">
        <v>43959</v>
      </c>
      <c r="C99" s="6" t="e">
        <f aca="false">sheet1!anu100</f>
        <v>#NAME?</v>
      </c>
      <c r="D99" s="6" t="e">
        <f aca="false">sheet1!anv100</f>
        <v>#NAME?</v>
      </c>
      <c r="E99" s="6" t="e">
        <f aca="false">sheet1!anw100</f>
        <v>#NAME?</v>
      </c>
      <c r="F99" s="6" t="e">
        <f aca="false">sheet1!anx100</f>
        <v>#NAME?</v>
      </c>
      <c r="G99" s="6" t="e">
        <f aca="false">sheet1!any100</f>
        <v>#NAME?</v>
      </c>
      <c r="H99" s="6" t="e">
        <f aca="false">sheet1!anz100</f>
        <v>#NAME?</v>
      </c>
      <c r="I99" s="6" t="e">
        <f aca="false">sheet1!aoa100</f>
        <v>#NAME?</v>
      </c>
      <c r="J99" s="6" t="e">
        <f aca="false">sheet1!aob100</f>
        <v>#NAME?</v>
      </c>
      <c r="K99" s="6" t="e">
        <f aca="false">sheet1!aoc100</f>
        <v>#NAME?</v>
      </c>
      <c r="L99" s="6" t="e">
        <f aca="false">sheet1!aod100</f>
        <v>#NAME?</v>
      </c>
      <c r="M99" s="6" t="e">
        <f aca="false">sheet1!aoe100</f>
        <v>#NAME?</v>
      </c>
    </row>
    <row r="100" customFormat="false" ht="15.75" hidden="false" customHeight="false" outlineLevel="0" collapsed="false">
      <c r="A100" s="0" t="s">
        <v>65</v>
      </c>
      <c r="B100" s="1" t="n">
        <v>43960</v>
      </c>
      <c r="C100" s="6" t="e">
        <f aca="false">sheet1!anu101</f>
        <v>#NAME?</v>
      </c>
      <c r="D100" s="6" t="e">
        <f aca="false">sheet1!anv101</f>
        <v>#NAME?</v>
      </c>
      <c r="E100" s="6" t="e">
        <f aca="false">sheet1!anw101</f>
        <v>#NAME?</v>
      </c>
      <c r="F100" s="6" t="e">
        <f aca="false">sheet1!anx101</f>
        <v>#NAME?</v>
      </c>
      <c r="G100" s="6" t="e">
        <f aca="false">sheet1!any101</f>
        <v>#NAME?</v>
      </c>
      <c r="H100" s="6" t="e">
        <f aca="false">sheet1!anz101</f>
        <v>#NAME?</v>
      </c>
      <c r="I100" s="6" t="e">
        <f aca="false">sheet1!aoa101</f>
        <v>#NAME?</v>
      </c>
      <c r="J100" s="6" t="e">
        <f aca="false">sheet1!aob101</f>
        <v>#NAME?</v>
      </c>
      <c r="K100" s="6" t="e">
        <f aca="false">sheet1!aoc101</f>
        <v>#NAME?</v>
      </c>
      <c r="L100" s="6" t="e">
        <f aca="false">sheet1!aod101</f>
        <v>#NAME?</v>
      </c>
      <c r="M100" s="6" t="e">
        <f aca="false">sheet1!aoe101</f>
        <v>#NAME?</v>
      </c>
    </row>
    <row r="101" customFormat="false" ht="15.75" hidden="false" customHeight="false" outlineLevel="0" collapsed="false">
      <c r="A101" s="0" t="s">
        <v>65</v>
      </c>
      <c r="B101" s="1" t="n">
        <v>43961</v>
      </c>
      <c r="C101" s="6" t="e">
        <f aca="false">sheet1!anu102</f>
        <v>#NAME?</v>
      </c>
      <c r="D101" s="6" t="e">
        <f aca="false">sheet1!anv102</f>
        <v>#NAME?</v>
      </c>
      <c r="E101" s="6" t="e">
        <f aca="false">sheet1!anw102</f>
        <v>#NAME?</v>
      </c>
      <c r="F101" s="6" t="e">
        <f aca="false">sheet1!anx102</f>
        <v>#NAME?</v>
      </c>
      <c r="G101" s="6" t="e">
        <f aca="false">sheet1!any102</f>
        <v>#NAME?</v>
      </c>
      <c r="H101" s="6" t="e">
        <f aca="false">sheet1!anz102</f>
        <v>#NAME?</v>
      </c>
      <c r="I101" s="6" t="e">
        <f aca="false">sheet1!aoa102</f>
        <v>#NAME?</v>
      </c>
      <c r="J101" s="6" t="e">
        <f aca="false">sheet1!aob102</f>
        <v>#NAME?</v>
      </c>
      <c r="K101" s="6" t="e">
        <f aca="false">sheet1!aoc102</f>
        <v>#NAME?</v>
      </c>
      <c r="L101" s="6" t="e">
        <f aca="false">sheet1!aod102</f>
        <v>#NAME?</v>
      </c>
      <c r="M101" s="6" t="e">
        <f aca="false">sheet1!aoe102</f>
        <v>#NAME?</v>
      </c>
    </row>
    <row r="102" customFormat="false" ht="15.75" hidden="false" customHeight="false" outlineLevel="0" collapsed="false">
      <c r="A102" s="0" t="s">
        <v>65</v>
      </c>
      <c r="B102" s="1" t="n">
        <v>43962</v>
      </c>
      <c r="C102" s="6" t="e">
        <f aca="false">sheet1!anu103</f>
        <v>#NAME?</v>
      </c>
      <c r="D102" s="6" t="e">
        <f aca="false">sheet1!anv103</f>
        <v>#NAME?</v>
      </c>
      <c r="E102" s="6" t="e">
        <f aca="false">sheet1!anw103</f>
        <v>#NAME?</v>
      </c>
      <c r="F102" s="6" t="e">
        <f aca="false">sheet1!anx103</f>
        <v>#NAME?</v>
      </c>
      <c r="G102" s="6" t="e">
        <f aca="false">sheet1!any103</f>
        <v>#NAME?</v>
      </c>
      <c r="H102" s="6" t="e">
        <f aca="false">sheet1!anz103</f>
        <v>#NAME?</v>
      </c>
      <c r="I102" s="6" t="e">
        <f aca="false">sheet1!aoa103</f>
        <v>#NAME?</v>
      </c>
      <c r="J102" s="6" t="e">
        <f aca="false">sheet1!aob103</f>
        <v>#NAME?</v>
      </c>
      <c r="K102" s="6" t="e">
        <f aca="false">sheet1!aoc103</f>
        <v>#NAME?</v>
      </c>
      <c r="L102" s="6" t="e">
        <f aca="false">sheet1!aod103</f>
        <v>#NAME?</v>
      </c>
      <c r="M102" s="6" t="e">
        <f aca="false">sheet1!aoe103</f>
        <v>#NAME?</v>
      </c>
    </row>
    <row r="103" customFormat="false" ht="15.75" hidden="false" customHeight="false" outlineLevel="0" collapsed="false">
      <c r="A103" s="0" t="s">
        <v>65</v>
      </c>
      <c r="B103" s="1" t="n">
        <v>43963</v>
      </c>
      <c r="C103" s="6" t="e">
        <f aca="false">sheet1!anu104</f>
        <v>#NAME?</v>
      </c>
      <c r="D103" s="6" t="e">
        <f aca="false">sheet1!anv104</f>
        <v>#NAME?</v>
      </c>
      <c r="E103" s="6" t="e">
        <f aca="false">sheet1!anw104</f>
        <v>#NAME?</v>
      </c>
      <c r="F103" s="6" t="e">
        <f aca="false">sheet1!anx104</f>
        <v>#NAME?</v>
      </c>
      <c r="G103" s="6" t="e">
        <f aca="false">sheet1!any104</f>
        <v>#NAME?</v>
      </c>
      <c r="H103" s="6" t="e">
        <f aca="false">sheet1!anz104</f>
        <v>#NAME?</v>
      </c>
      <c r="I103" s="6" t="e">
        <f aca="false">sheet1!aoa104</f>
        <v>#NAME?</v>
      </c>
      <c r="J103" s="6" t="e">
        <f aca="false">sheet1!aob104</f>
        <v>#NAME?</v>
      </c>
      <c r="K103" s="6" t="e">
        <f aca="false">sheet1!aoc104</f>
        <v>#NAME?</v>
      </c>
      <c r="L103" s="6" t="e">
        <f aca="false">sheet1!aod104</f>
        <v>#NAME?</v>
      </c>
      <c r="M103" s="6" t="e">
        <f aca="false">sheet1!aoe104</f>
        <v>#NAME?</v>
      </c>
    </row>
    <row r="104" customFormat="false" ht="15.75" hidden="false" customHeight="false" outlineLevel="0" collapsed="false">
      <c r="A104" s="0" t="s">
        <v>65</v>
      </c>
      <c r="B104" s="1" t="n">
        <v>43964</v>
      </c>
      <c r="C104" s="6" t="e">
        <f aca="false">sheet1!anu105</f>
        <v>#NAME?</v>
      </c>
      <c r="D104" s="6" t="e">
        <f aca="false">sheet1!anv105</f>
        <v>#NAME?</v>
      </c>
      <c r="E104" s="6" t="e">
        <f aca="false">sheet1!anw105</f>
        <v>#NAME?</v>
      </c>
      <c r="F104" s="6" t="e">
        <f aca="false">sheet1!anx105</f>
        <v>#NAME?</v>
      </c>
      <c r="G104" s="6" t="e">
        <f aca="false">sheet1!any105</f>
        <v>#NAME?</v>
      </c>
      <c r="H104" s="6" t="e">
        <f aca="false">sheet1!anz105</f>
        <v>#NAME?</v>
      </c>
      <c r="I104" s="6" t="e">
        <f aca="false">sheet1!aoa105</f>
        <v>#NAME?</v>
      </c>
      <c r="J104" s="6" t="e">
        <f aca="false">sheet1!aob105</f>
        <v>#NAME?</v>
      </c>
      <c r="K104" s="6" t="e">
        <f aca="false">sheet1!aoc105</f>
        <v>#NAME?</v>
      </c>
      <c r="L104" s="6" t="e">
        <f aca="false">sheet1!aod105</f>
        <v>#NAME?</v>
      </c>
      <c r="M104" s="6" t="e">
        <f aca="false">sheet1!aoe105</f>
        <v>#NAME?</v>
      </c>
    </row>
    <row r="105" customFormat="false" ht="15.75" hidden="false" customHeight="false" outlineLevel="0" collapsed="false">
      <c r="A105" s="0" t="s">
        <v>65</v>
      </c>
      <c r="B105" s="1" t="n">
        <v>43965</v>
      </c>
      <c r="C105" s="6" t="e">
        <f aca="false">sheet1!anu106</f>
        <v>#NAME?</v>
      </c>
      <c r="D105" s="6" t="e">
        <f aca="false">sheet1!anv106</f>
        <v>#NAME?</v>
      </c>
      <c r="E105" s="6" t="e">
        <f aca="false">sheet1!anw106</f>
        <v>#NAME?</v>
      </c>
      <c r="F105" s="6" t="e">
        <f aca="false">sheet1!anx106</f>
        <v>#NAME?</v>
      </c>
      <c r="G105" s="6" t="e">
        <f aca="false">sheet1!any106</f>
        <v>#NAME?</v>
      </c>
      <c r="H105" s="6" t="e">
        <f aca="false">sheet1!anz106</f>
        <v>#NAME?</v>
      </c>
      <c r="I105" s="6" t="e">
        <f aca="false">sheet1!aoa106</f>
        <v>#NAME?</v>
      </c>
      <c r="J105" s="6" t="e">
        <f aca="false">sheet1!aob106</f>
        <v>#NAME?</v>
      </c>
      <c r="K105" s="6" t="e">
        <f aca="false">sheet1!aoc106</f>
        <v>#NAME?</v>
      </c>
      <c r="L105" s="6" t="e">
        <f aca="false">sheet1!aod106</f>
        <v>#NAME?</v>
      </c>
      <c r="M105" s="6" t="e">
        <f aca="false">sheet1!aoe106</f>
        <v>#NAME?</v>
      </c>
    </row>
    <row r="106" customFormat="false" ht="15.75" hidden="false" customHeight="false" outlineLevel="0" collapsed="false">
      <c r="A106" s="0" t="s">
        <v>65</v>
      </c>
      <c r="B106" s="1" t="n">
        <v>43966</v>
      </c>
      <c r="C106" s="6" t="e">
        <f aca="false">sheet1!anu107</f>
        <v>#NAME?</v>
      </c>
      <c r="D106" s="6" t="e">
        <f aca="false">sheet1!anv107</f>
        <v>#NAME?</v>
      </c>
      <c r="E106" s="6" t="e">
        <f aca="false">sheet1!anw107</f>
        <v>#NAME?</v>
      </c>
      <c r="F106" s="6" t="e">
        <f aca="false">sheet1!anx107</f>
        <v>#NAME?</v>
      </c>
      <c r="G106" s="6" t="e">
        <f aca="false">sheet1!any107</f>
        <v>#NAME?</v>
      </c>
      <c r="H106" s="6" t="e">
        <f aca="false">sheet1!anz107</f>
        <v>#NAME?</v>
      </c>
      <c r="I106" s="6" t="e">
        <f aca="false">sheet1!aoa107</f>
        <v>#NAME?</v>
      </c>
      <c r="J106" s="6" t="e">
        <f aca="false">sheet1!aob107</f>
        <v>#NAME?</v>
      </c>
      <c r="K106" s="6" t="e">
        <f aca="false">sheet1!aoc107</f>
        <v>#NAME?</v>
      </c>
      <c r="L106" s="6" t="e">
        <f aca="false">sheet1!aod107</f>
        <v>#NAME?</v>
      </c>
      <c r="M106" s="6" t="e">
        <f aca="false">sheet1!aoe107</f>
        <v>#NAME?</v>
      </c>
    </row>
    <row r="107" customFormat="false" ht="15.75" hidden="false" customHeight="false" outlineLevel="0" collapsed="false">
      <c r="A107" s="0" t="s">
        <v>65</v>
      </c>
      <c r="B107" s="1" t="n">
        <v>43967</v>
      </c>
      <c r="C107" s="6" t="e">
        <f aca="false">sheet1!anu108</f>
        <v>#NAME?</v>
      </c>
      <c r="D107" s="6" t="e">
        <f aca="false">sheet1!anv108</f>
        <v>#NAME?</v>
      </c>
      <c r="E107" s="6" t="e">
        <f aca="false">sheet1!anw108</f>
        <v>#NAME?</v>
      </c>
      <c r="F107" s="6" t="e">
        <f aca="false">sheet1!anx108</f>
        <v>#NAME?</v>
      </c>
      <c r="G107" s="6" t="e">
        <f aca="false">sheet1!any108</f>
        <v>#NAME?</v>
      </c>
      <c r="H107" s="6" t="e">
        <f aca="false">sheet1!anz108</f>
        <v>#NAME?</v>
      </c>
      <c r="I107" s="6" t="e">
        <f aca="false">sheet1!aoa108</f>
        <v>#NAME?</v>
      </c>
      <c r="J107" s="6" t="e">
        <f aca="false">sheet1!aob108</f>
        <v>#NAME?</v>
      </c>
      <c r="K107" s="6" t="e">
        <f aca="false">sheet1!aoc108</f>
        <v>#NAME?</v>
      </c>
      <c r="L107" s="6" t="e">
        <f aca="false">sheet1!aod108</f>
        <v>#NAME?</v>
      </c>
      <c r="M107" s="6" t="e">
        <f aca="false">sheet1!aoe108</f>
        <v>#NAME?</v>
      </c>
    </row>
    <row r="108" customFormat="false" ht="15.75" hidden="false" customHeight="false" outlineLevel="0" collapsed="false">
      <c r="A108" s="0" t="s">
        <v>65</v>
      </c>
      <c r="B108" s="1" t="n">
        <v>43968</v>
      </c>
      <c r="C108" s="6" t="e">
        <f aca="false">sheet1!anu109</f>
        <v>#NAME?</v>
      </c>
      <c r="D108" s="6" t="e">
        <f aca="false">sheet1!anv109</f>
        <v>#NAME?</v>
      </c>
      <c r="E108" s="6" t="e">
        <f aca="false">sheet1!anw109</f>
        <v>#NAME?</v>
      </c>
      <c r="F108" s="6" t="e">
        <f aca="false">sheet1!anx109</f>
        <v>#NAME?</v>
      </c>
      <c r="G108" s="6" t="e">
        <f aca="false">sheet1!any109</f>
        <v>#NAME?</v>
      </c>
      <c r="H108" s="6" t="e">
        <f aca="false">sheet1!anz109</f>
        <v>#NAME?</v>
      </c>
      <c r="I108" s="6" t="e">
        <f aca="false">sheet1!aoa109</f>
        <v>#NAME?</v>
      </c>
      <c r="J108" s="6" t="e">
        <f aca="false">sheet1!aob109</f>
        <v>#NAME?</v>
      </c>
      <c r="K108" s="6" t="e">
        <f aca="false">sheet1!aoc109</f>
        <v>#NAME?</v>
      </c>
      <c r="L108" s="6" t="e">
        <f aca="false">sheet1!aod109</f>
        <v>#NAME?</v>
      </c>
      <c r="M108" s="6" t="e">
        <f aca="false">sheet1!aoe109</f>
        <v>#NAME?</v>
      </c>
    </row>
    <row r="109" customFormat="false" ht="15.75" hidden="false" customHeight="false" outlineLevel="0" collapsed="false">
      <c r="A109" s="0" t="s">
        <v>65</v>
      </c>
      <c r="B109" s="1" t="n">
        <v>43969</v>
      </c>
      <c r="C109" s="6" t="e">
        <f aca="false">sheet1!anu110</f>
        <v>#NAME?</v>
      </c>
      <c r="D109" s="6" t="e">
        <f aca="false">sheet1!anv110</f>
        <v>#NAME?</v>
      </c>
      <c r="E109" s="6" t="e">
        <f aca="false">sheet1!anw110</f>
        <v>#NAME?</v>
      </c>
      <c r="F109" s="6" t="e">
        <f aca="false">sheet1!anx110</f>
        <v>#NAME?</v>
      </c>
      <c r="G109" s="6" t="e">
        <f aca="false">sheet1!any110</f>
        <v>#NAME?</v>
      </c>
      <c r="H109" s="6" t="e">
        <f aca="false">sheet1!anz110</f>
        <v>#NAME?</v>
      </c>
      <c r="I109" s="6" t="e">
        <f aca="false">sheet1!aoa110</f>
        <v>#NAME?</v>
      </c>
      <c r="J109" s="6" t="e">
        <f aca="false">sheet1!aob110</f>
        <v>#NAME?</v>
      </c>
      <c r="K109" s="6" t="e">
        <f aca="false">sheet1!aoc110</f>
        <v>#NAME?</v>
      </c>
      <c r="L109" s="6" t="e">
        <f aca="false">sheet1!aod110</f>
        <v>#NAME?</v>
      </c>
      <c r="M109" s="6" t="e">
        <f aca="false">sheet1!aoe110</f>
        <v>#NAME?</v>
      </c>
    </row>
    <row r="110" customFormat="false" ht="15.75" hidden="false" customHeight="false" outlineLevel="0" collapsed="false">
      <c r="A110" s="0" t="s">
        <v>65</v>
      </c>
      <c r="B110" s="1" t="n">
        <v>43970</v>
      </c>
      <c r="C110" s="6" t="e">
        <f aca="false">sheet1!anu111</f>
        <v>#NAME?</v>
      </c>
      <c r="D110" s="6" t="e">
        <f aca="false">sheet1!anv111</f>
        <v>#NAME?</v>
      </c>
      <c r="E110" s="6" t="e">
        <f aca="false">sheet1!anw111</f>
        <v>#NAME?</v>
      </c>
      <c r="F110" s="6" t="e">
        <f aca="false">sheet1!anx111</f>
        <v>#NAME?</v>
      </c>
      <c r="G110" s="6" t="e">
        <f aca="false">sheet1!any111</f>
        <v>#NAME?</v>
      </c>
      <c r="H110" s="6" t="e">
        <f aca="false">sheet1!anz111</f>
        <v>#NAME?</v>
      </c>
      <c r="I110" s="6" t="e">
        <f aca="false">sheet1!aoa111</f>
        <v>#NAME?</v>
      </c>
      <c r="J110" s="6" t="e">
        <f aca="false">sheet1!aob111</f>
        <v>#NAME?</v>
      </c>
      <c r="K110" s="6" t="e">
        <f aca="false">sheet1!aoc111</f>
        <v>#NAME?</v>
      </c>
      <c r="L110" s="6" t="e">
        <f aca="false">sheet1!aod111</f>
        <v>#NAME?</v>
      </c>
      <c r="M110" s="6" t="e">
        <f aca="false">sheet1!aoe111</f>
        <v>#NAME?</v>
      </c>
    </row>
    <row r="111" customFormat="false" ht="15.75" hidden="false" customHeight="false" outlineLevel="0" collapsed="false">
      <c r="A111" s="0" t="s">
        <v>65</v>
      </c>
      <c r="B111" s="1" t="n">
        <v>43971</v>
      </c>
      <c r="C111" s="6" t="e">
        <f aca="false">sheet1!anu112</f>
        <v>#NAME?</v>
      </c>
      <c r="D111" s="6" t="e">
        <f aca="false">sheet1!anv112</f>
        <v>#NAME?</v>
      </c>
      <c r="E111" s="6" t="e">
        <f aca="false">sheet1!anw112</f>
        <v>#NAME?</v>
      </c>
      <c r="F111" s="6" t="e">
        <f aca="false">sheet1!anx112</f>
        <v>#NAME?</v>
      </c>
      <c r="G111" s="6" t="e">
        <f aca="false">sheet1!any112</f>
        <v>#NAME?</v>
      </c>
      <c r="H111" s="6" t="e">
        <f aca="false">sheet1!anz112</f>
        <v>#NAME?</v>
      </c>
      <c r="I111" s="6" t="e">
        <f aca="false">sheet1!aoa112</f>
        <v>#NAME?</v>
      </c>
      <c r="J111" s="6" t="e">
        <f aca="false">sheet1!aob112</f>
        <v>#NAME?</v>
      </c>
      <c r="K111" s="6" t="e">
        <f aca="false">sheet1!aoc112</f>
        <v>#NAME?</v>
      </c>
      <c r="L111" s="6" t="e">
        <f aca="false">sheet1!aod112</f>
        <v>#NAME?</v>
      </c>
      <c r="M111" s="6" t="e">
        <f aca="false">sheet1!aoe112</f>
        <v>#NAME?</v>
      </c>
    </row>
    <row r="112" customFormat="false" ht="15.75" hidden="false" customHeight="false" outlineLevel="0" collapsed="false">
      <c r="A112" s="0" t="s">
        <v>65</v>
      </c>
      <c r="B112" s="1" t="n">
        <v>43972</v>
      </c>
      <c r="C112" s="6" t="e">
        <f aca="false">sheet1!anu113</f>
        <v>#NAME?</v>
      </c>
      <c r="D112" s="6" t="e">
        <f aca="false">sheet1!anv113</f>
        <v>#NAME?</v>
      </c>
      <c r="E112" s="6" t="e">
        <f aca="false">sheet1!anw113</f>
        <v>#NAME?</v>
      </c>
      <c r="F112" s="6" t="e">
        <f aca="false">sheet1!anx113</f>
        <v>#NAME?</v>
      </c>
      <c r="G112" s="6" t="e">
        <f aca="false">sheet1!any113</f>
        <v>#NAME?</v>
      </c>
      <c r="H112" s="6" t="e">
        <f aca="false">sheet1!anz113</f>
        <v>#NAME?</v>
      </c>
      <c r="I112" s="6" t="e">
        <f aca="false">sheet1!aoa113</f>
        <v>#NAME?</v>
      </c>
      <c r="J112" s="6" t="e">
        <f aca="false">sheet1!aob113</f>
        <v>#NAME?</v>
      </c>
      <c r="K112" s="6" t="e">
        <f aca="false">sheet1!aoc113</f>
        <v>#NAME?</v>
      </c>
      <c r="L112" s="6" t="e">
        <f aca="false">sheet1!aod113</f>
        <v>#NAME?</v>
      </c>
      <c r="M112" s="6" t="e">
        <f aca="false">sheet1!aoe113</f>
        <v>#NAME?</v>
      </c>
    </row>
    <row r="113" customFormat="false" ht="15.75" hidden="false" customHeight="false" outlineLevel="0" collapsed="false">
      <c r="A113" s="0" t="s">
        <v>65</v>
      </c>
      <c r="B113" s="1" t="n">
        <v>43973</v>
      </c>
      <c r="C113" s="6" t="e">
        <f aca="false">sheet1!anu114</f>
        <v>#NAME?</v>
      </c>
      <c r="D113" s="6" t="e">
        <f aca="false">sheet1!anv114</f>
        <v>#NAME?</v>
      </c>
      <c r="E113" s="6" t="e">
        <f aca="false">sheet1!anw114</f>
        <v>#NAME?</v>
      </c>
      <c r="F113" s="6" t="e">
        <f aca="false">sheet1!anx114</f>
        <v>#NAME?</v>
      </c>
      <c r="G113" s="6" t="e">
        <f aca="false">sheet1!any114</f>
        <v>#NAME?</v>
      </c>
      <c r="H113" s="6" t="e">
        <f aca="false">sheet1!anz114</f>
        <v>#NAME?</v>
      </c>
      <c r="I113" s="6" t="e">
        <f aca="false">sheet1!aoa114</f>
        <v>#NAME?</v>
      </c>
      <c r="J113" s="6" t="e">
        <f aca="false">sheet1!aob114</f>
        <v>#NAME?</v>
      </c>
      <c r="K113" s="6" t="e">
        <f aca="false">sheet1!aoc114</f>
        <v>#NAME?</v>
      </c>
      <c r="L113" s="6" t="e">
        <f aca="false">sheet1!aod114</f>
        <v>#NAME?</v>
      </c>
      <c r="M113" s="6" t="e">
        <f aca="false">sheet1!aoe114</f>
        <v>#NAME?</v>
      </c>
    </row>
    <row r="114" customFormat="false" ht="15.75" hidden="false" customHeight="false" outlineLevel="0" collapsed="false">
      <c r="A114" s="0" t="s">
        <v>65</v>
      </c>
      <c r="B114" s="1" t="n">
        <v>43974</v>
      </c>
      <c r="C114" s="6" t="e">
        <f aca="false">sheet1!anu115</f>
        <v>#NAME?</v>
      </c>
      <c r="D114" s="6" t="e">
        <f aca="false">sheet1!anv115</f>
        <v>#NAME?</v>
      </c>
      <c r="E114" s="6" t="e">
        <f aca="false">sheet1!anw115</f>
        <v>#NAME?</v>
      </c>
      <c r="F114" s="6" t="e">
        <f aca="false">sheet1!anx115</f>
        <v>#NAME?</v>
      </c>
      <c r="G114" s="6" t="e">
        <f aca="false">sheet1!any115</f>
        <v>#NAME?</v>
      </c>
      <c r="H114" s="6" t="e">
        <f aca="false">sheet1!anz115</f>
        <v>#NAME?</v>
      </c>
      <c r="I114" s="6" t="e">
        <f aca="false">sheet1!aoa115</f>
        <v>#NAME?</v>
      </c>
      <c r="J114" s="6" t="e">
        <f aca="false">sheet1!aob115</f>
        <v>#NAME?</v>
      </c>
      <c r="K114" s="6" t="e">
        <f aca="false">sheet1!aoc115</f>
        <v>#NAME?</v>
      </c>
      <c r="L114" s="6" t="e">
        <f aca="false">sheet1!aod115</f>
        <v>#NAME?</v>
      </c>
      <c r="M114" s="6" t="e">
        <f aca="false">sheet1!aoe115</f>
        <v>#NAME?</v>
      </c>
    </row>
    <row r="115" customFormat="false" ht="15.75" hidden="false" customHeight="false" outlineLevel="0" collapsed="false">
      <c r="A115" s="0" t="s">
        <v>65</v>
      </c>
      <c r="B115" s="1" t="n">
        <v>43975</v>
      </c>
      <c r="C115" s="6" t="e">
        <f aca="false">sheet1!anu116</f>
        <v>#NAME?</v>
      </c>
      <c r="D115" s="6" t="e">
        <f aca="false">sheet1!anv116</f>
        <v>#NAME?</v>
      </c>
      <c r="E115" s="6" t="e">
        <f aca="false">sheet1!anw116</f>
        <v>#NAME?</v>
      </c>
      <c r="F115" s="6" t="e">
        <f aca="false">sheet1!anx116</f>
        <v>#NAME?</v>
      </c>
      <c r="G115" s="6" t="e">
        <f aca="false">sheet1!any116</f>
        <v>#NAME?</v>
      </c>
      <c r="H115" s="6" t="e">
        <f aca="false">sheet1!anz116</f>
        <v>#NAME?</v>
      </c>
      <c r="I115" s="6" t="e">
        <f aca="false">sheet1!aoa116</f>
        <v>#NAME?</v>
      </c>
      <c r="J115" s="6" t="e">
        <f aca="false">sheet1!aob116</f>
        <v>#NAME?</v>
      </c>
      <c r="K115" s="6" t="e">
        <f aca="false">sheet1!aoc116</f>
        <v>#NAME?</v>
      </c>
      <c r="L115" s="6" t="e">
        <f aca="false">sheet1!aod116</f>
        <v>#NAME?</v>
      </c>
      <c r="M115" s="6" t="e">
        <f aca="false">sheet1!aoe116</f>
        <v>#NAME?</v>
      </c>
    </row>
    <row r="116" customFormat="false" ht="15.75" hidden="false" customHeight="false" outlineLevel="0" collapsed="false">
      <c r="A116" s="0" t="s">
        <v>65</v>
      </c>
      <c r="B116" s="1" t="n">
        <v>43976</v>
      </c>
      <c r="C116" s="6" t="e">
        <f aca="false">sheet1!anu117</f>
        <v>#NAME?</v>
      </c>
      <c r="D116" s="6" t="e">
        <f aca="false">sheet1!anv117</f>
        <v>#NAME?</v>
      </c>
      <c r="E116" s="6" t="e">
        <f aca="false">sheet1!anw117</f>
        <v>#NAME?</v>
      </c>
      <c r="F116" s="6" t="e">
        <f aca="false">sheet1!anx117</f>
        <v>#NAME?</v>
      </c>
      <c r="G116" s="6" t="e">
        <f aca="false">sheet1!any117</f>
        <v>#NAME?</v>
      </c>
      <c r="H116" s="6" t="e">
        <f aca="false">sheet1!anz117</f>
        <v>#NAME?</v>
      </c>
      <c r="I116" s="6" t="e">
        <f aca="false">sheet1!aoa117</f>
        <v>#NAME?</v>
      </c>
      <c r="J116" s="6" t="e">
        <f aca="false">sheet1!aob117</f>
        <v>#NAME?</v>
      </c>
      <c r="K116" s="6" t="e">
        <f aca="false">sheet1!aoc117</f>
        <v>#NAME?</v>
      </c>
      <c r="L116" s="6" t="e">
        <f aca="false">sheet1!aod117</f>
        <v>#NAME?</v>
      </c>
      <c r="M116" s="6" t="e">
        <f aca="false">sheet1!aoe117</f>
        <v>#NAME?</v>
      </c>
    </row>
    <row r="117" customFormat="false" ht="15.75" hidden="false" customHeight="false" outlineLevel="0" collapsed="false">
      <c r="A117" s="0" t="s">
        <v>65</v>
      </c>
      <c r="B117" s="1" t="n">
        <v>43977</v>
      </c>
      <c r="C117" s="6" t="e">
        <f aca="false">sheet1!anu118</f>
        <v>#NAME?</v>
      </c>
      <c r="D117" s="6" t="e">
        <f aca="false">sheet1!anv118</f>
        <v>#NAME?</v>
      </c>
      <c r="E117" s="6" t="e">
        <f aca="false">sheet1!anw118</f>
        <v>#NAME?</v>
      </c>
      <c r="F117" s="6" t="e">
        <f aca="false">sheet1!anx118</f>
        <v>#NAME?</v>
      </c>
      <c r="G117" s="6" t="e">
        <f aca="false">sheet1!any118</f>
        <v>#NAME?</v>
      </c>
      <c r="H117" s="6" t="e">
        <f aca="false">sheet1!anz118</f>
        <v>#NAME?</v>
      </c>
      <c r="I117" s="6" t="e">
        <f aca="false">sheet1!aoa118</f>
        <v>#NAME?</v>
      </c>
      <c r="J117" s="6" t="e">
        <f aca="false">sheet1!aob118</f>
        <v>#NAME?</v>
      </c>
      <c r="K117" s="6" t="e">
        <f aca="false">sheet1!aoc118</f>
        <v>#NAME?</v>
      </c>
      <c r="L117" s="6" t="e">
        <f aca="false">sheet1!aod118</f>
        <v>#NAME?</v>
      </c>
      <c r="M117" s="6" t="e">
        <f aca="false">sheet1!aoe118</f>
        <v>#NAME?</v>
      </c>
    </row>
    <row r="118" customFormat="false" ht="15.75" hidden="false" customHeight="false" outlineLevel="0" collapsed="false">
      <c r="A118" s="0" t="s">
        <v>65</v>
      </c>
      <c r="B118" s="1" t="n">
        <v>43978</v>
      </c>
      <c r="C118" s="6" t="e">
        <f aca="false">sheet1!anu119</f>
        <v>#NAME?</v>
      </c>
      <c r="D118" s="6" t="e">
        <f aca="false">sheet1!anv119</f>
        <v>#NAME?</v>
      </c>
      <c r="E118" s="6" t="e">
        <f aca="false">sheet1!anw119</f>
        <v>#NAME?</v>
      </c>
      <c r="F118" s="6" t="e">
        <f aca="false">sheet1!anx119</f>
        <v>#NAME?</v>
      </c>
      <c r="G118" s="6" t="e">
        <f aca="false">sheet1!any119</f>
        <v>#NAME?</v>
      </c>
      <c r="H118" s="6" t="e">
        <f aca="false">sheet1!anz119</f>
        <v>#NAME?</v>
      </c>
      <c r="I118" s="6" t="e">
        <f aca="false">sheet1!aoa119</f>
        <v>#NAME?</v>
      </c>
      <c r="J118" s="6" t="e">
        <f aca="false">sheet1!aob119</f>
        <v>#NAME?</v>
      </c>
      <c r="K118" s="6" t="e">
        <f aca="false">sheet1!aoc119</f>
        <v>#NAME?</v>
      </c>
      <c r="L118" s="6" t="e">
        <f aca="false">sheet1!aod119</f>
        <v>#NAME?</v>
      </c>
      <c r="M118" s="6" t="e">
        <f aca="false">sheet1!aoe119</f>
        <v>#NAME?</v>
      </c>
    </row>
    <row r="119" customFormat="false" ht="15.75" hidden="false" customHeight="false" outlineLevel="0" collapsed="false">
      <c r="A119" s="0" t="s">
        <v>65</v>
      </c>
      <c r="B119" s="1" t="n">
        <v>43979</v>
      </c>
      <c r="C119" s="6" t="e">
        <f aca="false">sheet1!anu120</f>
        <v>#NAME?</v>
      </c>
      <c r="D119" s="6" t="e">
        <f aca="false">sheet1!anv120</f>
        <v>#NAME?</v>
      </c>
      <c r="E119" s="6" t="e">
        <f aca="false">sheet1!anw120</f>
        <v>#NAME?</v>
      </c>
      <c r="F119" s="6" t="e">
        <f aca="false">sheet1!anx120</f>
        <v>#NAME?</v>
      </c>
      <c r="G119" s="6" t="e">
        <f aca="false">sheet1!any120</f>
        <v>#NAME?</v>
      </c>
      <c r="H119" s="6" t="e">
        <f aca="false">sheet1!anz120</f>
        <v>#NAME?</v>
      </c>
      <c r="I119" s="6" t="e">
        <f aca="false">sheet1!aoa120</f>
        <v>#NAME?</v>
      </c>
      <c r="J119" s="6" t="e">
        <f aca="false">sheet1!aob120</f>
        <v>#NAME?</v>
      </c>
      <c r="K119" s="6" t="e">
        <f aca="false">sheet1!aoc120</f>
        <v>#NAME?</v>
      </c>
      <c r="L119" s="6" t="e">
        <f aca="false">sheet1!aod120</f>
        <v>#NAME?</v>
      </c>
      <c r="M119" s="6" t="e">
        <f aca="false">sheet1!aoe120</f>
        <v>#NAME?</v>
      </c>
    </row>
    <row r="120" customFormat="false" ht="15.75" hidden="false" customHeight="false" outlineLevel="0" collapsed="false">
      <c r="A120" s="0" t="s">
        <v>65</v>
      </c>
      <c r="B120" s="1" t="n">
        <v>43980</v>
      </c>
      <c r="C120" s="6" t="e">
        <f aca="false">sheet1!anu121</f>
        <v>#NAME?</v>
      </c>
      <c r="D120" s="6" t="e">
        <f aca="false">sheet1!anv121</f>
        <v>#NAME?</v>
      </c>
      <c r="E120" s="6" t="e">
        <f aca="false">sheet1!anw121</f>
        <v>#NAME?</v>
      </c>
      <c r="F120" s="6" t="e">
        <f aca="false">sheet1!anx121</f>
        <v>#NAME?</v>
      </c>
      <c r="G120" s="6" t="e">
        <f aca="false">sheet1!any121</f>
        <v>#NAME?</v>
      </c>
      <c r="H120" s="6" t="e">
        <f aca="false">sheet1!anz121</f>
        <v>#NAME?</v>
      </c>
      <c r="I120" s="6" t="e">
        <f aca="false">sheet1!aoa121</f>
        <v>#NAME?</v>
      </c>
      <c r="J120" s="6" t="e">
        <f aca="false">sheet1!aob121</f>
        <v>#NAME?</v>
      </c>
      <c r="K120" s="6" t="e">
        <f aca="false">sheet1!aoc121</f>
        <v>#NAME?</v>
      </c>
      <c r="L120" s="6" t="e">
        <f aca="false">sheet1!aod121</f>
        <v>#NAME?</v>
      </c>
      <c r="M120" s="6" t="e">
        <f aca="false">sheet1!aoe121</f>
        <v>#NAME?</v>
      </c>
    </row>
    <row r="121" customFormat="false" ht="15.75" hidden="false" customHeight="false" outlineLevel="0" collapsed="false">
      <c r="A121" s="0" t="s">
        <v>65</v>
      </c>
      <c r="B121" s="1" t="n">
        <v>43981</v>
      </c>
      <c r="C121" s="6" t="e">
        <f aca="false">sheet1!anu122</f>
        <v>#NAME?</v>
      </c>
      <c r="D121" s="6" t="e">
        <f aca="false">sheet1!anv122</f>
        <v>#NAME?</v>
      </c>
      <c r="E121" s="6" t="e">
        <f aca="false">sheet1!anw122</f>
        <v>#NAME?</v>
      </c>
      <c r="F121" s="6" t="e">
        <f aca="false">sheet1!anx122</f>
        <v>#NAME?</v>
      </c>
      <c r="G121" s="6" t="e">
        <f aca="false">sheet1!any122</f>
        <v>#NAME?</v>
      </c>
      <c r="H121" s="6" t="e">
        <f aca="false">sheet1!anz122</f>
        <v>#NAME?</v>
      </c>
      <c r="I121" s="6" t="e">
        <f aca="false">sheet1!aoa122</f>
        <v>#NAME?</v>
      </c>
      <c r="J121" s="6" t="e">
        <f aca="false">sheet1!aob122</f>
        <v>#NAME?</v>
      </c>
      <c r="K121" s="6" t="e">
        <f aca="false">sheet1!aoc122</f>
        <v>#NAME?</v>
      </c>
      <c r="L121" s="6" t="e">
        <f aca="false">sheet1!aod122</f>
        <v>#NAME?</v>
      </c>
      <c r="M121" s="6" t="e">
        <f aca="false">sheet1!aoe122</f>
        <v>#NAME?</v>
      </c>
    </row>
    <row r="122" customFormat="false" ht="15.75" hidden="false" customHeight="false" outlineLevel="0" collapsed="false">
      <c r="A122" s="0" t="s">
        <v>65</v>
      </c>
      <c r="B122" s="1" t="n">
        <v>43982</v>
      </c>
      <c r="C122" s="6" t="e">
        <f aca="false">sheet1!anu123</f>
        <v>#NAME?</v>
      </c>
      <c r="D122" s="6" t="e">
        <f aca="false">sheet1!anv123</f>
        <v>#NAME?</v>
      </c>
      <c r="E122" s="6" t="e">
        <f aca="false">sheet1!anw123</f>
        <v>#NAME?</v>
      </c>
      <c r="F122" s="6" t="e">
        <f aca="false">sheet1!anx123</f>
        <v>#NAME?</v>
      </c>
      <c r="G122" s="6" t="e">
        <f aca="false">sheet1!any123</f>
        <v>#NAME?</v>
      </c>
      <c r="H122" s="6" t="e">
        <f aca="false">sheet1!anz123</f>
        <v>#NAME?</v>
      </c>
      <c r="I122" s="6" t="e">
        <f aca="false">sheet1!aoa123</f>
        <v>#NAME?</v>
      </c>
      <c r="J122" s="6" t="e">
        <f aca="false">sheet1!aob123</f>
        <v>#NAME?</v>
      </c>
      <c r="K122" s="6" t="e">
        <f aca="false">sheet1!aoc123</f>
        <v>#NAME?</v>
      </c>
      <c r="L122" s="6" t="e">
        <f aca="false">sheet1!aod123</f>
        <v>#NAME?</v>
      </c>
      <c r="M122" s="6" t="e">
        <f aca="false">sheet1!aoe123</f>
        <v>#NAME?</v>
      </c>
    </row>
    <row r="123" customFormat="false" ht="15.75" hidden="false" customHeight="false" outlineLevel="0" collapsed="false">
      <c r="A123" s="0" t="s">
        <v>65</v>
      </c>
      <c r="B123" s="1" t="n">
        <v>43983</v>
      </c>
      <c r="C123" s="6" t="e">
        <f aca="false">sheet1!anu124</f>
        <v>#NAME?</v>
      </c>
      <c r="D123" s="6" t="e">
        <f aca="false">sheet1!anv124</f>
        <v>#NAME?</v>
      </c>
      <c r="E123" s="6" t="e">
        <f aca="false">sheet1!anw124</f>
        <v>#NAME?</v>
      </c>
      <c r="F123" s="6" t="e">
        <f aca="false">sheet1!anx124</f>
        <v>#NAME?</v>
      </c>
      <c r="G123" s="6" t="e">
        <f aca="false">sheet1!any124</f>
        <v>#NAME?</v>
      </c>
      <c r="H123" s="6" t="e">
        <f aca="false">sheet1!anz124</f>
        <v>#NAME?</v>
      </c>
      <c r="I123" s="6" t="e">
        <f aca="false">sheet1!aoa124</f>
        <v>#NAME?</v>
      </c>
      <c r="J123" s="6" t="e">
        <f aca="false">sheet1!aob124</f>
        <v>#NAME?</v>
      </c>
      <c r="K123" s="6" t="e">
        <f aca="false">sheet1!aoc124</f>
        <v>#NAME?</v>
      </c>
      <c r="L123" s="6" t="e">
        <f aca="false">sheet1!aod124</f>
        <v>#NAME?</v>
      </c>
      <c r="M123" s="6" t="e">
        <f aca="false">sheet1!aoe124</f>
        <v>#NAME?</v>
      </c>
    </row>
    <row r="124" customFormat="false" ht="15.75" hidden="false" customHeight="false" outlineLevel="0" collapsed="false">
      <c r="A124" s="0" t="s">
        <v>65</v>
      </c>
      <c r="B124" s="1" t="n">
        <v>43984</v>
      </c>
      <c r="C124" s="6" t="e">
        <f aca="false">sheet1!anu125</f>
        <v>#NAME?</v>
      </c>
      <c r="D124" s="6" t="e">
        <f aca="false">sheet1!anv125</f>
        <v>#NAME?</v>
      </c>
      <c r="E124" s="6" t="e">
        <f aca="false">sheet1!anw125</f>
        <v>#NAME?</v>
      </c>
      <c r="F124" s="6" t="e">
        <f aca="false">sheet1!anx125</f>
        <v>#NAME?</v>
      </c>
      <c r="G124" s="6" t="e">
        <f aca="false">sheet1!any125</f>
        <v>#NAME?</v>
      </c>
      <c r="H124" s="6" t="e">
        <f aca="false">sheet1!anz125</f>
        <v>#NAME?</v>
      </c>
      <c r="I124" s="6" t="e">
        <f aca="false">sheet1!aoa125</f>
        <v>#NAME?</v>
      </c>
      <c r="J124" s="6" t="e">
        <f aca="false">sheet1!aob125</f>
        <v>#NAME?</v>
      </c>
      <c r="K124" s="6" t="e">
        <f aca="false">sheet1!aoc125</f>
        <v>#NAME?</v>
      </c>
      <c r="L124" s="6" t="e">
        <f aca="false">sheet1!aod125</f>
        <v>#NAME?</v>
      </c>
      <c r="M124" s="6" t="e">
        <f aca="false">sheet1!aoe125</f>
        <v>#NAME?</v>
      </c>
    </row>
    <row r="125" customFormat="false" ht="15.75" hidden="false" customHeight="false" outlineLevel="0" collapsed="false">
      <c r="A125" s="0" t="s">
        <v>65</v>
      </c>
      <c r="B125" s="1" t="n">
        <v>43985</v>
      </c>
      <c r="C125" s="6" t="e">
        <f aca="false">sheet1!anu126</f>
        <v>#NAME?</v>
      </c>
      <c r="D125" s="6" t="e">
        <f aca="false">sheet1!anv126</f>
        <v>#NAME?</v>
      </c>
      <c r="E125" s="6" t="e">
        <f aca="false">sheet1!anw126</f>
        <v>#NAME?</v>
      </c>
      <c r="F125" s="6" t="e">
        <f aca="false">sheet1!anx126</f>
        <v>#NAME?</v>
      </c>
      <c r="G125" s="6" t="e">
        <f aca="false">sheet1!any126</f>
        <v>#NAME?</v>
      </c>
      <c r="H125" s="6" t="e">
        <f aca="false">sheet1!anz126</f>
        <v>#NAME?</v>
      </c>
      <c r="I125" s="6" t="e">
        <f aca="false">sheet1!aoa126</f>
        <v>#NAME?</v>
      </c>
      <c r="J125" s="6" t="e">
        <f aca="false">sheet1!aob126</f>
        <v>#NAME?</v>
      </c>
      <c r="K125" s="6" t="e">
        <f aca="false">sheet1!aoc126</f>
        <v>#NAME?</v>
      </c>
      <c r="L125" s="6" t="e">
        <f aca="false">sheet1!aod126</f>
        <v>#NAME?</v>
      </c>
      <c r="M125" s="6" t="e">
        <f aca="false">sheet1!aoe126</f>
        <v>#NAME?</v>
      </c>
    </row>
    <row r="126" customFormat="false" ht="15.75" hidden="false" customHeight="false" outlineLevel="0" collapsed="false">
      <c r="A126" s="0" t="s">
        <v>65</v>
      </c>
      <c r="B126" s="1" t="n">
        <v>43986</v>
      </c>
      <c r="C126" s="6" t="e">
        <f aca="false">sheet1!anu127</f>
        <v>#NAME?</v>
      </c>
      <c r="D126" s="6" t="e">
        <f aca="false">sheet1!anv127</f>
        <v>#NAME?</v>
      </c>
      <c r="E126" s="6" t="e">
        <f aca="false">sheet1!anw127</f>
        <v>#NAME?</v>
      </c>
      <c r="F126" s="6" t="e">
        <f aca="false">sheet1!anx127</f>
        <v>#NAME?</v>
      </c>
      <c r="G126" s="6" t="e">
        <f aca="false">sheet1!any127</f>
        <v>#NAME?</v>
      </c>
      <c r="H126" s="6" t="e">
        <f aca="false">sheet1!anz127</f>
        <v>#NAME?</v>
      </c>
      <c r="I126" s="6" t="e">
        <f aca="false">sheet1!aoa127</f>
        <v>#NAME?</v>
      </c>
      <c r="J126" s="6" t="e">
        <f aca="false">sheet1!aob127</f>
        <v>#NAME?</v>
      </c>
      <c r="K126" s="6" t="e">
        <f aca="false">sheet1!aoc127</f>
        <v>#NAME?</v>
      </c>
      <c r="L126" s="6" t="e">
        <f aca="false">sheet1!aod127</f>
        <v>#NAME?</v>
      </c>
      <c r="M126" s="6" t="e">
        <f aca="false">sheet1!aoe127</f>
        <v>#NAME?</v>
      </c>
    </row>
    <row r="127" customFormat="false" ht="15.75" hidden="false" customHeight="false" outlineLevel="0" collapsed="false">
      <c r="A127" s="0" t="s">
        <v>65</v>
      </c>
      <c r="B127" s="1" t="n">
        <v>43987</v>
      </c>
      <c r="C127" s="6" t="e">
        <f aca="false">sheet1!anu128</f>
        <v>#NAME?</v>
      </c>
      <c r="D127" s="6" t="e">
        <f aca="false">sheet1!anv128</f>
        <v>#NAME?</v>
      </c>
      <c r="E127" s="6" t="e">
        <f aca="false">sheet1!anw128</f>
        <v>#NAME?</v>
      </c>
      <c r="F127" s="6" t="e">
        <f aca="false">sheet1!anx128</f>
        <v>#NAME?</v>
      </c>
      <c r="G127" s="6" t="e">
        <f aca="false">sheet1!any128</f>
        <v>#NAME?</v>
      </c>
      <c r="H127" s="6" t="e">
        <f aca="false">sheet1!anz128</f>
        <v>#NAME?</v>
      </c>
      <c r="I127" s="6" t="e">
        <f aca="false">sheet1!aoa128</f>
        <v>#NAME?</v>
      </c>
      <c r="J127" s="6" t="e">
        <f aca="false">sheet1!aob128</f>
        <v>#NAME?</v>
      </c>
      <c r="K127" s="6" t="e">
        <f aca="false">sheet1!aoc128</f>
        <v>#NAME?</v>
      </c>
      <c r="L127" s="6" t="e">
        <f aca="false">sheet1!aod128</f>
        <v>#NAME?</v>
      </c>
      <c r="M127" s="6" t="e">
        <f aca="false">sheet1!aoe128</f>
        <v>#NAME?</v>
      </c>
    </row>
    <row r="128" customFormat="false" ht="15.75" hidden="false" customHeight="false" outlineLevel="0" collapsed="false">
      <c r="A128" s="0" t="s">
        <v>65</v>
      </c>
      <c r="B128" s="1" t="n">
        <v>43988</v>
      </c>
      <c r="C128" s="6" t="e">
        <f aca="false">sheet1!anu129</f>
        <v>#NAME?</v>
      </c>
      <c r="D128" s="6" t="e">
        <f aca="false">sheet1!anv129</f>
        <v>#NAME?</v>
      </c>
      <c r="E128" s="6" t="e">
        <f aca="false">sheet1!anw129</f>
        <v>#NAME?</v>
      </c>
      <c r="F128" s="6" t="e">
        <f aca="false">sheet1!anx129</f>
        <v>#NAME?</v>
      </c>
      <c r="G128" s="6" t="e">
        <f aca="false">sheet1!any129</f>
        <v>#NAME?</v>
      </c>
      <c r="H128" s="6" t="e">
        <f aca="false">sheet1!anz129</f>
        <v>#NAME?</v>
      </c>
      <c r="I128" s="6" t="e">
        <f aca="false">sheet1!aoa129</f>
        <v>#NAME?</v>
      </c>
      <c r="J128" s="6" t="e">
        <f aca="false">sheet1!aob129</f>
        <v>#NAME?</v>
      </c>
      <c r="K128" s="6" t="e">
        <f aca="false">sheet1!aoc129</f>
        <v>#NAME?</v>
      </c>
      <c r="L128" s="6" t="e">
        <f aca="false">sheet1!aod129</f>
        <v>#NAME?</v>
      </c>
      <c r="M128" s="6" t="e">
        <f aca="false">sheet1!aoe129</f>
        <v>#NAME?</v>
      </c>
    </row>
    <row r="129" customFormat="false" ht="15.75" hidden="false" customHeight="false" outlineLevel="0" collapsed="false">
      <c r="A129" s="0" t="s">
        <v>65</v>
      </c>
      <c r="B129" s="1" t="n">
        <v>43989</v>
      </c>
      <c r="C129" s="6" t="e">
        <f aca="false">sheet1!anu130</f>
        <v>#NAME?</v>
      </c>
      <c r="D129" s="6" t="e">
        <f aca="false">sheet1!anv130</f>
        <v>#NAME?</v>
      </c>
      <c r="E129" s="6" t="e">
        <f aca="false">sheet1!anw130</f>
        <v>#NAME?</v>
      </c>
      <c r="F129" s="6" t="e">
        <f aca="false">sheet1!anx130</f>
        <v>#NAME?</v>
      </c>
      <c r="G129" s="6" t="e">
        <f aca="false">sheet1!any130</f>
        <v>#NAME?</v>
      </c>
      <c r="H129" s="6" t="e">
        <f aca="false">sheet1!anz130</f>
        <v>#NAME?</v>
      </c>
      <c r="I129" s="6" t="e">
        <f aca="false">sheet1!aoa130</f>
        <v>#NAME?</v>
      </c>
      <c r="J129" s="6" t="e">
        <f aca="false">sheet1!aob130</f>
        <v>#NAME?</v>
      </c>
      <c r="K129" s="6" t="e">
        <f aca="false">sheet1!aoc130</f>
        <v>#NAME?</v>
      </c>
      <c r="L129" s="6" t="e">
        <f aca="false">sheet1!aod130</f>
        <v>#NAME?</v>
      </c>
      <c r="M129" s="6" t="e">
        <f aca="false">sheet1!aoe130</f>
        <v>#NAME?</v>
      </c>
    </row>
    <row r="130" customFormat="false" ht="15.75" hidden="false" customHeight="false" outlineLevel="0" collapsed="false">
      <c r="A130" s="0" t="s">
        <v>65</v>
      </c>
      <c r="B130" s="1" t="n">
        <v>43990</v>
      </c>
      <c r="C130" s="6" t="e">
        <f aca="false">sheet1!anu131</f>
        <v>#NAME?</v>
      </c>
      <c r="D130" s="6" t="e">
        <f aca="false">sheet1!anv131</f>
        <v>#NAME?</v>
      </c>
      <c r="E130" s="6" t="e">
        <f aca="false">sheet1!anw131</f>
        <v>#NAME?</v>
      </c>
      <c r="F130" s="6" t="e">
        <f aca="false">sheet1!anx131</f>
        <v>#NAME?</v>
      </c>
      <c r="G130" s="6" t="e">
        <f aca="false">sheet1!any131</f>
        <v>#NAME?</v>
      </c>
      <c r="H130" s="6" t="e">
        <f aca="false">sheet1!anz131</f>
        <v>#NAME?</v>
      </c>
      <c r="I130" s="6" t="e">
        <f aca="false">sheet1!aoa131</f>
        <v>#NAME?</v>
      </c>
      <c r="J130" s="6" t="e">
        <f aca="false">sheet1!aob131</f>
        <v>#NAME?</v>
      </c>
      <c r="K130" s="6" t="e">
        <f aca="false">sheet1!aoc131</f>
        <v>#NAME?</v>
      </c>
      <c r="L130" s="6" t="e">
        <f aca="false">sheet1!aod131</f>
        <v>#NAME?</v>
      </c>
      <c r="M130" s="6" t="e">
        <f aca="false">sheet1!aoe131</f>
        <v>#NAME?</v>
      </c>
    </row>
    <row r="131" customFormat="false" ht="15.75" hidden="false" customHeight="false" outlineLevel="0" collapsed="false">
      <c r="A131" s="0" t="s">
        <v>65</v>
      </c>
      <c r="B131" s="1" t="n">
        <v>43991</v>
      </c>
      <c r="C131" s="6" t="e">
        <f aca="false">sheet1!anu132</f>
        <v>#NAME?</v>
      </c>
      <c r="D131" s="6" t="e">
        <f aca="false">sheet1!anv132</f>
        <v>#NAME?</v>
      </c>
      <c r="E131" s="6" t="e">
        <f aca="false">sheet1!anw132</f>
        <v>#NAME?</v>
      </c>
      <c r="F131" s="6" t="e">
        <f aca="false">sheet1!anx132</f>
        <v>#NAME?</v>
      </c>
      <c r="G131" s="6" t="e">
        <f aca="false">sheet1!any132</f>
        <v>#NAME?</v>
      </c>
      <c r="H131" s="6" t="e">
        <f aca="false">sheet1!anz132</f>
        <v>#NAME?</v>
      </c>
      <c r="I131" s="6" t="e">
        <f aca="false">sheet1!aoa132</f>
        <v>#NAME?</v>
      </c>
      <c r="J131" s="6" t="e">
        <f aca="false">sheet1!aob132</f>
        <v>#NAME?</v>
      </c>
      <c r="K131" s="6" t="e">
        <f aca="false">sheet1!aoc132</f>
        <v>#NAME?</v>
      </c>
      <c r="L131" s="6" t="e">
        <f aca="false">sheet1!aod132</f>
        <v>#NAME?</v>
      </c>
      <c r="M131" s="6" t="e">
        <f aca="false">sheet1!aoe132</f>
        <v>#NAME?</v>
      </c>
    </row>
    <row r="132" customFormat="false" ht="15.75" hidden="false" customHeight="false" outlineLevel="0" collapsed="false">
      <c r="A132" s="0" t="s">
        <v>65</v>
      </c>
      <c r="B132" s="1" t="n">
        <v>43992</v>
      </c>
      <c r="C132" s="6" t="e">
        <f aca="false">sheet1!anu133</f>
        <v>#NAME?</v>
      </c>
      <c r="D132" s="6" t="e">
        <f aca="false">sheet1!anv133</f>
        <v>#NAME?</v>
      </c>
      <c r="E132" s="6" t="e">
        <f aca="false">sheet1!anw133</f>
        <v>#NAME?</v>
      </c>
      <c r="F132" s="6" t="e">
        <f aca="false">sheet1!anx133</f>
        <v>#NAME?</v>
      </c>
      <c r="G132" s="6" t="e">
        <f aca="false">sheet1!any133</f>
        <v>#NAME?</v>
      </c>
      <c r="H132" s="6" t="e">
        <f aca="false">sheet1!anz133</f>
        <v>#NAME?</v>
      </c>
      <c r="I132" s="6" t="e">
        <f aca="false">sheet1!aoa133</f>
        <v>#NAME?</v>
      </c>
      <c r="J132" s="6" t="e">
        <f aca="false">sheet1!aob133</f>
        <v>#NAME?</v>
      </c>
      <c r="K132" s="6" t="e">
        <f aca="false">sheet1!aoc133</f>
        <v>#NAME?</v>
      </c>
      <c r="L132" s="6" t="e">
        <f aca="false">sheet1!aod133</f>
        <v>#NAME?</v>
      </c>
      <c r="M132" s="6" t="e">
        <f aca="false">sheet1!aoe133</f>
        <v>#NAME?</v>
      </c>
    </row>
    <row r="133" customFormat="false" ht="15.75" hidden="false" customHeight="false" outlineLevel="0" collapsed="false">
      <c r="A133" s="0" t="s">
        <v>65</v>
      </c>
      <c r="B133" s="1" t="n">
        <v>43993</v>
      </c>
      <c r="C133" s="6" t="e">
        <f aca="false">sheet1!anu134</f>
        <v>#NAME?</v>
      </c>
      <c r="D133" s="6" t="e">
        <f aca="false">sheet1!anv134</f>
        <v>#NAME?</v>
      </c>
      <c r="E133" s="6" t="e">
        <f aca="false">sheet1!anw134</f>
        <v>#NAME?</v>
      </c>
      <c r="F133" s="6" t="e">
        <f aca="false">sheet1!anx134</f>
        <v>#NAME?</v>
      </c>
      <c r="G133" s="6" t="e">
        <f aca="false">sheet1!any134</f>
        <v>#NAME?</v>
      </c>
      <c r="H133" s="6" t="e">
        <f aca="false">sheet1!anz134</f>
        <v>#NAME?</v>
      </c>
      <c r="I133" s="6" t="e">
        <f aca="false">sheet1!aoa134</f>
        <v>#NAME?</v>
      </c>
      <c r="J133" s="6" t="e">
        <f aca="false">sheet1!aob134</f>
        <v>#NAME?</v>
      </c>
      <c r="K133" s="6" t="e">
        <f aca="false">sheet1!aoc134</f>
        <v>#NAME?</v>
      </c>
      <c r="L133" s="6" t="e">
        <f aca="false">sheet1!aod134</f>
        <v>#NAME?</v>
      </c>
      <c r="M133" s="6" t="e">
        <f aca="false">sheet1!aoe134</f>
        <v>#NAME?</v>
      </c>
    </row>
    <row r="134" customFormat="false" ht="15.75" hidden="false" customHeight="false" outlineLevel="0" collapsed="false">
      <c r="A134" s="0" t="s">
        <v>65</v>
      </c>
      <c r="B134" s="1" t="n">
        <v>43994</v>
      </c>
      <c r="C134" s="6" t="e">
        <f aca="false">sheet1!anu135</f>
        <v>#NAME?</v>
      </c>
      <c r="D134" s="6" t="e">
        <f aca="false">sheet1!anv135</f>
        <v>#NAME?</v>
      </c>
      <c r="E134" s="6" t="e">
        <f aca="false">sheet1!anw135</f>
        <v>#NAME?</v>
      </c>
      <c r="F134" s="6" t="e">
        <f aca="false">sheet1!anx135</f>
        <v>#NAME?</v>
      </c>
      <c r="G134" s="6" t="e">
        <f aca="false">sheet1!any135</f>
        <v>#NAME?</v>
      </c>
      <c r="H134" s="6" t="e">
        <f aca="false">sheet1!anz135</f>
        <v>#NAME?</v>
      </c>
      <c r="I134" s="6" t="e">
        <f aca="false">sheet1!aoa135</f>
        <v>#NAME?</v>
      </c>
      <c r="J134" s="6" t="e">
        <f aca="false">sheet1!aob135</f>
        <v>#NAME?</v>
      </c>
      <c r="K134" s="6" t="e">
        <f aca="false">sheet1!aoc135</f>
        <v>#NAME?</v>
      </c>
      <c r="L134" s="6" t="e">
        <f aca="false">sheet1!aod135</f>
        <v>#NAME?</v>
      </c>
      <c r="M134" s="6" t="e">
        <f aca="false">sheet1!aoe135</f>
        <v>#NAME?</v>
      </c>
    </row>
    <row r="135" customFormat="false" ht="15.75" hidden="false" customHeight="false" outlineLevel="0" collapsed="false">
      <c r="A135" s="0" t="s">
        <v>65</v>
      </c>
      <c r="B135" s="1" t="n">
        <v>43995</v>
      </c>
      <c r="C135" s="6" t="e">
        <f aca="false">sheet1!anu136</f>
        <v>#NAME?</v>
      </c>
      <c r="D135" s="6" t="e">
        <f aca="false">sheet1!anv136</f>
        <v>#NAME?</v>
      </c>
      <c r="E135" s="6" t="e">
        <f aca="false">sheet1!anw136</f>
        <v>#NAME?</v>
      </c>
      <c r="F135" s="6" t="e">
        <f aca="false">sheet1!anx136</f>
        <v>#NAME?</v>
      </c>
      <c r="G135" s="6" t="e">
        <f aca="false">sheet1!any136</f>
        <v>#NAME?</v>
      </c>
      <c r="H135" s="6" t="e">
        <f aca="false">sheet1!anz136</f>
        <v>#NAME?</v>
      </c>
      <c r="I135" s="6" t="e">
        <f aca="false">sheet1!aoa136</f>
        <v>#NAME?</v>
      </c>
      <c r="J135" s="6" t="e">
        <f aca="false">sheet1!aob136</f>
        <v>#NAME?</v>
      </c>
      <c r="K135" s="6" t="e">
        <f aca="false">sheet1!aoc136</f>
        <v>#NAME?</v>
      </c>
      <c r="L135" s="6" t="e">
        <f aca="false">sheet1!aod136</f>
        <v>#NAME?</v>
      </c>
      <c r="M135" s="6" t="e">
        <f aca="false">sheet1!aoe136</f>
        <v>#NAME?</v>
      </c>
    </row>
    <row r="136" customFormat="false" ht="15.75" hidden="false" customHeight="false" outlineLevel="0" collapsed="false">
      <c r="A136" s="0" t="s">
        <v>65</v>
      </c>
      <c r="B136" s="1" t="n">
        <v>43996</v>
      </c>
      <c r="C136" s="6" t="e">
        <f aca="false">sheet1!anu137</f>
        <v>#NAME?</v>
      </c>
      <c r="D136" s="6" t="e">
        <f aca="false">sheet1!anv137</f>
        <v>#NAME?</v>
      </c>
      <c r="E136" s="6" t="e">
        <f aca="false">sheet1!anw137</f>
        <v>#NAME?</v>
      </c>
      <c r="F136" s="6" t="e">
        <f aca="false">sheet1!anx137</f>
        <v>#NAME?</v>
      </c>
      <c r="G136" s="6" t="e">
        <f aca="false">sheet1!any137</f>
        <v>#NAME?</v>
      </c>
      <c r="H136" s="6" t="e">
        <f aca="false">sheet1!anz137</f>
        <v>#NAME?</v>
      </c>
      <c r="I136" s="6" t="e">
        <f aca="false">sheet1!aoa137</f>
        <v>#NAME?</v>
      </c>
      <c r="J136" s="6" t="e">
        <f aca="false">sheet1!aob137</f>
        <v>#NAME?</v>
      </c>
      <c r="K136" s="6" t="e">
        <f aca="false">sheet1!aoc137</f>
        <v>#NAME?</v>
      </c>
      <c r="L136" s="6" t="e">
        <f aca="false">sheet1!aod137</f>
        <v>#NAME?</v>
      </c>
      <c r="M136" s="6" t="e">
        <f aca="false">sheet1!aoe137</f>
        <v>#NAME?</v>
      </c>
    </row>
    <row r="137" customFormat="false" ht="15.75" hidden="false" customHeight="false" outlineLevel="0" collapsed="false">
      <c r="A137" s="0" t="s">
        <v>65</v>
      </c>
      <c r="B137" s="1" t="n">
        <v>43997</v>
      </c>
      <c r="C137" s="6" t="e">
        <f aca="false">sheet1!anu138</f>
        <v>#NAME?</v>
      </c>
      <c r="D137" s="6" t="e">
        <f aca="false">sheet1!anv138</f>
        <v>#NAME?</v>
      </c>
      <c r="E137" s="6" t="e">
        <f aca="false">sheet1!anw138</f>
        <v>#NAME?</v>
      </c>
      <c r="F137" s="6" t="e">
        <f aca="false">sheet1!anx138</f>
        <v>#NAME?</v>
      </c>
      <c r="G137" s="6" t="e">
        <f aca="false">sheet1!any138</f>
        <v>#NAME?</v>
      </c>
      <c r="H137" s="6" t="e">
        <f aca="false">sheet1!anz138</f>
        <v>#NAME?</v>
      </c>
      <c r="I137" s="6" t="e">
        <f aca="false">sheet1!aoa138</f>
        <v>#NAME?</v>
      </c>
      <c r="J137" s="6" t="e">
        <f aca="false">sheet1!aob138</f>
        <v>#NAME?</v>
      </c>
      <c r="K137" s="6" t="e">
        <f aca="false">sheet1!aoc138</f>
        <v>#NAME?</v>
      </c>
      <c r="L137" s="6" t="e">
        <f aca="false">sheet1!aod138</f>
        <v>#NAME?</v>
      </c>
      <c r="M137" s="6" t="e">
        <f aca="false">sheet1!aoe138</f>
        <v>#NAME?</v>
      </c>
    </row>
    <row r="138" customFormat="false" ht="15.75" hidden="false" customHeight="false" outlineLevel="0" collapsed="false">
      <c r="A138" s="0" t="s">
        <v>65</v>
      </c>
      <c r="B138" s="1" t="n">
        <v>43998</v>
      </c>
      <c r="C138" s="6" t="e">
        <f aca="false">sheet1!anu139</f>
        <v>#NAME?</v>
      </c>
      <c r="D138" s="6" t="e">
        <f aca="false">sheet1!anv139</f>
        <v>#NAME?</v>
      </c>
      <c r="E138" s="6" t="e">
        <f aca="false">sheet1!anw139</f>
        <v>#NAME?</v>
      </c>
      <c r="F138" s="6" t="e">
        <f aca="false">sheet1!anx139</f>
        <v>#NAME?</v>
      </c>
      <c r="G138" s="6" t="e">
        <f aca="false">sheet1!any139</f>
        <v>#NAME?</v>
      </c>
      <c r="H138" s="6" t="e">
        <f aca="false">sheet1!anz139</f>
        <v>#NAME?</v>
      </c>
      <c r="I138" s="6" t="e">
        <f aca="false">sheet1!aoa139</f>
        <v>#NAME?</v>
      </c>
      <c r="J138" s="6" t="e">
        <f aca="false">sheet1!aob139</f>
        <v>#NAME?</v>
      </c>
      <c r="K138" s="6" t="e">
        <f aca="false">sheet1!aoc139</f>
        <v>#NAME?</v>
      </c>
      <c r="L138" s="6" t="e">
        <f aca="false">sheet1!aod139</f>
        <v>#NAME?</v>
      </c>
      <c r="M138" s="6" t="e">
        <f aca="false">sheet1!aoe139</f>
        <v>#NAME?</v>
      </c>
    </row>
    <row r="139" customFormat="false" ht="15.75" hidden="false" customHeight="false" outlineLevel="0" collapsed="false">
      <c r="A139" s="0" t="s">
        <v>65</v>
      </c>
      <c r="B139" s="1" t="n">
        <v>43999</v>
      </c>
      <c r="C139" s="6" t="e">
        <f aca="false">sheet1!anu140</f>
        <v>#NAME?</v>
      </c>
      <c r="D139" s="6" t="e">
        <f aca="false">sheet1!anv140</f>
        <v>#NAME?</v>
      </c>
      <c r="E139" s="6" t="e">
        <f aca="false">sheet1!anw140</f>
        <v>#NAME?</v>
      </c>
      <c r="F139" s="6" t="e">
        <f aca="false">sheet1!anx140</f>
        <v>#NAME?</v>
      </c>
      <c r="G139" s="6" t="e">
        <f aca="false">sheet1!any140</f>
        <v>#NAME?</v>
      </c>
      <c r="H139" s="6" t="e">
        <f aca="false">sheet1!anz140</f>
        <v>#NAME?</v>
      </c>
      <c r="I139" s="6" t="e">
        <f aca="false">sheet1!aoa140</f>
        <v>#NAME?</v>
      </c>
      <c r="J139" s="6" t="e">
        <f aca="false">sheet1!aob140</f>
        <v>#NAME?</v>
      </c>
      <c r="K139" s="6" t="e">
        <f aca="false">sheet1!aoc140</f>
        <v>#NAME?</v>
      </c>
      <c r="L139" s="6" t="e">
        <f aca="false">sheet1!aod140</f>
        <v>#NAME?</v>
      </c>
      <c r="M139" s="6" t="e">
        <f aca="false">sheet1!aoe140</f>
        <v>#NAME?</v>
      </c>
    </row>
    <row r="140" customFormat="false" ht="15.75" hidden="false" customHeight="false" outlineLevel="0" collapsed="false">
      <c r="A140" s="0" t="s">
        <v>65</v>
      </c>
      <c r="B140" s="1" t="n">
        <v>44000</v>
      </c>
      <c r="C140" s="6" t="e">
        <f aca="false">sheet1!anu141</f>
        <v>#NAME?</v>
      </c>
      <c r="D140" s="6" t="e">
        <f aca="false">sheet1!anv141</f>
        <v>#NAME?</v>
      </c>
      <c r="E140" s="6" t="e">
        <f aca="false">sheet1!anw141</f>
        <v>#NAME?</v>
      </c>
      <c r="F140" s="6" t="e">
        <f aca="false">sheet1!anx141</f>
        <v>#NAME?</v>
      </c>
      <c r="G140" s="6" t="e">
        <f aca="false">sheet1!any141</f>
        <v>#NAME?</v>
      </c>
      <c r="H140" s="6" t="e">
        <f aca="false">sheet1!anz141</f>
        <v>#NAME?</v>
      </c>
      <c r="I140" s="6" t="e">
        <f aca="false">sheet1!aoa141</f>
        <v>#NAME?</v>
      </c>
      <c r="J140" s="6" t="e">
        <f aca="false">sheet1!aob141</f>
        <v>#NAME?</v>
      </c>
      <c r="K140" s="6" t="e">
        <f aca="false">sheet1!aoc141</f>
        <v>#NAME?</v>
      </c>
      <c r="L140" s="6" t="e">
        <f aca="false">sheet1!aod141</f>
        <v>#NAME?</v>
      </c>
      <c r="M140" s="6" t="e">
        <f aca="false">sheet1!aoe141</f>
        <v>#NAME?</v>
      </c>
    </row>
    <row r="141" customFormat="false" ht="15.75" hidden="false" customHeight="false" outlineLevel="0" collapsed="false">
      <c r="A141" s="0" t="s">
        <v>65</v>
      </c>
      <c r="B141" s="1" t="n">
        <v>44001</v>
      </c>
      <c r="C141" s="6" t="e">
        <f aca="false">sheet1!anu142</f>
        <v>#NAME?</v>
      </c>
      <c r="D141" s="6" t="e">
        <f aca="false">sheet1!anv142</f>
        <v>#NAME?</v>
      </c>
      <c r="E141" s="6" t="e">
        <f aca="false">sheet1!anw142</f>
        <v>#NAME?</v>
      </c>
      <c r="F141" s="6" t="e">
        <f aca="false">sheet1!anx142</f>
        <v>#NAME?</v>
      </c>
      <c r="G141" s="6" t="e">
        <f aca="false">sheet1!any142</f>
        <v>#NAME?</v>
      </c>
      <c r="H141" s="6" t="e">
        <f aca="false">sheet1!anz142</f>
        <v>#NAME?</v>
      </c>
      <c r="I141" s="6" t="e">
        <f aca="false">sheet1!aoa142</f>
        <v>#NAME?</v>
      </c>
      <c r="J141" s="6" t="e">
        <f aca="false">sheet1!aob142</f>
        <v>#NAME?</v>
      </c>
      <c r="K141" s="6" t="e">
        <f aca="false">sheet1!aoc142</f>
        <v>#NAME?</v>
      </c>
      <c r="L141" s="6" t="e">
        <f aca="false">sheet1!aod142</f>
        <v>#NAME?</v>
      </c>
      <c r="M141" s="6" t="e">
        <f aca="false">sheet1!aoe142</f>
        <v>#NAME?</v>
      </c>
    </row>
    <row r="142" customFormat="false" ht="15.75" hidden="false" customHeight="false" outlineLevel="0" collapsed="false">
      <c r="A142" s="0" t="s">
        <v>65</v>
      </c>
      <c r="B142" s="1" t="n">
        <v>44002</v>
      </c>
      <c r="C142" s="6" t="e">
        <f aca="false">sheet1!anu143</f>
        <v>#NAME?</v>
      </c>
      <c r="D142" s="6" t="e">
        <f aca="false">sheet1!anv143</f>
        <v>#NAME?</v>
      </c>
      <c r="E142" s="6" t="e">
        <f aca="false">sheet1!anw143</f>
        <v>#NAME?</v>
      </c>
      <c r="F142" s="6" t="e">
        <f aca="false">sheet1!anx143</f>
        <v>#NAME?</v>
      </c>
      <c r="G142" s="6" t="e">
        <f aca="false">sheet1!any143</f>
        <v>#NAME?</v>
      </c>
      <c r="H142" s="6" t="e">
        <f aca="false">sheet1!anz143</f>
        <v>#NAME?</v>
      </c>
      <c r="I142" s="6" t="e">
        <f aca="false">sheet1!aoa143</f>
        <v>#NAME?</v>
      </c>
      <c r="J142" s="6" t="e">
        <f aca="false">sheet1!aob143</f>
        <v>#NAME?</v>
      </c>
      <c r="K142" s="6" t="e">
        <f aca="false">sheet1!aoc143</f>
        <v>#NAME?</v>
      </c>
      <c r="L142" s="6" t="e">
        <f aca="false">sheet1!aod143</f>
        <v>#NAME?</v>
      </c>
      <c r="M142" s="6" t="e">
        <f aca="false">sheet1!aoe143</f>
        <v>#NAME?</v>
      </c>
    </row>
    <row r="143" customFormat="false" ht="15.75" hidden="false" customHeight="false" outlineLevel="0" collapsed="false">
      <c r="A143" s="0" t="s">
        <v>65</v>
      </c>
      <c r="B143" s="1" t="n">
        <v>44003</v>
      </c>
      <c r="C143" s="6" t="e">
        <f aca="false">sheet1!anu144</f>
        <v>#NAME?</v>
      </c>
      <c r="D143" s="6" t="e">
        <f aca="false">sheet1!anv144</f>
        <v>#NAME?</v>
      </c>
      <c r="E143" s="6" t="e">
        <f aca="false">sheet1!anw144</f>
        <v>#NAME?</v>
      </c>
      <c r="F143" s="6" t="e">
        <f aca="false">sheet1!anx144</f>
        <v>#NAME?</v>
      </c>
      <c r="G143" s="6" t="e">
        <f aca="false">sheet1!any144</f>
        <v>#NAME?</v>
      </c>
      <c r="H143" s="6" t="e">
        <f aca="false">sheet1!anz144</f>
        <v>#NAME?</v>
      </c>
      <c r="I143" s="6" t="e">
        <f aca="false">sheet1!aoa144</f>
        <v>#NAME?</v>
      </c>
      <c r="J143" s="6" t="e">
        <f aca="false">sheet1!aob144</f>
        <v>#NAME?</v>
      </c>
      <c r="K143" s="6" t="e">
        <f aca="false">sheet1!aoc144</f>
        <v>#NAME?</v>
      </c>
      <c r="L143" s="6" t="e">
        <f aca="false">sheet1!aod144</f>
        <v>#NAME?</v>
      </c>
      <c r="M143" s="6" t="e">
        <f aca="false">sheet1!aoe144</f>
        <v>#NAME?</v>
      </c>
    </row>
    <row r="144" customFormat="false" ht="15.75" hidden="false" customHeight="false" outlineLevel="0" collapsed="false">
      <c r="A144" s="0" t="s">
        <v>65</v>
      </c>
      <c r="B144" s="1" t="n">
        <v>44004</v>
      </c>
      <c r="C144" s="6" t="e">
        <f aca="false">sheet1!anu145</f>
        <v>#NAME?</v>
      </c>
      <c r="D144" s="6" t="e">
        <f aca="false">sheet1!anv145</f>
        <v>#NAME?</v>
      </c>
      <c r="E144" s="6" t="e">
        <f aca="false">sheet1!anw145</f>
        <v>#NAME?</v>
      </c>
      <c r="F144" s="6" t="e">
        <f aca="false">sheet1!anx145</f>
        <v>#NAME?</v>
      </c>
      <c r="G144" s="6" t="e">
        <f aca="false">sheet1!any145</f>
        <v>#NAME?</v>
      </c>
      <c r="H144" s="6" t="e">
        <f aca="false">sheet1!anz145</f>
        <v>#NAME?</v>
      </c>
      <c r="I144" s="6" t="e">
        <f aca="false">sheet1!aoa145</f>
        <v>#NAME?</v>
      </c>
      <c r="J144" s="6" t="e">
        <f aca="false">sheet1!aob145</f>
        <v>#NAME?</v>
      </c>
      <c r="K144" s="6" t="e">
        <f aca="false">sheet1!aoc145</f>
        <v>#NAME?</v>
      </c>
      <c r="L144" s="6" t="e">
        <f aca="false">sheet1!aod145</f>
        <v>#NAME?</v>
      </c>
      <c r="M144" s="6" t="e">
        <f aca="false">sheet1!aoe145</f>
        <v>#NAME?</v>
      </c>
    </row>
    <row r="145" customFormat="false" ht="15.75" hidden="false" customHeight="false" outlineLevel="0" collapsed="false">
      <c r="A145" s="0" t="s">
        <v>65</v>
      </c>
      <c r="B145" s="1" t="n">
        <v>44005</v>
      </c>
      <c r="C145" s="6" t="e">
        <f aca="false">sheet1!anu146</f>
        <v>#NAME?</v>
      </c>
      <c r="D145" s="6" t="e">
        <f aca="false">sheet1!anv146</f>
        <v>#NAME?</v>
      </c>
      <c r="E145" s="6" t="e">
        <f aca="false">sheet1!anw146</f>
        <v>#NAME?</v>
      </c>
      <c r="F145" s="6" t="e">
        <f aca="false">sheet1!anx146</f>
        <v>#NAME?</v>
      </c>
      <c r="G145" s="6" t="e">
        <f aca="false">sheet1!any146</f>
        <v>#NAME?</v>
      </c>
      <c r="H145" s="6" t="e">
        <f aca="false">sheet1!anz146</f>
        <v>#NAME?</v>
      </c>
      <c r="I145" s="6" t="e">
        <f aca="false">sheet1!aoa146</f>
        <v>#NAME?</v>
      </c>
      <c r="J145" s="6" t="e">
        <f aca="false">sheet1!aob146</f>
        <v>#NAME?</v>
      </c>
      <c r="K145" s="6" t="e">
        <f aca="false">sheet1!aoc146</f>
        <v>#NAME?</v>
      </c>
      <c r="L145" s="6" t="e">
        <f aca="false">sheet1!aod146</f>
        <v>#NAME?</v>
      </c>
      <c r="M145" s="6" t="e">
        <f aca="false">sheet1!aoe146</f>
        <v>#NAME?</v>
      </c>
    </row>
    <row r="146" customFormat="false" ht="15.75" hidden="false" customHeight="false" outlineLevel="0" collapsed="false">
      <c r="A146" s="0" t="s">
        <v>65</v>
      </c>
      <c r="B146" s="1" t="n">
        <v>44006</v>
      </c>
      <c r="C146" s="6" t="e">
        <f aca="false">sheet1!anu147</f>
        <v>#NAME?</v>
      </c>
      <c r="D146" s="6" t="e">
        <f aca="false">sheet1!anv147</f>
        <v>#NAME?</v>
      </c>
      <c r="E146" s="6" t="e">
        <f aca="false">sheet1!anw147</f>
        <v>#NAME?</v>
      </c>
      <c r="F146" s="6" t="e">
        <f aca="false">sheet1!anx147</f>
        <v>#NAME?</v>
      </c>
      <c r="G146" s="6" t="e">
        <f aca="false">sheet1!any147</f>
        <v>#NAME?</v>
      </c>
      <c r="H146" s="6" t="e">
        <f aca="false">sheet1!anz147</f>
        <v>#NAME?</v>
      </c>
      <c r="I146" s="6" t="e">
        <f aca="false">sheet1!aoa147</f>
        <v>#NAME?</v>
      </c>
      <c r="J146" s="6" t="e">
        <f aca="false">sheet1!aob147</f>
        <v>#NAME?</v>
      </c>
      <c r="K146" s="6" t="e">
        <f aca="false">sheet1!aoc147</f>
        <v>#NAME?</v>
      </c>
      <c r="L146" s="6" t="e">
        <f aca="false">sheet1!aod147</f>
        <v>#NAME?</v>
      </c>
      <c r="M146" s="6" t="e">
        <f aca="false">sheet1!aoe147</f>
        <v>#NAME?</v>
      </c>
    </row>
    <row r="147" customFormat="false" ht="15.75" hidden="false" customHeight="false" outlineLevel="0" collapsed="false">
      <c r="A147" s="0" t="s">
        <v>65</v>
      </c>
      <c r="B147" s="1" t="n">
        <v>44007</v>
      </c>
      <c r="C147" s="6" t="e">
        <f aca="false">sheet1!anu148</f>
        <v>#NAME?</v>
      </c>
      <c r="D147" s="6" t="e">
        <f aca="false">sheet1!anv148</f>
        <v>#NAME?</v>
      </c>
      <c r="E147" s="6" t="e">
        <f aca="false">sheet1!anw148</f>
        <v>#NAME?</v>
      </c>
      <c r="F147" s="6" t="e">
        <f aca="false">sheet1!anx148</f>
        <v>#NAME?</v>
      </c>
      <c r="G147" s="6" t="e">
        <f aca="false">sheet1!any148</f>
        <v>#NAME?</v>
      </c>
      <c r="H147" s="6" t="e">
        <f aca="false">sheet1!anz148</f>
        <v>#NAME?</v>
      </c>
      <c r="I147" s="6" t="e">
        <f aca="false">sheet1!aoa148</f>
        <v>#NAME?</v>
      </c>
      <c r="J147" s="6" t="e">
        <f aca="false">sheet1!aob148</f>
        <v>#NAME?</v>
      </c>
      <c r="K147" s="6" t="e">
        <f aca="false">sheet1!aoc148</f>
        <v>#NAME?</v>
      </c>
      <c r="L147" s="6" t="e">
        <f aca="false">sheet1!aod148</f>
        <v>#NAME?</v>
      </c>
      <c r="M147" s="6" t="e">
        <f aca="false">sheet1!aoe148</f>
        <v>#NAME?</v>
      </c>
    </row>
    <row r="148" customFormat="false" ht="15.75" hidden="false" customHeight="false" outlineLevel="0" collapsed="false">
      <c r="A148" s="0" t="s">
        <v>65</v>
      </c>
      <c r="B148" s="1" t="n">
        <v>44008</v>
      </c>
      <c r="C148" s="6" t="e">
        <f aca="false">sheet1!anu149</f>
        <v>#NAME?</v>
      </c>
      <c r="D148" s="6" t="e">
        <f aca="false">sheet1!anv149</f>
        <v>#NAME?</v>
      </c>
      <c r="E148" s="6" t="e">
        <f aca="false">sheet1!anw149</f>
        <v>#NAME?</v>
      </c>
      <c r="F148" s="6" t="e">
        <f aca="false">sheet1!anx149</f>
        <v>#NAME?</v>
      </c>
      <c r="G148" s="6" t="e">
        <f aca="false">sheet1!any149</f>
        <v>#NAME?</v>
      </c>
      <c r="H148" s="6" t="e">
        <f aca="false">sheet1!anz149</f>
        <v>#NAME?</v>
      </c>
      <c r="I148" s="6" t="e">
        <f aca="false">sheet1!aoa149</f>
        <v>#NAME?</v>
      </c>
      <c r="J148" s="6" t="e">
        <f aca="false">sheet1!aob149</f>
        <v>#NAME?</v>
      </c>
      <c r="K148" s="6" t="e">
        <f aca="false">sheet1!aoc149</f>
        <v>#NAME?</v>
      </c>
      <c r="L148" s="6" t="e">
        <f aca="false">sheet1!aod149</f>
        <v>#NAME?</v>
      </c>
      <c r="M148" s="6" t="e">
        <f aca="false">sheet1!aoe149</f>
        <v>#NAME?</v>
      </c>
    </row>
    <row r="149" customFormat="false" ht="15.75" hidden="false" customHeight="false" outlineLevel="0" collapsed="false">
      <c r="A149" s="0" t="s">
        <v>65</v>
      </c>
      <c r="B149" s="1" t="n">
        <v>44009</v>
      </c>
      <c r="C149" s="6" t="e">
        <f aca="false">sheet1!anu150</f>
        <v>#NAME?</v>
      </c>
      <c r="D149" s="6" t="e">
        <f aca="false">sheet1!anv150</f>
        <v>#NAME?</v>
      </c>
      <c r="E149" s="6" t="e">
        <f aca="false">sheet1!anw150</f>
        <v>#NAME?</v>
      </c>
      <c r="F149" s="6" t="e">
        <f aca="false">sheet1!anx150</f>
        <v>#NAME?</v>
      </c>
      <c r="G149" s="6" t="e">
        <f aca="false">sheet1!any150</f>
        <v>#NAME?</v>
      </c>
      <c r="H149" s="6" t="e">
        <f aca="false">sheet1!anz150</f>
        <v>#NAME?</v>
      </c>
      <c r="I149" s="6" t="e">
        <f aca="false">sheet1!aoa150</f>
        <v>#NAME?</v>
      </c>
      <c r="J149" s="6" t="e">
        <f aca="false">sheet1!aob150</f>
        <v>#NAME?</v>
      </c>
      <c r="K149" s="6" t="e">
        <f aca="false">sheet1!aoc150</f>
        <v>#NAME?</v>
      </c>
      <c r="L149" s="6" t="e">
        <f aca="false">sheet1!aod150</f>
        <v>#NAME?</v>
      </c>
      <c r="M149" s="6" t="e">
        <f aca="false">sheet1!aoe150</f>
        <v>#NAME?</v>
      </c>
    </row>
    <row r="150" customFormat="false" ht="15.75" hidden="false" customHeight="false" outlineLevel="0" collapsed="false">
      <c r="A150" s="0" t="s">
        <v>65</v>
      </c>
      <c r="B150" s="1" t="n">
        <v>44010</v>
      </c>
      <c r="C150" s="6" t="e">
        <f aca="false">sheet1!anu151</f>
        <v>#NAME?</v>
      </c>
      <c r="D150" s="6" t="e">
        <f aca="false">sheet1!anv151</f>
        <v>#NAME?</v>
      </c>
      <c r="E150" s="6" t="e">
        <f aca="false">sheet1!anw151</f>
        <v>#NAME?</v>
      </c>
      <c r="F150" s="6" t="e">
        <f aca="false">sheet1!anx151</f>
        <v>#NAME?</v>
      </c>
      <c r="G150" s="6" t="e">
        <f aca="false">sheet1!any151</f>
        <v>#NAME?</v>
      </c>
      <c r="H150" s="6" t="e">
        <f aca="false">sheet1!anz151</f>
        <v>#NAME?</v>
      </c>
      <c r="I150" s="6" t="e">
        <f aca="false">sheet1!aoa151</f>
        <v>#NAME?</v>
      </c>
      <c r="J150" s="6" t="e">
        <f aca="false">sheet1!aob151</f>
        <v>#NAME?</v>
      </c>
      <c r="K150" s="6" t="e">
        <f aca="false">sheet1!aoc151</f>
        <v>#NAME?</v>
      </c>
      <c r="L150" s="6" t="e">
        <f aca="false">sheet1!aod151</f>
        <v>#NAME?</v>
      </c>
      <c r="M150" s="6" t="e">
        <f aca="false">sheet1!aoe151</f>
        <v>#NAME?</v>
      </c>
    </row>
    <row r="151" customFormat="false" ht="15.75" hidden="false" customHeight="false" outlineLevel="0" collapsed="false">
      <c r="A151" s="0" t="s">
        <v>65</v>
      </c>
      <c r="B151" s="1" t="n">
        <v>44011</v>
      </c>
      <c r="C151" s="6" t="e">
        <f aca="false">sheet1!anu152</f>
        <v>#NAME?</v>
      </c>
      <c r="D151" s="6" t="e">
        <f aca="false">sheet1!anv152</f>
        <v>#NAME?</v>
      </c>
      <c r="E151" s="6" t="e">
        <f aca="false">sheet1!anw152</f>
        <v>#NAME?</v>
      </c>
      <c r="F151" s="6" t="e">
        <f aca="false">sheet1!anx152</f>
        <v>#NAME?</v>
      </c>
      <c r="G151" s="6" t="e">
        <f aca="false">sheet1!any152</f>
        <v>#NAME?</v>
      </c>
      <c r="H151" s="6" t="e">
        <f aca="false">sheet1!anz152</f>
        <v>#NAME?</v>
      </c>
      <c r="I151" s="6" t="e">
        <f aca="false">sheet1!aoa152</f>
        <v>#NAME?</v>
      </c>
      <c r="J151" s="6" t="e">
        <f aca="false">sheet1!aob152</f>
        <v>#NAME?</v>
      </c>
      <c r="K151" s="6" t="e">
        <f aca="false">sheet1!aoc152</f>
        <v>#NAME?</v>
      </c>
      <c r="L151" s="6" t="e">
        <f aca="false">sheet1!aod152</f>
        <v>#NAME?</v>
      </c>
      <c r="M151" s="6" t="e">
        <f aca="false">sheet1!aoe152</f>
        <v>#NAME?</v>
      </c>
    </row>
    <row r="152" customFormat="false" ht="15.75" hidden="false" customHeight="false" outlineLevel="0" collapsed="false">
      <c r="A152" s="0" t="s">
        <v>65</v>
      </c>
      <c r="B152" s="1" t="n">
        <v>44012</v>
      </c>
      <c r="C152" s="6" t="e">
        <f aca="false">sheet1!anu153</f>
        <v>#NAME?</v>
      </c>
      <c r="D152" s="6" t="e">
        <f aca="false">sheet1!anv153</f>
        <v>#NAME?</v>
      </c>
      <c r="E152" s="6" t="e">
        <f aca="false">sheet1!anw153</f>
        <v>#NAME?</v>
      </c>
      <c r="F152" s="6" t="e">
        <f aca="false">sheet1!anx153</f>
        <v>#NAME?</v>
      </c>
      <c r="G152" s="6" t="e">
        <f aca="false">sheet1!any153</f>
        <v>#NAME?</v>
      </c>
      <c r="H152" s="6" t="e">
        <f aca="false">sheet1!anz153</f>
        <v>#NAME?</v>
      </c>
      <c r="I152" s="6" t="e">
        <f aca="false">sheet1!aoa153</f>
        <v>#NAME?</v>
      </c>
      <c r="J152" s="6" t="e">
        <f aca="false">sheet1!aob153</f>
        <v>#NAME?</v>
      </c>
      <c r="K152" s="6" t="e">
        <f aca="false">sheet1!aoc153</f>
        <v>#NAME?</v>
      </c>
      <c r="L152" s="6" t="e">
        <f aca="false">sheet1!aod153</f>
        <v>#NAME?</v>
      </c>
      <c r="M152" s="6" t="e">
        <f aca="false">sheet1!aoe153</f>
        <v>#NAME?</v>
      </c>
    </row>
    <row r="153" customFormat="false" ht="15.75" hidden="false" customHeight="false" outlineLevel="0" collapsed="false">
      <c r="A153" s="0" t="s">
        <v>65</v>
      </c>
      <c r="B153" s="1" t="n">
        <v>44013</v>
      </c>
      <c r="C153" s="6" t="e">
        <f aca="false">sheet1!anu154</f>
        <v>#NAME?</v>
      </c>
      <c r="D153" s="6" t="e">
        <f aca="false">sheet1!anv154</f>
        <v>#NAME?</v>
      </c>
      <c r="E153" s="6" t="e">
        <f aca="false">sheet1!anw154</f>
        <v>#NAME?</v>
      </c>
      <c r="F153" s="6" t="e">
        <f aca="false">sheet1!anx154</f>
        <v>#NAME?</v>
      </c>
      <c r="G153" s="6" t="e">
        <f aca="false">sheet1!any154</f>
        <v>#NAME?</v>
      </c>
      <c r="H153" s="6" t="e">
        <f aca="false">sheet1!anz154</f>
        <v>#NAME?</v>
      </c>
      <c r="I153" s="6" t="e">
        <f aca="false">sheet1!aoa154</f>
        <v>#NAME?</v>
      </c>
      <c r="J153" s="6" t="e">
        <f aca="false">sheet1!aob154</f>
        <v>#NAME?</v>
      </c>
      <c r="K153" s="6" t="e">
        <f aca="false">sheet1!aoc154</f>
        <v>#NAME?</v>
      </c>
      <c r="L153" s="6" t="e">
        <f aca="false">sheet1!aod154</f>
        <v>#NAME?</v>
      </c>
      <c r="M153" s="6" t="e">
        <f aca="false">sheet1!aoe154</f>
        <v>#NAME?</v>
      </c>
    </row>
    <row r="154" customFormat="false" ht="15.75" hidden="false" customHeight="false" outlineLevel="0" collapsed="false">
      <c r="A154" s="0" t="s">
        <v>65</v>
      </c>
      <c r="B154" s="1" t="n">
        <v>44014</v>
      </c>
      <c r="C154" s="6" t="e">
        <f aca="false">sheet1!anu155</f>
        <v>#NAME?</v>
      </c>
      <c r="D154" s="6" t="e">
        <f aca="false">sheet1!anv155</f>
        <v>#NAME?</v>
      </c>
      <c r="E154" s="6" t="e">
        <f aca="false">sheet1!anw155</f>
        <v>#NAME?</v>
      </c>
      <c r="F154" s="6" t="e">
        <f aca="false">sheet1!anx155</f>
        <v>#NAME?</v>
      </c>
      <c r="G154" s="6" t="e">
        <f aca="false">sheet1!any155</f>
        <v>#NAME?</v>
      </c>
      <c r="H154" s="6" t="e">
        <f aca="false">sheet1!anz155</f>
        <v>#NAME?</v>
      </c>
      <c r="I154" s="6" t="e">
        <f aca="false">sheet1!aoa155</f>
        <v>#NAME?</v>
      </c>
      <c r="J154" s="6" t="e">
        <f aca="false">sheet1!aob155</f>
        <v>#NAME?</v>
      </c>
      <c r="K154" s="6" t="e">
        <f aca="false">sheet1!aoc155</f>
        <v>#NAME?</v>
      </c>
      <c r="L154" s="6" t="e">
        <f aca="false">sheet1!aod155</f>
        <v>#NAME?</v>
      </c>
      <c r="M154" s="6" t="e">
        <f aca="false">sheet1!aoe155</f>
        <v>#NAME?</v>
      </c>
    </row>
    <row r="155" customFormat="false" ht="15.75" hidden="false" customHeight="false" outlineLevel="0" collapsed="false">
      <c r="A155" s="0" t="s">
        <v>65</v>
      </c>
      <c r="B155" s="1" t="n">
        <v>44015</v>
      </c>
      <c r="C155" s="6" t="e">
        <f aca="false">sheet1!anu156</f>
        <v>#NAME?</v>
      </c>
      <c r="D155" s="6" t="e">
        <f aca="false">sheet1!anv156</f>
        <v>#NAME?</v>
      </c>
      <c r="E155" s="6" t="e">
        <f aca="false">sheet1!anw156</f>
        <v>#NAME?</v>
      </c>
      <c r="F155" s="6" t="e">
        <f aca="false">sheet1!anx156</f>
        <v>#NAME?</v>
      </c>
      <c r="G155" s="6" t="e">
        <f aca="false">sheet1!any156</f>
        <v>#NAME?</v>
      </c>
      <c r="H155" s="6" t="e">
        <f aca="false">sheet1!anz156</f>
        <v>#NAME?</v>
      </c>
      <c r="I155" s="6" t="e">
        <f aca="false">sheet1!aoa156</f>
        <v>#NAME?</v>
      </c>
      <c r="J155" s="6" t="e">
        <f aca="false">sheet1!aob156</f>
        <v>#NAME?</v>
      </c>
      <c r="K155" s="6" t="e">
        <f aca="false">sheet1!aoc156</f>
        <v>#NAME?</v>
      </c>
      <c r="L155" s="6" t="e">
        <f aca="false">sheet1!aod156</f>
        <v>#NAME?</v>
      </c>
      <c r="M155" s="6" t="e">
        <f aca="false">sheet1!aoe156</f>
        <v>#NAME?</v>
      </c>
    </row>
    <row r="156" customFormat="false" ht="15.75" hidden="false" customHeight="false" outlineLevel="0" collapsed="false">
      <c r="A156" s="0" t="s">
        <v>65</v>
      </c>
      <c r="B156" s="1" t="n">
        <v>44016</v>
      </c>
      <c r="C156" s="6" t="e">
        <f aca="false">sheet1!anu157</f>
        <v>#NAME?</v>
      </c>
      <c r="D156" s="6" t="e">
        <f aca="false">sheet1!anv157</f>
        <v>#NAME?</v>
      </c>
      <c r="E156" s="6" t="e">
        <f aca="false">sheet1!anw157</f>
        <v>#NAME?</v>
      </c>
      <c r="F156" s="6" t="e">
        <f aca="false">sheet1!anx157</f>
        <v>#NAME?</v>
      </c>
      <c r="G156" s="6" t="e">
        <f aca="false">sheet1!any157</f>
        <v>#NAME?</v>
      </c>
      <c r="H156" s="6" t="e">
        <f aca="false">sheet1!anz157</f>
        <v>#NAME?</v>
      </c>
      <c r="I156" s="6" t="e">
        <f aca="false">sheet1!aoa157</f>
        <v>#NAME?</v>
      </c>
      <c r="J156" s="6" t="e">
        <f aca="false">sheet1!aob157</f>
        <v>#NAME?</v>
      </c>
      <c r="K156" s="6" t="e">
        <f aca="false">sheet1!aoc157</f>
        <v>#NAME?</v>
      </c>
      <c r="L156" s="6" t="e">
        <f aca="false">sheet1!aod157</f>
        <v>#NAME?</v>
      </c>
      <c r="M156" s="6" t="e">
        <f aca="false">sheet1!aoe157</f>
        <v>#NAME?</v>
      </c>
    </row>
    <row r="157" customFormat="false" ht="15.75" hidden="false" customHeight="false" outlineLevel="0" collapsed="false">
      <c r="A157" s="0" t="s">
        <v>65</v>
      </c>
      <c r="B157" s="1" t="n">
        <v>44017</v>
      </c>
      <c r="C157" s="6" t="e">
        <f aca="false">sheet1!anu158</f>
        <v>#NAME?</v>
      </c>
      <c r="D157" s="6" t="e">
        <f aca="false">sheet1!anv158</f>
        <v>#NAME?</v>
      </c>
      <c r="E157" s="6" t="e">
        <f aca="false">sheet1!anw158</f>
        <v>#NAME?</v>
      </c>
      <c r="F157" s="6" t="e">
        <f aca="false">sheet1!anx158</f>
        <v>#NAME?</v>
      </c>
      <c r="G157" s="6" t="e">
        <f aca="false">sheet1!any158</f>
        <v>#NAME?</v>
      </c>
      <c r="H157" s="6" t="e">
        <f aca="false">sheet1!anz158</f>
        <v>#NAME?</v>
      </c>
      <c r="I157" s="6" t="e">
        <f aca="false">sheet1!aoa158</f>
        <v>#NAME?</v>
      </c>
      <c r="J157" s="6" t="e">
        <f aca="false">sheet1!aob158</f>
        <v>#NAME?</v>
      </c>
      <c r="K157" s="6" t="e">
        <f aca="false">sheet1!aoc158</f>
        <v>#NAME?</v>
      </c>
      <c r="L157" s="6" t="e">
        <f aca="false">sheet1!aod158</f>
        <v>#NAME?</v>
      </c>
      <c r="M157" s="6" t="e">
        <f aca="false">sheet1!aoe158</f>
        <v>#NAME?</v>
      </c>
    </row>
    <row r="158" customFormat="false" ht="15.75" hidden="false" customHeight="false" outlineLevel="0" collapsed="false">
      <c r="A158" s="0" t="s">
        <v>65</v>
      </c>
      <c r="B158" s="1" t="n">
        <v>44018</v>
      </c>
      <c r="C158" s="6" t="e">
        <f aca="false">sheet1!anu159</f>
        <v>#NAME?</v>
      </c>
      <c r="D158" s="6" t="e">
        <f aca="false">sheet1!anv159</f>
        <v>#NAME?</v>
      </c>
      <c r="E158" s="6" t="e">
        <f aca="false">sheet1!anw159</f>
        <v>#NAME?</v>
      </c>
      <c r="F158" s="6" t="e">
        <f aca="false">sheet1!anx159</f>
        <v>#NAME?</v>
      </c>
      <c r="G158" s="6" t="e">
        <f aca="false">sheet1!any159</f>
        <v>#NAME?</v>
      </c>
      <c r="H158" s="6" t="e">
        <f aca="false">sheet1!anz159</f>
        <v>#NAME?</v>
      </c>
      <c r="I158" s="6" t="e">
        <f aca="false">sheet1!aoa159</f>
        <v>#NAME?</v>
      </c>
      <c r="J158" s="6" t="e">
        <f aca="false">sheet1!aob159</f>
        <v>#NAME?</v>
      </c>
      <c r="K158" s="6" t="e">
        <f aca="false">sheet1!aoc159</f>
        <v>#NAME?</v>
      </c>
      <c r="L158" s="6" t="e">
        <f aca="false">sheet1!aod159</f>
        <v>#NAME?</v>
      </c>
      <c r="M158" s="6" t="e">
        <f aca="false">sheet1!aoe159</f>
        <v>#NAME?</v>
      </c>
    </row>
    <row r="159" customFormat="false" ht="15.75" hidden="false" customHeight="false" outlineLevel="0" collapsed="false">
      <c r="A159" s="0" t="s">
        <v>65</v>
      </c>
      <c r="B159" s="1" t="n">
        <v>44019</v>
      </c>
      <c r="C159" s="6" t="e">
        <f aca="false">sheet1!anu160</f>
        <v>#NAME?</v>
      </c>
      <c r="D159" s="6" t="e">
        <f aca="false">sheet1!anv160</f>
        <v>#NAME?</v>
      </c>
      <c r="E159" s="6" t="e">
        <f aca="false">sheet1!anw160</f>
        <v>#NAME?</v>
      </c>
      <c r="F159" s="6" t="e">
        <f aca="false">sheet1!anx160</f>
        <v>#NAME?</v>
      </c>
      <c r="G159" s="6" t="e">
        <f aca="false">sheet1!any160</f>
        <v>#NAME?</v>
      </c>
      <c r="H159" s="6" t="e">
        <f aca="false">sheet1!anz160</f>
        <v>#NAME?</v>
      </c>
      <c r="I159" s="6" t="e">
        <f aca="false">sheet1!aoa160</f>
        <v>#NAME?</v>
      </c>
      <c r="J159" s="6" t="e">
        <f aca="false">sheet1!aob160</f>
        <v>#NAME?</v>
      </c>
      <c r="K159" s="6" t="e">
        <f aca="false">sheet1!aoc160</f>
        <v>#NAME?</v>
      </c>
      <c r="L159" s="6" t="e">
        <f aca="false">sheet1!aod160</f>
        <v>#NAME?</v>
      </c>
      <c r="M159" s="6" t="e">
        <f aca="false">sheet1!aoe160</f>
        <v>#NAME?</v>
      </c>
    </row>
    <row r="160" customFormat="false" ht="15.75" hidden="false" customHeight="false" outlineLevel="0" collapsed="false">
      <c r="A160" s="0" t="s">
        <v>65</v>
      </c>
      <c r="B160" s="1" t="n">
        <v>44020</v>
      </c>
      <c r="C160" s="6" t="e">
        <f aca="false">sheet1!anu161</f>
        <v>#NAME?</v>
      </c>
      <c r="D160" s="6" t="e">
        <f aca="false">sheet1!anv161</f>
        <v>#NAME?</v>
      </c>
      <c r="E160" s="6" t="e">
        <f aca="false">sheet1!anw161</f>
        <v>#NAME?</v>
      </c>
      <c r="F160" s="6" t="e">
        <f aca="false">sheet1!anx161</f>
        <v>#NAME?</v>
      </c>
      <c r="G160" s="6" t="e">
        <f aca="false">sheet1!any161</f>
        <v>#NAME?</v>
      </c>
      <c r="H160" s="6" t="e">
        <f aca="false">sheet1!anz161</f>
        <v>#NAME?</v>
      </c>
      <c r="I160" s="6" t="e">
        <f aca="false">sheet1!aoa161</f>
        <v>#NAME?</v>
      </c>
      <c r="J160" s="6" t="e">
        <f aca="false">sheet1!aob161</f>
        <v>#NAME?</v>
      </c>
      <c r="K160" s="6" t="e">
        <f aca="false">sheet1!aoc161</f>
        <v>#NAME?</v>
      </c>
      <c r="L160" s="6" t="e">
        <f aca="false">sheet1!aod161</f>
        <v>#NAME?</v>
      </c>
      <c r="M160" s="6" t="e">
        <f aca="false">sheet1!aoe161</f>
        <v>#NAME?</v>
      </c>
    </row>
    <row r="161" customFormat="false" ht="15.75" hidden="false" customHeight="false" outlineLevel="0" collapsed="false">
      <c r="A161" s="0" t="s">
        <v>65</v>
      </c>
      <c r="B161" s="1" t="n">
        <v>44021</v>
      </c>
      <c r="C161" s="6" t="e">
        <f aca="false">sheet1!anu162</f>
        <v>#NAME?</v>
      </c>
      <c r="D161" s="6" t="e">
        <f aca="false">sheet1!anv162</f>
        <v>#NAME?</v>
      </c>
      <c r="E161" s="6" t="e">
        <f aca="false">sheet1!anw162</f>
        <v>#NAME?</v>
      </c>
      <c r="F161" s="6" t="e">
        <f aca="false">sheet1!anx162</f>
        <v>#NAME?</v>
      </c>
      <c r="G161" s="6" t="e">
        <f aca="false">sheet1!any162</f>
        <v>#NAME?</v>
      </c>
      <c r="H161" s="6" t="e">
        <f aca="false">sheet1!anz162</f>
        <v>#NAME?</v>
      </c>
      <c r="I161" s="6" t="e">
        <f aca="false">sheet1!aoa162</f>
        <v>#NAME?</v>
      </c>
      <c r="J161" s="6" t="e">
        <f aca="false">sheet1!aob162</f>
        <v>#NAME?</v>
      </c>
      <c r="K161" s="6" t="e">
        <f aca="false">sheet1!aoc162</f>
        <v>#NAME?</v>
      </c>
      <c r="L161" s="6" t="e">
        <f aca="false">sheet1!aod162</f>
        <v>#NAME?</v>
      </c>
      <c r="M161" s="6" t="e">
        <f aca="false">sheet1!aoe162</f>
        <v>#NAME?</v>
      </c>
    </row>
    <row r="162" customFormat="false" ht="15.75" hidden="false" customHeight="false" outlineLevel="0" collapsed="false">
      <c r="A162" s="0" t="s">
        <v>65</v>
      </c>
      <c r="B162" s="1" t="n">
        <v>44022</v>
      </c>
      <c r="C162" s="6" t="e">
        <f aca="false">sheet1!anu163</f>
        <v>#NAME?</v>
      </c>
      <c r="D162" s="6" t="e">
        <f aca="false">sheet1!anv163</f>
        <v>#NAME?</v>
      </c>
      <c r="E162" s="6" t="e">
        <f aca="false">sheet1!anw163</f>
        <v>#NAME?</v>
      </c>
      <c r="F162" s="6" t="e">
        <f aca="false">sheet1!anx163</f>
        <v>#NAME?</v>
      </c>
      <c r="G162" s="6" t="e">
        <f aca="false">sheet1!any163</f>
        <v>#NAME?</v>
      </c>
      <c r="H162" s="6" t="e">
        <f aca="false">sheet1!anz163</f>
        <v>#NAME?</v>
      </c>
      <c r="I162" s="6" t="e">
        <f aca="false">sheet1!aoa163</f>
        <v>#NAME?</v>
      </c>
      <c r="J162" s="6" t="e">
        <f aca="false">sheet1!aob163</f>
        <v>#NAME?</v>
      </c>
      <c r="K162" s="6" t="e">
        <f aca="false">sheet1!aoc163</f>
        <v>#NAME?</v>
      </c>
      <c r="L162" s="6" t="e">
        <f aca="false">sheet1!aod163</f>
        <v>#NAME?</v>
      </c>
      <c r="M162" s="6" t="e">
        <f aca="false">sheet1!aoe163</f>
        <v>#NAME?</v>
      </c>
    </row>
    <row r="163" customFormat="false" ht="15.75" hidden="false" customHeight="false" outlineLevel="0" collapsed="false">
      <c r="A163" s="0" t="s">
        <v>65</v>
      </c>
      <c r="B163" s="1" t="n">
        <v>44023</v>
      </c>
      <c r="C163" s="6" t="e">
        <f aca="false">sheet1!anu164</f>
        <v>#NAME?</v>
      </c>
      <c r="D163" s="6" t="e">
        <f aca="false">sheet1!anv164</f>
        <v>#NAME?</v>
      </c>
      <c r="E163" s="6" t="e">
        <f aca="false">sheet1!anw164</f>
        <v>#NAME?</v>
      </c>
      <c r="F163" s="6" t="e">
        <f aca="false">sheet1!anx164</f>
        <v>#NAME?</v>
      </c>
      <c r="G163" s="6" t="e">
        <f aca="false">sheet1!any164</f>
        <v>#NAME?</v>
      </c>
      <c r="H163" s="6" t="e">
        <f aca="false">sheet1!anz164</f>
        <v>#NAME?</v>
      </c>
      <c r="I163" s="6" t="e">
        <f aca="false">sheet1!aoa164</f>
        <v>#NAME?</v>
      </c>
      <c r="J163" s="6" t="e">
        <f aca="false">sheet1!aob164</f>
        <v>#NAME?</v>
      </c>
      <c r="K163" s="6" t="e">
        <f aca="false">sheet1!aoc164</f>
        <v>#NAME?</v>
      </c>
      <c r="L163" s="6" t="e">
        <f aca="false">sheet1!aod164</f>
        <v>#NAME?</v>
      </c>
      <c r="M163" s="6" t="e">
        <f aca="false">sheet1!aoe164</f>
        <v>#NAME?</v>
      </c>
    </row>
    <row r="164" customFormat="false" ht="15.75" hidden="false" customHeight="false" outlineLevel="0" collapsed="false">
      <c r="A164" s="0" t="s">
        <v>65</v>
      </c>
      <c r="B164" s="1" t="n">
        <v>44024</v>
      </c>
      <c r="C164" s="6" t="e">
        <f aca="false">sheet1!anu165</f>
        <v>#NAME?</v>
      </c>
      <c r="D164" s="6" t="e">
        <f aca="false">sheet1!anv165</f>
        <v>#NAME?</v>
      </c>
      <c r="E164" s="6" t="e">
        <f aca="false">sheet1!anw165</f>
        <v>#NAME?</v>
      </c>
      <c r="F164" s="6" t="e">
        <f aca="false">sheet1!anx165</f>
        <v>#NAME?</v>
      </c>
      <c r="G164" s="6" t="e">
        <f aca="false">sheet1!any165</f>
        <v>#NAME?</v>
      </c>
      <c r="H164" s="6" t="e">
        <f aca="false">sheet1!anz165</f>
        <v>#NAME?</v>
      </c>
      <c r="I164" s="6" t="e">
        <f aca="false">sheet1!aoa165</f>
        <v>#NAME?</v>
      </c>
      <c r="J164" s="6" t="e">
        <f aca="false">sheet1!aob165</f>
        <v>#NAME?</v>
      </c>
      <c r="K164" s="6" t="e">
        <f aca="false">sheet1!aoc165</f>
        <v>#NAME?</v>
      </c>
      <c r="L164" s="6" t="e">
        <f aca="false">sheet1!aod165</f>
        <v>#NAME?</v>
      </c>
      <c r="M164" s="6" t="e">
        <f aca="false">sheet1!aoe165</f>
        <v>#NAME?</v>
      </c>
    </row>
    <row r="165" customFormat="false" ht="15.75" hidden="false" customHeight="false" outlineLevel="0" collapsed="false">
      <c r="A165" s="0" t="s">
        <v>65</v>
      </c>
      <c r="B165" s="1" t="n">
        <v>44025</v>
      </c>
      <c r="C165" s="6" t="e">
        <f aca="false">sheet1!anu166</f>
        <v>#NAME?</v>
      </c>
      <c r="D165" s="6" t="e">
        <f aca="false">sheet1!anv166</f>
        <v>#NAME?</v>
      </c>
      <c r="E165" s="6" t="e">
        <f aca="false">sheet1!anw166</f>
        <v>#NAME?</v>
      </c>
      <c r="F165" s="6" t="e">
        <f aca="false">sheet1!anx166</f>
        <v>#NAME?</v>
      </c>
      <c r="G165" s="6" t="e">
        <f aca="false">sheet1!any166</f>
        <v>#NAME?</v>
      </c>
      <c r="H165" s="6" t="e">
        <f aca="false">sheet1!anz166</f>
        <v>#NAME?</v>
      </c>
      <c r="I165" s="6" t="e">
        <f aca="false">sheet1!aoa166</f>
        <v>#NAME?</v>
      </c>
      <c r="J165" s="6" t="e">
        <f aca="false">sheet1!aob166</f>
        <v>#NAME?</v>
      </c>
      <c r="K165" s="6" t="e">
        <f aca="false">sheet1!aoc166</f>
        <v>#NAME?</v>
      </c>
      <c r="L165" s="6" t="e">
        <f aca="false">sheet1!aod166</f>
        <v>#NAME?</v>
      </c>
      <c r="M165" s="6" t="e">
        <f aca="false">sheet1!aoe166</f>
        <v>#NAME?</v>
      </c>
    </row>
    <row r="166" customFormat="false" ht="15.75" hidden="false" customHeight="false" outlineLevel="0" collapsed="false">
      <c r="A166" s="0" t="s">
        <v>65</v>
      </c>
      <c r="B166" s="1" t="n">
        <v>44026</v>
      </c>
      <c r="C166" s="6" t="e">
        <f aca="false">sheet1!anu167</f>
        <v>#NAME?</v>
      </c>
      <c r="D166" s="6" t="e">
        <f aca="false">sheet1!anv167</f>
        <v>#NAME?</v>
      </c>
      <c r="E166" s="6" t="e">
        <f aca="false">sheet1!anw167</f>
        <v>#NAME?</v>
      </c>
      <c r="F166" s="6" t="e">
        <f aca="false">sheet1!anx167</f>
        <v>#NAME?</v>
      </c>
      <c r="G166" s="6" t="e">
        <f aca="false">sheet1!any167</f>
        <v>#NAME?</v>
      </c>
      <c r="H166" s="6" t="e">
        <f aca="false">sheet1!anz167</f>
        <v>#NAME?</v>
      </c>
      <c r="I166" s="6" t="e">
        <f aca="false">sheet1!aoa167</f>
        <v>#NAME?</v>
      </c>
      <c r="J166" s="6" t="e">
        <f aca="false">sheet1!aob167</f>
        <v>#NAME?</v>
      </c>
      <c r="K166" s="6" t="e">
        <f aca="false">sheet1!aoc167</f>
        <v>#NAME?</v>
      </c>
      <c r="L166" s="6" t="e">
        <f aca="false">sheet1!aod167</f>
        <v>#NAME?</v>
      </c>
      <c r="M166" s="6" t="e">
        <f aca="false">sheet1!aoe167</f>
        <v>#NAME?</v>
      </c>
    </row>
    <row r="167" customFormat="false" ht="15.75" hidden="false" customHeight="false" outlineLevel="0" collapsed="false">
      <c r="A167" s="0" t="s">
        <v>65</v>
      </c>
      <c r="B167" s="1" t="n">
        <v>44027</v>
      </c>
      <c r="C167" s="6" t="e">
        <f aca="false">sheet1!anu168</f>
        <v>#NAME?</v>
      </c>
      <c r="D167" s="6" t="e">
        <f aca="false">sheet1!anv168</f>
        <v>#NAME?</v>
      </c>
      <c r="E167" s="6" t="e">
        <f aca="false">sheet1!anw168</f>
        <v>#NAME?</v>
      </c>
      <c r="F167" s="6" t="e">
        <f aca="false">sheet1!anx168</f>
        <v>#NAME?</v>
      </c>
      <c r="G167" s="6" t="e">
        <f aca="false">sheet1!any168</f>
        <v>#NAME?</v>
      </c>
      <c r="H167" s="6" t="e">
        <f aca="false">sheet1!anz168</f>
        <v>#NAME?</v>
      </c>
      <c r="I167" s="6" t="e">
        <f aca="false">sheet1!aoa168</f>
        <v>#NAME?</v>
      </c>
      <c r="J167" s="6" t="e">
        <f aca="false">sheet1!aob168</f>
        <v>#NAME?</v>
      </c>
      <c r="K167" s="6" t="e">
        <f aca="false">sheet1!aoc168</f>
        <v>#NAME?</v>
      </c>
      <c r="L167" s="6" t="e">
        <f aca="false">sheet1!aod168</f>
        <v>#NAME?</v>
      </c>
      <c r="M167" s="6" t="e">
        <f aca="false">sheet1!aoe168</f>
        <v>#NAME?</v>
      </c>
    </row>
    <row r="168" customFormat="false" ht="15.75" hidden="false" customHeight="false" outlineLevel="0" collapsed="false">
      <c r="A168" s="0" t="s">
        <v>65</v>
      </c>
      <c r="B168" s="1" t="n">
        <v>44028</v>
      </c>
      <c r="C168" s="6" t="e">
        <f aca="false">sheet1!anu169</f>
        <v>#NAME?</v>
      </c>
      <c r="D168" s="6" t="e">
        <f aca="false">sheet1!anv169</f>
        <v>#NAME?</v>
      </c>
      <c r="E168" s="6" t="e">
        <f aca="false">sheet1!anw169</f>
        <v>#NAME?</v>
      </c>
      <c r="F168" s="6" t="e">
        <f aca="false">sheet1!anx169</f>
        <v>#NAME?</v>
      </c>
      <c r="G168" s="6" t="e">
        <f aca="false">sheet1!any169</f>
        <v>#NAME?</v>
      </c>
      <c r="H168" s="6" t="e">
        <f aca="false">sheet1!anz169</f>
        <v>#NAME?</v>
      </c>
      <c r="I168" s="6" t="e">
        <f aca="false">sheet1!aoa169</f>
        <v>#NAME?</v>
      </c>
      <c r="J168" s="6" t="e">
        <f aca="false">sheet1!aob169</f>
        <v>#NAME?</v>
      </c>
      <c r="K168" s="6" t="e">
        <f aca="false">sheet1!aoc169</f>
        <v>#NAME?</v>
      </c>
      <c r="L168" s="6" t="e">
        <f aca="false">sheet1!aod169</f>
        <v>#NAME?</v>
      </c>
      <c r="M168" s="6" t="e">
        <f aca="false">sheet1!aoe169</f>
        <v>#NAME?</v>
      </c>
    </row>
    <row r="169" customFormat="false" ht="15.75" hidden="false" customHeight="false" outlineLevel="0" collapsed="false">
      <c r="A169" s="0" t="s">
        <v>65</v>
      </c>
      <c r="B169" s="1" t="n">
        <v>44029</v>
      </c>
      <c r="C169" s="6" t="e">
        <f aca="false">sheet1!anu170</f>
        <v>#NAME?</v>
      </c>
      <c r="D169" s="6" t="e">
        <f aca="false">sheet1!anv170</f>
        <v>#NAME?</v>
      </c>
      <c r="E169" s="6" t="e">
        <f aca="false">sheet1!anw170</f>
        <v>#NAME?</v>
      </c>
      <c r="F169" s="6" t="e">
        <f aca="false">sheet1!anx170</f>
        <v>#NAME?</v>
      </c>
      <c r="G169" s="6" t="e">
        <f aca="false">sheet1!any170</f>
        <v>#NAME?</v>
      </c>
      <c r="H169" s="6" t="e">
        <f aca="false">sheet1!anz170</f>
        <v>#NAME?</v>
      </c>
      <c r="I169" s="6" t="e">
        <f aca="false">sheet1!aoa170</f>
        <v>#NAME?</v>
      </c>
      <c r="J169" s="6" t="e">
        <f aca="false">sheet1!aob170</f>
        <v>#NAME?</v>
      </c>
      <c r="K169" s="6" t="e">
        <f aca="false">sheet1!aoc170</f>
        <v>#NAME?</v>
      </c>
      <c r="L169" s="6" t="e">
        <f aca="false">sheet1!aod170</f>
        <v>#NAME?</v>
      </c>
      <c r="M169" s="6" t="e">
        <f aca="false">sheet1!aoe170</f>
        <v>#NAME?</v>
      </c>
    </row>
    <row r="170" customFormat="false" ht="15.75" hidden="false" customHeight="false" outlineLevel="0" collapsed="false">
      <c r="A170" s="0" t="s">
        <v>65</v>
      </c>
      <c r="B170" s="1" t="n">
        <v>44030</v>
      </c>
      <c r="C170" s="6" t="e">
        <f aca="false">sheet1!anu171</f>
        <v>#NAME?</v>
      </c>
      <c r="D170" s="6" t="e">
        <f aca="false">sheet1!anv171</f>
        <v>#NAME?</v>
      </c>
      <c r="E170" s="6" t="e">
        <f aca="false">sheet1!anw171</f>
        <v>#NAME?</v>
      </c>
      <c r="F170" s="6" t="e">
        <f aca="false">sheet1!anx171</f>
        <v>#NAME?</v>
      </c>
      <c r="G170" s="6" t="e">
        <f aca="false">sheet1!any171</f>
        <v>#NAME?</v>
      </c>
      <c r="H170" s="6" t="e">
        <f aca="false">sheet1!anz171</f>
        <v>#NAME?</v>
      </c>
      <c r="I170" s="6" t="e">
        <f aca="false">sheet1!aoa171</f>
        <v>#NAME?</v>
      </c>
      <c r="J170" s="6" t="e">
        <f aca="false">sheet1!aob171</f>
        <v>#NAME?</v>
      </c>
      <c r="K170" s="6" t="e">
        <f aca="false">sheet1!aoc171</f>
        <v>#NAME?</v>
      </c>
      <c r="L170" s="6" t="e">
        <f aca="false">sheet1!aod171</f>
        <v>#NAME?</v>
      </c>
      <c r="M170" s="6" t="e">
        <f aca="false">sheet1!aoe171</f>
        <v>#NAME?</v>
      </c>
    </row>
    <row r="171" customFormat="false" ht="15.75" hidden="false" customHeight="false" outlineLevel="0" collapsed="false">
      <c r="A171" s="0" t="s">
        <v>65</v>
      </c>
      <c r="B171" s="1" t="n">
        <v>44031</v>
      </c>
      <c r="C171" s="6" t="e">
        <f aca="false">sheet1!anu172</f>
        <v>#NAME?</v>
      </c>
      <c r="D171" s="6" t="e">
        <f aca="false">sheet1!anv172</f>
        <v>#NAME?</v>
      </c>
      <c r="E171" s="6" t="e">
        <f aca="false">sheet1!anw172</f>
        <v>#NAME?</v>
      </c>
      <c r="F171" s="6" t="e">
        <f aca="false">sheet1!anx172</f>
        <v>#NAME?</v>
      </c>
      <c r="G171" s="6" t="e">
        <f aca="false">sheet1!any172</f>
        <v>#NAME?</v>
      </c>
      <c r="H171" s="6" t="e">
        <f aca="false">sheet1!anz172</f>
        <v>#NAME?</v>
      </c>
      <c r="I171" s="6" t="e">
        <f aca="false">sheet1!aoa172</f>
        <v>#NAME?</v>
      </c>
      <c r="J171" s="6" t="e">
        <f aca="false">sheet1!aob172</f>
        <v>#NAME?</v>
      </c>
      <c r="K171" s="6" t="e">
        <f aca="false">sheet1!aoc172</f>
        <v>#NAME?</v>
      </c>
      <c r="L171" s="6" t="e">
        <f aca="false">sheet1!aod172</f>
        <v>#NAME?</v>
      </c>
      <c r="M171" s="6" t="e">
        <f aca="false">sheet1!aoe172</f>
        <v>#NAME?</v>
      </c>
    </row>
    <row r="172" customFormat="false" ht="15.75" hidden="false" customHeight="false" outlineLevel="0" collapsed="false">
      <c r="A172" s="0" t="s">
        <v>65</v>
      </c>
      <c r="B172" s="1" t="n">
        <v>44032</v>
      </c>
      <c r="C172" s="6" t="e">
        <f aca="false">sheet1!anu173</f>
        <v>#NAME?</v>
      </c>
      <c r="D172" s="6" t="e">
        <f aca="false">sheet1!anv173</f>
        <v>#NAME?</v>
      </c>
      <c r="E172" s="6" t="e">
        <f aca="false">sheet1!anw173</f>
        <v>#NAME?</v>
      </c>
      <c r="F172" s="6" t="e">
        <f aca="false">sheet1!anx173</f>
        <v>#NAME?</v>
      </c>
      <c r="G172" s="6" t="e">
        <f aca="false">sheet1!any173</f>
        <v>#NAME?</v>
      </c>
      <c r="H172" s="6" t="e">
        <f aca="false">sheet1!anz173</f>
        <v>#NAME?</v>
      </c>
      <c r="I172" s="6" t="e">
        <f aca="false">sheet1!aoa173</f>
        <v>#NAME?</v>
      </c>
      <c r="J172" s="6" t="e">
        <f aca="false">sheet1!aob173</f>
        <v>#NAME?</v>
      </c>
      <c r="K172" s="6" t="e">
        <f aca="false">sheet1!aoc173</f>
        <v>#NAME?</v>
      </c>
      <c r="L172" s="6" t="e">
        <f aca="false">sheet1!aod173</f>
        <v>#NAME?</v>
      </c>
      <c r="M172" s="6" t="e">
        <f aca="false">sheet1!aoe173</f>
        <v>#NAME?</v>
      </c>
    </row>
    <row r="173" customFormat="false" ht="15.75" hidden="false" customHeight="false" outlineLevel="0" collapsed="false">
      <c r="A173" s="0" t="s">
        <v>65</v>
      </c>
      <c r="B173" s="1" t="n">
        <v>44033</v>
      </c>
      <c r="C173" s="6" t="e">
        <f aca="false">sheet1!anu174</f>
        <v>#NAME?</v>
      </c>
      <c r="D173" s="6" t="e">
        <f aca="false">sheet1!anv174</f>
        <v>#NAME?</v>
      </c>
      <c r="E173" s="6" t="e">
        <f aca="false">sheet1!anw174</f>
        <v>#NAME?</v>
      </c>
      <c r="F173" s="6" t="e">
        <f aca="false">sheet1!anx174</f>
        <v>#NAME?</v>
      </c>
      <c r="G173" s="6" t="e">
        <f aca="false">sheet1!any174</f>
        <v>#NAME?</v>
      </c>
      <c r="H173" s="6" t="e">
        <f aca="false">sheet1!anz174</f>
        <v>#NAME?</v>
      </c>
      <c r="I173" s="6" t="e">
        <f aca="false">sheet1!aoa174</f>
        <v>#NAME?</v>
      </c>
      <c r="J173" s="6" t="e">
        <f aca="false">sheet1!aob174</f>
        <v>#NAME?</v>
      </c>
      <c r="K173" s="6" t="e">
        <f aca="false">sheet1!aoc174</f>
        <v>#NAME?</v>
      </c>
      <c r="L173" s="6" t="e">
        <f aca="false">sheet1!aod174</f>
        <v>#NAME?</v>
      </c>
      <c r="M173" s="6" t="e">
        <f aca="false">sheet1!aoe174</f>
        <v>#NAME?</v>
      </c>
    </row>
    <row r="174" customFormat="false" ht="15.75" hidden="false" customHeight="false" outlineLevel="0" collapsed="false">
      <c r="A174" s="0" t="s">
        <v>65</v>
      </c>
      <c r="B174" s="1" t="n">
        <v>44034</v>
      </c>
      <c r="C174" s="6" t="e">
        <f aca="false">sheet1!anu175</f>
        <v>#NAME?</v>
      </c>
      <c r="D174" s="6" t="e">
        <f aca="false">sheet1!anv175</f>
        <v>#NAME?</v>
      </c>
      <c r="E174" s="6" t="e">
        <f aca="false">sheet1!anw175</f>
        <v>#NAME?</v>
      </c>
      <c r="F174" s="6" t="e">
        <f aca="false">sheet1!anx175</f>
        <v>#NAME?</v>
      </c>
      <c r="G174" s="6" t="e">
        <f aca="false">sheet1!any175</f>
        <v>#NAME?</v>
      </c>
      <c r="H174" s="6" t="e">
        <f aca="false">sheet1!anz175</f>
        <v>#NAME?</v>
      </c>
      <c r="I174" s="6" t="e">
        <f aca="false">sheet1!aoa175</f>
        <v>#NAME?</v>
      </c>
      <c r="J174" s="6" t="e">
        <f aca="false">sheet1!aob175</f>
        <v>#NAME?</v>
      </c>
      <c r="K174" s="6" t="e">
        <f aca="false">sheet1!aoc175</f>
        <v>#NAME?</v>
      </c>
      <c r="L174" s="6" t="e">
        <f aca="false">sheet1!aod175</f>
        <v>#NAME?</v>
      </c>
      <c r="M174" s="6" t="e">
        <f aca="false">sheet1!aoe175</f>
        <v>#NAME?</v>
      </c>
    </row>
    <row r="175" customFormat="false" ht="15.75" hidden="false" customHeight="false" outlineLevel="0" collapsed="false">
      <c r="A175" s="0" t="s">
        <v>65</v>
      </c>
      <c r="B175" s="1" t="n">
        <v>44035</v>
      </c>
      <c r="C175" s="6" t="e">
        <f aca="false">sheet1!anu176</f>
        <v>#NAME?</v>
      </c>
      <c r="D175" s="6" t="e">
        <f aca="false">sheet1!anv176</f>
        <v>#NAME?</v>
      </c>
      <c r="E175" s="6" t="e">
        <f aca="false">sheet1!anw176</f>
        <v>#NAME?</v>
      </c>
      <c r="F175" s="6" t="e">
        <f aca="false">sheet1!anx176</f>
        <v>#NAME?</v>
      </c>
      <c r="G175" s="6" t="e">
        <f aca="false">sheet1!any176</f>
        <v>#NAME?</v>
      </c>
      <c r="H175" s="6" t="e">
        <f aca="false">sheet1!anz176</f>
        <v>#NAME?</v>
      </c>
      <c r="I175" s="6" t="e">
        <f aca="false">sheet1!aoa176</f>
        <v>#NAME?</v>
      </c>
      <c r="J175" s="6" t="e">
        <f aca="false">sheet1!aob176</f>
        <v>#NAME?</v>
      </c>
      <c r="K175" s="6" t="e">
        <f aca="false">sheet1!aoc176</f>
        <v>#NAME?</v>
      </c>
      <c r="L175" s="6" t="e">
        <f aca="false">sheet1!aod176</f>
        <v>#NAME?</v>
      </c>
      <c r="M175" s="6" t="e">
        <f aca="false">sheet1!aoe176</f>
        <v>#NAME?</v>
      </c>
    </row>
    <row r="176" customFormat="false" ht="15.75" hidden="false" customHeight="false" outlineLevel="0" collapsed="false">
      <c r="A176" s="0" t="s">
        <v>65</v>
      </c>
      <c r="B176" s="1" t="n">
        <v>44036</v>
      </c>
      <c r="C176" s="6" t="e">
        <f aca="false">sheet1!anu177</f>
        <v>#NAME?</v>
      </c>
      <c r="D176" s="6" t="e">
        <f aca="false">sheet1!anv177</f>
        <v>#NAME?</v>
      </c>
      <c r="E176" s="6" t="e">
        <f aca="false">sheet1!anw177</f>
        <v>#NAME?</v>
      </c>
      <c r="F176" s="6" t="e">
        <f aca="false">sheet1!anx177</f>
        <v>#NAME?</v>
      </c>
      <c r="G176" s="6" t="e">
        <f aca="false">sheet1!any177</f>
        <v>#NAME?</v>
      </c>
      <c r="H176" s="6" t="e">
        <f aca="false">sheet1!anz177</f>
        <v>#NAME?</v>
      </c>
      <c r="I176" s="6" t="e">
        <f aca="false">sheet1!aoa177</f>
        <v>#NAME?</v>
      </c>
      <c r="J176" s="6" t="e">
        <f aca="false">sheet1!aob177</f>
        <v>#NAME?</v>
      </c>
      <c r="K176" s="6" t="e">
        <f aca="false">sheet1!aoc177</f>
        <v>#NAME?</v>
      </c>
      <c r="L176" s="6" t="e">
        <f aca="false">sheet1!aod177</f>
        <v>#NAME?</v>
      </c>
      <c r="M176" s="6" t="e">
        <f aca="false">sheet1!aoe177</f>
        <v>#NAME?</v>
      </c>
    </row>
    <row r="177" customFormat="false" ht="15.75" hidden="false" customHeight="false" outlineLevel="0" collapsed="false">
      <c r="A177" s="0" t="s">
        <v>65</v>
      </c>
      <c r="B177" s="1" t="n">
        <v>44037</v>
      </c>
      <c r="C177" s="6" t="e">
        <f aca="false">sheet1!anu178</f>
        <v>#NAME?</v>
      </c>
      <c r="D177" s="6" t="e">
        <f aca="false">sheet1!anv178</f>
        <v>#NAME?</v>
      </c>
      <c r="E177" s="6" t="e">
        <f aca="false">sheet1!anw178</f>
        <v>#NAME?</v>
      </c>
      <c r="F177" s="6" t="e">
        <f aca="false">sheet1!anx178</f>
        <v>#NAME?</v>
      </c>
      <c r="G177" s="6" t="e">
        <f aca="false">sheet1!any178</f>
        <v>#NAME?</v>
      </c>
      <c r="H177" s="6" t="e">
        <f aca="false">sheet1!anz178</f>
        <v>#NAME?</v>
      </c>
      <c r="I177" s="6" t="e">
        <f aca="false">sheet1!aoa178</f>
        <v>#NAME?</v>
      </c>
      <c r="J177" s="6" t="e">
        <f aca="false">sheet1!aob178</f>
        <v>#NAME?</v>
      </c>
      <c r="K177" s="6" t="e">
        <f aca="false">sheet1!aoc178</f>
        <v>#NAME?</v>
      </c>
      <c r="L177" s="6" t="e">
        <f aca="false">sheet1!aod178</f>
        <v>#NAME?</v>
      </c>
      <c r="M177" s="6" t="e">
        <f aca="false">sheet1!aoe178</f>
        <v>#NAME?</v>
      </c>
    </row>
    <row r="178" customFormat="false" ht="15.75" hidden="false" customHeight="false" outlineLevel="0" collapsed="false">
      <c r="A178" s="0" t="s">
        <v>65</v>
      </c>
      <c r="B178" s="1" t="n">
        <v>44038</v>
      </c>
      <c r="C178" s="6" t="e">
        <f aca="false">sheet1!anu179</f>
        <v>#NAME?</v>
      </c>
      <c r="D178" s="6" t="e">
        <f aca="false">sheet1!anv179</f>
        <v>#NAME?</v>
      </c>
      <c r="E178" s="6" t="e">
        <f aca="false">sheet1!anw179</f>
        <v>#NAME?</v>
      </c>
      <c r="F178" s="6" t="e">
        <f aca="false">sheet1!anx179</f>
        <v>#NAME?</v>
      </c>
      <c r="G178" s="6" t="e">
        <f aca="false">sheet1!any179</f>
        <v>#NAME?</v>
      </c>
      <c r="H178" s="6" t="e">
        <f aca="false">sheet1!anz179</f>
        <v>#NAME?</v>
      </c>
      <c r="I178" s="6" t="e">
        <f aca="false">sheet1!aoa179</f>
        <v>#NAME?</v>
      </c>
      <c r="J178" s="6" t="e">
        <f aca="false">sheet1!aob179</f>
        <v>#NAME?</v>
      </c>
      <c r="K178" s="6" t="e">
        <f aca="false">sheet1!aoc179</f>
        <v>#NAME?</v>
      </c>
      <c r="L178" s="6" t="e">
        <f aca="false">sheet1!aod179</f>
        <v>#NAME?</v>
      </c>
      <c r="M178" s="6" t="e">
        <f aca="false">sheet1!aoe179</f>
        <v>#NAME?</v>
      </c>
    </row>
    <row r="179" customFormat="false" ht="15.75" hidden="false" customHeight="false" outlineLevel="0" collapsed="false">
      <c r="A179" s="0" t="s">
        <v>65</v>
      </c>
      <c r="B179" s="1" t="n">
        <v>44039</v>
      </c>
      <c r="C179" s="6" t="e">
        <f aca="false">sheet1!anu180</f>
        <v>#NAME?</v>
      </c>
      <c r="D179" s="6" t="e">
        <f aca="false">sheet1!anv180</f>
        <v>#NAME?</v>
      </c>
      <c r="E179" s="6" t="e">
        <f aca="false">sheet1!anw180</f>
        <v>#NAME?</v>
      </c>
      <c r="F179" s="6" t="e">
        <f aca="false">sheet1!anx180</f>
        <v>#NAME?</v>
      </c>
      <c r="G179" s="6" t="e">
        <f aca="false">sheet1!any180</f>
        <v>#NAME?</v>
      </c>
      <c r="H179" s="6" t="e">
        <f aca="false">sheet1!anz180</f>
        <v>#NAME?</v>
      </c>
      <c r="I179" s="6" t="e">
        <f aca="false">sheet1!aoa180</f>
        <v>#NAME?</v>
      </c>
      <c r="J179" s="6" t="e">
        <f aca="false">sheet1!aob180</f>
        <v>#NAME?</v>
      </c>
      <c r="K179" s="6" t="e">
        <f aca="false">sheet1!aoc180</f>
        <v>#NAME?</v>
      </c>
      <c r="L179" s="6" t="e">
        <f aca="false">sheet1!aod180</f>
        <v>#NAME?</v>
      </c>
      <c r="M179" s="6" t="e">
        <f aca="false">sheet1!aoe180</f>
        <v>#NAME?</v>
      </c>
    </row>
    <row r="180" customFormat="false" ht="15.75" hidden="false" customHeight="false" outlineLevel="0" collapsed="false">
      <c r="A180" s="0" t="s">
        <v>65</v>
      </c>
      <c r="B180" s="1" t="n">
        <v>44040</v>
      </c>
      <c r="C180" s="6" t="e">
        <f aca="false">sheet1!anu181</f>
        <v>#NAME?</v>
      </c>
      <c r="D180" s="6" t="e">
        <f aca="false">sheet1!anv181</f>
        <v>#NAME?</v>
      </c>
      <c r="E180" s="6" t="e">
        <f aca="false">sheet1!anw181</f>
        <v>#NAME?</v>
      </c>
      <c r="F180" s="6" t="e">
        <f aca="false">sheet1!anx181</f>
        <v>#NAME?</v>
      </c>
      <c r="G180" s="6" t="e">
        <f aca="false">sheet1!any181</f>
        <v>#NAME?</v>
      </c>
      <c r="H180" s="6" t="e">
        <f aca="false">sheet1!anz181</f>
        <v>#NAME?</v>
      </c>
      <c r="I180" s="6" t="e">
        <f aca="false">sheet1!aoa181</f>
        <v>#NAME?</v>
      </c>
      <c r="J180" s="6" t="e">
        <f aca="false">sheet1!aob181</f>
        <v>#NAME?</v>
      </c>
      <c r="K180" s="6" t="e">
        <f aca="false">sheet1!aoc181</f>
        <v>#NAME?</v>
      </c>
      <c r="L180" s="6" t="e">
        <f aca="false">sheet1!aod181</f>
        <v>#NAME?</v>
      </c>
      <c r="M180" s="6" t="e">
        <f aca="false">sheet1!aoe181</f>
        <v>#NAME?</v>
      </c>
    </row>
    <row r="181" customFormat="false" ht="15.75" hidden="false" customHeight="false" outlineLevel="0" collapsed="false">
      <c r="A181" s="0" t="s">
        <v>65</v>
      </c>
      <c r="B181" s="1" t="n">
        <v>44041</v>
      </c>
      <c r="C181" s="6" t="e">
        <f aca="false">sheet1!anu182</f>
        <v>#NAME?</v>
      </c>
      <c r="D181" s="6" t="e">
        <f aca="false">sheet1!anv182</f>
        <v>#NAME?</v>
      </c>
      <c r="E181" s="6" t="e">
        <f aca="false">sheet1!anw182</f>
        <v>#NAME?</v>
      </c>
      <c r="F181" s="6" t="e">
        <f aca="false">sheet1!anx182</f>
        <v>#NAME?</v>
      </c>
      <c r="G181" s="6" t="e">
        <f aca="false">sheet1!any182</f>
        <v>#NAME?</v>
      </c>
      <c r="H181" s="6" t="e">
        <f aca="false">sheet1!anz182</f>
        <v>#NAME?</v>
      </c>
      <c r="I181" s="6" t="e">
        <f aca="false">sheet1!aoa182</f>
        <v>#NAME?</v>
      </c>
      <c r="J181" s="6" t="e">
        <f aca="false">sheet1!aob182</f>
        <v>#NAME?</v>
      </c>
      <c r="K181" s="6" t="e">
        <f aca="false">sheet1!aoc182</f>
        <v>#NAME?</v>
      </c>
      <c r="L181" s="6" t="e">
        <f aca="false">sheet1!aod182</f>
        <v>#NAME?</v>
      </c>
      <c r="M181" s="6" t="e">
        <f aca="false">sheet1!aoe182</f>
        <v>#NAME?</v>
      </c>
    </row>
    <row r="182" customFormat="false" ht="15.75" hidden="false" customHeight="false" outlineLevel="0" collapsed="false">
      <c r="A182" s="0" t="s">
        <v>65</v>
      </c>
      <c r="B182" s="1" t="n">
        <v>44042</v>
      </c>
      <c r="C182" s="6" t="e">
        <f aca="false">sheet1!anu183</f>
        <v>#NAME?</v>
      </c>
      <c r="D182" s="6" t="e">
        <f aca="false">sheet1!anv183</f>
        <v>#NAME?</v>
      </c>
      <c r="E182" s="6" t="e">
        <f aca="false">sheet1!anw183</f>
        <v>#NAME?</v>
      </c>
      <c r="F182" s="6" t="e">
        <f aca="false">sheet1!anx183</f>
        <v>#NAME?</v>
      </c>
      <c r="G182" s="6" t="e">
        <f aca="false">sheet1!any183</f>
        <v>#NAME?</v>
      </c>
      <c r="H182" s="6" t="e">
        <f aca="false">sheet1!anz183</f>
        <v>#NAME?</v>
      </c>
      <c r="I182" s="6" t="e">
        <f aca="false">sheet1!aoa183</f>
        <v>#NAME?</v>
      </c>
      <c r="J182" s="6" t="e">
        <f aca="false">sheet1!aob183</f>
        <v>#NAME?</v>
      </c>
      <c r="K182" s="6" t="e">
        <f aca="false">sheet1!aoc183</f>
        <v>#NAME?</v>
      </c>
      <c r="L182" s="6" t="e">
        <f aca="false">sheet1!aod183</f>
        <v>#NAME?</v>
      </c>
      <c r="M182" s="6" t="e">
        <f aca="false">sheet1!aoe183</f>
        <v>#NAME?</v>
      </c>
    </row>
    <row r="183" customFormat="false" ht="15.75" hidden="false" customHeight="false" outlineLevel="0" collapsed="false">
      <c r="A183" s="0" t="s">
        <v>65</v>
      </c>
      <c r="B183" s="1" t="n">
        <v>44043</v>
      </c>
      <c r="C183" s="6" t="e">
        <f aca="false">sheet1!anu184</f>
        <v>#NAME?</v>
      </c>
      <c r="D183" s="6" t="e">
        <f aca="false">sheet1!anv184</f>
        <v>#NAME?</v>
      </c>
      <c r="E183" s="6" t="e">
        <f aca="false">sheet1!anw184</f>
        <v>#NAME?</v>
      </c>
      <c r="F183" s="6" t="e">
        <f aca="false">sheet1!anx184</f>
        <v>#NAME?</v>
      </c>
      <c r="G183" s="6" t="e">
        <f aca="false">sheet1!any184</f>
        <v>#NAME?</v>
      </c>
      <c r="H183" s="6" t="e">
        <f aca="false">sheet1!anz184</f>
        <v>#NAME?</v>
      </c>
      <c r="I183" s="6" t="e">
        <f aca="false">sheet1!aoa184</f>
        <v>#NAME?</v>
      </c>
      <c r="J183" s="6" t="e">
        <f aca="false">sheet1!aob184</f>
        <v>#NAME?</v>
      </c>
      <c r="K183" s="6" t="e">
        <f aca="false">sheet1!aoc184</f>
        <v>#NAME?</v>
      </c>
      <c r="L183" s="6" t="e">
        <f aca="false">sheet1!aod184</f>
        <v>#NAME?</v>
      </c>
      <c r="M183" s="6" t="e">
        <f aca="false">sheet1!aoe184</f>
        <v>#NAME?</v>
      </c>
    </row>
    <row r="184" customFormat="false" ht="15.75" hidden="false" customHeight="false" outlineLevel="0" collapsed="false">
      <c r="A184" s="0" t="s">
        <v>65</v>
      </c>
      <c r="B184" s="1" t="n">
        <v>44044</v>
      </c>
      <c r="C184" s="6" t="e">
        <f aca="false">sheet1!anu185</f>
        <v>#NAME?</v>
      </c>
      <c r="D184" s="6" t="e">
        <f aca="false">sheet1!anv185</f>
        <v>#NAME?</v>
      </c>
      <c r="E184" s="6" t="e">
        <f aca="false">sheet1!anw185</f>
        <v>#NAME?</v>
      </c>
      <c r="F184" s="6" t="e">
        <f aca="false">sheet1!anx185</f>
        <v>#NAME?</v>
      </c>
      <c r="G184" s="6" t="e">
        <f aca="false">sheet1!any185</f>
        <v>#NAME?</v>
      </c>
      <c r="H184" s="6" t="e">
        <f aca="false">sheet1!anz185</f>
        <v>#NAME?</v>
      </c>
      <c r="I184" s="6" t="e">
        <f aca="false">sheet1!aoa185</f>
        <v>#NAME?</v>
      </c>
      <c r="J184" s="6" t="e">
        <f aca="false">sheet1!aob185</f>
        <v>#NAME?</v>
      </c>
      <c r="K184" s="6" t="e">
        <f aca="false">sheet1!aoc185</f>
        <v>#NAME?</v>
      </c>
      <c r="L184" s="6" t="e">
        <f aca="false">sheet1!aod185</f>
        <v>#NAME?</v>
      </c>
      <c r="M184" s="6" t="e">
        <f aca="false">sheet1!aoe185</f>
        <v>#NAME?</v>
      </c>
    </row>
    <row r="185" customFormat="false" ht="15.75" hidden="false" customHeight="false" outlineLevel="0" collapsed="false">
      <c r="A185" s="0" t="s">
        <v>65</v>
      </c>
      <c r="B185" s="1" t="n">
        <v>44045</v>
      </c>
      <c r="C185" s="6" t="e">
        <f aca="false">sheet1!anu186</f>
        <v>#NAME?</v>
      </c>
      <c r="D185" s="6" t="e">
        <f aca="false">sheet1!anv186</f>
        <v>#NAME?</v>
      </c>
      <c r="E185" s="6" t="e">
        <f aca="false">sheet1!anw186</f>
        <v>#NAME?</v>
      </c>
      <c r="F185" s="6" t="e">
        <f aca="false">sheet1!anx186</f>
        <v>#NAME?</v>
      </c>
      <c r="G185" s="6" t="e">
        <f aca="false">sheet1!any186</f>
        <v>#NAME?</v>
      </c>
      <c r="H185" s="6" t="e">
        <f aca="false">sheet1!anz186</f>
        <v>#NAME?</v>
      </c>
      <c r="I185" s="6" t="e">
        <f aca="false">sheet1!aoa186</f>
        <v>#NAME?</v>
      </c>
      <c r="J185" s="6" t="e">
        <f aca="false">sheet1!aob186</f>
        <v>#NAME?</v>
      </c>
      <c r="K185" s="6" t="e">
        <f aca="false">sheet1!aoc186</f>
        <v>#NAME?</v>
      </c>
      <c r="L185" s="6" t="e">
        <f aca="false">sheet1!aod186</f>
        <v>#NAME?</v>
      </c>
      <c r="M185" s="6" t="e">
        <f aca="false">sheet1!aoe186</f>
        <v>#NAME?</v>
      </c>
    </row>
    <row r="186" customFormat="false" ht="15.75" hidden="false" customHeight="false" outlineLevel="0" collapsed="false">
      <c r="A186" s="0" t="s">
        <v>65</v>
      </c>
      <c r="B186" s="1" t="n">
        <v>44046</v>
      </c>
      <c r="C186" s="6" t="e">
        <f aca="false">sheet1!anu187</f>
        <v>#NAME?</v>
      </c>
      <c r="D186" s="6" t="e">
        <f aca="false">sheet1!anv187</f>
        <v>#NAME?</v>
      </c>
      <c r="E186" s="6" t="e">
        <f aca="false">sheet1!anw187</f>
        <v>#NAME?</v>
      </c>
      <c r="F186" s="6" t="e">
        <f aca="false">sheet1!anx187</f>
        <v>#NAME?</v>
      </c>
      <c r="G186" s="6" t="e">
        <f aca="false">sheet1!any187</f>
        <v>#NAME?</v>
      </c>
      <c r="H186" s="6" t="e">
        <f aca="false">sheet1!anz187</f>
        <v>#NAME?</v>
      </c>
      <c r="I186" s="6" t="e">
        <f aca="false">sheet1!aoa187</f>
        <v>#NAME?</v>
      </c>
      <c r="J186" s="6" t="e">
        <f aca="false">sheet1!aob187</f>
        <v>#NAME?</v>
      </c>
      <c r="K186" s="6" t="e">
        <f aca="false">sheet1!aoc187</f>
        <v>#NAME?</v>
      </c>
      <c r="L186" s="6" t="e">
        <f aca="false">sheet1!aod187</f>
        <v>#NAME?</v>
      </c>
      <c r="M186" s="6" t="e">
        <f aca="false">sheet1!aoe187</f>
        <v>#NAME?</v>
      </c>
    </row>
    <row r="187" customFormat="false" ht="15.75" hidden="false" customHeight="false" outlineLevel="0" collapsed="false">
      <c r="A187" s="0" t="s">
        <v>65</v>
      </c>
      <c r="B187" s="1" t="n">
        <v>44047</v>
      </c>
      <c r="C187" s="6" t="e">
        <f aca="false">sheet1!anu188</f>
        <v>#NAME?</v>
      </c>
      <c r="D187" s="6" t="e">
        <f aca="false">sheet1!anv188</f>
        <v>#NAME?</v>
      </c>
      <c r="E187" s="6" t="e">
        <f aca="false">sheet1!anw188</f>
        <v>#NAME?</v>
      </c>
      <c r="F187" s="6" t="e">
        <f aca="false">sheet1!anx188</f>
        <v>#NAME?</v>
      </c>
      <c r="G187" s="6" t="e">
        <f aca="false">sheet1!any188</f>
        <v>#NAME?</v>
      </c>
      <c r="H187" s="6" t="e">
        <f aca="false">sheet1!anz188</f>
        <v>#NAME?</v>
      </c>
      <c r="I187" s="6" t="e">
        <f aca="false">sheet1!aoa188</f>
        <v>#NAME?</v>
      </c>
      <c r="J187" s="6" t="e">
        <f aca="false">sheet1!aob188</f>
        <v>#NAME?</v>
      </c>
      <c r="K187" s="6" t="e">
        <f aca="false">sheet1!aoc188</f>
        <v>#NAME?</v>
      </c>
      <c r="L187" s="6" t="e">
        <f aca="false">sheet1!aod188</f>
        <v>#NAME?</v>
      </c>
      <c r="M187" s="6" t="e">
        <f aca="false">sheet1!aoe188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63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30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31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66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32"/>
      <c r="L2" s="6"/>
      <c r="M2" s="6"/>
    </row>
    <row r="3" customFormat="false" ht="15.75" hidden="false" customHeight="false" outlineLevel="0" collapsed="false">
      <c r="A3" s="0" t="s">
        <v>66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32"/>
      <c r="L3" s="6"/>
      <c r="M3" s="6"/>
    </row>
    <row r="4" customFormat="false" ht="15.75" hidden="false" customHeight="false" outlineLevel="0" collapsed="false">
      <c r="A4" s="0" t="s">
        <v>66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32"/>
      <c r="L4" s="6"/>
      <c r="M4" s="6"/>
    </row>
    <row r="5" customFormat="false" ht="15.75" hidden="false" customHeight="false" outlineLevel="0" collapsed="false">
      <c r="A5" s="0" t="s">
        <v>66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32"/>
      <c r="L5" s="6"/>
      <c r="M5" s="6"/>
    </row>
    <row r="6" customFormat="false" ht="15.75" hidden="false" customHeight="false" outlineLevel="0" collapsed="false">
      <c r="A6" s="0" t="s">
        <v>66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32"/>
      <c r="L6" s="6"/>
      <c r="M6" s="6"/>
    </row>
    <row r="7" customFormat="false" ht="15.75" hidden="false" customHeight="false" outlineLevel="0" collapsed="false">
      <c r="A7" s="0" t="s">
        <v>66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32"/>
      <c r="L7" s="6"/>
      <c r="M7" s="6"/>
    </row>
    <row r="8" customFormat="false" ht="15.75" hidden="false" customHeight="false" outlineLevel="0" collapsed="false">
      <c r="A8" s="0" t="s">
        <v>66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32"/>
      <c r="L8" s="6"/>
      <c r="M8" s="6"/>
    </row>
    <row r="9" customFormat="false" ht="15.75" hidden="false" customHeight="false" outlineLevel="0" collapsed="false">
      <c r="A9" s="0" t="s">
        <v>66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32"/>
      <c r="L9" s="6"/>
      <c r="M9" s="6"/>
    </row>
    <row r="10" customFormat="false" ht="15.75" hidden="false" customHeight="false" outlineLevel="0" collapsed="false">
      <c r="A10" s="0" t="s">
        <v>66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32"/>
      <c r="L10" s="6"/>
      <c r="M10" s="6"/>
    </row>
    <row r="11" customFormat="false" ht="15.75" hidden="false" customHeight="false" outlineLevel="0" collapsed="false">
      <c r="A11" s="0" t="s">
        <v>66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32"/>
      <c r="L11" s="6"/>
      <c r="M11" s="6"/>
    </row>
    <row r="12" customFormat="false" ht="15.75" hidden="false" customHeight="false" outlineLevel="0" collapsed="false">
      <c r="A12" s="0" t="s">
        <v>66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32"/>
      <c r="L12" s="6"/>
      <c r="M12" s="6"/>
    </row>
    <row r="13" customFormat="false" ht="15.75" hidden="false" customHeight="false" outlineLevel="0" collapsed="false">
      <c r="A13" s="0" t="s">
        <v>66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32"/>
      <c r="L13" s="6"/>
      <c r="M13" s="6"/>
    </row>
    <row r="14" customFormat="false" ht="15.75" hidden="false" customHeight="false" outlineLevel="0" collapsed="false">
      <c r="A14" s="0" t="s">
        <v>66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32"/>
      <c r="L14" s="6"/>
      <c r="M14" s="6"/>
    </row>
    <row r="15" customFormat="false" ht="15.75" hidden="false" customHeight="false" outlineLevel="0" collapsed="false">
      <c r="A15" s="0" t="s">
        <v>66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32"/>
      <c r="L15" s="6"/>
      <c r="M15" s="6"/>
    </row>
    <row r="16" customFormat="false" ht="15.75" hidden="false" customHeight="false" outlineLevel="0" collapsed="false">
      <c r="A16" s="0" t="s">
        <v>66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32"/>
      <c r="L16" s="6"/>
      <c r="M16" s="6"/>
    </row>
    <row r="17" customFormat="false" ht="15.75" hidden="false" customHeight="false" outlineLevel="0" collapsed="false">
      <c r="A17" s="0" t="s">
        <v>66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32"/>
      <c r="L17" s="6"/>
      <c r="M17" s="6"/>
    </row>
    <row r="18" customFormat="false" ht="15.75" hidden="false" customHeight="false" outlineLevel="0" collapsed="false">
      <c r="A18" s="0" t="s">
        <v>66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32"/>
      <c r="L18" s="6"/>
      <c r="M18" s="6"/>
    </row>
    <row r="19" customFormat="false" ht="15.75" hidden="false" customHeight="false" outlineLevel="0" collapsed="false">
      <c r="A19" s="0" t="s">
        <v>66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32"/>
      <c r="L19" s="6"/>
      <c r="M19" s="6"/>
    </row>
    <row r="20" customFormat="false" ht="15.75" hidden="false" customHeight="false" outlineLevel="0" collapsed="false">
      <c r="A20" s="0" t="s">
        <v>66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32"/>
      <c r="L20" s="6"/>
      <c r="M20" s="6"/>
    </row>
    <row r="21" customFormat="false" ht="15.75" hidden="false" customHeight="false" outlineLevel="0" collapsed="false">
      <c r="A21" s="0" t="s">
        <v>66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32"/>
      <c r="L21" s="6"/>
      <c r="M21" s="6"/>
    </row>
    <row r="22" customFormat="false" ht="15.75" hidden="false" customHeight="false" outlineLevel="0" collapsed="false">
      <c r="A22" s="0" t="s">
        <v>66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32"/>
      <c r="L22" s="6"/>
      <c r="M22" s="6"/>
    </row>
    <row r="23" customFormat="false" ht="15.75" hidden="false" customHeight="false" outlineLevel="0" collapsed="false">
      <c r="A23" s="0" t="s">
        <v>66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32"/>
      <c r="L23" s="6"/>
      <c r="M23" s="6"/>
    </row>
    <row r="24" customFormat="false" ht="15.75" hidden="false" customHeight="false" outlineLevel="0" collapsed="false">
      <c r="A24" s="0" t="s">
        <v>66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32"/>
      <c r="L24" s="6"/>
      <c r="M24" s="6"/>
    </row>
    <row r="25" customFormat="false" ht="15.75" hidden="false" customHeight="false" outlineLevel="0" collapsed="false">
      <c r="A25" s="0" t="s">
        <v>66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32"/>
      <c r="L25" s="6"/>
      <c r="M25" s="6"/>
    </row>
    <row r="26" customFormat="false" ht="15.75" hidden="false" customHeight="false" outlineLevel="0" collapsed="false">
      <c r="A26" s="0" t="s">
        <v>66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32"/>
      <c r="L26" s="6"/>
      <c r="M26" s="6"/>
    </row>
    <row r="27" customFormat="false" ht="15.75" hidden="false" customHeight="false" outlineLevel="0" collapsed="false">
      <c r="A27" s="0" t="s">
        <v>66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32"/>
      <c r="L27" s="6"/>
      <c r="M27" s="6"/>
    </row>
    <row r="28" customFormat="false" ht="15.75" hidden="false" customHeight="false" outlineLevel="0" collapsed="false">
      <c r="A28" s="0" t="s">
        <v>66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32"/>
      <c r="L28" s="6"/>
      <c r="M28" s="6"/>
    </row>
    <row r="29" customFormat="false" ht="15.75" hidden="false" customHeight="false" outlineLevel="0" collapsed="false">
      <c r="A29" s="0" t="s">
        <v>66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32"/>
      <c r="L29" s="6"/>
      <c r="M29" s="6"/>
    </row>
    <row r="30" customFormat="false" ht="15.75" hidden="false" customHeight="false" outlineLevel="0" collapsed="false">
      <c r="A30" s="0" t="s">
        <v>66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32"/>
      <c r="L30" s="6"/>
      <c r="M30" s="6"/>
    </row>
    <row r="31" customFormat="false" ht="15.75" hidden="false" customHeight="false" outlineLevel="0" collapsed="false">
      <c r="A31" s="0" t="s">
        <v>66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32"/>
      <c r="L31" s="6"/>
      <c r="M31" s="6"/>
    </row>
    <row r="32" customFormat="false" ht="15.75" hidden="false" customHeight="false" outlineLevel="0" collapsed="false">
      <c r="A32" s="0" t="s">
        <v>66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32"/>
      <c r="L32" s="6"/>
      <c r="M32" s="6"/>
    </row>
    <row r="33" customFormat="false" ht="15.75" hidden="false" customHeight="false" outlineLevel="0" collapsed="false">
      <c r="A33" s="0" t="s">
        <v>66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32"/>
      <c r="L33" s="6"/>
      <c r="M33" s="6"/>
    </row>
    <row r="34" customFormat="false" ht="15.75" hidden="false" customHeight="false" outlineLevel="0" collapsed="false">
      <c r="A34" s="0" t="s">
        <v>66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32"/>
      <c r="L34" s="6"/>
      <c r="M34" s="6"/>
    </row>
    <row r="35" customFormat="false" ht="15.75" hidden="false" customHeight="false" outlineLevel="0" collapsed="false">
      <c r="A35" s="0" t="s">
        <v>66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32"/>
      <c r="L35" s="6"/>
      <c r="M35" s="6"/>
    </row>
    <row r="36" customFormat="false" ht="15.75" hidden="false" customHeight="false" outlineLevel="0" collapsed="false">
      <c r="A36" s="0" t="s">
        <v>66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32"/>
      <c r="L36" s="6"/>
      <c r="M36" s="6"/>
    </row>
    <row r="37" customFormat="false" ht="15.75" hidden="false" customHeight="false" outlineLevel="0" collapsed="false">
      <c r="A37" s="0" t="s">
        <v>66</v>
      </c>
      <c r="B37" s="1" t="n">
        <v>43897</v>
      </c>
      <c r="C37" s="8" t="n">
        <v>1</v>
      </c>
      <c r="D37" s="8"/>
      <c r="E37" s="8"/>
      <c r="F37" s="8"/>
      <c r="G37" s="8"/>
      <c r="H37" s="8" t="n">
        <v>1</v>
      </c>
      <c r="I37" s="8"/>
      <c r="J37" s="8"/>
      <c r="K37" s="32"/>
      <c r="L37" s="8"/>
      <c r="M37" s="8"/>
    </row>
    <row r="38" customFormat="false" ht="15.75" hidden="false" customHeight="false" outlineLevel="0" collapsed="false">
      <c r="A38" s="0" t="s">
        <v>66</v>
      </c>
      <c r="B38" s="1" t="n">
        <v>43898</v>
      </c>
      <c r="C38" s="6" t="n">
        <v>2</v>
      </c>
      <c r="D38" s="6" t="n">
        <v>1</v>
      </c>
      <c r="E38" s="6"/>
      <c r="F38" s="6"/>
      <c r="G38" s="6"/>
      <c r="H38" s="6" t="n">
        <v>2</v>
      </c>
      <c r="I38" s="6"/>
      <c r="J38" s="6"/>
      <c r="K38" s="32"/>
      <c r="L38" s="6"/>
      <c r="M38" s="6"/>
    </row>
    <row r="39" customFormat="false" ht="15.75" hidden="false" customHeight="false" outlineLevel="0" collapsed="false">
      <c r="A39" s="0" t="s">
        <v>66</v>
      </c>
      <c r="B39" s="1" t="n">
        <v>43899</v>
      </c>
      <c r="C39" s="6" t="n">
        <v>3</v>
      </c>
      <c r="D39" s="6" t="n">
        <v>1</v>
      </c>
      <c r="E39" s="6"/>
      <c r="F39" s="6"/>
      <c r="G39" s="6"/>
      <c r="H39" s="6" t="n">
        <v>3</v>
      </c>
      <c r="I39" s="6"/>
      <c r="J39" s="6" t="n">
        <v>0.1</v>
      </c>
      <c r="K39" s="32"/>
      <c r="L39" s="6"/>
      <c r="M39" s="6"/>
    </row>
    <row r="40" customFormat="false" ht="15.75" hidden="false" customHeight="false" outlineLevel="0" collapsed="false">
      <c r="A40" s="0" t="s">
        <v>66</v>
      </c>
      <c r="B40" s="1" t="n">
        <v>43900</v>
      </c>
      <c r="C40" s="6" t="n">
        <v>7</v>
      </c>
      <c r="D40" s="6" t="n">
        <v>4</v>
      </c>
      <c r="E40" s="6"/>
      <c r="F40" s="6"/>
      <c r="G40" s="6"/>
      <c r="H40" s="6" t="n">
        <v>7</v>
      </c>
      <c r="I40" s="6"/>
      <c r="J40" s="6" t="n">
        <v>0.1</v>
      </c>
      <c r="K40" s="32"/>
      <c r="L40" s="6"/>
      <c r="M40" s="6"/>
    </row>
    <row r="41" customFormat="false" ht="15.75" hidden="false" customHeight="false" outlineLevel="0" collapsed="false">
      <c r="A41" s="0" t="s">
        <v>66</v>
      </c>
      <c r="B41" s="1" t="n">
        <v>43901</v>
      </c>
      <c r="C41" s="6" t="n">
        <v>7</v>
      </c>
      <c r="D41" s="6" t="n">
        <v>0</v>
      </c>
      <c r="E41" s="6"/>
      <c r="F41" s="6"/>
      <c r="G41" s="6"/>
      <c r="H41" s="6" t="n">
        <v>7</v>
      </c>
      <c r="I41" s="6"/>
      <c r="J41" s="6" t="n">
        <v>0.1</v>
      </c>
      <c r="K41" s="32"/>
      <c r="L41" s="6"/>
      <c r="M41" s="6"/>
    </row>
    <row r="42" customFormat="false" ht="15.75" hidden="false" customHeight="false" outlineLevel="0" collapsed="false">
      <c r="A42" s="0" t="s">
        <v>66</v>
      </c>
      <c r="B42" s="1" t="n">
        <v>43902</v>
      </c>
      <c r="C42" s="6" t="n">
        <v>13</v>
      </c>
      <c r="D42" s="6" t="n">
        <v>6</v>
      </c>
      <c r="E42" s="6"/>
      <c r="F42" s="6"/>
      <c r="G42" s="6"/>
      <c r="H42" s="6" t="n">
        <v>13</v>
      </c>
      <c r="I42" s="6"/>
      <c r="J42" s="6" t="n">
        <v>0.2</v>
      </c>
      <c r="K42" s="32"/>
      <c r="L42" s="6"/>
      <c r="M42" s="6"/>
    </row>
    <row r="43" customFormat="false" ht="15.75" hidden="false" customHeight="false" outlineLevel="0" collapsed="false">
      <c r="A43" s="0" t="s">
        <v>66</v>
      </c>
      <c r="B43" s="1" t="n">
        <v>43903</v>
      </c>
      <c r="C43" s="6" t="n">
        <v>17</v>
      </c>
      <c r="D43" s="6" t="n">
        <v>4</v>
      </c>
      <c r="E43" s="6"/>
      <c r="F43" s="6"/>
      <c r="G43" s="6"/>
      <c r="H43" s="6" t="n">
        <v>17</v>
      </c>
      <c r="I43" s="6"/>
      <c r="J43" s="6" t="n">
        <v>0.3</v>
      </c>
      <c r="K43" s="32"/>
      <c r="L43" s="6"/>
      <c r="M43" s="6"/>
    </row>
    <row r="44" customFormat="false" ht="15.75" hidden="false" customHeight="false" outlineLevel="0" collapsed="false">
      <c r="A44" s="0" t="s">
        <v>66</v>
      </c>
      <c r="B44" s="1" t="n">
        <v>43904</v>
      </c>
      <c r="C44" s="6" t="n">
        <v>24</v>
      </c>
      <c r="D44" s="6" t="n">
        <v>7</v>
      </c>
      <c r="E44" s="6"/>
      <c r="F44" s="6"/>
      <c r="G44" s="6"/>
      <c r="H44" s="6" t="n">
        <v>24</v>
      </c>
      <c r="I44" s="6"/>
      <c r="J44" s="6" t="n">
        <v>0.4</v>
      </c>
      <c r="K44" s="32"/>
      <c r="L44" s="6"/>
      <c r="M44" s="6"/>
    </row>
    <row r="45" customFormat="false" ht="15.75" hidden="false" customHeight="false" outlineLevel="0" collapsed="false">
      <c r="A45" s="0" t="s">
        <v>66</v>
      </c>
      <c r="B45" s="1" t="n">
        <v>43905</v>
      </c>
      <c r="C45" s="6" t="n">
        <v>38</v>
      </c>
      <c r="D45" s="6" t="n">
        <v>14</v>
      </c>
      <c r="E45" s="6"/>
      <c r="F45" s="6"/>
      <c r="G45" s="6"/>
      <c r="H45" s="6" t="n">
        <v>38</v>
      </c>
      <c r="I45" s="6"/>
      <c r="J45" s="6" t="n">
        <v>0.6</v>
      </c>
      <c r="K45" s="32"/>
      <c r="L45" s="6"/>
      <c r="M45" s="6"/>
    </row>
    <row r="46" customFormat="false" ht="15.75" hidden="false" customHeight="false" outlineLevel="0" collapsed="false">
      <c r="A46" s="0" t="s">
        <v>66</v>
      </c>
      <c r="B46" s="1" t="n">
        <v>43906</v>
      </c>
      <c r="C46" s="6" t="n">
        <v>61</v>
      </c>
      <c r="D46" s="6" t="n">
        <v>23</v>
      </c>
      <c r="E46" s="6"/>
      <c r="F46" s="6"/>
      <c r="G46" s="6"/>
      <c r="H46" s="6" t="n">
        <v>61</v>
      </c>
      <c r="I46" s="6"/>
      <c r="J46" s="6" t="n">
        <v>1</v>
      </c>
      <c r="K46" s="32"/>
      <c r="L46" s="6"/>
      <c r="M46" s="6"/>
    </row>
    <row r="47" customFormat="false" ht="15.75" hidden="false" customHeight="false" outlineLevel="0" collapsed="false">
      <c r="A47" s="0" t="s">
        <v>66</v>
      </c>
      <c r="B47" s="1" t="n">
        <v>43907</v>
      </c>
      <c r="C47" s="6" t="n">
        <v>64</v>
      </c>
      <c r="D47" s="6" t="n">
        <v>3</v>
      </c>
      <c r="E47" s="6"/>
      <c r="F47" s="6"/>
      <c r="G47" s="6"/>
      <c r="H47" s="6" t="n">
        <v>64</v>
      </c>
      <c r="I47" s="6"/>
      <c r="J47" s="6" t="n">
        <v>1.1</v>
      </c>
      <c r="K47" s="32"/>
      <c r="L47" s="6"/>
      <c r="M47" s="6"/>
    </row>
    <row r="48" customFormat="false" ht="15.75" hidden="false" customHeight="false" outlineLevel="0" collapsed="false">
      <c r="A48" s="0" t="s">
        <v>66</v>
      </c>
      <c r="B48" s="1" t="n">
        <v>43908</v>
      </c>
      <c r="C48" s="6" t="n">
        <v>85</v>
      </c>
      <c r="D48" s="6" t="n">
        <v>21</v>
      </c>
      <c r="E48" s="6"/>
      <c r="F48" s="6"/>
      <c r="G48" s="6"/>
      <c r="H48" s="6" t="n">
        <v>85</v>
      </c>
      <c r="I48" s="6"/>
      <c r="J48" s="6" t="n">
        <v>1.4</v>
      </c>
      <c r="K48" s="32"/>
      <c r="L48" s="6"/>
      <c r="M48" s="6"/>
    </row>
    <row r="49" customFormat="false" ht="15.75" hidden="false" customHeight="false" outlineLevel="0" collapsed="false">
      <c r="A49" s="0" t="s">
        <v>66</v>
      </c>
      <c r="B49" s="1" t="n">
        <v>43909</v>
      </c>
      <c r="C49" s="6" t="n">
        <v>116</v>
      </c>
      <c r="D49" s="6" t="n">
        <v>31</v>
      </c>
      <c r="E49" s="6"/>
      <c r="F49" s="6"/>
      <c r="G49" s="6"/>
      <c r="H49" s="6" t="n">
        <v>116</v>
      </c>
      <c r="I49" s="6"/>
      <c r="J49" s="6" t="n">
        <v>2</v>
      </c>
      <c r="K49" s="32"/>
      <c r="L49" s="6"/>
      <c r="M49" s="6"/>
    </row>
    <row r="50" customFormat="false" ht="15.75" hidden="false" customHeight="false" outlineLevel="0" collapsed="false">
      <c r="A50" s="0" t="s">
        <v>66</v>
      </c>
      <c r="B50" s="1" t="n">
        <v>43910</v>
      </c>
      <c r="C50" s="6" t="n">
        <v>150</v>
      </c>
      <c r="D50" s="6" t="n">
        <v>34</v>
      </c>
      <c r="E50" s="6"/>
      <c r="F50" s="6"/>
      <c r="G50" s="6"/>
      <c r="H50" s="6" t="n">
        <v>150</v>
      </c>
      <c r="I50" s="6"/>
      <c r="J50" s="6" t="n">
        <v>3</v>
      </c>
      <c r="K50" s="32"/>
      <c r="L50" s="6"/>
      <c r="M50" s="6"/>
    </row>
    <row r="51" customFormat="false" ht="15.75" hidden="false" customHeight="false" outlineLevel="0" collapsed="false">
      <c r="A51" s="0" t="s">
        <v>66</v>
      </c>
      <c r="B51" s="1" t="n">
        <v>43911</v>
      </c>
      <c r="C51" s="6" t="n">
        <v>240</v>
      </c>
      <c r="D51" s="6" t="n">
        <v>90</v>
      </c>
      <c r="E51" s="6"/>
      <c r="F51" s="6"/>
      <c r="G51" s="6" t="n">
        <v>1</v>
      </c>
      <c r="H51" s="6" t="n">
        <v>239</v>
      </c>
      <c r="I51" s="6"/>
      <c r="J51" s="6" t="n">
        <v>4</v>
      </c>
      <c r="K51" s="32"/>
      <c r="L51" s="6"/>
      <c r="M51" s="6"/>
    </row>
    <row r="52" customFormat="false" ht="15.75" hidden="false" customHeight="false" outlineLevel="0" collapsed="false">
      <c r="A52" s="0" t="s">
        <v>66</v>
      </c>
      <c r="B52" s="1" t="n">
        <v>43912</v>
      </c>
      <c r="C52" s="6" t="n">
        <v>240</v>
      </c>
      <c r="D52" s="6" t="n">
        <v>0</v>
      </c>
      <c r="E52" s="6"/>
      <c r="F52" s="6"/>
      <c r="G52" s="6" t="n">
        <v>2</v>
      </c>
      <c r="H52" s="6" t="n">
        <v>238</v>
      </c>
      <c r="I52" s="6"/>
      <c r="J52" s="6" t="n">
        <v>4</v>
      </c>
      <c r="K52" s="32"/>
      <c r="L52" s="6"/>
      <c r="M52" s="6"/>
    </row>
    <row r="53" customFormat="false" ht="15.75" hidden="false" customHeight="false" outlineLevel="0" collapsed="false">
      <c r="A53" s="0" t="s">
        <v>66</v>
      </c>
      <c r="B53" s="1" t="n">
        <v>43913</v>
      </c>
      <c r="C53" s="6" t="n">
        <v>274</v>
      </c>
      <c r="D53" s="6" t="n">
        <v>34</v>
      </c>
      <c r="E53" s="6"/>
      <c r="F53" s="6"/>
      <c r="G53" s="6" t="n">
        <v>2</v>
      </c>
      <c r="H53" s="6" t="n">
        <v>272</v>
      </c>
      <c r="I53" s="6"/>
      <c r="J53" s="6" t="n">
        <v>5</v>
      </c>
      <c r="K53" s="32"/>
      <c r="L53" s="6"/>
      <c r="M53" s="6"/>
    </row>
    <row r="54" customFormat="false" ht="15.75" hidden="false" customHeight="false" outlineLevel="0" collapsed="false">
      <c r="A54" s="0" t="s">
        <v>66</v>
      </c>
      <c r="B54" s="1" t="n">
        <v>43914</v>
      </c>
      <c r="C54" s="6" t="n">
        <v>402</v>
      </c>
      <c r="D54" s="6" t="n">
        <v>128</v>
      </c>
      <c r="E54" s="6"/>
      <c r="F54" s="6"/>
      <c r="G54" s="6" t="n">
        <v>4</v>
      </c>
      <c r="H54" s="6" t="n">
        <v>398</v>
      </c>
      <c r="I54" s="6"/>
      <c r="J54" s="6" t="n">
        <v>7</v>
      </c>
      <c r="K54" s="32"/>
      <c r="L54" s="6"/>
      <c r="M54" s="6"/>
    </row>
    <row r="55" customFormat="false" ht="15.75" hidden="false" customHeight="false" outlineLevel="0" collapsed="false">
      <c r="A55" s="0" t="s">
        <v>66</v>
      </c>
      <c r="B55" s="1" t="n">
        <v>43915</v>
      </c>
      <c r="C55" s="7" t="n">
        <v>554</v>
      </c>
      <c r="D55" s="7" t="n">
        <v>152</v>
      </c>
      <c r="E55" s="7"/>
      <c r="F55" s="7"/>
      <c r="G55" s="7" t="n">
        <v>4</v>
      </c>
      <c r="H55" s="7" t="n">
        <v>550</v>
      </c>
      <c r="I55" s="7" t="n">
        <v>2</v>
      </c>
      <c r="J55" s="7" t="n">
        <v>9</v>
      </c>
      <c r="K55" s="32"/>
      <c r="L55" s="7"/>
      <c r="M55" s="7"/>
    </row>
    <row r="56" customFormat="false" ht="15.75" hidden="false" customHeight="false" outlineLevel="0" collapsed="false">
      <c r="A56" s="0" t="s">
        <v>66</v>
      </c>
      <c r="B56" s="1" t="n">
        <v>43916</v>
      </c>
      <c r="C56" s="7" t="n">
        <v>709</v>
      </c>
      <c r="D56" s="7" t="n">
        <v>155</v>
      </c>
      <c r="E56" s="7"/>
      <c r="F56" s="7"/>
      <c r="G56" s="7" t="n">
        <v>12</v>
      </c>
      <c r="H56" s="7" t="n">
        <v>697</v>
      </c>
      <c r="I56" s="7" t="n">
        <v>2</v>
      </c>
      <c r="J56" s="7" t="n">
        <v>12</v>
      </c>
      <c r="K56" s="32"/>
      <c r="L56" s="7"/>
      <c r="M56" s="7"/>
    </row>
    <row r="57" customFormat="false" ht="15.75" hidden="false" customHeight="false" outlineLevel="0" collapsed="false">
      <c r="A57" s="0" t="s">
        <v>66</v>
      </c>
      <c r="B57" s="1" t="n">
        <v>43917</v>
      </c>
      <c r="C57" s="7" t="n">
        <v>927</v>
      </c>
      <c r="D57" s="7" t="n">
        <v>218</v>
      </c>
      <c r="E57" s="7"/>
      <c r="F57" s="7"/>
      <c r="G57" s="7" t="n">
        <v>12</v>
      </c>
      <c r="H57" s="7" t="n">
        <v>915</v>
      </c>
      <c r="I57" s="7" t="n">
        <v>2</v>
      </c>
      <c r="J57" s="7" t="n">
        <v>16</v>
      </c>
      <c r="K57" s="32"/>
      <c r="L57" s="7"/>
      <c r="M57" s="7"/>
    </row>
    <row r="58" customFormat="false" ht="15.75" hidden="false" customHeight="false" outlineLevel="0" collapsed="false">
      <c r="A58" s="0" t="s">
        <v>66</v>
      </c>
      <c r="B58" s="1" t="n">
        <v>43918</v>
      </c>
      <c r="C58" s="7" t="n">
        <v>1170</v>
      </c>
      <c r="D58" s="7" t="n">
        <v>243</v>
      </c>
      <c r="E58" s="7" t="n">
        <v>1</v>
      </c>
      <c r="F58" s="7" t="n">
        <v>1</v>
      </c>
      <c r="G58" s="7" t="n">
        <v>31</v>
      </c>
      <c r="H58" s="7" t="n">
        <v>1138</v>
      </c>
      <c r="I58" s="7" t="n">
        <v>7</v>
      </c>
      <c r="J58" s="7" t="n">
        <v>20</v>
      </c>
      <c r="K58" s="32" t="n">
        <v>0.02</v>
      </c>
      <c r="L58" s="7"/>
      <c r="M58" s="7"/>
    </row>
    <row r="59" customFormat="false" ht="15.75" hidden="false" customHeight="false" outlineLevel="0" collapsed="false">
      <c r="A59" s="0" t="s">
        <v>66</v>
      </c>
      <c r="B59" s="1" t="n">
        <v>43919</v>
      </c>
      <c r="C59" s="7" t="n">
        <v>1187</v>
      </c>
      <c r="D59" s="7" t="n">
        <v>17</v>
      </c>
      <c r="E59" s="7" t="n">
        <v>1</v>
      </c>
      <c r="F59" s="7" t="n">
        <v>0</v>
      </c>
      <c r="G59" s="7" t="n">
        <v>31</v>
      </c>
      <c r="H59" s="7" t="n">
        <v>1155</v>
      </c>
      <c r="I59" s="7" t="n">
        <v>7</v>
      </c>
      <c r="J59" s="7" t="n">
        <v>20</v>
      </c>
      <c r="K59" s="32" t="n">
        <v>0.02</v>
      </c>
      <c r="M59" s="7"/>
    </row>
    <row r="60" customFormat="false" ht="15.75" hidden="false" customHeight="false" outlineLevel="0" collapsed="false">
      <c r="A60" s="0" t="s">
        <v>66</v>
      </c>
      <c r="B60" s="1" t="n">
        <v>43920</v>
      </c>
      <c r="C60" s="7" t="n">
        <v>1280</v>
      </c>
      <c r="D60" s="7" t="n">
        <v>93</v>
      </c>
      <c r="E60" s="7" t="n">
        <v>2</v>
      </c>
      <c r="F60" s="7" t="n">
        <v>1</v>
      </c>
      <c r="G60" s="7" t="n">
        <v>31</v>
      </c>
      <c r="H60" s="7" t="n">
        <v>1247</v>
      </c>
      <c r="I60" s="7" t="n">
        <v>7</v>
      </c>
      <c r="J60" s="7" t="n">
        <v>22</v>
      </c>
      <c r="K60" s="32" t="n">
        <v>0.03</v>
      </c>
      <c r="M60" s="7"/>
    </row>
    <row r="61" customFormat="false" ht="15.75" hidden="false" customHeight="false" outlineLevel="0" collapsed="false">
      <c r="A61" s="0" t="s">
        <v>66</v>
      </c>
      <c r="B61" s="1" t="n">
        <v>43921</v>
      </c>
      <c r="C61" s="7" t="n">
        <v>1326</v>
      </c>
      <c r="D61" s="7" t="n">
        <v>46</v>
      </c>
      <c r="E61" s="7" t="n">
        <v>3</v>
      </c>
      <c r="F61" s="7" t="n">
        <v>1</v>
      </c>
      <c r="G61" s="7" t="n">
        <v>31</v>
      </c>
      <c r="H61" s="7" t="n">
        <v>1292</v>
      </c>
      <c r="I61" s="7" t="n">
        <v>7</v>
      </c>
      <c r="J61" s="7" t="n">
        <v>22</v>
      </c>
      <c r="K61" s="32" t="n">
        <v>0.05</v>
      </c>
      <c r="M61" s="7"/>
    </row>
    <row r="62" customFormat="false" ht="15.75" hidden="false" customHeight="false" outlineLevel="0" collapsed="false">
      <c r="A62" s="0" t="s">
        <v>66</v>
      </c>
      <c r="B62" s="1" t="n">
        <v>43922</v>
      </c>
      <c r="C62" s="7" t="n">
        <v>1353</v>
      </c>
      <c r="D62" s="7" t="n">
        <v>27</v>
      </c>
      <c r="E62" s="7" t="n">
        <v>5</v>
      </c>
      <c r="F62" s="7" t="n">
        <v>2</v>
      </c>
      <c r="G62" s="7" t="n">
        <v>31</v>
      </c>
      <c r="H62" s="7" t="n">
        <v>1317</v>
      </c>
      <c r="I62" s="7" t="n">
        <v>7</v>
      </c>
      <c r="J62" s="7" t="n">
        <v>23</v>
      </c>
      <c r="K62" s="32" t="n">
        <v>0.08</v>
      </c>
      <c r="M62" s="7"/>
    </row>
    <row r="63" customFormat="false" ht="15.75" hidden="false" customHeight="false" outlineLevel="0" collapsed="false">
      <c r="A63" s="0" t="s">
        <v>66</v>
      </c>
      <c r="B63" s="1" t="n">
        <v>43923</v>
      </c>
      <c r="C63" s="7" t="n">
        <v>1380</v>
      </c>
      <c r="D63" s="7" t="n">
        <v>27</v>
      </c>
      <c r="E63" s="7" t="n">
        <v>5</v>
      </c>
      <c r="F63" s="7" t="n">
        <v>0</v>
      </c>
      <c r="G63" s="7" t="n">
        <v>50</v>
      </c>
      <c r="H63" s="7" t="n">
        <v>1325</v>
      </c>
      <c r="I63" s="7" t="n">
        <v>7</v>
      </c>
      <c r="J63" s="7" t="n">
        <v>23</v>
      </c>
      <c r="K63" s="32" t="n">
        <v>0.08</v>
      </c>
      <c r="M63" s="7"/>
    </row>
    <row r="64" customFormat="false" ht="15.75" hidden="false" customHeight="false" outlineLevel="0" collapsed="false">
      <c r="A64" s="0" t="s">
        <v>66</v>
      </c>
      <c r="B64" s="1" t="n">
        <v>43924</v>
      </c>
      <c r="C64" s="7" t="n">
        <v>1462</v>
      </c>
      <c r="D64" s="7" t="n">
        <v>82</v>
      </c>
      <c r="E64" s="7" t="n">
        <v>5</v>
      </c>
      <c r="F64" s="7" t="n">
        <v>0</v>
      </c>
      <c r="G64" s="7" t="n">
        <v>50</v>
      </c>
      <c r="H64" s="7" t="n">
        <v>1407</v>
      </c>
      <c r="I64" s="7" t="n">
        <v>7</v>
      </c>
      <c r="J64" s="7" t="n">
        <v>25</v>
      </c>
      <c r="K64" s="32" t="n">
        <v>0.08</v>
      </c>
      <c r="M64" s="7"/>
    </row>
    <row r="65" customFormat="false" ht="15.75" hidden="false" customHeight="false" outlineLevel="0" collapsed="false">
      <c r="A65" s="0" t="s">
        <v>66</v>
      </c>
      <c r="B65" s="1" t="n">
        <v>43925</v>
      </c>
      <c r="C65" s="7" t="n">
        <v>1505</v>
      </c>
      <c r="D65" s="7" t="n">
        <v>43</v>
      </c>
      <c r="E65" s="7" t="n">
        <v>9</v>
      </c>
      <c r="F65" s="7" t="n">
        <v>4</v>
      </c>
      <c r="G65" s="7" t="n">
        <v>95</v>
      </c>
      <c r="H65" s="7" t="n">
        <v>1401</v>
      </c>
      <c r="I65" s="7" t="n">
        <v>7</v>
      </c>
      <c r="J65" s="7" t="n">
        <v>25</v>
      </c>
      <c r="K65" s="9" t="n">
        <v>0.2</v>
      </c>
      <c r="M65" s="7"/>
    </row>
    <row r="66" customFormat="false" ht="15.75" hidden="false" customHeight="false" outlineLevel="0" collapsed="false">
      <c r="A66" s="0" t="s">
        <v>66</v>
      </c>
      <c r="B66" s="1" t="n">
        <v>43926</v>
      </c>
      <c r="C66" s="7" t="n">
        <v>1585</v>
      </c>
      <c r="D66" s="7" t="n">
        <v>80</v>
      </c>
      <c r="E66" s="7" t="n">
        <v>9</v>
      </c>
      <c r="F66" s="7" t="n">
        <v>0</v>
      </c>
      <c r="G66" s="7" t="n">
        <v>95</v>
      </c>
      <c r="H66" s="7" t="n">
        <v>1481</v>
      </c>
      <c r="I66" s="7" t="n">
        <v>7</v>
      </c>
      <c r="J66" s="7" t="n">
        <v>27</v>
      </c>
      <c r="K66" s="9" t="n">
        <v>0.2</v>
      </c>
      <c r="L66" s="7" t="n">
        <v>53937</v>
      </c>
      <c r="M66" s="7" t="n">
        <v>909</v>
      </c>
    </row>
    <row r="67" customFormat="false" ht="15.75" hidden="false" customHeight="false" outlineLevel="0" collapsed="false">
      <c r="A67" s="0" t="s">
        <v>66</v>
      </c>
      <c r="B67" s="1" t="n">
        <v>43927</v>
      </c>
      <c r="C67" s="7" t="n">
        <v>1655</v>
      </c>
      <c r="D67" s="7" t="n">
        <v>70</v>
      </c>
      <c r="E67" s="7" t="n">
        <v>11</v>
      </c>
      <c r="F67" s="7" t="n">
        <v>2</v>
      </c>
      <c r="G67" s="7" t="n">
        <v>95</v>
      </c>
      <c r="H67" s="7" t="n">
        <v>1549</v>
      </c>
      <c r="I67" s="7" t="n">
        <v>7</v>
      </c>
      <c r="J67" s="7" t="n">
        <v>28</v>
      </c>
      <c r="K67" s="9" t="n">
        <v>0.2</v>
      </c>
      <c r="L67" s="7" t="n">
        <v>56873</v>
      </c>
      <c r="M67" s="7" t="n">
        <v>959</v>
      </c>
    </row>
    <row r="68" customFormat="false" ht="15.75" hidden="false" customHeight="false" outlineLevel="0" collapsed="false">
      <c r="A68" s="0" t="s">
        <v>66</v>
      </c>
      <c r="B68" s="1" t="n">
        <v>43928</v>
      </c>
      <c r="C68" s="12" t="n">
        <v>1686</v>
      </c>
      <c r="D68" s="12" t="n">
        <v>31</v>
      </c>
      <c r="E68" s="12" t="n">
        <v>12</v>
      </c>
      <c r="F68" s="12" t="n">
        <v>1</v>
      </c>
      <c r="G68" s="12" t="n">
        <v>95</v>
      </c>
      <c r="H68" s="12" t="n">
        <v>1579</v>
      </c>
      <c r="I68" s="12" t="n">
        <v>7</v>
      </c>
      <c r="J68" s="12" t="n">
        <v>28</v>
      </c>
      <c r="K68" s="13" t="n">
        <v>0.2</v>
      </c>
      <c r="L68" s="12" t="n">
        <v>58098</v>
      </c>
      <c r="M68" s="12" t="n">
        <v>980</v>
      </c>
    </row>
    <row r="69" customFormat="false" ht="15.75" hidden="false" customHeight="false" outlineLevel="0" collapsed="false">
      <c r="A69" s="0" t="s">
        <v>66</v>
      </c>
      <c r="B69" s="1" t="n">
        <v>43929</v>
      </c>
      <c r="C69" s="14" t="n">
        <v>1749</v>
      </c>
      <c r="D69" s="14" t="n">
        <v>63</v>
      </c>
      <c r="E69" s="14" t="n">
        <v>13</v>
      </c>
      <c r="F69" s="14" t="n">
        <v>1</v>
      </c>
      <c r="G69" s="14" t="n">
        <v>95</v>
      </c>
      <c r="H69" s="14" t="n">
        <v>1641</v>
      </c>
      <c r="I69" s="14" t="n">
        <v>7</v>
      </c>
      <c r="J69" s="14" t="n">
        <v>29</v>
      </c>
      <c r="K69" s="13" t="n">
        <v>0.2</v>
      </c>
      <c r="L69" s="14" t="n">
        <v>58098</v>
      </c>
      <c r="M69" s="14" t="n">
        <v>980</v>
      </c>
    </row>
    <row r="70" customFormat="false" ht="15.75" hidden="false" customHeight="false" outlineLevel="0" collapsed="false">
      <c r="A70" s="0" t="s">
        <v>66</v>
      </c>
      <c r="B70" s="1" t="n">
        <v>43930</v>
      </c>
      <c r="C70" s="14" t="n">
        <v>1845</v>
      </c>
      <c r="D70" s="14" t="n">
        <v>96</v>
      </c>
      <c r="E70" s="14" t="n">
        <v>18</v>
      </c>
      <c r="F70" s="14" t="n">
        <v>5</v>
      </c>
      <c r="G70" s="14" t="n">
        <v>95</v>
      </c>
      <c r="H70" s="14" t="n">
        <v>1732</v>
      </c>
      <c r="I70" s="14" t="n">
        <v>7</v>
      </c>
      <c r="J70" s="14" t="n">
        <v>31</v>
      </c>
      <c r="K70" s="13" t="n">
        <v>0.3</v>
      </c>
      <c r="L70" s="14" t="n">
        <v>63776</v>
      </c>
      <c r="M70" s="14" t="n">
        <v>1075</v>
      </c>
    </row>
    <row r="71" customFormat="false" ht="15.75" hidden="false" customHeight="false" outlineLevel="0" collapsed="false">
      <c r="A71" s="0" t="s">
        <v>66</v>
      </c>
      <c r="B71" s="1" t="n">
        <v>43931</v>
      </c>
      <c r="C71" s="14" t="n">
        <v>1934</v>
      </c>
      <c r="D71" s="14" t="n">
        <v>89</v>
      </c>
      <c r="E71" s="14" t="n">
        <v>18</v>
      </c>
      <c r="F71" s="14" t="n">
        <v>0</v>
      </c>
      <c r="G71" s="14" t="n">
        <v>95</v>
      </c>
      <c r="H71" s="14" t="n">
        <v>1821</v>
      </c>
      <c r="I71" s="14" t="n">
        <v>7</v>
      </c>
      <c r="J71" s="14" t="n">
        <v>33</v>
      </c>
      <c r="K71" s="13" t="n">
        <v>0.3</v>
      </c>
      <c r="L71" s="14" t="n">
        <v>68874</v>
      </c>
      <c r="M71" s="14" t="n">
        <v>1161</v>
      </c>
    </row>
    <row r="72" customFormat="false" ht="15.75" hidden="false" customHeight="false" outlineLevel="0" collapsed="false">
      <c r="A72" s="0" t="s">
        <v>66</v>
      </c>
      <c r="B72" s="1" t="n">
        <v>43932</v>
      </c>
      <c r="C72" s="14" t="n">
        <v>2003</v>
      </c>
      <c r="D72" s="14" t="n">
        <v>69</v>
      </c>
      <c r="E72" s="14" t="n">
        <v>24</v>
      </c>
      <c r="F72" s="14" t="n">
        <v>6</v>
      </c>
      <c r="G72" s="14" t="n">
        <v>410</v>
      </c>
      <c r="H72" s="14" t="n">
        <v>1569</v>
      </c>
      <c r="I72" s="14" t="n">
        <v>7</v>
      </c>
      <c r="J72" s="14" t="n">
        <v>34</v>
      </c>
      <c r="K72" s="13" t="n">
        <v>0.4</v>
      </c>
      <c r="L72" s="14" t="n">
        <v>73028</v>
      </c>
      <c r="M72" s="14" t="n">
        <v>1231</v>
      </c>
    </row>
    <row r="73" customFormat="false" ht="15.75" hidden="false" customHeight="false" outlineLevel="0" collapsed="false">
      <c r="A73" s="0" t="s">
        <v>66</v>
      </c>
      <c r="B73" s="1" t="n">
        <v>43933</v>
      </c>
      <c r="C73" s="14" t="n">
        <v>2028</v>
      </c>
      <c r="D73" s="14" t="n">
        <v>25</v>
      </c>
      <c r="E73" s="14" t="n">
        <v>25</v>
      </c>
      <c r="F73" s="14" t="n">
        <v>1</v>
      </c>
      <c r="G73" s="14" t="n">
        <v>410</v>
      </c>
      <c r="H73" s="14" t="n">
        <v>1593</v>
      </c>
      <c r="I73" s="14" t="n">
        <v>7</v>
      </c>
      <c r="J73" s="14" t="n">
        <v>34</v>
      </c>
      <c r="K73" s="13" t="n">
        <v>0.4</v>
      </c>
      <c r="L73" s="14" t="n">
        <v>75053</v>
      </c>
      <c r="M73" s="14" t="n">
        <v>1265</v>
      </c>
    </row>
    <row r="74" customFormat="false" ht="15.75" hidden="false" customHeight="false" outlineLevel="0" collapsed="false">
      <c r="A74" s="0" t="s">
        <v>66</v>
      </c>
      <c r="B74" s="1" t="n">
        <v>43934</v>
      </c>
      <c r="C74" s="14" t="n">
        <v>2173</v>
      </c>
      <c r="D74" s="14" t="n">
        <v>145</v>
      </c>
      <c r="E74" s="14" t="n">
        <v>25</v>
      </c>
      <c r="F74" s="14" t="n">
        <v>0</v>
      </c>
      <c r="G74" s="14" t="n">
        <v>410</v>
      </c>
      <c r="H74" s="14" t="n">
        <v>1738</v>
      </c>
      <c r="I74" s="14" t="n">
        <v>7</v>
      </c>
      <c r="J74" s="14" t="n">
        <v>37</v>
      </c>
      <c r="K74" s="13" t="n">
        <v>0.4</v>
      </c>
      <c r="L74" s="14" t="n">
        <v>80085</v>
      </c>
      <c r="M74" s="14" t="n">
        <v>1350</v>
      </c>
    </row>
    <row r="75" customFormat="false" ht="15.75" hidden="false" customHeight="false" outlineLevel="0" collapsed="false">
      <c r="A75" s="0" t="s">
        <v>66</v>
      </c>
      <c r="B75" s="1" t="n">
        <v>43935</v>
      </c>
      <c r="C75" s="14" t="n">
        <v>2272</v>
      </c>
      <c r="D75" s="14" t="n">
        <v>99</v>
      </c>
      <c r="E75" s="14" t="n">
        <v>27</v>
      </c>
      <c r="F75" s="14" t="n">
        <v>2</v>
      </c>
      <c r="G75" s="14" t="n">
        <v>410</v>
      </c>
      <c r="H75" s="14" t="n">
        <v>1835</v>
      </c>
      <c r="I75" s="14" t="n">
        <v>7</v>
      </c>
      <c r="J75" s="14" t="n">
        <v>38</v>
      </c>
      <c r="K75" s="13" t="n">
        <v>0.5</v>
      </c>
      <c r="L75" s="14" t="n">
        <v>83663</v>
      </c>
      <c r="M75" s="14" t="n">
        <v>1411</v>
      </c>
    </row>
    <row r="76" customFormat="false" ht="15.75" hidden="false" customHeight="false" outlineLevel="0" collapsed="false">
      <c r="A76" s="0" t="s">
        <v>66</v>
      </c>
      <c r="B76" s="1" t="n">
        <v>43936</v>
      </c>
      <c r="C76" s="14" t="n">
        <v>2415</v>
      </c>
      <c r="D76" s="14" t="n">
        <v>143</v>
      </c>
      <c r="E76" s="14" t="n">
        <v>27</v>
      </c>
      <c r="F76" s="14" t="n">
        <v>0</v>
      </c>
      <c r="G76" s="14" t="n">
        <v>410</v>
      </c>
      <c r="H76" s="14" t="n">
        <v>1978</v>
      </c>
      <c r="I76" s="14" t="n">
        <v>7</v>
      </c>
      <c r="J76" s="14" t="n">
        <v>41</v>
      </c>
      <c r="K76" s="13" t="n">
        <v>0.5</v>
      </c>
      <c r="L76" s="14" t="n">
        <v>87022</v>
      </c>
      <c r="M76" s="14" t="n">
        <v>1467</v>
      </c>
    </row>
    <row r="77" customFormat="false" ht="15.75" hidden="false" customHeight="false" outlineLevel="0" collapsed="false">
      <c r="A77" s="0" t="s">
        <v>66</v>
      </c>
      <c r="B77" s="1" t="n">
        <v>43937</v>
      </c>
      <c r="C77" s="14" t="n">
        <v>2506</v>
      </c>
      <c r="D77" s="14" t="n">
        <v>91</v>
      </c>
      <c r="E77" s="14" t="n">
        <v>34</v>
      </c>
      <c r="F77" s="14" t="n">
        <v>7</v>
      </c>
      <c r="G77" s="14" t="n">
        <v>410</v>
      </c>
      <c r="H77" s="14" t="n">
        <v>2062</v>
      </c>
      <c r="I77" s="14" t="n">
        <v>7</v>
      </c>
      <c r="J77" s="14" t="n">
        <v>42</v>
      </c>
      <c r="K77" s="13" t="n">
        <v>0.6</v>
      </c>
      <c r="L77" s="14" t="n">
        <v>90515</v>
      </c>
      <c r="M77" s="14" t="n">
        <v>1526</v>
      </c>
    </row>
    <row r="78" customFormat="false" ht="15.75" hidden="false" customHeight="false" outlineLevel="0" collapsed="false">
      <c r="A78" s="0" t="s">
        <v>66</v>
      </c>
      <c r="B78" s="1" t="n">
        <v>43938</v>
      </c>
      <c r="C78" s="14" t="n">
        <v>2605</v>
      </c>
      <c r="D78" s="14" t="n">
        <v>99</v>
      </c>
      <c r="E78" s="14" t="n">
        <v>48</v>
      </c>
      <c r="F78" s="14" t="n">
        <v>14</v>
      </c>
      <c r="G78" s="14" t="n">
        <v>903</v>
      </c>
      <c r="H78" s="14" t="n">
        <v>1654</v>
      </c>
      <c r="I78" s="14" t="n">
        <v>7</v>
      </c>
      <c r="J78" s="14" t="n">
        <v>44</v>
      </c>
      <c r="K78" s="13" t="n">
        <v>0.8</v>
      </c>
      <c r="L78" s="14" t="n">
        <v>95060</v>
      </c>
      <c r="M78" s="14" t="n">
        <v>1603</v>
      </c>
    </row>
    <row r="79" customFormat="false" ht="15.75" hidden="false" customHeight="false" outlineLevel="0" collapsed="false">
      <c r="A79" s="0" t="s">
        <v>66</v>
      </c>
      <c r="B79" s="1" t="n">
        <v>43939</v>
      </c>
      <c r="C79" s="14" t="n">
        <v>2783</v>
      </c>
      <c r="D79" s="14" t="n">
        <v>178</v>
      </c>
      <c r="E79" s="14" t="n">
        <v>50</v>
      </c>
      <c r="F79" s="14" t="n">
        <v>2</v>
      </c>
      <c r="G79" s="14" t="n">
        <v>903</v>
      </c>
      <c r="H79" s="14" t="n">
        <v>1830</v>
      </c>
      <c r="I79" s="14" t="n">
        <v>7</v>
      </c>
      <c r="J79" s="14" t="n">
        <v>47</v>
      </c>
      <c r="K79" s="13" t="n">
        <v>0.8</v>
      </c>
      <c r="L79" s="14" t="n">
        <v>100827</v>
      </c>
      <c r="M79" s="14" t="n">
        <v>1700</v>
      </c>
    </row>
    <row r="80" customFormat="false" ht="15.75" hidden="false" customHeight="false" outlineLevel="0" collapsed="false">
      <c r="A80" s="0" t="s">
        <v>66</v>
      </c>
      <c r="B80" s="1" t="n">
        <v>43940</v>
      </c>
      <c r="C80" s="14" t="n">
        <v>3034</v>
      </c>
      <c r="D80" s="14" t="n">
        <v>251</v>
      </c>
      <c r="E80" s="14" t="n">
        <v>52</v>
      </c>
      <c r="F80" s="14" t="n">
        <v>2</v>
      </c>
      <c r="G80" s="14" t="n">
        <v>903</v>
      </c>
      <c r="H80" s="14" t="n">
        <v>2079</v>
      </c>
      <c r="I80" s="14" t="n">
        <v>36</v>
      </c>
      <c r="J80" s="14" t="n">
        <v>51</v>
      </c>
      <c r="K80" s="13" t="n">
        <v>0.9</v>
      </c>
      <c r="L80" s="14" t="n">
        <v>108021</v>
      </c>
      <c r="M80" s="14" t="n">
        <v>1821</v>
      </c>
    </row>
    <row r="81" customFormat="false" ht="15.75" hidden="false" customHeight="false" outlineLevel="0" collapsed="false">
      <c r="A81" s="0" t="s">
        <v>66</v>
      </c>
      <c r="B81" s="1" t="n">
        <v>43941</v>
      </c>
      <c r="C81" s="14" t="n">
        <v>3158</v>
      </c>
      <c r="D81" s="14" t="n">
        <v>124</v>
      </c>
      <c r="E81" s="14" t="n">
        <v>54</v>
      </c>
      <c r="F81" s="14" t="n">
        <v>2</v>
      </c>
      <c r="G81" s="14" t="n">
        <v>903</v>
      </c>
      <c r="H81" s="14" t="n">
        <v>2201</v>
      </c>
      <c r="I81" s="14" t="n">
        <v>36</v>
      </c>
      <c r="J81" s="14" t="n">
        <v>53</v>
      </c>
      <c r="K81" s="13" t="n">
        <v>0.9</v>
      </c>
      <c r="L81" s="14" t="n">
        <v>114711</v>
      </c>
      <c r="M81" s="14" t="n">
        <v>1934</v>
      </c>
    </row>
    <row r="82" customFormat="false" ht="15.75" hidden="false" customHeight="false" outlineLevel="0" collapsed="false">
      <c r="A82" s="0" t="s">
        <v>66</v>
      </c>
      <c r="B82" s="1" t="n">
        <v>43942</v>
      </c>
      <c r="C82" s="6" t="n">
        <v>3300</v>
      </c>
      <c r="D82" s="6" t="n">
        <v>142</v>
      </c>
      <c r="E82" s="6" t="n">
        <v>58</v>
      </c>
      <c r="F82" s="6" t="n">
        <v>4</v>
      </c>
      <c r="G82" s="6" t="n">
        <v>1055</v>
      </c>
      <c r="H82" s="6" t="n">
        <v>2187</v>
      </c>
      <c r="I82" s="6" t="n">
        <v>36</v>
      </c>
      <c r="J82" s="6" t="n">
        <v>56</v>
      </c>
      <c r="K82" s="9" t="n">
        <v>1</v>
      </c>
      <c r="L82" s="6" t="n">
        <v>121510</v>
      </c>
      <c r="M82" s="6" t="n">
        <v>2049</v>
      </c>
    </row>
    <row r="83" customFormat="false" ht="15.75" hidden="false" customHeight="false" outlineLevel="0" collapsed="false">
      <c r="A83" s="0" t="s">
        <v>66</v>
      </c>
      <c r="B83" s="1" t="n">
        <v>43943</v>
      </c>
      <c r="C83" s="6" t="n">
        <v>3465</v>
      </c>
      <c r="D83" s="6" t="n">
        <v>165</v>
      </c>
      <c r="E83" s="6" t="n">
        <v>58</v>
      </c>
      <c r="F83" s="6" t="n">
        <v>0</v>
      </c>
      <c r="G83" s="6" t="n">
        <v>1055</v>
      </c>
      <c r="H83" s="6" t="n">
        <v>2352</v>
      </c>
      <c r="I83" s="6" t="n">
        <v>36</v>
      </c>
      <c r="J83" s="6" t="n">
        <v>58</v>
      </c>
      <c r="K83" s="9" t="n">
        <v>1</v>
      </c>
      <c r="L83" s="6" t="n">
        <v>126937</v>
      </c>
      <c r="M83" s="6" t="n">
        <v>2140</v>
      </c>
    </row>
    <row r="84" customFormat="false" ht="15.75" hidden="false" customHeight="false" outlineLevel="0" collapsed="false">
      <c r="A84" s="0" t="s">
        <v>66</v>
      </c>
      <c r="B84" s="1" t="n">
        <v>43944</v>
      </c>
      <c r="C84" s="6" t="n">
        <v>3635</v>
      </c>
      <c r="D84" s="6" t="n">
        <v>170</v>
      </c>
      <c r="E84" s="6" t="n">
        <v>65</v>
      </c>
      <c r="F84" s="6" t="n">
        <v>7</v>
      </c>
      <c r="G84" s="6" t="n">
        <v>1055</v>
      </c>
      <c r="H84" s="6" t="n">
        <v>2515</v>
      </c>
      <c r="I84" s="6" t="n">
        <v>36</v>
      </c>
      <c r="J84" s="6" t="n">
        <v>61</v>
      </c>
      <c r="K84" s="9" t="n">
        <v>1</v>
      </c>
      <c r="L84" s="6" t="n">
        <v>133774</v>
      </c>
      <c r="M84" s="6" t="n">
        <v>2256</v>
      </c>
    </row>
    <row r="85" customFormat="false" ht="15.75" hidden="false" customHeight="false" outlineLevel="0" collapsed="false">
      <c r="A85" s="0" t="s">
        <v>66</v>
      </c>
      <c r="B85" s="1" t="n">
        <v>43945</v>
      </c>
      <c r="C85" s="6" t="n">
        <v>3953</v>
      </c>
      <c r="D85" s="6" t="n">
        <v>318</v>
      </c>
      <c r="E85" s="6" t="n">
        <v>75</v>
      </c>
      <c r="F85" s="6" t="n">
        <v>10</v>
      </c>
      <c r="G85" s="6" t="n">
        <v>1473</v>
      </c>
      <c r="H85" s="6" t="n">
        <v>2405</v>
      </c>
      <c r="I85" s="6" t="n">
        <v>36</v>
      </c>
      <c r="J85" s="6" t="n">
        <v>67</v>
      </c>
      <c r="K85" s="9" t="n">
        <v>1</v>
      </c>
      <c r="L85" s="6" t="n">
        <v>143570</v>
      </c>
      <c r="M85" s="6" t="n">
        <v>2421</v>
      </c>
    </row>
    <row r="86" customFormat="false" ht="15.75" hidden="false" customHeight="false" outlineLevel="0" collapsed="false">
      <c r="A86" s="0" t="s">
        <v>66</v>
      </c>
      <c r="B86" s="1" t="n">
        <v>43946</v>
      </c>
      <c r="C86" s="6" t="n">
        <v>4220</v>
      </c>
      <c r="D86" s="6" t="n">
        <v>267</v>
      </c>
      <c r="E86" s="6" t="n">
        <v>79</v>
      </c>
      <c r="F86" s="6" t="n">
        <v>4</v>
      </c>
      <c r="G86" s="6" t="n">
        <v>1473</v>
      </c>
      <c r="H86" s="6" t="n">
        <v>2668</v>
      </c>
      <c r="I86" s="6" t="n">
        <v>36</v>
      </c>
      <c r="J86" s="6" t="n">
        <v>71</v>
      </c>
      <c r="K86" s="9" t="n">
        <v>1</v>
      </c>
      <c r="L86" s="6" t="n">
        <v>152390</v>
      </c>
      <c r="M86" s="6" t="n">
        <v>2569</v>
      </c>
    </row>
    <row r="87" customFormat="false" ht="15.75" hidden="false" customHeight="false" outlineLevel="0" collapsed="false">
      <c r="A87" s="0" t="s">
        <v>66</v>
      </c>
      <c r="B87" s="1" t="n">
        <v>43947</v>
      </c>
      <c r="C87" s="6" t="n">
        <v>4361</v>
      </c>
      <c r="D87" s="6" t="n">
        <v>141</v>
      </c>
      <c r="E87" s="6" t="n">
        <v>86</v>
      </c>
      <c r="F87" s="6" t="n">
        <v>7</v>
      </c>
      <c r="G87" s="6" t="n">
        <v>1473</v>
      </c>
      <c r="H87" s="6" t="n">
        <v>2802</v>
      </c>
      <c r="I87" s="6" t="n">
        <v>36</v>
      </c>
      <c r="J87" s="6" t="n">
        <v>74</v>
      </c>
      <c r="K87" s="9" t="n">
        <v>1</v>
      </c>
      <c r="L87" s="6" t="n">
        <v>161004</v>
      </c>
      <c r="M87" s="6" t="n">
        <v>2715</v>
      </c>
    </row>
    <row r="88" customFormat="false" ht="15.75" hidden="false" customHeight="false" outlineLevel="0" collapsed="false">
      <c r="A88" s="0" t="s">
        <v>66</v>
      </c>
      <c r="B88" s="1" t="n">
        <v>43948</v>
      </c>
      <c r="C88" s="6" t="n">
        <v>4546</v>
      </c>
      <c r="D88" s="6" t="n">
        <v>185</v>
      </c>
      <c r="E88" s="6" t="n">
        <v>87</v>
      </c>
      <c r="F88" s="6" t="n">
        <v>1</v>
      </c>
      <c r="G88" s="6" t="n">
        <v>1473</v>
      </c>
      <c r="H88" s="6" t="n">
        <v>2986</v>
      </c>
      <c r="I88" s="6" t="n">
        <v>36</v>
      </c>
      <c r="J88" s="6" t="n">
        <v>77</v>
      </c>
      <c r="K88" s="9" t="n">
        <v>1</v>
      </c>
      <c r="L88" s="6" t="n">
        <v>168643</v>
      </c>
      <c r="M88" s="6" t="n">
        <v>2843</v>
      </c>
    </row>
    <row r="89" customFormat="false" ht="13.5" hidden="false" customHeight="false" outlineLevel="0" collapsed="false">
      <c r="A89" s="0" t="s">
        <v>66</v>
      </c>
      <c r="B89" s="1" t="n">
        <v>43949</v>
      </c>
      <c r="C89" s="2" t="n">
        <v>4793</v>
      </c>
      <c r="D89" s="2" t="n">
        <v>247</v>
      </c>
      <c r="E89" s="2" t="n">
        <v>90</v>
      </c>
      <c r="F89" s="2" t="n">
        <v>3</v>
      </c>
      <c r="G89" s="2" t="n">
        <v>1473</v>
      </c>
      <c r="H89" s="2" t="n">
        <v>3230</v>
      </c>
      <c r="I89" s="2" t="n">
        <v>36</v>
      </c>
      <c r="J89" s="2" t="n">
        <v>81</v>
      </c>
      <c r="K89" s="2" t="n">
        <v>2</v>
      </c>
      <c r="L89" s="2" t="n">
        <v>178470</v>
      </c>
      <c r="M89" s="2" t="n">
        <v>3009</v>
      </c>
    </row>
    <row r="90" customFormat="false" ht="13.5" hidden="false" customHeight="false" outlineLevel="0" collapsed="false">
      <c r="A90" s="0" t="s">
        <v>66</v>
      </c>
      <c r="B90" s="1" t="n">
        <v>43950</v>
      </c>
      <c r="C90" s="2" t="n">
        <v>4996</v>
      </c>
      <c r="D90" s="2" t="n">
        <v>203</v>
      </c>
      <c r="E90" s="2" t="n">
        <v>93</v>
      </c>
      <c r="F90" s="2" t="n">
        <v>3</v>
      </c>
      <c r="G90" s="2" t="n">
        <v>2073</v>
      </c>
      <c r="H90" s="2" t="n">
        <v>2830</v>
      </c>
      <c r="I90" s="2" t="n">
        <v>36</v>
      </c>
      <c r="J90" s="2" t="n">
        <v>84</v>
      </c>
      <c r="K90" s="2" t="n">
        <v>2</v>
      </c>
      <c r="L90" s="2" t="n">
        <v>185000</v>
      </c>
      <c r="M90" s="2" t="n">
        <v>3119</v>
      </c>
    </row>
    <row r="91" customFormat="false" ht="13.5" hidden="false" customHeight="false" outlineLevel="0" collapsed="false">
      <c r="A91" s="0" t="s">
        <v>66</v>
      </c>
      <c r="B91" s="1" t="n">
        <v>43951</v>
      </c>
      <c r="C91" s="2" t="n">
        <v>5350</v>
      </c>
      <c r="D91" s="2" t="n">
        <v>354</v>
      </c>
      <c r="E91" s="2" t="n">
        <v>103</v>
      </c>
      <c r="F91" s="2" t="n">
        <v>10</v>
      </c>
      <c r="G91" s="2" t="n">
        <v>2073</v>
      </c>
      <c r="H91" s="2" t="n">
        <v>3174</v>
      </c>
      <c r="I91" s="2" t="n">
        <v>36</v>
      </c>
      <c r="J91" s="2" t="n">
        <v>90</v>
      </c>
      <c r="K91" s="2" t="n">
        <v>2</v>
      </c>
      <c r="L91" s="2" t="n">
        <v>197127</v>
      </c>
      <c r="M91" s="2" t="n">
        <v>3324</v>
      </c>
    </row>
    <row r="92" customFormat="false" ht="14.25" hidden="false" customHeight="false" outlineLevel="0" collapsed="false">
      <c r="A92" s="0" t="s">
        <v>66</v>
      </c>
      <c r="B92" s="1" t="n">
        <v>43952</v>
      </c>
      <c r="C92" s="2" t="n">
        <v>5647</v>
      </c>
      <c r="D92" s="2" t="n">
        <v>297</v>
      </c>
      <c r="E92" s="2" t="n">
        <v>103</v>
      </c>
      <c r="F92" s="2" t="n">
        <v>0</v>
      </c>
      <c r="G92" s="2" t="n">
        <v>2073</v>
      </c>
      <c r="H92" s="2" t="n">
        <v>3471</v>
      </c>
      <c r="I92" s="2" t="n">
        <v>36</v>
      </c>
      <c r="J92" s="2" t="n">
        <v>95</v>
      </c>
      <c r="K92" s="2" t="n">
        <v>2</v>
      </c>
      <c r="L92" s="2" t="n">
        <v>207530</v>
      </c>
      <c r="M92" s="2" t="n">
        <v>3499</v>
      </c>
    </row>
    <row r="93" customFormat="false" ht="15.75" hidden="false" customHeight="false" outlineLevel="0" collapsed="false">
      <c r="A93" s="0" t="s">
        <v>66</v>
      </c>
      <c r="B93" s="1" t="n">
        <v>43953</v>
      </c>
      <c r="C93" s="6" t="e">
        <f aca="false">sheet1!anj94</f>
        <v>#NAME?</v>
      </c>
      <c r="D93" s="6" t="e">
        <f aca="false">sheet1!ank94</f>
        <v>#NAME?</v>
      </c>
      <c r="E93" s="6" t="e">
        <f aca="false">sheet1!anl94</f>
        <v>#NAME?</v>
      </c>
      <c r="F93" s="6" t="e">
        <f aca="false">sheet1!anm94</f>
        <v>#NAME?</v>
      </c>
      <c r="G93" s="6" t="e">
        <f aca="false">sheet1!ann94</f>
        <v>#NAME?</v>
      </c>
      <c r="H93" s="6" t="e">
        <f aca="false">sheet1!ano94</f>
        <v>#NAME?</v>
      </c>
      <c r="I93" s="6" t="e">
        <f aca="false">sheet1!anp94</f>
        <v>#NAME?</v>
      </c>
      <c r="J93" s="6" t="e">
        <f aca="false">sheet1!anq94</f>
        <v>#NAME?</v>
      </c>
      <c r="K93" s="6" t="e">
        <f aca="false">sheet1!anr94</f>
        <v>#NAME?</v>
      </c>
      <c r="L93" s="6" t="e">
        <f aca="false">sheet1!ans94</f>
        <v>#NAME?</v>
      </c>
      <c r="M93" s="6" t="e">
        <f aca="false">sheet1!ant94</f>
        <v>#NAME?</v>
      </c>
    </row>
    <row r="94" customFormat="false" ht="15.75" hidden="false" customHeight="false" outlineLevel="0" collapsed="false">
      <c r="A94" s="0" t="s">
        <v>66</v>
      </c>
      <c r="B94" s="1" t="n">
        <v>43954</v>
      </c>
      <c r="C94" s="6" t="e">
        <f aca="false">sheet1!anj95</f>
        <v>#NAME?</v>
      </c>
      <c r="D94" s="6" t="e">
        <f aca="false">sheet1!ank95</f>
        <v>#NAME?</v>
      </c>
      <c r="E94" s="6" t="e">
        <f aca="false">sheet1!anl95</f>
        <v>#NAME?</v>
      </c>
      <c r="F94" s="6" t="e">
        <f aca="false">sheet1!anm95</f>
        <v>#NAME?</v>
      </c>
      <c r="G94" s="6" t="e">
        <f aca="false">sheet1!ann95</f>
        <v>#NAME?</v>
      </c>
      <c r="H94" s="6" t="e">
        <f aca="false">sheet1!ano95</f>
        <v>#NAME?</v>
      </c>
      <c r="I94" s="6" t="e">
        <f aca="false">sheet1!anp95</f>
        <v>#NAME?</v>
      </c>
      <c r="J94" s="6" t="e">
        <f aca="false">sheet1!anq95</f>
        <v>#NAME?</v>
      </c>
      <c r="K94" s="6" t="e">
        <f aca="false">sheet1!anr95</f>
        <v>#NAME?</v>
      </c>
      <c r="L94" s="6" t="e">
        <f aca="false">sheet1!ans95</f>
        <v>#NAME?</v>
      </c>
      <c r="M94" s="6" t="e">
        <f aca="false">sheet1!ant95</f>
        <v>#NAME?</v>
      </c>
    </row>
    <row r="95" customFormat="false" ht="15.75" hidden="false" customHeight="false" outlineLevel="0" collapsed="false">
      <c r="A95" s="0" t="s">
        <v>66</v>
      </c>
      <c r="B95" s="1" t="n">
        <v>43955</v>
      </c>
      <c r="C95" s="6" t="e">
        <f aca="false">sheet1!anj96</f>
        <v>#NAME?</v>
      </c>
      <c r="D95" s="6" t="e">
        <f aca="false">sheet1!ank96</f>
        <v>#NAME?</v>
      </c>
      <c r="E95" s="6" t="e">
        <f aca="false">sheet1!anl96</f>
        <v>#NAME?</v>
      </c>
      <c r="F95" s="6" t="e">
        <f aca="false">sheet1!anm96</f>
        <v>#NAME?</v>
      </c>
      <c r="G95" s="6" t="e">
        <f aca="false">sheet1!ann96</f>
        <v>#NAME?</v>
      </c>
      <c r="H95" s="6" t="e">
        <f aca="false">sheet1!ano96</f>
        <v>#NAME?</v>
      </c>
      <c r="I95" s="6" t="e">
        <f aca="false">sheet1!anp96</f>
        <v>#NAME?</v>
      </c>
      <c r="J95" s="6" t="e">
        <f aca="false">sheet1!anq96</f>
        <v>#NAME?</v>
      </c>
      <c r="K95" s="6" t="e">
        <f aca="false">sheet1!anr96</f>
        <v>#NAME?</v>
      </c>
      <c r="L95" s="6" t="e">
        <f aca="false">sheet1!ans96</f>
        <v>#NAME?</v>
      </c>
      <c r="M95" s="6" t="e">
        <f aca="false">sheet1!ant96</f>
        <v>#NAME?</v>
      </c>
    </row>
    <row r="96" customFormat="false" ht="15.75" hidden="false" customHeight="false" outlineLevel="0" collapsed="false">
      <c r="A96" s="0" t="s">
        <v>66</v>
      </c>
      <c r="B96" s="1" t="n">
        <v>43956</v>
      </c>
      <c r="C96" s="6" t="e">
        <f aca="false">sheet1!anj97</f>
        <v>#NAME?</v>
      </c>
      <c r="D96" s="6" t="e">
        <f aca="false">sheet1!ank97</f>
        <v>#NAME?</v>
      </c>
      <c r="E96" s="6" t="e">
        <f aca="false">sheet1!anl97</f>
        <v>#NAME?</v>
      </c>
      <c r="F96" s="6" t="e">
        <f aca="false">sheet1!anm97</f>
        <v>#NAME?</v>
      </c>
      <c r="G96" s="6" t="e">
        <f aca="false">sheet1!ann97</f>
        <v>#NAME?</v>
      </c>
      <c r="H96" s="6" t="e">
        <f aca="false">sheet1!ano97</f>
        <v>#NAME?</v>
      </c>
      <c r="I96" s="6" t="e">
        <f aca="false">sheet1!anp97</f>
        <v>#NAME?</v>
      </c>
      <c r="J96" s="6" t="e">
        <f aca="false">sheet1!anq97</f>
        <v>#NAME?</v>
      </c>
      <c r="K96" s="6" t="e">
        <f aca="false">sheet1!anr97</f>
        <v>#NAME?</v>
      </c>
      <c r="L96" s="6" t="e">
        <f aca="false">sheet1!ans97</f>
        <v>#NAME?</v>
      </c>
      <c r="M96" s="6" t="e">
        <f aca="false">sheet1!ant97</f>
        <v>#NAME?</v>
      </c>
    </row>
    <row r="97" customFormat="false" ht="15.75" hidden="false" customHeight="false" outlineLevel="0" collapsed="false">
      <c r="A97" s="0" t="s">
        <v>66</v>
      </c>
      <c r="B97" s="1" t="n">
        <v>43957</v>
      </c>
      <c r="C97" s="6" t="e">
        <f aca="false">sheet1!anj98</f>
        <v>#NAME?</v>
      </c>
      <c r="D97" s="6" t="e">
        <f aca="false">sheet1!ank98</f>
        <v>#NAME?</v>
      </c>
      <c r="E97" s="6" t="e">
        <f aca="false">sheet1!anl98</f>
        <v>#NAME?</v>
      </c>
      <c r="F97" s="6" t="e">
        <f aca="false">sheet1!anm98</f>
        <v>#NAME?</v>
      </c>
      <c r="G97" s="6" t="e">
        <f aca="false">sheet1!ann98</f>
        <v>#NAME?</v>
      </c>
      <c r="H97" s="6" t="e">
        <f aca="false">sheet1!ano98</f>
        <v>#NAME?</v>
      </c>
      <c r="I97" s="6" t="e">
        <f aca="false">sheet1!anp98</f>
        <v>#NAME?</v>
      </c>
      <c r="J97" s="6" t="e">
        <f aca="false">sheet1!anq98</f>
        <v>#NAME?</v>
      </c>
      <c r="K97" s="6" t="e">
        <f aca="false">sheet1!anr98</f>
        <v>#NAME?</v>
      </c>
      <c r="L97" s="6" t="e">
        <f aca="false">sheet1!ans98</f>
        <v>#NAME?</v>
      </c>
      <c r="M97" s="6" t="e">
        <f aca="false">sheet1!ant98</f>
        <v>#NAME?</v>
      </c>
    </row>
    <row r="98" customFormat="false" ht="15.75" hidden="false" customHeight="false" outlineLevel="0" collapsed="false">
      <c r="A98" s="0" t="s">
        <v>66</v>
      </c>
      <c r="B98" s="1" t="n">
        <v>43958</v>
      </c>
      <c r="C98" s="6" t="e">
        <f aca="false">sheet1!anj99</f>
        <v>#NAME?</v>
      </c>
      <c r="D98" s="6" t="e">
        <f aca="false">sheet1!ank99</f>
        <v>#NAME?</v>
      </c>
      <c r="E98" s="6" t="e">
        <f aca="false">sheet1!anl99</f>
        <v>#NAME?</v>
      </c>
      <c r="F98" s="6" t="e">
        <f aca="false">sheet1!anm99</f>
        <v>#NAME?</v>
      </c>
      <c r="G98" s="6" t="e">
        <f aca="false">sheet1!ann99</f>
        <v>#NAME?</v>
      </c>
      <c r="H98" s="6" t="e">
        <f aca="false">sheet1!ano99</f>
        <v>#NAME?</v>
      </c>
      <c r="I98" s="6" t="e">
        <f aca="false">sheet1!anp99</f>
        <v>#NAME?</v>
      </c>
      <c r="J98" s="6" t="e">
        <f aca="false">sheet1!anq99</f>
        <v>#NAME?</v>
      </c>
      <c r="K98" s="6" t="e">
        <f aca="false">sheet1!anr99</f>
        <v>#NAME?</v>
      </c>
      <c r="L98" s="6" t="e">
        <f aca="false">sheet1!ans99</f>
        <v>#NAME?</v>
      </c>
      <c r="M98" s="6" t="e">
        <f aca="false">sheet1!ant99</f>
        <v>#NAME?</v>
      </c>
    </row>
    <row r="99" customFormat="false" ht="15.75" hidden="false" customHeight="false" outlineLevel="0" collapsed="false">
      <c r="A99" s="0" t="s">
        <v>66</v>
      </c>
      <c r="B99" s="1" t="n">
        <v>43959</v>
      </c>
      <c r="C99" s="6" t="e">
        <f aca="false">sheet1!anj100</f>
        <v>#NAME?</v>
      </c>
      <c r="D99" s="6" t="e">
        <f aca="false">sheet1!ank100</f>
        <v>#NAME?</v>
      </c>
      <c r="E99" s="6" t="e">
        <f aca="false">sheet1!anl100</f>
        <v>#NAME?</v>
      </c>
      <c r="F99" s="6" t="e">
        <f aca="false">sheet1!anm100</f>
        <v>#NAME?</v>
      </c>
      <c r="G99" s="6" t="e">
        <f aca="false">sheet1!ann100</f>
        <v>#NAME?</v>
      </c>
      <c r="H99" s="6" t="e">
        <f aca="false">sheet1!ano100</f>
        <v>#NAME?</v>
      </c>
      <c r="I99" s="6" t="e">
        <f aca="false">sheet1!anp100</f>
        <v>#NAME?</v>
      </c>
      <c r="J99" s="6" t="e">
        <f aca="false">sheet1!anq100</f>
        <v>#NAME?</v>
      </c>
      <c r="K99" s="6" t="e">
        <f aca="false">sheet1!anr100</f>
        <v>#NAME?</v>
      </c>
      <c r="L99" s="6" t="e">
        <f aca="false">sheet1!ans100</f>
        <v>#NAME?</v>
      </c>
      <c r="M99" s="6" t="e">
        <f aca="false">sheet1!ant100</f>
        <v>#NAME?</v>
      </c>
    </row>
    <row r="100" customFormat="false" ht="15.75" hidden="false" customHeight="false" outlineLevel="0" collapsed="false">
      <c r="A100" s="0" t="s">
        <v>66</v>
      </c>
      <c r="B100" s="1" t="n">
        <v>43960</v>
      </c>
      <c r="C100" s="6" t="e">
        <f aca="false">sheet1!anj101</f>
        <v>#NAME?</v>
      </c>
      <c r="D100" s="6" t="e">
        <f aca="false">sheet1!ank101</f>
        <v>#NAME?</v>
      </c>
      <c r="E100" s="6" t="e">
        <f aca="false">sheet1!anl101</f>
        <v>#NAME?</v>
      </c>
      <c r="F100" s="6" t="e">
        <f aca="false">sheet1!anm101</f>
        <v>#NAME?</v>
      </c>
      <c r="G100" s="6" t="e">
        <f aca="false">sheet1!ann101</f>
        <v>#NAME?</v>
      </c>
      <c r="H100" s="6" t="e">
        <f aca="false">sheet1!ano101</f>
        <v>#NAME?</v>
      </c>
      <c r="I100" s="6" t="e">
        <f aca="false">sheet1!anp101</f>
        <v>#NAME?</v>
      </c>
      <c r="J100" s="6" t="e">
        <f aca="false">sheet1!anq101</f>
        <v>#NAME?</v>
      </c>
      <c r="K100" s="6" t="e">
        <f aca="false">sheet1!anr101</f>
        <v>#NAME?</v>
      </c>
      <c r="L100" s="6" t="e">
        <f aca="false">sheet1!ans101</f>
        <v>#NAME?</v>
      </c>
      <c r="M100" s="6" t="e">
        <f aca="false">sheet1!ant101</f>
        <v>#NAME?</v>
      </c>
    </row>
    <row r="101" customFormat="false" ht="15.75" hidden="false" customHeight="false" outlineLevel="0" collapsed="false">
      <c r="A101" s="0" t="s">
        <v>66</v>
      </c>
      <c r="B101" s="1" t="n">
        <v>43961</v>
      </c>
      <c r="C101" s="6" t="e">
        <f aca="false">sheet1!anj102</f>
        <v>#NAME?</v>
      </c>
      <c r="D101" s="6" t="e">
        <f aca="false">sheet1!ank102</f>
        <v>#NAME?</v>
      </c>
      <c r="E101" s="6" t="e">
        <f aca="false">sheet1!anl102</f>
        <v>#NAME?</v>
      </c>
      <c r="F101" s="6" t="e">
        <f aca="false">sheet1!anm102</f>
        <v>#NAME?</v>
      </c>
      <c r="G101" s="6" t="e">
        <f aca="false">sheet1!ann102</f>
        <v>#NAME?</v>
      </c>
      <c r="H101" s="6" t="e">
        <f aca="false">sheet1!ano102</f>
        <v>#NAME?</v>
      </c>
      <c r="I101" s="6" t="e">
        <f aca="false">sheet1!anp102</f>
        <v>#NAME?</v>
      </c>
      <c r="J101" s="6" t="e">
        <f aca="false">sheet1!anq102</f>
        <v>#NAME?</v>
      </c>
      <c r="K101" s="6" t="e">
        <f aca="false">sheet1!anr102</f>
        <v>#NAME?</v>
      </c>
      <c r="L101" s="6" t="e">
        <f aca="false">sheet1!ans102</f>
        <v>#NAME?</v>
      </c>
      <c r="M101" s="6" t="e">
        <f aca="false">sheet1!ant102</f>
        <v>#NAME?</v>
      </c>
    </row>
    <row r="102" customFormat="false" ht="15.75" hidden="false" customHeight="false" outlineLevel="0" collapsed="false">
      <c r="A102" s="0" t="s">
        <v>66</v>
      </c>
      <c r="B102" s="1" t="n">
        <v>43962</v>
      </c>
      <c r="C102" s="6" t="e">
        <f aca="false">sheet1!anj103</f>
        <v>#NAME?</v>
      </c>
      <c r="D102" s="6" t="e">
        <f aca="false">sheet1!ank103</f>
        <v>#NAME?</v>
      </c>
      <c r="E102" s="6" t="e">
        <f aca="false">sheet1!anl103</f>
        <v>#NAME?</v>
      </c>
      <c r="F102" s="6" t="e">
        <f aca="false">sheet1!anm103</f>
        <v>#NAME?</v>
      </c>
      <c r="G102" s="6" t="e">
        <f aca="false">sheet1!ann103</f>
        <v>#NAME?</v>
      </c>
      <c r="H102" s="6" t="e">
        <f aca="false">sheet1!ano103</f>
        <v>#NAME?</v>
      </c>
      <c r="I102" s="6" t="e">
        <f aca="false">sheet1!anp103</f>
        <v>#NAME?</v>
      </c>
      <c r="J102" s="6" t="e">
        <f aca="false">sheet1!anq103</f>
        <v>#NAME?</v>
      </c>
      <c r="K102" s="6" t="e">
        <f aca="false">sheet1!anr103</f>
        <v>#NAME?</v>
      </c>
      <c r="L102" s="6" t="e">
        <f aca="false">sheet1!ans103</f>
        <v>#NAME?</v>
      </c>
      <c r="M102" s="6" t="e">
        <f aca="false">sheet1!ant103</f>
        <v>#NAME?</v>
      </c>
    </row>
    <row r="103" customFormat="false" ht="15.75" hidden="false" customHeight="false" outlineLevel="0" collapsed="false">
      <c r="A103" s="0" t="s">
        <v>66</v>
      </c>
      <c r="B103" s="1" t="n">
        <v>43963</v>
      </c>
      <c r="C103" s="6" t="e">
        <f aca="false">sheet1!anj104</f>
        <v>#NAME?</v>
      </c>
      <c r="D103" s="6" t="e">
        <f aca="false">sheet1!ank104</f>
        <v>#NAME?</v>
      </c>
      <c r="E103" s="6" t="e">
        <f aca="false">sheet1!anl104</f>
        <v>#NAME?</v>
      </c>
      <c r="F103" s="6" t="e">
        <f aca="false">sheet1!anm104</f>
        <v>#NAME?</v>
      </c>
      <c r="G103" s="6" t="e">
        <f aca="false">sheet1!ann104</f>
        <v>#NAME?</v>
      </c>
      <c r="H103" s="6" t="e">
        <f aca="false">sheet1!ano104</f>
        <v>#NAME?</v>
      </c>
      <c r="I103" s="6" t="e">
        <f aca="false">sheet1!anp104</f>
        <v>#NAME?</v>
      </c>
      <c r="J103" s="6" t="e">
        <f aca="false">sheet1!anq104</f>
        <v>#NAME?</v>
      </c>
      <c r="K103" s="6" t="e">
        <f aca="false">sheet1!anr104</f>
        <v>#NAME?</v>
      </c>
      <c r="L103" s="6" t="e">
        <f aca="false">sheet1!ans104</f>
        <v>#NAME?</v>
      </c>
      <c r="M103" s="6" t="e">
        <f aca="false">sheet1!ant104</f>
        <v>#NAME?</v>
      </c>
    </row>
    <row r="104" customFormat="false" ht="15.75" hidden="false" customHeight="false" outlineLevel="0" collapsed="false">
      <c r="A104" s="0" t="s">
        <v>66</v>
      </c>
      <c r="B104" s="1" t="n">
        <v>43964</v>
      </c>
      <c r="C104" s="6" t="e">
        <f aca="false">sheet1!anj105</f>
        <v>#NAME?</v>
      </c>
      <c r="D104" s="6" t="e">
        <f aca="false">sheet1!ank105</f>
        <v>#NAME?</v>
      </c>
      <c r="E104" s="6" t="e">
        <f aca="false">sheet1!anl105</f>
        <v>#NAME?</v>
      </c>
      <c r="F104" s="6" t="e">
        <f aca="false">sheet1!anm105</f>
        <v>#NAME?</v>
      </c>
      <c r="G104" s="6" t="e">
        <f aca="false">sheet1!ann105</f>
        <v>#NAME?</v>
      </c>
      <c r="H104" s="6" t="e">
        <f aca="false">sheet1!ano105</f>
        <v>#NAME?</v>
      </c>
      <c r="I104" s="6" t="e">
        <f aca="false">sheet1!anp105</f>
        <v>#NAME?</v>
      </c>
      <c r="J104" s="6" t="e">
        <f aca="false">sheet1!anq105</f>
        <v>#NAME?</v>
      </c>
      <c r="K104" s="6" t="e">
        <f aca="false">sheet1!anr105</f>
        <v>#NAME?</v>
      </c>
      <c r="L104" s="6" t="e">
        <f aca="false">sheet1!ans105</f>
        <v>#NAME?</v>
      </c>
      <c r="M104" s="6" t="e">
        <f aca="false">sheet1!ant105</f>
        <v>#NAME?</v>
      </c>
    </row>
    <row r="105" customFormat="false" ht="15.75" hidden="false" customHeight="false" outlineLevel="0" collapsed="false">
      <c r="A105" s="0" t="s">
        <v>66</v>
      </c>
      <c r="B105" s="1" t="n">
        <v>43965</v>
      </c>
      <c r="C105" s="6" t="e">
        <f aca="false">sheet1!anj106</f>
        <v>#NAME?</v>
      </c>
      <c r="D105" s="6" t="e">
        <f aca="false">sheet1!ank106</f>
        <v>#NAME?</v>
      </c>
      <c r="E105" s="6" t="e">
        <f aca="false">sheet1!anl106</f>
        <v>#NAME?</v>
      </c>
      <c r="F105" s="6" t="e">
        <f aca="false">sheet1!anm106</f>
        <v>#NAME?</v>
      </c>
      <c r="G105" s="6" t="e">
        <f aca="false">sheet1!ann106</f>
        <v>#NAME?</v>
      </c>
      <c r="H105" s="6" t="e">
        <f aca="false">sheet1!ano106</f>
        <v>#NAME?</v>
      </c>
      <c r="I105" s="6" t="e">
        <f aca="false">sheet1!anp106</f>
        <v>#NAME?</v>
      </c>
      <c r="J105" s="6" t="e">
        <f aca="false">sheet1!anq106</f>
        <v>#NAME?</v>
      </c>
      <c r="K105" s="6" t="e">
        <f aca="false">sheet1!anr106</f>
        <v>#NAME?</v>
      </c>
      <c r="L105" s="6" t="e">
        <f aca="false">sheet1!ans106</f>
        <v>#NAME?</v>
      </c>
      <c r="M105" s="6" t="e">
        <f aca="false">sheet1!ant106</f>
        <v>#NAME?</v>
      </c>
    </row>
    <row r="106" customFormat="false" ht="15.75" hidden="false" customHeight="false" outlineLevel="0" collapsed="false">
      <c r="A106" s="0" t="s">
        <v>66</v>
      </c>
      <c r="B106" s="1" t="n">
        <v>43966</v>
      </c>
      <c r="C106" s="6" t="e">
        <f aca="false">sheet1!anj107</f>
        <v>#NAME?</v>
      </c>
      <c r="D106" s="6" t="e">
        <f aca="false">sheet1!ank107</f>
        <v>#NAME?</v>
      </c>
      <c r="E106" s="6" t="e">
        <f aca="false">sheet1!anl107</f>
        <v>#NAME?</v>
      </c>
      <c r="F106" s="6" t="e">
        <f aca="false">sheet1!anm107</f>
        <v>#NAME?</v>
      </c>
      <c r="G106" s="6" t="e">
        <f aca="false">sheet1!ann107</f>
        <v>#NAME?</v>
      </c>
      <c r="H106" s="6" t="e">
        <f aca="false">sheet1!ano107</f>
        <v>#NAME?</v>
      </c>
      <c r="I106" s="6" t="e">
        <f aca="false">sheet1!anp107</f>
        <v>#NAME?</v>
      </c>
      <c r="J106" s="6" t="e">
        <f aca="false">sheet1!anq107</f>
        <v>#NAME?</v>
      </c>
      <c r="K106" s="6" t="e">
        <f aca="false">sheet1!anr107</f>
        <v>#NAME?</v>
      </c>
      <c r="L106" s="6" t="e">
        <f aca="false">sheet1!ans107</f>
        <v>#NAME?</v>
      </c>
      <c r="M106" s="6" t="e">
        <f aca="false">sheet1!ant107</f>
        <v>#NAME?</v>
      </c>
    </row>
    <row r="107" customFormat="false" ht="15.75" hidden="false" customHeight="false" outlineLevel="0" collapsed="false">
      <c r="A107" s="0" t="s">
        <v>66</v>
      </c>
      <c r="B107" s="1" t="n">
        <v>43967</v>
      </c>
      <c r="C107" s="6" t="e">
        <f aca="false">sheet1!anj108</f>
        <v>#NAME?</v>
      </c>
      <c r="D107" s="6" t="e">
        <f aca="false">sheet1!ank108</f>
        <v>#NAME?</v>
      </c>
      <c r="E107" s="6" t="e">
        <f aca="false">sheet1!anl108</f>
        <v>#NAME?</v>
      </c>
      <c r="F107" s="6" t="e">
        <f aca="false">sheet1!anm108</f>
        <v>#NAME?</v>
      </c>
      <c r="G107" s="6" t="e">
        <f aca="false">sheet1!ann108</f>
        <v>#NAME?</v>
      </c>
      <c r="H107" s="6" t="e">
        <f aca="false">sheet1!ano108</f>
        <v>#NAME?</v>
      </c>
      <c r="I107" s="6" t="e">
        <f aca="false">sheet1!anp108</f>
        <v>#NAME?</v>
      </c>
      <c r="J107" s="6" t="e">
        <f aca="false">sheet1!anq108</f>
        <v>#NAME?</v>
      </c>
      <c r="K107" s="6" t="e">
        <f aca="false">sheet1!anr108</f>
        <v>#NAME?</v>
      </c>
      <c r="L107" s="6" t="e">
        <f aca="false">sheet1!ans108</f>
        <v>#NAME?</v>
      </c>
      <c r="M107" s="6" t="e">
        <f aca="false">sheet1!ant108</f>
        <v>#NAME?</v>
      </c>
    </row>
    <row r="108" customFormat="false" ht="15.75" hidden="false" customHeight="false" outlineLevel="0" collapsed="false">
      <c r="A108" s="0" t="s">
        <v>66</v>
      </c>
      <c r="B108" s="1" t="n">
        <v>43968</v>
      </c>
      <c r="C108" s="6" t="e">
        <f aca="false">sheet1!anj109</f>
        <v>#NAME?</v>
      </c>
      <c r="D108" s="6" t="e">
        <f aca="false">sheet1!ank109</f>
        <v>#NAME?</v>
      </c>
      <c r="E108" s="6" t="e">
        <f aca="false">sheet1!anl109</f>
        <v>#NAME?</v>
      </c>
      <c r="F108" s="6" t="e">
        <f aca="false">sheet1!anm109</f>
        <v>#NAME?</v>
      </c>
      <c r="G108" s="6" t="e">
        <f aca="false">sheet1!ann109</f>
        <v>#NAME?</v>
      </c>
      <c r="H108" s="6" t="e">
        <f aca="false">sheet1!ano109</f>
        <v>#NAME?</v>
      </c>
      <c r="I108" s="6" t="e">
        <f aca="false">sheet1!anp109</f>
        <v>#NAME?</v>
      </c>
      <c r="J108" s="6" t="e">
        <f aca="false">sheet1!anq109</f>
        <v>#NAME?</v>
      </c>
      <c r="K108" s="6" t="e">
        <f aca="false">sheet1!anr109</f>
        <v>#NAME?</v>
      </c>
      <c r="L108" s="6" t="e">
        <f aca="false">sheet1!ans109</f>
        <v>#NAME?</v>
      </c>
      <c r="M108" s="6" t="e">
        <f aca="false">sheet1!ant109</f>
        <v>#NAME?</v>
      </c>
    </row>
    <row r="109" customFormat="false" ht="15.75" hidden="false" customHeight="false" outlineLevel="0" collapsed="false">
      <c r="A109" s="0" t="s">
        <v>66</v>
      </c>
      <c r="B109" s="1" t="n">
        <v>43969</v>
      </c>
      <c r="C109" s="6" t="e">
        <f aca="false">sheet1!anj110</f>
        <v>#NAME?</v>
      </c>
      <c r="D109" s="6" t="e">
        <f aca="false">sheet1!ank110</f>
        <v>#NAME?</v>
      </c>
      <c r="E109" s="6" t="e">
        <f aca="false">sheet1!anl110</f>
        <v>#NAME?</v>
      </c>
      <c r="F109" s="6" t="e">
        <f aca="false">sheet1!anm110</f>
        <v>#NAME?</v>
      </c>
      <c r="G109" s="6" t="e">
        <f aca="false">sheet1!ann110</f>
        <v>#NAME?</v>
      </c>
      <c r="H109" s="6" t="e">
        <f aca="false">sheet1!ano110</f>
        <v>#NAME?</v>
      </c>
      <c r="I109" s="6" t="e">
        <f aca="false">sheet1!anp110</f>
        <v>#NAME?</v>
      </c>
      <c r="J109" s="6" t="e">
        <f aca="false">sheet1!anq110</f>
        <v>#NAME?</v>
      </c>
      <c r="K109" s="6" t="e">
        <f aca="false">sheet1!anr110</f>
        <v>#NAME?</v>
      </c>
      <c r="L109" s="6" t="e">
        <f aca="false">sheet1!ans110</f>
        <v>#NAME?</v>
      </c>
      <c r="M109" s="6" t="e">
        <f aca="false">sheet1!ant110</f>
        <v>#NAME?</v>
      </c>
    </row>
    <row r="110" customFormat="false" ht="15.75" hidden="false" customHeight="false" outlineLevel="0" collapsed="false">
      <c r="A110" s="0" t="s">
        <v>66</v>
      </c>
      <c r="B110" s="1" t="n">
        <v>43970</v>
      </c>
      <c r="C110" s="6" t="e">
        <f aca="false">sheet1!anj111</f>
        <v>#NAME?</v>
      </c>
      <c r="D110" s="6" t="e">
        <f aca="false">sheet1!ank111</f>
        <v>#NAME?</v>
      </c>
      <c r="E110" s="6" t="e">
        <f aca="false">sheet1!anl111</f>
        <v>#NAME?</v>
      </c>
      <c r="F110" s="6" t="e">
        <f aca="false">sheet1!anm111</f>
        <v>#NAME?</v>
      </c>
      <c r="G110" s="6" t="e">
        <f aca="false">sheet1!ann111</f>
        <v>#NAME?</v>
      </c>
      <c r="H110" s="6" t="e">
        <f aca="false">sheet1!ano111</f>
        <v>#NAME?</v>
      </c>
      <c r="I110" s="6" t="e">
        <f aca="false">sheet1!anp111</f>
        <v>#NAME?</v>
      </c>
      <c r="J110" s="6" t="e">
        <f aca="false">sheet1!anq111</f>
        <v>#NAME?</v>
      </c>
      <c r="K110" s="6" t="e">
        <f aca="false">sheet1!anr111</f>
        <v>#NAME?</v>
      </c>
      <c r="L110" s="6" t="e">
        <f aca="false">sheet1!ans111</f>
        <v>#NAME?</v>
      </c>
      <c r="M110" s="6" t="e">
        <f aca="false">sheet1!ant111</f>
        <v>#NAME?</v>
      </c>
    </row>
    <row r="111" customFormat="false" ht="15.75" hidden="false" customHeight="false" outlineLevel="0" collapsed="false">
      <c r="A111" s="0" t="s">
        <v>66</v>
      </c>
      <c r="B111" s="1" t="n">
        <v>43971</v>
      </c>
      <c r="C111" s="6" t="e">
        <f aca="false">sheet1!anj112</f>
        <v>#NAME?</v>
      </c>
      <c r="D111" s="6" t="e">
        <f aca="false">sheet1!ank112</f>
        <v>#NAME?</v>
      </c>
      <c r="E111" s="6" t="e">
        <f aca="false">sheet1!anl112</f>
        <v>#NAME?</v>
      </c>
      <c r="F111" s="6" t="e">
        <f aca="false">sheet1!anm112</f>
        <v>#NAME?</v>
      </c>
      <c r="G111" s="6" t="e">
        <f aca="false">sheet1!ann112</f>
        <v>#NAME?</v>
      </c>
      <c r="H111" s="6" t="e">
        <f aca="false">sheet1!ano112</f>
        <v>#NAME?</v>
      </c>
      <c r="I111" s="6" t="e">
        <f aca="false">sheet1!anp112</f>
        <v>#NAME?</v>
      </c>
      <c r="J111" s="6" t="e">
        <f aca="false">sheet1!anq112</f>
        <v>#NAME?</v>
      </c>
      <c r="K111" s="6" t="e">
        <f aca="false">sheet1!anr112</f>
        <v>#NAME?</v>
      </c>
      <c r="L111" s="6" t="e">
        <f aca="false">sheet1!ans112</f>
        <v>#NAME?</v>
      </c>
      <c r="M111" s="6" t="e">
        <f aca="false">sheet1!ant112</f>
        <v>#NAME?</v>
      </c>
    </row>
    <row r="112" customFormat="false" ht="15.75" hidden="false" customHeight="false" outlineLevel="0" collapsed="false">
      <c r="A112" s="0" t="s">
        <v>66</v>
      </c>
      <c r="B112" s="1" t="n">
        <v>43972</v>
      </c>
      <c r="C112" s="6" t="e">
        <f aca="false">sheet1!anj113</f>
        <v>#NAME?</v>
      </c>
      <c r="D112" s="6" t="e">
        <f aca="false">sheet1!ank113</f>
        <v>#NAME?</v>
      </c>
      <c r="E112" s="6" t="e">
        <f aca="false">sheet1!anl113</f>
        <v>#NAME?</v>
      </c>
      <c r="F112" s="6" t="e">
        <f aca="false">sheet1!anm113</f>
        <v>#NAME?</v>
      </c>
      <c r="G112" s="6" t="e">
        <f aca="false">sheet1!ann113</f>
        <v>#NAME?</v>
      </c>
      <c r="H112" s="6" t="e">
        <f aca="false">sheet1!ano113</f>
        <v>#NAME?</v>
      </c>
      <c r="I112" s="6" t="e">
        <f aca="false">sheet1!anp113</f>
        <v>#NAME?</v>
      </c>
      <c r="J112" s="6" t="e">
        <f aca="false">sheet1!anq113</f>
        <v>#NAME?</v>
      </c>
      <c r="K112" s="6" t="e">
        <f aca="false">sheet1!anr113</f>
        <v>#NAME?</v>
      </c>
      <c r="L112" s="6" t="e">
        <f aca="false">sheet1!ans113</f>
        <v>#NAME?</v>
      </c>
      <c r="M112" s="6" t="e">
        <f aca="false">sheet1!ant113</f>
        <v>#NAME?</v>
      </c>
    </row>
    <row r="113" customFormat="false" ht="15.75" hidden="false" customHeight="false" outlineLevel="0" collapsed="false">
      <c r="A113" s="0" t="s">
        <v>66</v>
      </c>
      <c r="B113" s="1" t="n">
        <v>43973</v>
      </c>
      <c r="C113" s="6" t="e">
        <f aca="false">sheet1!anj114</f>
        <v>#NAME?</v>
      </c>
      <c r="D113" s="6" t="e">
        <f aca="false">sheet1!ank114</f>
        <v>#NAME?</v>
      </c>
      <c r="E113" s="6" t="e">
        <f aca="false">sheet1!anl114</f>
        <v>#NAME?</v>
      </c>
      <c r="F113" s="6" t="e">
        <f aca="false">sheet1!anm114</f>
        <v>#NAME?</v>
      </c>
      <c r="G113" s="6" t="e">
        <f aca="false">sheet1!ann114</f>
        <v>#NAME?</v>
      </c>
      <c r="H113" s="6" t="e">
        <f aca="false">sheet1!ano114</f>
        <v>#NAME?</v>
      </c>
      <c r="I113" s="6" t="e">
        <f aca="false">sheet1!anp114</f>
        <v>#NAME?</v>
      </c>
      <c r="J113" s="6" t="e">
        <f aca="false">sheet1!anq114</f>
        <v>#NAME?</v>
      </c>
      <c r="K113" s="6" t="e">
        <f aca="false">sheet1!anr114</f>
        <v>#NAME?</v>
      </c>
      <c r="L113" s="6" t="e">
        <f aca="false">sheet1!ans114</f>
        <v>#NAME?</v>
      </c>
      <c r="M113" s="6" t="e">
        <f aca="false">sheet1!ant114</f>
        <v>#NAME?</v>
      </c>
    </row>
    <row r="114" customFormat="false" ht="15.75" hidden="false" customHeight="false" outlineLevel="0" collapsed="false">
      <c r="A114" s="0" t="s">
        <v>66</v>
      </c>
      <c r="B114" s="1" t="n">
        <v>43974</v>
      </c>
      <c r="C114" s="6" t="e">
        <f aca="false">sheet1!anj115</f>
        <v>#NAME?</v>
      </c>
      <c r="D114" s="6" t="e">
        <f aca="false">sheet1!ank115</f>
        <v>#NAME?</v>
      </c>
      <c r="E114" s="6" t="e">
        <f aca="false">sheet1!anl115</f>
        <v>#NAME?</v>
      </c>
      <c r="F114" s="6" t="e">
        <f aca="false">sheet1!anm115</f>
        <v>#NAME?</v>
      </c>
      <c r="G114" s="6" t="e">
        <f aca="false">sheet1!ann115</f>
        <v>#NAME?</v>
      </c>
      <c r="H114" s="6" t="e">
        <f aca="false">sheet1!ano115</f>
        <v>#NAME?</v>
      </c>
      <c r="I114" s="6" t="e">
        <f aca="false">sheet1!anp115</f>
        <v>#NAME?</v>
      </c>
      <c r="J114" s="6" t="e">
        <f aca="false">sheet1!anq115</f>
        <v>#NAME?</v>
      </c>
      <c r="K114" s="6" t="e">
        <f aca="false">sheet1!anr115</f>
        <v>#NAME?</v>
      </c>
      <c r="L114" s="6" t="e">
        <f aca="false">sheet1!ans115</f>
        <v>#NAME?</v>
      </c>
      <c r="M114" s="6" t="e">
        <f aca="false">sheet1!ant115</f>
        <v>#NAME?</v>
      </c>
    </row>
    <row r="115" customFormat="false" ht="15.75" hidden="false" customHeight="false" outlineLevel="0" collapsed="false">
      <c r="A115" s="0" t="s">
        <v>66</v>
      </c>
      <c r="B115" s="1" t="n">
        <v>43975</v>
      </c>
      <c r="C115" s="6" t="e">
        <f aca="false">sheet1!anj116</f>
        <v>#NAME?</v>
      </c>
      <c r="D115" s="6" t="e">
        <f aca="false">sheet1!ank116</f>
        <v>#NAME?</v>
      </c>
      <c r="E115" s="6" t="e">
        <f aca="false">sheet1!anl116</f>
        <v>#NAME?</v>
      </c>
      <c r="F115" s="6" t="e">
        <f aca="false">sheet1!anm116</f>
        <v>#NAME?</v>
      </c>
      <c r="G115" s="6" t="e">
        <f aca="false">sheet1!ann116</f>
        <v>#NAME?</v>
      </c>
      <c r="H115" s="6" t="e">
        <f aca="false">sheet1!ano116</f>
        <v>#NAME?</v>
      </c>
      <c r="I115" s="6" t="e">
        <f aca="false">sheet1!anp116</f>
        <v>#NAME?</v>
      </c>
      <c r="J115" s="6" t="e">
        <f aca="false">sheet1!anq116</f>
        <v>#NAME?</v>
      </c>
      <c r="K115" s="6" t="e">
        <f aca="false">sheet1!anr116</f>
        <v>#NAME?</v>
      </c>
      <c r="L115" s="6" t="e">
        <f aca="false">sheet1!ans116</f>
        <v>#NAME?</v>
      </c>
      <c r="M115" s="6" t="e">
        <f aca="false">sheet1!ant116</f>
        <v>#NAME?</v>
      </c>
    </row>
    <row r="116" customFormat="false" ht="15.75" hidden="false" customHeight="false" outlineLevel="0" collapsed="false">
      <c r="A116" s="0" t="s">
        <v>66</v>
      </c>
      <c r="B116" s="1" t="n">
        <v>43976</v>
      </c>
      <c r="C116" s="6" t="e">
        <f aca="false">sheet1!anj117</f>
        <v>#NAME?</v>
      </c>
      <c r="D116" s="6" t="e">
        <f aca="false">sheet1!ank117</f>
        <v>#NAME?</v>
      </c>
      <c r="E116" s="6" t="e">
        <f aca="false">sheet1!anl117</f>
        <v>#NAME?</v>
      </c>
      <c r="F116" s="6" t="e">
        <f aca="false">sheet1!anm117</f>
        <v>#NAME?</v>
      </c>
      <c r="G116" s="6" t="e">
        <f aca="false">sheet1!ann117</f>
        <v>#NAME?</v>
      </c>
      <c r="H116" s="6" t="e">
        <f aca="false">sheet1!ano117</f>
        <v>#NAME?</v>
      </c>
      <c r="I116" s="6" t="e">
        <f aca="false">sheet1!anp117</f>
        <v>#NAME?</v>
      </c>
      <c r="J116" s="6" t="e">
        <f aca="false">sheet1!anq117</f>
        <v>#NAME?</v>
      </c>
      <c r="K116" s="6" t="e">
        <f aca="false">sheet1!anr117</f>
        <v>#NAME?</v>
      </c>
      <c r="L116" s="6" t="e">
        <f aca="false">sheet1!ans117</f>
        <v>#NAME?</v>
      </c>
      <c r="M116" s="6" t="e">
        <f aca="false">sheet1!ant117</f>
        <v>#NAME?</v>
      </c>
    </row>
    <row r="117" customFormat="false" ht="15.75" hidden="false" customHeight="false" outlineLevel="0" collapsed="false">
      <c r="A117" s="0" t="s">
        <v>66</v>
      </c>
      <c r="B117" s="1" t="n">
        <v>43977</v>
      </c>
      <c r="C117" s="6" t="e">
        <f aca="false">sheet1!anj118</f>
        <v>#NAME?</v>
      </c>
      <c r="D117" s="6" t="e">
        <f aca="false">sheet1!ank118</f>
        <v>#NAME?</v>
      </c>
      <c r="E117" s="6" t="e">
        <f aca="false">sheet1!anl118</f>
        <v>#NAME?</v>
      </c>
      <c r="F117" s="6" t="e">
        <f aca="false">sheet1!anm118</f>
        <v>#NAME?</v>
      </c>
      <c r="G117" s="6" t="e">
        <f aca="false">sheet1!ann118</f>
        <v>#NAME?</v>
      </c>
      <c r="H117" s="6" t="e">
        <f aca="false">sheet1!ano118</f>
        <v>#NAME?</v>
      </c>
      <c r="I117" s="6" t="e">
        <f aca="false">sheet1!anp118</f>
        <v>#NAME?</v>
      </c>
      <c r="J117" s="6" t="e">
        <f aca="false">sheet1!anq118</f>
        <v>#NAME?</v>
      </c>
      <c r="K117" s="6" t="e">
        <f aca="false">sheet1!anr118</f>
        <v>#NAME?</v>
      </c>
      <c r="L117" s="6" t="e">
        <f aca="false">sheet1!ans118</f>
        <v>#NAME?</v>
      </c>
      <c r="M117" s="6" t="e">
        <f aca="false">sheet1!ant118</f>
        <v>#NAME?</v>
      </c>
    </row>
    <row r="118" customFormat="false" ht="15.75" hidden="false" customHeight="false" outlineLevel="0" collapsed="false">
      <c r="A118" s="0" t="s">
        <v>66</v>
      </c>
      <c r="B118" s="1" t="n">
        <v>43978</v>
      </c>
      <c r="C118" s="6" t="e">
        <f aca="false">sheet1!anj119</f>
        <v>#NAME?</v>
      </c>
      <c r="D118" s="6" t="e">
        <f aca="false">sheet1!ank119</f>
        <v>#NAME?</v>
      </c>
      <c r="E118" s="6" t="e">
        <f aca="false">sheet1!anl119</f>
        <v>#NAME?</v>
      </c>
      <c r="F118" s="6" t="e">
        <f aca="false">sheet1!anm119</f>
        <v>#NAME?</v>
      </c>
      <c r="G118" s="6" t="e">
        <f aca="false">sheet1!ann119</f>
        <v>#NAME?</v>
      </c>
      <c r="H118" s="6" t="e">
        <f aca="false">sheet1!ano119</f>
        <v>#NAME?</v>
      </c>
      <c r="I118" s="6" t="e">
        <f aca="false">sheet1!anp119</f>
        <v>#NAME?</v>
      </c>
      <c r="J118" s="6" t="e">
        <f aca="false">sheet1!anq119</f>
        <v>#NAME?</v>
      </c>
      <c r="K118" s="6" t="e">
        <f aca="false">sheet1!anr119</f>
        <v>#NAME?</v>
      </c>
      <c r="L118" s="6" t="e">
        <f aca="false">sheet1!ans119</f>
        <v>#NAME?</v>
      </c>
      <c r="M118" s="6" t="e">
        <f aca="false">sheet1!ant119</f>
        <v>#NAME?</v>
      </c>
    </row>
    <row r="119" customFormat="false" ht="15.75" hidden="false" customHeight="false" outlineLevel="0" collapsed="false">
      <c r="A119" s="0" t="s">
        <v>66</v>
      </c>
      <c r="B119" s="1" t="n">
        <v>43979</v>
      </c>
      <c r="C119" s="6" t="e">
        <f aca="false">sheet1!anj120</f>
        <v>#NAME?</v>
      </c>
      <c r="D119" s="6" t="e">
        <f aca="false">sheet1!ank120</f>
        <v>#NAME?</v>
      </c>
      <c r="E119" s="6" t="e">
        <f aca="false">sheet1!anl120</f>
        <v>#NAME?</v>
      </c>
      <c r="F119" s="6" t="e">
        <f aca="false">sheet1!anm120</f>
        <v>#NAME?</v>
      </c>
      <c r="G119" s="6" t="e">
        <f aca="false">sheet1!ann120</f>
        <v>#NAME?</v>
      </c>
      <c r="H119" s="6" t="e">
        <f aca="false">sheet1!ano120</f>
        <v>#NAME?</v>
      </c>
      <c r="I119" s="6" t="e">
        <f aca="false">sheet1!anp120</f>
        <v>#NAME?</v>
      </c>
      <c r="J119" s="6" t="e">
        <f aca="false">sheet1!anq120</f>
        <v>#NAME?</v>
      </c>
      <c r="K119" s="6" t="e">
        <f aca="false">sheet1!anr120</f>
        <v>#NAME?</v>
      </c>
      <c r="L119" s="6" t="e">
        <f aca="false">sheet1!ans120</f>
        <v>#NAME?</v>
      </c>
      <c r="M119" s="6" t="e">
        <f aca="false">sheet1!ant120</f>
        <v>#NAME?</v>
      </c>
    </row>
    <row r="120" customFormat="false" ht="15.75" hidden="false" customHeight="false" outlineLevel="0" collapsed="false">
      <c r="A120" s="0" t="s">
        <v>66</v>
      </c>
      <c r="B120" s="1" t="n">
        <v>43980</v>
      </c>
      <c r="C120" s="6" t="n">
        <v>27403</v>
      </c>
      <c r="D120" s="6" t="e">
        <f aca="false">C120-C119</f>
        <v>#NAME?</v>
      </c>
      <c r="E120" s="6" t="n">
        <v>577</v>
      </c>
      <c r="F120" s="6" t="e">
        <f aca="false">E120-E119</f>
        <v>#NAME?</v>
      </c>
      <c r="G120" s="6" t="e">
        <f aca="false">sheet1!ann121</f>
        <v>#NAME?</v>
      </c>
      <c r="H120" s="6" t="e">
        <f aca="false">sheet1!ano121</f>
        <v>#NAME?</v>
      </c>
      <c r="I120" s="6" t="e">
        <f aca="false">sheet1!anp121</f>
        <v>#NAME?</v>
      </c>
      <c r="J120" s="6" t="e">
        <f aca="false">sheet1!anq121</f>
        <v>#NAME?</v>
      </c>
      <c r="K120" s="6" t="e">
        <f aca="false">sheet1!anr121</f>
        <v>#NAME?</v>
      </c>
      <c r="L120" s="6" t="e">
        <f aca="false">sheet1!ans121</f>
        <v>#NAME?</v>
      </c>
      <c r="M120" s="6" t="e">
        <f aca="false">sheet1!ant121</f>
        <v>#NAME?</v>
      </c>
    </row>
    <row r="121" customFormat="false" ht="15.75" hidden="false" customHeight="false" outlineLevel="0" collapsed="false">
      <c r="A121" s="0" t="s">
        <v>66</v>
      </c>
      <c r="B121" s="1" t="n">
        <v>43981</v>
      </c>
      <c r="C121" s="6" t="e">
        <f aca="false">sheet1!anj122</f>
        <v>#NAME?</v>
      </c>
      <c r="D121" s="6" t="e">
        <f aca="false">C121-C120</f>
        <v>#NAME?</v>
      </c>
      <c r="E121" s="6" t="e">
        <f aca="false">sheet1!anl122</f>
        <v>#NAME?</v>
      </c>
      <c r="F121" s="6" t="e">
        <f aca="false">E121-E120</f>
        <v>#NAME?</v>
      </c>
      <c r="G121" s="6" t="e">
        <f aca="false">sheet1!ann122</f>
        <v>#NAME?</v>
      </c>
      <c r="H121" s="6" t="e">
        <f aca="false">sheet1!ano122</f>
        <v>#NAME?</v>
      </c>
      <c r="I121" s="6" t="e">
        <f aca="false">sheet1!anp122</f>
        <v>#NAME?</v>
      </c>
      <c r="J121" s="6" t="e">
        <f aca="false">sheet1!anq122</f>
        <v>#NAME?</v>
      </c>
      <c r="K121" s="6" t="e">
        <f aca="false">sheet1!anr122</f>
        <v>#NAME?</v>
      </c>
      <c r="L121" s="6" t="e">
        <f aca="false">sheet1!ans122</f>
        <v>#NAME?</v>
      </c>
      <c r="M121" s="6" t="e">
        <f aca="false">sheet1!ant122</f>
        <v>#NAME?</v>
      </c>
    </row>
    <row r="122" customFormat="false" ht="15.75" hidden="false" customHeight="false" outlineLevel="0" collapsed="false">
      <c r="A122" s="0" t="s">
        <v>66</v>
      </c>
      <c r="B122" s="1" t="n">
        <v>43982</v>
      </c>
      <c r="C122" s="6" t="e">
        <f aca="false">sheet1!anj123</f>
        <v>#NAME?</v>
      </c>
      <c r="D122" s="6" t="e">
        <f aca="false">sheet1!ank123</f>
        <v>#NAME?</v>
      </c>
      <c r="E122" s="6" t="e">
        <f aca="false">sheet1!anl123</f>
        <v>#NAME?</v>
      </c>
      <c r="F122" s="6" t="e">
        <f aca="false">sheet1!anm123</f>
        <v>#NAME?</v>
      </c>
      <c r="G122" s="6" t="e">
        <f aca="false">sheet1!ann123</f>
        <v>#NAME?</v>
      </c>
      <c r="H122" s="6" t="e">
        <f aca="false">sheet1!ano123</f>
        <v>#NAME?</v>
      </c>
      <c r="I122" s="6" t="e">
        <f aca="false">sheet1!anp123</f>
        <v>#NAME?</v>
      </c>
      <c r="J122" s="6" t="e">
        <f aca="false">sheet1!anq123</f>
        <v>#NAME?</v>
      </c>
      <c r="K122" s="6" t="e">
        <f aca="false">sheet1!anr123</f>
        <v>#NAME?</v>
      </c>
      <c r="L122" s="6" t="e">
        <f aca="false">sheet1!ans123</f>
        <v>#NAME?</v>
      </c>
      <c r="M122" s="6" t="e">
        <f aca="false">sheet1!ant123</f>
        <v>#NAME?</v>
      </c>
    </row>
    <row r="123" customFormat="false" ht="15.75" hidden="false" customHeight="false" outlineLevel="0" collapsed="false">
      <c r="A123" s="0" t="s">
        <v>66</v>
      </c>
      <c r="B123" s="1" t="n">
        <v>43983</v>
      </c>
      <c r="C123" s="6" t="e">
        <f aca="false">sheet1!anj124</f>
        <v>#NAME?</v>
      </c>
      <c r="D123" s="6" t="e">
        <f aca="false">sheet1!ank124</f>
        <v>#NAME?</v>
      </c>
      <c r="E123" s="6" t="e">
        <f aca="false">sheet1!anl124</f>
        <v>#NAME?</v>
      </c>
      <c r="F123" s="6" t="e">
        <f aca="false">sheet1!anm124</f>
        <v>#NAME?</v>
      </c>
      <c r="G123" s="6" t="e">
        <f aca="false">sheet1!ann124</f>
        <v>#NAME?</v>
      </c>
      <c r="H123" s="6" t="e">
        <f aca="false">sheet1!ano124</f>
        <v>#NAME?</v>
      </c>
      <c r="I123" s="6" t="e">
        <f aca="false">sheet1!anp124</f>
        <v>#NAME?</v>
      </c>
      <c r="J123" s="6" t="e">
        <f aca="false">sheet1!anq124</f>
        <v>#NAME?</v>
      </c>
      <c r="K123" s="6" t="e">
        <f aca="false">sheet1!anr124</f>
        <v>#NAME?</v>
      </c>
      <c r="L123" s="6" t="e">
        <f aca="false">sheet1!ans124</f>
        <v>#NAME?</v>
      </c>
      <c r="M123" s="6" t="e">
        <f aca="false">sheet1!ant124</f>
        <v>#NAME?</v>
      </c>
    </row>
    <row r="124" customFormat="false" ht="15.75" hidden="false" customHeight="false" outlineLevel="0" collapsed="false">
      <c r="A124" s="0" t="s">
        <v>66</v>
      </c>
      <c r="B124" s="1" t="n">
        <v>43984</v>
      </c>
      <c r="C124" s="6" t="e">
        <f aca="false">sheet1!anj125</f>
        <v>#NAME?</v>
      </c>
      <c r="D124" s="6" t="e">
        <f aca="false">sheet1!ank125</f>
        <v>#NAME?</v>
      </c>
      <c r="E124" s="6" t="e">
        <f aca="false">sheet1!anl125</f>
        <v>#NAME?</v>
      </c>
      <c r="F124" s="6" t="e">
        <f aca="false">sheet1!anm125</f>
        <v>#NAME?</v>
      </c>
      <c r="G124" s="6" t="e">
        <f aca="false">sheet1!ann125</f>
        <v>#NAME?</v>
      </c>
      <c r="H124" s="6" t="e">
        <f aca="false">sheet1!ano125</f>
        <v>#NAME?</v>
      </c>
      <c r="I124" s="6" t="e">
        <f aca="false">sheet1!anp125</f>
        <v>#NAME?</v>
      </c>
      <c r="J124" s="6" t="e">
        <f aca="false">sheet1!anq125</f>
        <v>#NAME?</v>
      </c>
      <c r="K124" s="6" t="e">
        <f aca="false">sheet1!anr125</f>
        <v>#NAME?</v>
      </c>
      <c r="L124" s="6" t="e">
        <f aca="false">sheet1!ans125</f>
        <v>#NAME?</v>
      </c>
      <c r="M124" s="6" t="e">
        <f aca="false">sheet1!ant125</f>
        <v>#NAME?</v>
      </c>
    </row>
    <row r="125" customFormat="false" ht="15.75" hidden="false" customHeight="false" outlineLevel="0" collapsed="false">
      <c r="A125" s="0" t="s">
        <v>66</v>
      </c>
      <c r="B125" s="1" t="n">
        <v>43985</v>
      </c>
      <c r="C125" s="6" t="e">
        <f aca="false">sheet1!anj126</f>
        <v>#NAME?</v>
      </c>
      <c r="D125" s="6" t="e">
        <f aca="false">sheet1!ank126</f>
        <v>#NAME?</v>
      </c>
      <c r="E125" s="6" t="e">
        <f aca="false">sheet1!anl126</f>
        <v>#NAME?</v>
      </c>
      <c r="F125" s="6" t="e">
        <f aca="false">sheet1!anm126</f>
        <v>#NAME?</v>
      </c>
      <c r="G125" s="6" t="e">
        <f aca="false">sheet1!ann126</f>
        <v>#NAME?</v>
      </c>
      <c r="H125" s="6" t="e">
        <f aca="false">sheet1!ano126</f>
        <v>#NAME?</v>
      </c>
      <c r="I125" s="6" t="e">
        <f aca="false">sheet1!anp126</f>
        <v>#NAME?</v>
      </c>
      <c r="J125" s="6" t="e">
        <f aca="false">sheet1!anq126</f>
        <v>#NAME?</v>
      </c>
      <c r="K125" s="6" t="e">
        <f aca="false">sheet1!anr126</f>
        <v>#NAME?</v>
      </c>
      <c r="L125" s="6" t="e">
        <f aca="false">sheet1!ans126</f>
        <v>#NAME?</v>
      </c>
      <c r="M125" s="6" t="e">
        <f aca="false">sheet1!ant126</f>
        <v>#NAME?</v>
      </c>
    </row>
    <row r="126" customFormat="false" ht="15.75" hidden="false" customHeight="false" outlineLevel="0" collapsed="false">
      <c r="A126" s="0" t="s">
        <v>66</v>
      </c>
      <c r="B126" s="1" t="n">
        <v>43986</v>
      </c>
      <c r="C126" s="6" t="e">
        <f aca="false">sheet1!anj127</f>
        <v>#NAME?</v>
      </c>
      <c r="D126" s="6" t="e">
        <f aca="false">sheet1!ank127</f>
        <v>#NAME?</v>
      </c>
      <c r="E126" s="6" t="e">
        <f aca="false">sheet1!anl127</f>
        <v>#NAME?</v>
      </c>
      <c r="F126" s="6" t="e">
        <f aca="false">sheet1!anm127</f>
        <v>#NAME?</v>
      </c>
      <c r="G126" s="6" t="e">
        <f aca="false">sheet1!ann127</f>
        <v>#NAME?</v>
      </c>
      <c r="H126" s="6" t="e">
        <f aca="false">sheet1!ano127</f>
        <v>#NAME?</v>
      </c>
      <c r="I126" s="6" t="e">
        <f aca="false">sheet1!anp127</f>
        <v>#NAME?</v>
      </c>
      <c r="J126" s="6" t="e">
        <f aca="false">sheet1!anq127</f>
        <v>#NAME?</v>
      </c>
      <c r="K126" s="6" t="e">
        <f aca="false">sheet1!anr127</f>
        <v>#NAME?</v>
      </c>
      <c r="L126" s="6" t="e">
        <f aca="false">sheet1!ans127</f>
        <v>#NAME?</v>
      </c>
      <c r="M126" s="6" t="e">
        <f aca="false">sheet1!ant127</f>
        <v>#NAME?</v>
      </c>
    </row>
    <row r="127" customFormat="false" ht="15.75" hidden="false" customHeight="false" outlineLevel="0" collapsed="false">
      <c r="A127" s="0" t="s">
        <v>66</v>
      </c>
      <c r="B127" s="1" t="n">
        <v>43987</v>
      </c>
      <c r="C127" s="6" t="e">
        <f aca="false">sheet1!anj128</f>
        <v>#NAME?</v>
      </c>
      <c r="D127" s="6" t="e">
        <f aca="false">sheet1!ank128</f>
        <v>#NAME?</v>
      </c>
      <c r="E127" s="6" t="e">
        <f aca="false">sheet1!anl128</f>
        <v>#NAME?</v>
      </c>
      <c r="F127" s="6" t="e">
        <f aca="false">sheet1!anm128</f>
        <v>#NAME?</v>
      </c>
      <c r="G127" s="6" t="e">
        <f aca="false">sheet1!ann128</f>
        <v>#NAME?</v>
      </c>
      <c r="H127" s="6" t="e">
        <f aca="false">sheet1!ano128</f>
        <v>#NAME?</v>
      </c>
      <c r="I127" s="6" t="e">
        <f aca="false">sheet1!anp128</f>
        <v>#NAME?</v>
      </c>
      <c r="J127" s="6" t="e">
        <f aca="false">sheet1!anq128</f>
        <v>#NAME?</v>
      </c>
      <c r="K127" s="6" t="e">
        <f aca="false">sheet1!anr128</f>
        <v>#NAME?</v>
      </c>
      <c r="L127" s="6" t="e">
        <f aca="false">sheet1!ans128</f>
        <v>#NAME?</v>
      </c>
      <c r="M127" s="6" t="e">
        <f aca="false">sheet1!ant128</f>
        <v>#NAME?</v>
      </c>
    </row>
    <row r="128" customFormat="false" ht="15.75" hidden="false" customHeight="false" outlineLevel="0" collapsed="false">
      <c r="A128" s="0" t="s">
        <v>66</v>
      </c>
      <c r="B128" s="1" t="n">
        <v>43988</v>
      </c>
      <c r="C128" s="6" t="e">
        <f aca="false">sheet1!anj129</f>
        <v>#NAME?</v>
      </c>
      <c r="D128" s="6" t="e">
        <f aca="false">sheet1!ank129</f>
        <v>#NAME?</v>
      </c>
      <c r="E128" s="6" t="e">
        <f aca="false">sheet1!anl129</f>
        <v>#NAME?</v>
      </c>
      <c r="F128" s="6" t="e">
        <f aca="false">sheet1!anm129</f>
        <v>#NAME?</v>
      </c>
      <c r="G128" s="6" t="e">
        <f aca="false">sheet1!ann129</f>
        <v>#NAME?</v>
      </c>
      <c r="H128" s="6" t="e">
        <f aca="false">sheet1!ano129</f>
        <v>#NAME?</v>
      </c>
      <c r="I128" s="6" t="e">
        <f aca="false">sheet1!anp129</f>
        <v>#NAME?</v>
      </c>
      <c r="J128" s="6" t="e">
        <f aca="false">sheet1!anq129</f>
        <v>#NAME?</v>
      </c>
      <c r="K128" s="6" t="e">
        <f aca="false">sheet1!anr129</f>
        <v>#NAME?</v>
      </c>
      <c r="L128" s="6" t="e">
        <f aca="false">sheet1!ans129</f>
        <v>#NAME?</v>
      </c>
      <c r="M128" s="6" t="e">
        <f aca="false">sheet1!ant129</f>
        <v>#NAME?</v>
      </c>
    </row>
    <row r="129" customFormat="false" ht="15.75" hidden="false" customHeight="false" outlineLevel="0" collapsed="false">
      <c r="A129" s="0" t="s">
        <v>66</v>
      </c>
      <c r="B129" s="1" t="n">
        <v>43989</v>
      </c>
      <c r="C129" s="6" t="e">
        <f aca="false">sheet1!anj130</f>
        <v>#NAME?</v>
      </c>
      <c r="D129" s="6" t="e">
        <f aca="false">sheet1!ank130</f>
        <v>#NAME?</v>
      </c>
      <c r="E129" s="6" t="e">
        <f aca="false">sheet1!anl130</f>
        <v>#NAME?</v>
      </c>
      <c r="F129" s="6" t="e">
        <f aca="false">sheet1!anm130</f>
        <v>#NAME?</v>
      </c>
      <c r="G129" s="6" t="e">
        <f aca="false">sheet1!ann130</f>
        <v>#NAME?</v>
      </c>
      <c r="H129" s="6" t="e">
        <f aca="false">sheet1!ano130</f>
        <v>#NAME?</v>
      </c>
      <c r="I129" s="6" t="e">
        <f aca="false">sheet1!anp130</f>
        <v>#NAME?</v>
      </c>
      <c r="J129" s="6" t="e">
        <f aca="false">sheet1!anq130</f>
        <v>#NAME?</v>
      </c>
      <c r="K129" s="6" t="e">
        <f aca="false">sheet1!anr130</f>
        <v>#NAME?</v>
      </c>
      <c r="L129" s="6" t="e">
        <f aca="false">sheet1!ans130</f>
        <v>#NAME?</v>
      </c>
      <c r="M129" s="6" t="e">
        <f aca="false">sheet1!ant130</f>
        <v>#NAME?</v>
      </c>
    </row>
    <row r="130" customFormat="false" ht="15.75" hidden="false" customHeight="false" outlineLevel="0" collapsed="false">
      <c r="A130" s="0" t="s">
        <v>66</v>
      </c>
      <c r="B130" s="1" t="n">
        <v>43990</v>
      </c>
      <c r="C130" s="6" t="e">
        <f aca="false">sheet1!anj131</f>
        <v>#NAME?</v>
      </c>
      <c r="D130" s="6" t="e">
        <f aca="false">sheet1!ank131</f>
        <v>#NAME?</v>
      </c>
      <c r="E130" s="6" t="e">
        <f aca="false">sheet1!anl131</f>
        <v>#NAME?</v>
      </c>
      <c r="F130" s="6" t="e">
        <f aca="false">sheet1!anm131</f>
        <v>#NAME?</v>
      </c>
      <c r="G130" s="6" t="e">
        <f aca="false">sheet1!ann131</f>
        <v>#NAME?</v>
      </c>
      <c r="H130" s="6" t="e">
        <f aca="false">sheet1!ano131</f>
        <v>#NAME?</v>
      </c>
      <c r="I130" s="6" t="e">
        <f aca="false">sheet1!anp131</f>
        <v>#NAME?</v>
      </c>
      <c r="J130" s="6" t="e">
        <f aca="false">sheet1!anq131</f>
        <v>#NAME?</v>
      </c>
      <c r="K130" s="6" t="e">
        <f aca="false">sheet1!anr131</f>
        <v>#NAME?</v>
      </c>
      <c r="L130" s="6" t="e">
        <f aca="false">sheet1!ans131</f>
        <v>#NAME?</v>
      </c>
      <c r="M130" s="6" t="e">
        <f aca="false">sheet1!ant131</f>
        <v>#NAME?</v>
      </c>
    </row>
    <row r="131" customFormat="false" ht="15.75" hidden="false" customHeight="false" outlineLevel="0" collapsed="false">
      <c r="A131" s="0" t="s">
        <v>66</v>
      </c>
      <c r="B131" s="1" t="n">
        <v>43991</v>
      </c>
      <c r="C131" s="6" t="e">
        <f aca="false">sheet1!anj132</f>
        <v>#NAME?</v>
      </c>
      <c r="D131" s="6" t="e">
        <f aca="false">sheet1!ank132</f>
        <v>#NAME?</v>
      </c>
      <c r="E131" s="6" t="e">
        <f aca="false">sheet1!anl132</f>
        <v>#NAME?</v>
      </c>
      <c r="F131" s="6" t="e">
        <f aca="false">sheet1!anm132</f>
        <v>#NAME?</v>
      </c>
      <c r="G131" s="6" t="e">
        <f aca="false">sheet1!ann132</f>
        <v>#NAME?</v>
      </c>
      <c r="H131" s="6" t="e">
        <f aca="false">sheet1!ano132</f>
        <v>#NAME?</v>
      </c>
      <c r="I131" s="6" t="e">
        <f aca="false">sheet1!anp132</f>
        <v>#NAME?</v>
      </c>
      <c r="J131" s="6" t="e">
        <f aca="false">sheet1!anq132</f>
        <v>#NAME?</v>
      </c>
      <c r="K131" s="6" t="e">
        <f aca="false">sheet1!anr132</f>
        <v>#NAME?</v>
      </c>
      <c r="L131" s="6" t="e">
        <f aca="false">sheet1!ans132</f>
        <v>#NAME?</v>
      </c>
      <c r="M131" s="6" t="e">
        <f aca="false">sheet1!ant132</f>
        <v>#NAME?</v>
      </c>
    </row>
    <row r="132" customFormat="false" ht="15.75" hidden="false" customHeight="false" outlineLevel="0" collapsed="false">
      <c r="A132" s="0" t="s">
        <v>66</v>
      </c>
      <c r="B132" s="1" t="n">
        <v>43992</v>
      </c>
      <c r="C132" s="6" t="e">
        <f aca="false">sheet1!anj133</f>
        <v>#NAME?</v>
      </c>
      <c r="D132" s="6" t="e">
        <f aca="false">sheet1!ank133</f>
        <v>#NAME?</v>
      </c>
      <c r="E132" s="6" t="e">
        <f aca="false">sheet1!anl133</f>
        <v>#NAME?</v>
      </c>
      <c r="F132" s="6" t="e">
        <f aca="false">sheet1!anm133</f>
        <v>#NAME?</v>
      </c>
      <c r="G132" s="6" t="e">
        <f aca="false">sheet1!ann133</f>
        <v>#NAME?</v>
      </c>
      <c r="H132" s="6" t="e">
        <f aca="false">sheet1!ano133</f>
        <v>#NAME?</v>
      </c>
      <c r="I132" s="6" t="e">
        <f aca="false">sheet1!anp133</f>
        <v>#NAME?</v>
      </c>
      <c r="J132" s="6" t="e">
        <f aca="false">sheet1!anq133</f>
        <v>#NAME?</v>
      </c>
      <c r="K132" s="6" t="e">
        <f aca="false">sheet1!anr133</f>
        <v>#NAME?</v>
      </c>
      <c r="L132" s="6" t="e">
        <f aca="false">sheet1!ans133</f>
        <v>#NAME?</v>
      </c>
      <c r="M132" s="6" t="e">
        <f aca="false">sheet1!ant133</f>
        <v>#NAME?</v>
      </c>
    </row>
    <row r="133" customFormat="false" ht="15.75" hidden="false" customHeight="false" outlineLevel="0" collapsed="false">
      <c r="A133" s="0" t="s">
        <v>66</v>
      </c>
      <c r="B133" s="1" t="n">
        <v>43993</v>
      </c>
      <c r="C133" s="6" t="e">
        <f aca="false">sheet1!anj134</f>
        <v>#NAME?</v>
      </c>
      <c r="D133" s="6" t="e">
        <f aca="false">sheet1!ank134</f>
        <v>#NAME?</v>
      </c>
      <c r="E133" s="6" t="e">
        <f aca="false">sheet1!anl134</f>
        <v>#NAME?</v>
      </c>
      <c r="F133" s="6" t="e">
        <f aca="false">sheet1!anm134</f>
        <v>#NAME?</v>
      </c>
      <c r="G133" s="6" t="e">
        <f aca="false">sheet1!ann134</f>
        <v>#NAME?</v>
      </c>
      <c r="H133" s="6" t="e">
        <f aca="false">sheet1!ano134</f>
        <v>#NAME?</v>
      </c>
      <c r="I133" s="6" t="e">
        <f aca="false">sheet1!anp134</f>
        <v>#NAME?</v>
      </c>
      <c r="J133" s="6" t="e">
        <f aca="false">sheet1!anq134</f>
        <v>#NAME?</v>
      </c>
      <c r="K133" s="6" t="e">
        <f aca="false">sheet1!anr134</f>
        <v>#NAME?</v>
      </c>
      <c r="L133" s="6" t="e">
        <f aca="false">sheet1!ans134</f>
        <v>#NAME?</v>
      </c>
      <c r="M133" s="6" t="e">
        <f aca="false">sheet1!ant134</f>
        <v>#NAME?</v>
      </c>
    </row>
    <row r="134" customFormat="false" ht="15.75" hidden="false" customHeight="false" outlineLevel="0" collapsed="false">
      <c r="A134" s="0" t="s">
        <v>66</v>
      </c>
      <c r="B134" s="1" t="n">
        <v>43994</v>
      </c>
      <c r="C134" s="6" t="e">
        <f aca="false">sheet1!anj135</f>
        <v>#NAME?</v>
      </c>
      <c r="D134" s="6" t="e">
        <f aca="false">sheet1!ank135</f>
        <v>#NAME?</v>
      </c>
      <c r="E134" s="6" t="e">
        <f aca="false">sheet1!anl135</f>
        <v>#NAME?</v>
      </c>
      <c r="F134" s="6" t="e">
        <f aca="false">sheet1!anm135</f>
        <v>#NAME?</v>
      </c>
      <c r="G134" s="6" t="e">
        <f aca="false">sheet1!ann135</f>
        <v>#NAME?</v>
      </c>
      <c r="H134" s="6" t="e">
        <f aca="false">sheet1!ano135</f>
        <v>#NAME?</v>
      </c>
      <c r="I134" s="6" t="e">
        <f aca="false">sheet1!anp135</f>
        <v>#NAME?</v>
      </c>
      <c r="J134" s="6" t="e">
        <f aca="false">sheet1!anq135</f>
        <v>#NAME?</v>
      </c>
      <c r="K134" s="6" t="e">
        <f aca="false">sheet1!anr135</f>
        <v>#NAME?</v>
      </c>
      <c r="L134" s="6" t="e">
        <f aca="false">sheet1!ans135</f>
        <v>#NAME?</v>
      </c>
      <c r="M134" s="6" t="e">
        <f aca="false">sheet1!ant135</f>
        <v>#NAME?</v>
      </c>
    </row>
    <row r="135" customFormat="false" ht="15.75" hidden="false" customHeight="false" outlineLevel="0" collapsed="false">
      <c r="A135" s="0" t="s">
        <v>66</v>
      </c>
      <c r="B135" s="1" t="n">
        <v>43995</v>
      </c>
      <c r="C135" s="6" t="e">
        <f aca="false">sheet1!anj136</f>
        <v>#NAME?</v>
      </c>
      <c r="D135" s="6" t="e">
        <f aca="false">sheet1!ank136</f>
        <v>#NAME?</v>
      </c>
      <c r="E135" s="6" t="e">
        <f aca="false">sheet1!anl136</f>
        <v>#NAME?</v>
      </c>
      <c r="F135" s="6" t="e">
        <f aca="false">sheet1!anm136</f>
        <v>#NAME?</v>
      </c>
      <c r="G135" s="6" t="e">
        <f aca="false">sheet1!ann136</f>
        <v>#NAME?</v>
      </c>
      <c r="H135" s="6" t="e">
        <f aca="false">sheet1!ano136</f>
        <v>#NAME?</v>
      </c>
      <c r="I135" s="6" t="e">
        <f aca="false">sheet1!anp136</f>
        <v>#NAME?</v>
      </c>
      <c r="J135" s="6" t="e">
        <f aca="false">sheet1!anq136</f>
        <v>#NAME?</v>
      </c>
      <c r="K135" s="6" t="e">
        <f aca="false">sheet1!anr136</f>
        <v>#NAME?</v>
      </c>
      <c r="L135" s="6" t="e">
        <f aca="false">sheet1!ans136</f>
        <v>#NAME?</v>
      </c>
      <c r="M135" s="6" t="e">
        <f aca="false">sheet1!ant136</f>
        <v>#NAME?</v>
      </c>
    </row>
    <row r="136" customFormat="false" ht="15.75" hidden="false" customHeight="false" outlineLevel="0" collapsed="false">
      <c r="A136" s="0" t="s">
        <v>66</v>
      </c>
      <c r="B136" s="1" t="n">
        <v>43996</v>
      </c>
      <c r="C136" s="6" t="e">
        <f aca="false">sheet1!anj137</f>
        <v>#NAME?</v>
      </c>
      <c r="D136" s="6" t="e">
        <f aca="false">sheet1!ank137</f>
        <v>#NAME?</v>
      </c>
      <c r="E136" s="6" t="e">
        <f aca="false">sheet1!anl137</f>
        <v>#NAME?</v>
      </c>
      <c r="F136" s="6" t="e">
        <f aca="false">sheet1!anm137</f>
        <v>#NAME?</v>
      </c>
      <c r="G136" s="6" t="e">
        <f aca="false">sheet1!ann137</f>
        <v>#NAME?</v>
      </c>
      <c r="H136" s="6" t="e">
        <f aca="false">sheet1!ano137</f>
        <v>#NAME?</v>
      </c>
      <c r="I136" s="6" t="e">
        <f aca="false">sheet1!anp137</f>
        <v>#NAME?</v>
      </c>
      <c r="J136" s="6" t="e">
        <f aca="false">sheet1!anq137</f>
        <v>#NAME?</v>
      </c>
      <c r="K136" s="6" t="e">
        <f aca="false">sheet1!anr137</f>
        <v>#NAME?</v>
      </c>
      <c r="L136" s="6" t="e">
        <f aca="false">sheet1!ans137</f>
        <v>#NAME?</v>
      </c>
      <c r="M136" s="6" t="e">
        <f aca="false">sheet1!ant137</f>
        <v>#NAME?</v>
      </c>
    </row>
    <row r="137" customFormat="false" ht="15.75" hidden="false" customHeight="false" outlineLevel="0" collapsed="false">
      <c r="A137" s="0" t="s">
        <v>66</v>
      </c>
      <c r="B137" s="1" t="n">
        <v>43997</v>
      </c>
      <c r="C137" s="6" t="e">
        <f aca="false">sheet1!anj138</f>
        <v>#NAME?</v>
      </c>
      <c r="D137" s="6" t="e">
        <f aca="false">sheet1!ank138</f>
        <v>#NAME?</v>
      </c>
      <c r="E137" s="6" t="e">
        <f aca="false">sheet1!anl138</f>
        <v>#NAME?</v>
      </c>
      <c r="F137" s="6" t="e">
        <f aca="false">sheet1!anm138</f>
        <v>#NAME?</v>
      </c>
      <c r="G137" s="6" t="e">
        <f aca="false">sheet1!ann138</f>
        <v>#NAME?</v>
      </c>
      <c r="H137" s="6" t="e">
        <f aca="false">sheet1!ano138</f>
        <v>#NAME?</v>
      </c>
      <c r="I137" s="6" t="e">
        <f aca="false">sheet1!anp138</f>
        <v>#NAME?</v>
      </c>
      <c r="J137" s="6" t="e">
        <f aca="false">sheet1!anq138</f>
        <v>#NAME?</v>
      </c>
      <c r="K137" s="6" t="e">
        <f aca="false">sheet1!anr138</f>
        <v>#NAME?</v>
      </c>
      <c r="L137" s="6" t="e">
        <f aca="false">sheet1!ans138</f>
        <v>#NAME?</v>
      </c>
      <c r="M137" s="6" t="e">
        <f aca="false">sheet1!ant138</f>
        <v>#NAME?</v>
      </c>
    </row>
    <row r="138" customFormat="false" ht="15.75" hidden="false" customHeight="false" outlineLevel="0" collapsed="false">
      <c r="A138" s="0" t="s">
        <v>66</v>
      </c>
      <c r="B138" s="1" t="n">
        <v>43998</v>
      </c>
      <c r="C138" s="6" t="e">
        <f aca="false">sheet1!anj139</f>
        <v>#NAME?</v>
      </c>
      <c r="D138" s="6" t="e">
        <f aca="false">sheet1!ank139</f>
        <v>#NAME?</v>
      </c>
      <c r="E138" s="6" t="e">
        <f aca="false">sheet1!anl139</f>
        <v>#NAME?</v>
      </c>
      <c r="F138" s="6" t="e">
        <f aca="false">sheet1!anm139</f>
        <v>#NAME?</v>
      </c>
      <c r="G138" s="6" t="e">
        <f aca="false">sheet1!ann139</f>
        <v>#NAME?</v>
      </c>
      <c r="H138" s="6" t="e">
        <f aca="false">sheet1!ano139</f>
        <v>#NAME?</v>
      </c>
      <c r="I138" s="6" t="e">
        <f aca="false">sheet1!anp139</f>
        <v>#NAME?</v>
      </c>
      <c r="J138" s="6" t="e">
        <f aca="false">sheet1!anq139</f>
        <v>#NAME?</v>
      </c>
      <c r="K138" s="6" t="e">
        <f aca="false">sheet1!anr139</f>
        <v>#NAME?</v>
      </c>
      <c r="L138" s="6" t="e">
        <f aca="false">sheet1!ans139</f>
        <v>#NAME?</v>
      </c>
      <c r="M138" s="6" t="e">
        <f aca="false">sheet1!ant139</f>
        <v>#NAME?</v>
      </c>
    </row>
    <row r="139" customFormat="false" ht="15.75" hidden="false" customHeight="false" outlineLevel="0" collapsed="false">
      <c r="A139" s="0" t="s">
        <v>66</v>
      </c>
      <c r="B139" s="1" t="n">
        <v>43999</v>
      </c>
      <c r="C139" s="6" t="e">
        <f aca="false">sheet1!anj140</f>
        <v>#NAME?</v>
      </c>
      <c r="D139" s="6" t="e">
        <f aca="false">sheet1!ank140</f>
        <v>#NAME?</v>
      </c>
      <c r="E139" s="6" t="e">
        <f aca="false">sheet1!anl140</f>
        <v>#NAME?</v>
      </c>
      <c r="F139" s="6" t="e">
        <f aca="false">sheet1!anm140</f>
        <v>#NAME?</v>
      </c>
      <c r="G139" s="6" t="e">
        <f aca="false">sheet1!ann140</f>
        <v>#NAME?</v>
      </c>
      <c r="H139" s="6" t="e">
        <f aca="false">sheet1!ano140</f>
        <v>#NAME?</v>
      </c>
      <c r="I139" s="6" t="e">
        <f aca="false">sheet1!anp140</f>
        <v>#NAME?</v>
      </c>
      <c r="J139" s="6" t="e">
        <f aca="false">sheet1!anq140</f>
        <v>#NAME?</v>
      </c>
      <c r="K139" s="6" t="e">
        <f aca="false">sheet1!anr140</f>
        <v>#NAME?</v>
      </c>
      <c r="L139" s="6" t="e">
        <f aca="false">sheet1!ans140</f>
        <v>#NAME?</v>
      </c>
      <c r="M139" s="6" t="e">
        <f aca="false">sheet1!ant140</f>
        <v>#NAME?</v>
      </c>
    </row>
    <row r="140" customFormat="false" ht="15.75" hidden="false" customHeight="false" outlineLevel="0" collapsed="false">
      <c r="A140" s="0" t="s">
        <v>66</v>
      </c>
      <c r="B140" s="1" t="n">
        <v>44000</v>
      </c>
      <c r="C140" s="6" t="e">
        <f aca="false">sheet1!anj141</f>
        <v>#NAME?</v>
      </c>
      <c r="D140" s="6" t="e">
        <f aca="false">sheet1!ank141</f>
        <v>#NAME?</v>
      </c>
      <c r="E140" s="6" t="e">
        <f aca="false">sheet1!anl141</f>
        <v>#NAME?</v>
      </c>
      <c r="F140" s="6" t="e">
        <f aca="false">sheet1!anm141</f>
        <v>#NAME?</v>
      </c>
      <c r="G140" s="6" t="e">
        <f aca="false">sheet1!ann141</f>
        <v>#NAME?</v>
      </c>
      <c r="H140" s="6" t="e">
        <f aca="false">sheet1!ano141</f>
        <v>#NAME?</v>
      </c>
      <c r="I140" s="6" t="e">
        <f aca="false">sheet1!anp141</f>
        <v>#NAME?</v>
      </c>
      <c r="J140" s="6" t="e">
        <f aca="false">sheet1!anq141</f>
        <v>#NAME?</v>
      </c>
      <c r="K140" s="6" t="e">
        <f aca="false">sheet1!anr141</f>
        <v>#NAME?</v>
      </c>
      <c r="L140" s="6" t="e">
        <f aca="false">sheet1!ans141</f>
        <v>#NAME?</v>
      </c>
      <c r="M140" s="6" t="e">
        <f aca="false">sheet1!ant141</f>
        <v>#NAME?</v>
      </c>
    </row>
    <row r="141" customFormat="false" ht="15.75" hidden="false" customHeight="false" outlineLevel="0" collapsed="false">
      <c r="A141" s="0" t="s">
        <v>66</v>
      </c>
      <c r="B141" s="1" t="n">
        <v>44001</v>
      </c>
      <c r="C141" s="6" t="e">
        <f aca="false">sheet1!anj142</f>
        <v>#NAME?</v>
      </c>
      <c r="D141" s="6" t="e">
        <f aca="false">sheet1!ank142</f>
        <v>#NAME?</v>
      </c>
      <c r="E141" s="6" t="e">
        <f aca="false">sheet1!anl142</f>
        <v>#NAME?</v>
      </c>
      <c r="F141" s="6" t="e">
        <f aca="false">sheet1!anm142</f>
        <v>#NAME?</v>
      </c>
      <c r="G141" s="6" t="e">
        <f aca="false">sheet1!ann142</f>
        <v>#NAME?</v>
      </c>
      <c r="H141" s="6" t="e">
        <f aca="false">sheet1!ano142</f>
        <v>#NAME?</v>
      </c>
      <c r="I141" s="6" t="e">
        <f aca="false">sheet1!anp142</f>
        <v>#NAME?</v>
      </c>
      <c r="J141" s="6" t="e">
        <f aca="false">sheet1!anq142</f>
        <v>#NAME?</v>
      </c>
      <c r="K141" s="6" t="e">
        <f aca="false">sheet1!anr142</f>
        <v>#NAME?</v>
      </c>
      <c r="L141" s="6" t="e">
        <f aca="false">sheet1!ans142</f>
        <v>#NAME?</v>
      </c>
      <c r="M141" s="6" t="e">
        <f aca="false">sheet1!ant142</f>
        <v>#NAME?</v>
      </c>
    </row>
    <row r="142" customFormat="false" ht="15.75" hidden="false" customHeight="false" outlineLevel="0" collapsed="false">
      <c r="A142" s="0" t="s">
        <v>66</v>
      </c>
      <c r="B142" s="1" t="n">
        <v>44002</v>
      </c>
      <c r="C142" s="6" t="e">
        <f aca="false">sheet1!anj143</f>
        <v>#NAME?</v>
      </c>
      <c r="D142" s="6" t="e">
        <f aca="false">sheet1!ank143</f>
        <v>#NAME?</v>
      </c>
      <c r="E142" s="6" t="e">
        <f aca="false">sheet1!anl143</f>
        <v>#NAME?</v>
      </c>
      <c r="F142" s="6" t="e">
        <f aca="false">sheet1!anm143</f>
        <v>#NAME?</v>
      </c>
      <c r="G142" s="6" t="e">
        <f aca="false">sheet1!ann143</f>
        <v>#NAME?</v>
      </c>
      <c r="H142" s="6" t="e">
        <f aca="false">sheet1!ano143</f>
        <v>#NAME?</v>
      </c>
      <c r="I142" s="6" t="e">
        <f aca="false">sheet1!anp143</f>
        <v>#NAME?</v>
      </c>
      <c r="J142" s="6" t="e">
        <f aca="false">sheet1!anq143</f>
        <v>#NAME?</v>
      </c>
      <c r="K142" s="6" t="e">
        <f aca="false">sheet1!anr143</f>
        <v>#NAME?</v>
      </c>
      <c r="L142" s="6" t="e">
        <f aca="false">sheet1!ans143</f>
        <v>#NAME?</v>
      </c>
      <c r="M142" s="6" t="e">
        <f aca="false">sheet1!ant143</f>
        <v>#NAME?</v>
      </c>
    </row>
    <row r="143" customFormat="false" ht="15.75" hidden="false" customHeight="false" outlineLevel="0" collapsed="false">
      <c r="A143" s="0" t="s">
        <v>66</v>
      </c>
      <c r="B143" s="1" t="n">
        <v>44003</v>
      </c>
      <c r="C143" s="6" t="e">
        <f aca="false">sheet1!anj144</f>
        <v>#NAME?</v>
      </c>
      <c r="D143" s="6" t="e">
        <f aca="false">sheet1!ank144</f>
        <v>#NAME?</v>
      </c>
      <c r="E143" s="6" t="e">
        <f aca="false">sheet1!anl144</f>
        <v>#NAME?</v>
      </c>
      <c r="F143" s="6" t="e">
        <f aca="false">sheet1!anm144</f>
        <v>#NAME?</v>
      </c>
      <c r="G143" s="6" t="e">
        <f aca="false">sheet1!ann144</f>
        <v>#NAME?</v>
      </c>
      <c r="H143" s="6" t="e">
        <f aca="false">sheet1!ano144</f>
        <v>#NAME?</v>
      </c>
      <c r="I143" s="6" t="e">
        <f aca="false">sheet1!anp144</f>
        <v>#NAME?</v>
      </c>
      <c r="J143" s="6" t="e">
        <f aca="false">sheet1!anq144</f>
        <v>#NAME?</v>
      </c>
      <c r="K143" s="6" t="e">
        <f aca="false">sheet1!anr144</f>
        <v>#NAME?</v>
      </c>
      <c r="L143" s="6" t="e">
        <f aca="false">sheet1!ans144</f>
        <v>#NAME?</v>
      </c>
      <c r="M143" s="6" t="e">
        <f aca="false">sheet1!ant144</f>
        <v>#NAME?</v>
      </c>
    </row>
    <row r="144" customFormat="false" ht="15.75" hidden="false" customHeight="false" outlineLevel="0" collapsed="false">
      <c r="A144" s="0" t="s">
        <v>66</v>
      </c>
      <c r="B144" s="1" t="n">
        <v>44004</v>
      </c>
      <c r="C144" s="6" t="e">
        <f aca="false">sheet1!anj145</f>
        <v>#NAME?</v>
      </c>
      <c r="D144" s="6" t="e">
        <f aca="false">sheet1!ank145</f>
        <v>#NAME?</v>
      </c>
      <c r="E144" s="6" t="e">
        <f aca="false">sheet1!anl145</f>
        <v>#NAME?</v>
      </c>
      <c r="F144" s="6" t="e">
        <f aca="false">sheet1!anm145</f>
        <v>#NAME?</v>
      </c>
      <c r="G144" s="6" t="e">
        <f aca="false">sheet1!ann145</f>
        <v>#NAME?</v>
      </c>
      <c r="H144" s="6" t="e">
        <f aca="false">sheet1!ano145</f>
        <v>#NAME?</v>
      </c>
      <c r="I144" s="6" t="e">
        <f aca="false">sheet1!anp145</f>
        <v>#NAME?</v>
      </c>
      <c r="J144" s="6" t="e">
        <f aca="false">sheet1!anq145</f>
        <v>#NAME?</v>
      </c>
      <c r="K144" s="6" t="e">
        <f aca="false">sheet1!anr145</f>
        <v>#NAME?</v>
      </c>
      <c r="L144" s="6" t="e">
        <f aca="false">sheet1!ans145</f>
        <v>#NAME?</v>
      </c>
      <c r="M144" s="6" t="e">
        <f aca="false">sheet1!ant145</f>
        <v>#NAME?</v>
      </c>
    </row>
    <row r="145" customFormat="false" ht="15.75" hidden="false" customHeight="false" outlineLevel="0" collapsed="false">
      <c r="A145" s="0" t="s">
        <v>66</v>
      </c>
      <c r="B145" s="1" t="n">
        <v>44005</v>
      </c>
      <c r="C145" s="6" t="e">
        <f aca="false">sheet1!anj146</f>
        <v>#NAME?</v>
      </c>
      <c r="D145" s="6" t="e">
        <f aca="false">sheet1!ank146</f>
        <v>#NAME?</v>
      </c>
      <c r="E145" s="6" t="e">
        <f aca="false">sheet1!anl146</f>
        <v>#NAME?</v>
      </c>
      <c r="F145" s="6" t="e">
        <f aca="false">sheet1!anm146</f>
        <v>#NAME?</v>
      </c>
      <c r="G145" s="6" t="e">
        <f aca="false">sheet1!ann146</f>
        <v>#NAME?</v>
      </c>
      <c r="H145" s="6" t="e">
        <f aca="false">sheet1!ano146</f>
        <v>#NAME?</v>
      </c>
      <c r="I145" s="6" t="e">
        <f aca="false">sheet1!anp146</f>
        <v>#NAME?</v>
      </c>
      <c r="J145" s="6" t="e">
        <f aca="false">sheet1!anq146</f>
        <v>#NAME?</v>
      </c>
      <c r="K145" s="6" t="e">
        <f aca="false">sheet1!anr146</f>
        <v>#NAME?</v>
      </c>
      <c r="L145" s="6" t="e">
        <f aca="false">sheet1!ans146</f>
        <v>#NAME?</v>
      </c>
      <c r="M145" s="6" t="e">
        <f aca="false">sheet1!ant146</f>
        <v>#NAME?</v>
      </c>
    </row>
    <row r="146" customFormat="false" ht="15.75" hidden="false" customHeight="false" outlineLevel="0" collapsed="false">
      <c r="A146" s="0" t="s">
        <v>66</v>
      </c>
      <c r="B146" s="1" t="n">
        <v>44006</v>
      </c>
      <c r="C146" s="6" t="e">
        <f aca="false">sheet1!anj147</f>
        <v>#NAME?</v>
      </c>
      <c r="D146" s="6" t="e">
        <f aca="false">sheet1!ank147</f>
        <v>#NAME?</v>
      </c>
      <c r="E146" s="6" t="e">
        <f aca="false">sheet1!anl147</f>
        <v>#NAME?</v>
      </c>
      <c r="F146" s="6" t="e">
        <f aca="false">sheet1!anm147</f>
        <v>#NAME?</v>
      </c>
      <c r="G146" s="6" t="e">
        <f aca="false">sheet1!ann147</f>
        <v>#NAME?</v>
      </c>
      <c r="H146" s="6" t="e">
        <f aca="false">sheet1!ano147</f>
        <v>#NAME?</v>
      </c>
      <c r="I146" s="6" t="e">
        <f aca="false">sheet1!anp147</f>
        <v>#NAME?</v>
      </c>
      <c r="J146" s="6" t="e">
        <f aca="false">sheet1!anq147</f>
        <v>#NAME?</v>
      </c>
      <c r="K146" s="6" t="e">
        <f aca="false">sheet1!anr147</f>
        <v>#NAME?</v>
      </c>
      <c r="L146" s="6" t="e">
        <f aca="false">sheet1!ans147</f>
        <v>#NAME?</v>
      </c>
      <c r="M146" s="6" t="e">
        <f aca="false">sheet1!ant147</f>
        <v>#NAME?</v>
      </c>
    </row>
    <row r="147" customFormat="false" ht="15.75" hidden="false" customHeight="false" outlineLevel="0" collapsed="false">
      <c r="A147" s="0" t="s">
        <v>66</v>
      </c>
      <c r="B147" s="1" t="n">
        <v>44007</v>
      </c>
      <c r="C147" s="6" t="e">
        <f aca="false">sheet1!anj148</f>
        <v>#NAME?</v>
      </c>
      <c r="D147" s="6" t="e">
        <f aca="false">sheet1!ank148</f>
        <v>#NAME?</v>
      </c>
      <c r="E147" s="6" t="e">
        <f aca="false">sheet1!anl148</f>
        <v>#NAME?</v>
      </c>
      <c r="F147" s="6" t="e">
        <f aca="false">sheet1!anm148</f>
        <v>#NAME?</v>
      </c>
      <c r="G147" s="6" t="e">
        <f aca="false">sheet1!ann148</f>
        <v>#NAME?</v>
      </c>
      <c r="H147" s="6" t="e">
        <f aca="false">sheet1!ano148</f>
        <v>#NAME?</v>
      </c>
      <c r="I147" s="6" t="e">
        <f aca="false">sheet1!anp148</f>
        <v>#NAME?</v>
      </c>
      <c r="J147" s="6" t="e">
        <f aca="false">sheet1!anq148</f>
        <v>#NAME?</v>
      </c>
      <c r="K147" s="6" t="e">
        <f aca="false">sheet1!anr148</f>
        <v>#NAME?</v>
      </c>
      <c r="L147" s="6" t="e">
        <f aca="false">sheet1!ans148</f>
        <v>#NAME?</v>
      </c>
      <c r="M147" s="6" t="e">
        <f aca="false">sheet1!ant148</f>
        <v>#NAME?</v>
      </c>
    </row>
    <row r="148" customFormat="false" ht="15.75" hidden="false" customHeight="false" outlineLevel="0" collapsed="false">
      <c r="A148" s="0" t="s">
        <v>66</v>
      </c>
      <c r="B148" s="1" t="n">
        <v>44008</v>
      </c>
      <c r="C148" s="6" t="e">
        <f aca="false">sheet1!anj149</f>
        <v>#NAME?</v>
      </c>
      <c r="D148" s="6" t="e">
        <f aca="false">sheet1!ank149</f>
        <v>#NAME?</v>
      </c>
      <c r="E148" s="6" t="e">
        <f aca="false">sheet1!anl149</f>
        <v>#NAME?</v>
      </c>
      <c r="F148" s="6" t="e">
        <f aca="false">sheet1!anm149</f>
        <v>#NAME?</v>
      </c>
      <c r="G148" s="6" t="e">
        <f aca="false">sheet1!ann149</f>
        <v>#NAME?</v>
      </c>
      <c r="H148" s="6" t="e">
        <f aca="false">sheet1!ano149</f>
        <v>#NAME?</v>
      </c>
      <c r="I148" s="6" t="e">
        <f aca="false">sheet1!anp149</f>
        <v>#NAME?</v>
      </c>
      <c r="J148" s="6" t="e">
        <f aca="false">sheet1!anq149</f>
        <v>#NAME?</v>
      </c>
      <c r="K148" s="6" t="e">
        <f aca="false">sheet1!anr149</f>
        <v>#NAME?</v>
      </c>
      <c r="L148" s="6" t="e">
        <f aca="false">sheet1!ans149</f>
        <v>#NAME?</v>
      </c>
      <c r="M148" s="6" t="e">
        <f aca="false">sheet1!ant149</f>
        <v>#NAME?</v>
      </c>
    </row>
    <row r="149" customFormat="false" ht="15.75" hidden="false" customHeight="false" outlineLevel="0" collapsed="false">
      <c r="A149" s="0" t="s">
        <v>66</v>
      </c>
      <c r="B149" s="1" t="n">
        <v>44009</v>
      </c>
      <c r="C149" s="6" t="e">
        <f aca="false">sheet1!anj150</f>
        <v>#NAME?</v>
      </c>
      <c r="D149" s="6" t="e">
        <f aca="false">sheet1!ank150</f>
        <v>#NAME?</v>
      </c>
      <c r="E149" s="6" t="e">
        <f aca="false">sheet1!anl150</f>
        <v>#NAME?</v>
      </c>
      <c r="F149" s="6" t="e">
        <f aca="false">sheet1!anm150</f>
        <v>#NAME?</v>
      </c>
      <c r="G149" s="6" t="e">
        <f aca="false">sheet1!ann150</f>
        <v>#NAME?</v>
      </c>
      <c r="H149" s="6" t="e">
        <f aca="false">sheet1!ano150</f>
        <v>#NAME?</v>
      </c>
      <c r="I149" s="6" t="e">
        <f aca="false">sheet1!anp150</f>
        <v>#NAME?</v>
      </c>
      <c r="J149" s="6" t="e">
        <f aca="false">sheet1!anq150</f>
        <v>#NAME?</v>
      </c>
      <c r="K149" s="6" t="e">
        <f aca="false">sheet1!anr150</f>
        <v>#NAME?</v>
      </c>
      <c r="L149" s="6" t="e">
        <f aca="false">sheet1!ans150</f>
        <v>#NAME?</v>
      </c>
      <c r="M149" s="6" t="e">
        <f aca="false">sheet1!ant150</f>
        <v>#NAME?</v>
      </c>
    </row>
    <row r="150" customFormat="false" ht="15.75" hidden="false" customHeight="false" outlineLevel="0" collapsed="false">
      <c r="A150" s="0" t="s">
        <v>66</v>
      </c>
      <c r="B150" s="1" t="n">
        <v>44010</v>
      </c>
      <c r="C150" s="6" t="e">
        <f aca="false">sheet1!anj151</f>
        <v>#NAME?</v>
      </c>
      <c r="D150" s="6" t="e">
        <f aca="false">sheet1!ank151</f>
        <v>#NAME?</v>
      </c>
      <c r="E150" s="6" t="e">
        <f aca="false">sheet1!anl151</f>
        <v>#NAME?</v>
      </c>
      <c r="F150" s="6" t="e">
        <f aca="false">sheet1!anm151</f>
        <v>#NAME?</v>
      </c>
      <c r="G150" s="6" t="e">
        <f aca="false">sheet1!ann151</f>
        <v>#NAME?</v>
      </c>
      <c r="H150" s="6" t="e">
        <f aca="false">sheet1!ano151</f>
        <v>#NAME?</v>
      </c>
      <c r="I150" s="6" t="e">
        <f aca="false">sheet1!anp151</f>
        <v>#NAME?</v>
      </c>
      <c r="J150" s="6" t="e">
        <f aca="false">sheet1!anq151</f>
        <v>#NAME?</v>
      </c>
      <c r="K150" s="6" t="e">
        <f aca="false">sheet1!anr151</f>
        <v>#NAME?</v>
      </c>
      <c r="L150" s="6" t="e">
        <f aca="false">sheet1!ans151</f>
        <v>#NAME?</v>
      </c>
      <c r="M150" s="6" t="e">
        <f aca="false">sheet1!ant151</f>
        <v>#NAME?</v>
      </c>
    </row>
    <row r="151" customFormat="false" ht="15.75" hidden="false" customHeight="false" outlineLevel="0" collapsed="false">
      <c r="A151" s="0" t="s">
        <v>66</v>
      </c>
      <c r="B151" s="1" t="n">
        <v>44011</v>
      </c>
      <c r="C151" s="6" t="e">
        <f aca="false">sheet1!anj152</f>
        <v>#NAME?</v>
      </c>
      <c r="D151" s="6" t="e">
        <f aca="false">sheet1!ank152</f>
        <v>#NAME?</v>
      </c>
      <c r="E151" s="6" t="e">
        <f aca="false">sheet1!anl152</f>
        <v>#NAME?</v>
      </c>
      <c r="F151" s="6" t="e">
        <f aca="false">sheet1!anm152</f>
        <v>#NAME?</v>
      </c>
      <c r="G151" s="6" t="e">
        <f aca="false">sheet1!ann152</f>
        <v>#NAME?</v>
      </c>
      <c r="H151" s="6" t="e">
        <f aca="false">sheet1!ano152</f>
        <v>#NAME?</v>
      </c>
      <c r="I151" s="6" t="e">
        <f aca="false">sheet1!anp152</f>
        <v>#NAME?</v>
      </c>
      <c r="J151" s="6" t="e">
        <f aca="false">sheet1!anq152</f>
        <v>#NAME?</v>
      </c>
      <c r="K151" s="6" t="e">
        <f aca="false">sheet1!anr152</f>
        <v>#NAME?</v>
      </c>
      <c r="L151" s="6" t="e">
        <f aca="false">sheet1!ans152</f>
        <v>#NAME?</v>
      </c>
      <c r="M151" s="6" t="e">
        <f aca="false">sheet1!ant152</f>
        <v>#NAME?</v>
      </c>
    </row>
    <row r="152" customFormat="false" ht="15.75" hidden="false" customHeight="false" outlineLevel="0" collapsed="false">
      <c r="A152" s="0" t="s">
        <v>66</v>
      </c>
      <c r="B152" s="1" t="n">
        <v>44012</v>
      </c>
      <c r="C152" s="6" t="e">
        <f aca="false">sheet1!anj153</f>
        <v>#NAME?</v>
      </c>
      <c r="D152" s="6" t="e">
        <f aca="false">sheet1!ank153</f>
        <v>#NAME?</v>
      </c>
      <c r="E152" s="6" t="e">
        <f aca="false">sheet1!anl153</f>
        <v>#NAME?</v>
      </c>
      <c r="F152" s="6" t="e">
        <f aca="false">sheet1!anm153</f>
        <v>#NAME?</v>
      </c>
      <c r="G152" s="6" t="e">
        <f aca="false">sheet1!ann153</f>
        <v>#NAME?</v>
      </c>
      <c r="H152" s="6" t="e">
        <f aca="false">sheet1!ano153</f>
        <v>#NAME?</v>
      </c>
      <c r="I152" s="6" t="e">
        <f aca="false">sheet1!anp153</f>
        <v>#NAME?</v>
      </c>
      <c r="J152" s="6" t="e">
        <f aca="false">sheet1!anq153</f>
        <v>#NAME?</v>
      </c>
      <c r="K152" s="6" t="e">
        <f aca="false">sheet1!anr153</f>
        <v>#NAME?</v>
      </c>
      <c r="L152" s="6" t="e">
        <f aca="false">sheet1!ans153</f>
        <v>#NAME?</v>
      </c>
      <c r="M152" s="6" t="e">
        <f aca="false">sheet1!ant153</f>
        <v>#NAME?</v>
      </c>
    </row>
    <row r="153" customFormat="false" ht="15.75" hidden="false" customHeight="false" outlineLevel="0" collapsed="false">
      <c r="A153" s="0" t="s">
        <v>66</v>
      </c>
      <c r="B153" s="1" t="n">
        <v>44013</v>
      </c>
      <c r="C153" s="6" t="e">
        <f aca="false">sheet1!anj154</f>
        <v>#NAME?</v>
      </c>
      <c r="D153" s="6" t="e">
        <f aca="false">sheet1!ank154</f>
        <v>#NAME?</v>
      </c>
      <c r="E153" s="6" t="e">
        <f aca="false">sheet1!anl154</f>
        <v>#NAME?</v>
      </c>
      <c r="F153" s="6" t="e">
        <f aca="false">sheet1!anm154</f>
        <v>#NAME?</v>
      </c>
      <c r="G153" s="6" t="e">
        <f aca="false">sheet1!ann154</f>
        <v>#NAME?</v>
      </c>
      <c r="H153" s="6" t="e">
        <f aca="false">sheet1!ano154</f>
        <v>#NAME?</v>
      </c>
      <c r="I153" s="6" t="e">
        <f aca="false">sheet1!anp154</f>
        <v>#NAME?</v>
      </c>
      <c r="J153" s="6" t="e">
        <f aca="false">sheet1!anq154</f>
        <v>#NAME?</v>
      </c>
      <c r="K153" s="6" t="e">
        <f aca="false">sheet1!anr154</f>
        <v>#NAME?</v>
      </c>
      <c r="L153" s="6" t="e">
        <f aca="false">sheet1!ans154</f>
        <v>#NAME?</v>
      </c>
      <c r="M153" s="6" t="e">
        <f aca="false">sheet1!ant154</f>
        <v>#NAME?</v>
      </c>
    </row>
    <row r="154" customFormat="false" ht="15.75" hidden="false" customHeight="false" outlineLevel="0" collapsed="false">
      <c r="A154" s="0" t="s">
        <v>66</v>
      </c>
      <c r="B154" s="1" t="n">
        <v>44014</v>
      </c>
      <c r="C154" s="6" t="e">
        <f aca="false">sheet1!anj155</f>
        <v>#NAME?</v>
      </c>
      <c r="D154" s="6" t="e">
        <f aca="false">sheet1!ank155</f>
        <v>#NAME?</v>
      </c>
      <c r="E154" s="6" t="e">
        <f aca="false">sheet1!anl155</f>
        <v>#NAME?</v>
      </c>
      <c r="F154" s="6" t="e">
        <f aca="false">sheet1!anm155</f>
        <v>#NAME?</v>
      </c>
      <c r="G154" s="6" t="e">
        <f aca="false">sheet1!ann155</f>
        <v>#NAME?</v>
      </c>
      <c r="H154" s="6" t="e">
        <f aca="false">sheet1!ano155</f>
        <v>#NAME?</v>
      </c>
      <c r="I154" s="6" t="e">
        <f aca="false">sheet1!anp155</f>
        <v>#NAME?</v>
      </c>
      <c r="J154" s="6" t="e">
        <f aca="false">sheet1!anq155</f>
        <v>#NAME?</v>
      </c>
      <c r="K154" s="6" t="e">
        <f aca="false">sheet1!anr155</f>
        <v>#NAME?</v>
      </c>
      <c r="L154" s="6" t="e">
        <f aca="false">sheet1!ans155</f>
        <v>#NAME?</v>
      </c>
      <c r="M154" s="6" t="e">
        <f aca="false">sheet1!ant155</f>
        <v>#NAME?</v>
      </c>
    </row>
    <row r="155" customFormat="false" ht="15.75" hidden="false" customHeight="false" outlineLevel="0" collapsed="false">
      <c r="A155" s="0" t="s">
        <v>66</v>
      </c>
      <c r="B155" s="1" t="n">
        <v>44015</v>
      </c>
      <c r="C155" s="6" t="e">
        <f aca="false">sheet1!anj156</f>
        <v>#NAME?</v>
      </c>
      <c r="D155" s="6" t="e">
        <f aca="false">sheet1!ank156</f>
        <v>#NAME?</v>
      </c>
      <c r="E155" s="6" t="e">
        <f aca="false">sheet1!anl156</f>
        <v>#NAME?</v>
      </c>
      <c r="F155" s="6" t="e">
        <f aca="false">sheet1!anm156</f>
        <v>#NAME?</v>
      </c>
      <c r="G155" s="6" t="e">
        <f aca="false">sheet1!ann156</f>
        <v>#NAME?</v>
      </c>
      <c r="H155" s="6" t="e">
        <f aca="false">sheet1!ano156</f>
        <v>#NAME?</v>
      </c>
      <c r="I155" s="6" t="e">
        <f aca="false">sheet1!anp156</f>
        <v>#NAME?</v>
      </c>
      <c r="J155" s="6" t="e">
        <f aca="false">sheet1!anq156</f>
        <v>#NAME?</v>
      </c>
      <c r="K155" s="6" t="e">
        <f aca="false">sheet1!anr156</f>
        <v>#NAME?</v>
      </c>
      <c r="L155" s="6" t="e">
        <f aca="false">sheet1!ans156</f>
        <v>#NAME?</v>
      </c>
      <c r="M155" s="6" t="e">
        <f aca="false">sheet1!ant156</f>
        <v>#NAME?</v>
      </c>
    </row>
    <row r="156" customFormat="false" ht="15.75" hidden="false" customHeight="false" outlineLevel="0" collapsed="false">
      <c r="A156" s="0" t="s">
        <v>66</v>
      </c>
      <c r="B156" s="1" t="n">
        <v>44016</v>
      </c>
      <c r="C156" s="6" t="e">
        <f aca="false">sheet1!anj157</f>
        <v>#NAME?</v>
      </c>
      <c r="D156" s="6" t="e">
        <f aca="false">sheet1!ank157</f>
        <v>#NAME?</v>
      </c>
      <c r="E156" s="6" t="e">
        <f aca="false">sheet1!anl157</f>
        <v>#NAME?</v>
      </c>
      <c r="F156" s="6" t="e">
        <f aca="false">sheet1!anm157</f>
        <v>#NAME?</v>
      </c>
      <c r="G156" s="6" t="e">
        <f aca="false">sheet1!ann157</f>
        <v>#NAME?</v>
      </c>
      <c r="H156" s="6" t="e">
        <f aca="false">sheet1!ano157</f>
        <v>#NAME?</v>
      </c>
      <c r="I156" s="6" t="e">
        <f aca="false">sheet1!anp157</f>
        <v>#NAME?</v>
      </c>
      <c r="J156" s="6" t="e">
        <f aca="false">sheet1!anq157</f>
        <v>#NAME?</v>
      </c>
      <c r="K156" s="6" t="e">
        <f aca="false">sheet1!anr157</f>
        <v>#NAME?</v>
      </c>
      <c r="L156" s="6" t="e">
        <f aca="false">sheet1!ans157</f>
        <v>#NAME?</v>
      </c>
      <c r="M156" s="6" t="e">
        <f aca="false">sheet1!ant157</f>
        <v>#NAME?</v>
      </c>
    </row>
    <row r="157" customFormat="false" ht="15.75" hidden="false" customHeight="false" outlineLevel="0" collapsed="false">
      <c r="A157" s="0" t="s">
        <v>66</v>
      </c>
      <c r="B157" s="1" t="n">
        <v>44017</v>
      </c>
      <c r="C157" s="6" t="e">
        <f aca="false">sheet1!anj158</f>
        <v>#NAME?</v>
      </c>
      <c r="D157" s="6" t="e">
        <f aca="false">sheet1!ank158</f>
        <v>#NAME?</v>
      </c>
      <c r="E157" s="6" t="e">
        <f aca="false">sheet1!anl158</f>
        <v>#NAME?</v>
      </c>
      <c r="F157" s="6" t="e">
        <f aca="false">sheet1!anm158</f>
        <v>#NAME?</v>
      </c>
      <c r="G157" s="6" t="e">
        <f aca="false">sheet1!ann158</f>
        <v>#NAME?</v>
      </c>
      <c r="H157" s="6" t="e">
        <f aca="false">sheet1!ano158</f>
        <v>#NAME?</v>
      </c>
      <c r="I157" s="6" t="e">
        <f aca="false">sheet1!anp158</f>
        <v>#NAME?</v>
      </c>
      <c r="J157" s="6" t="e">
        <f aca="false">sheet1!anq158</f>
        <v>#NAME?</v>
      </c>
      <c r="K157" s="6" t="e">
        <f aca="false">sheet1!anr158</f>
        <v>#NAME?</v>
      </c>
      <c r="L157" s="6" t="e">
        <f aca="false">sheet1!ans158</f>
        <v>#NAME?</v>
      </c>
      <c r="M157" s="6" t="e">
        <f aca="false">sheet1!ant158</f>
        <v>#NAME?</v>
      </c>
    </row>
    <row r="158" customFormat="false" ht="15.75" hidden="false" customHeight="false" outlineLevel="0" collapsed="false">
      <c r="A158" s="0" t="s">
        <v>66</v>
      </c>
      <c r="B158" s="1" t="n">
        <v>44018</v>
      </c>
      <c r="C158" s="6" t="e">
        <f aca="false">sheet1!anj159</f>
        <v>#NAME?</v>
      </c>
      <c r="D158" s="6" t="e">
        <f aca="false">sheet1!ank159</f>
        <v>#NAME?</v>
      </c>
      <c r="E158" s="6" t="e">
        <f aca="false">sheet1!anl159</f>
        <v>#NAME?</v>
      </c>
      <c r="F158" s="6" t="e">
        <f aca="false">sheet1!anm159</f>
        <v>#NAME?</v>
      </c>
      <c r="G158" s="6" t="e">
        <f aca="false">sheet1!ann159</f>
        <v>#NAME?</v>
      </c>
      <c r="H158" s="6" t="e">
        <f aca="false">sheet1!ano159</f>
        <v>#NAME?</v>
      </c>
      <c r="I158" s="6" t="e">
        <f aca="false">sheet1!anp159</f>
        <v>#NAME?</v>
      </c>
      <c r="J158" s="6" t="e">
        <f aca="false">sheet1!anq159</f>
        <v>#NAME?</v>
      </c>
      <c r="K158" s="6" t="e">
        <f aca="false">sheet1!anr159</f>
        <v>#NAME?</v>
      </c>
      <c r="L158" s="6" t="e">
        <f aca="false">sheet1!ans159</f>
        <v>#NAME?</v>
      </c>
      <c r="M158" s="6" t="e">
        <f aca="false">sheet1!ant159</f>
        <v>#NAME?</v>
      </c>
    </row>
    <row r="159" customFormat="false" ht="15.75" hidden="false" customHeight="false" outlineLevel="0" collapsed="false">
      <c r="A159" s="0" t="s">
        <v>66</v>
      </c>
      <c r="B159" s="1" t="n">
        <v>44019</v>
      </c>
      <c r="C159" s="6" t="e">
        <f aca="false">sheet1!anj160</f>
        <v>#NAME?</v>
      </c>
      <c r="D159" s="6" t="e">
        <f aca="false">sheet1!ank160</f>
        <v>#NAME?</v>
      </c>
      <c r="E159" s="6" t="e">
        <f aca="false">sheet1!anl160</f>
        <v>#NAME?</v>
      </c>
      <c r="F159" s="6" t="e">
        <f aca="false">sheet1!anm160</f>
        <v>#NAME?</v>
      </c>
      <c r="G159" s="6" t="e">
        <f aca="false">sheet1!ann160</f>
        <v>#NAME?</v>
      </c>
      <c r="H159" s="6" t="e">
        <f aca="false">sheet1!ano160</f>
        <v>#NAME?</v>
      </c>
      <c r="I159" s="6" t="e">
        <f aca="false">sheet1!anp160</f>
        <v>#NAME?</v>
      </c>
      <c r="J159" s="6" t="e">
        <f aca="false">sheet1!anq160</f>
        <v>#NAME?</v>
      </c>
      <c r="K159" s="6" t="e">
        <f aca="false">sheet1!anr160</f>
        <v>#NAME?</v>
      </c>
      <c r="L159" s="6" t="e">
        <f aca="false">sheet1!ans160</f>
        <v>#NAME?</v>
      </c>
      <c r="M159" s="6" t="e">
        <f aca="false">sheet1!ant160</f>
        <v>#NAME?</v>
      </c>
    </row>
    <row r="160" customFormat="false" ht="15.75" hidden="false" customHeight="false" outlineLevel="0" collapsed="false">
      <c r="A160" s="0" t="s">
        <v>66</v>
      </c>
      <c r="B160" s="1" t="n">
        <v>44020</v>
      </c>
      <c r="C160" s="6" t="e">
        <f aca="false">sheet1!anj161</f>
        <v>#NAME?</v>
      </c>
      <c r="D160" s="6" t="e">
        <f aca="false">sheet1!ank161</f>
        <v>#NAME?</v>
      </c>
      <c r="E160" s="6" t="e">
        <f aca="false">sheet1!anl161</f>
        <v>#NAME?</v>
      </c>
      <c r="F160" s="6" t="e">
        <f aca="false">sheet1!anm161</f>
        <v>#NAME?</v>
      </c>
      <c r="G160" s="6" t="e">
        <f aca="false">sheet1!ann161</f>
        <v>#NAME?</v>
      </c>
      <c r="H160" s="6" t="e">
        <f aca="false">sheet1!ano161</f>
        <v>#NAME?</v>
      </c>
      <c r="I160" s="6" t="e">
        <f aca="false">sheet1!anp161</f>
        <v>#NAME?</v>
      </c>
      <c r="J160" s="6" t="e">
        <f aca="false">sheet1!anq161</f>
        <v>#NAME?</v>
      </c>
      <c r="K160" s="6" t="e">
        <f aca="false">sheet1!anr161</f>
        <v>#NAME?</v>
      </c>
      <c r="L160" s="6" t="e">
        <f aca="false">sheet1!ans161</f>
        <v>#NAME?</v>
      </c>
      <c r="M160" s="6" t="e">
        <f aca="false">sheet1!ant161</f>
        <v>#NAME?</v>
      </c>
    </row>
    <row r="161" customFormat="false" ht="15.75" hidden="false" customHeight="false" outlineLevel="0" collapsed="false">
      <c r="A161" s="0" t="s">
        <v>66</v>
      </c>
      <c r="B161" s="1" t="n">
        <v>44021</v>
      </c>
      <c r="C161" s="6" t="e">
        <f aca="false">sheet1!anj162</f>
        <v>#NAME?</v>
      </c>
      <c r="D161" s="6" t="e">
        <f aca="false">sheet1!ank162</f>
        <v>#NAME?</v>
      </c>
      <c r="E161" s="6" t="e">
        <f aca="false">sheet1!anl162</f>
        <v>#NAME?</v>
      </c>
      <c r="F161" s="6" t="e">
        <f aca="false">sheet1!anm162</f>
        <v>#NAME?</v>
      </c>
      <c r="G161" s="6" t="e">
        <f aca="false">sheet1!ann162</f>
        <v>#NAME?</v>
      </c>
      <c r="H161" s="6" t="e">
        <f aca="false">sheet1!ano162</f>
        <v>#NAME?</v>
      </c>
      <c r="I161" s="6" t="e">
        <f aca="false">sheet1!anp162</f>
        <v>#NAME?</v>
      </c>
      <c r="J161" s="6" t="e">
        <f aca="false">sheet1!anq162</f>
        <v>#NAME?</v>
      </c>
      <c r="K161" s="6" t="e">
        <f aca="false">sheet1!anr162</f>
        <v>#NAME?</v>
      </c>
      <c r="L161" s="6" t="e">
        <f aca="false">sheet1!ans162</f>
        <v>#NAME?</v>
      </c>
      <c r="M161" s="6" t="e">
        <f aca="false">sheet1!ant162</f>
        <v>#NAME?</v>
      </c>
    </row>
    <row r="162" customFormat="false" ht="15.75" hidden="false" customHeight="false" outlineLevel="0" collapsed="false">
      <c r="A162" s="0" t="s">
        <v>66</v>
      </c>
      <c r="B162" s="1" t="n">
        <v>44022</v>
      </c>
      <c r="C162" s="6" t="e">
        <f aca="false">sheet1!anj163</f>
        <v>#NAME?</v>
      </c>
      <c r="D162" s="6" t="e">
        <f aca="false">sheet1!ank163</f>
        <v>#NAME?</v>
      </c>
      <c r="E162" s="6" t="e">
        <f aca="false">sheet1!anl163</f>
        <v>#NAME?</v>
      </c>
      <c r="F162" s="6" t="e">
        <f aca="false">sheet1!anm163</f>
        <v>#NAME?</v>
      </c>
      <c r="G162" s="6" t="e">
        <f aca="false">sheet1!ann163</f>
        <v>#NAME?</v>
      </c>
      <c r="H162" s="6" t="e">
        <f aca="false">sheet1!ano163</f>
        <v>#NAME?</v>
      </c>
      <c r="I162" s="6" t="e">
        <f aca="false">sheet1!anp163</f>
        <v>#NAME?</v>
      </c>
      <c r="J162" s="6" t="e">
        <f aca="false">sheet1!anq163</f>
        <v>#NAME?</v>
      </c>
      <c r="K162" s="6" t="e">
        <f aca="false">sheet1!anr163</f>
        <v>#NAME?</v>
      </c>
      <c r="L162" s="6" t="e">
        <f aca="false">sheet1!ans163</f>
        <v>#NAME?</v>
      </c>
      <c r="M162" s="6" t="e">
        <f aca="false">sheet1!ant163</f>
        <v>#NAME?</v>
      </c>
    </row>
    <row r="163" customFormat="false" ht="15.75" hidden="false" customHeight="false" outlineLevel="0" collapsed="false">
      <c r="A163" s="0" t="s">
        <v>66</v>
      </c>
      <c r="B163" s="1" t="n">
        <v>44023</v>
      </c>
      <c r="C163" s="6" t="e">
        <f aca="false">sheet1!anj164</f>
        <v>#NAME?</v>
      </c>
      <c r="D163" s="6" t="e">
        <f aca="false">sheet1!ank164</f>
        <v>#NAME?</v>
      </c>
      <c r="E163" s="6" t="e">
        <f aca="false">sheet1!anl164</f>
        <v>#NAME?</v>
      </c>
      <c r="F163" s="6" t="e">
        <f aca="false">sheet1!anm164</f>
        <v>#NAME?</v>
      </c>
      <c r="G163" s="6" t="e">
        <f aca="false">sheet1!ann164</f>
        <v>#NAME?</v>
      </c>
      <c r="H163" s="6" t="e">
        <f aca="false">sheet1!ano164</f>
        <v>#NAME?</v>
      </c>
      <c r="I163" s="6" t="e">
        <f aca="false">sheet1!anp164</f>
        <v>#NAME?</v>
      </c>
      <c r="J163" s="6" t="e">
        <f aca="false">sheet1!anq164</f>
        <v>#NAME?</v>
      </c>
      <c r="K163" s="6" t="e">
        <f aca="false">sheet1!anr164</f>
        <v>#NAME?</v>
      </c>
      <c r="L163" s="6" t="e">
        <f aca="false">sheet1!ans164</f>
        <v>#NAME?</v>
      </c>
      <c r="M163" s="6" t="e">
        <f aca="false">sheet1!ant164</f>
        <v>#NAME?</v>
      </c>
    </row>
    <row r="164" customFormat="false" ht="15.75" hidden="false" customHeight="false" outlineLevel="0" collapsed="false">
      <c r="A164" s="0" t="s">
        <v>66</v>
      </c>
      <c r="B164" s="1" t="n">
        <v>44024</v>
      </c>
      <c r="C164" s="6" t="e">
        <f aca="false">sheet1!anj165</f>
        <v>#NAME?</v>
      </c>
      <c r="D164" s="6" t="e">
        <f aca="false">sheet1!ank165</f>
        <v>#NAME?</v>
      </c>
      <c r="E164" s="6" t="e">
        <f aca="false">sheet1!anl165</f>
        <v>#NAME?</v>
      </c>
      <c r="F164" s="6" t="e">
        <f aca="false">sheet1!anm165</f>
        <v>#NAME?</v>
      </c>
      <c r="G164" s="6" t="e">
        <f aca="false">sheet1!ann165</f>
        <v>#NAME?</v>
      </c>
      <c r="H164" s="6" t="e">
        <f aca="false">sheet1!ano165</f>
        <v>#NAME?</v>
      </c>
      <c r="I164" s="6" t="e">
        <f aca="false">sheet1!anp165</f>
        <v>#NAME?</v>
      </c>
      <c r="J164" s="6" t="e">
        <f aca="false">sheet1!anq165</f>
        <v>#NAME?</v>
      </c>
      <c r="K164" s="6" t="e">
        <f aca="false">sheet1!anr165</f>
        <v>#NAME?</v>
      </c>
      <c r="L164" s="6" t="e">
        <f aca="false">sheet1!ans165</f>
        <v>#NAME?</v>
      </c>
      <c r="M164" s="6" t="e">
        <f aca="false">sheet1!ant165</f>
        <v>#NAME?</v>
      </c>
    </row>
    <row r="165" customFormat="false" ht="15.75" hidden="false" customHeight="false" outlineLevel="0" collapsed="false">
      <c r="A165" s="0" t="s">
        <v>66</v>
      </c>
      <c r="B165" s="1" t="n">
        <v>44025</v>
      </c>
      <c r="C165" s="6" t="e">
        <f aca="false">sheet1!anj166</f>
        <v>#NAME?</v>
      </c>
      <c r="D165" s="6" t="e">
        <f aca="false">sheet1!ank166</f>
        <v>#NAME?</v>
      </c>
      <c r="E165" s="6" t="e">
        <f aca="false">sheet1!anl166</f>
        <v>#NAME?</v>
      </c>
      <c r="F165" s="6" t="e">
        <f aca="false">sheet1!anm166</f>
        <v>#NAME?</v>
      </c>
      <c r="G165" s="6" t="e">
        <f aca="false">sheet1!ann166</f>
        <v>#NAME?</v>
      </c>
      <c r="H165" s="6" t="e">
        <f aca="false">sheet1!ano166</f>
        <v>#NAME?</v>
      </c>
      <c r="I165" s="6" t="e">
        <f aca="false">sheet1!anp166</f>
        <v>#NAME?</v>
      </c>
      <c r="J165" s="6" t="e">
        <f aca="false">sheet1!anq166</f>
        <v>#NAME?</v>
      </c>
      <c r="K165" s="6" t="e">
        <f aca="false">sheet1!anr166</f>
        <v>#NAME?</v>
      </c>
      <c r="L165" s="6" t="e">
        <f aca="false">sheet1!ans166</f>
        <v>#NAME?</v>
      </c>
      <c r="M165" s="6" t="e">
        <f aca="false">sheet1!ant166</f>
        <v>#NAME?</v>
      </c>
    </row>
    <row r="166" customFormat="false" ht="15.75" hidden="false" customHeight="false" outlineLevel="0" collapsed="false">
      <c r="A166" s="0" t="s">
        <v>66</v>
      </c>
      <c r="B166" s="1" t="n">
        <v>44026</v>
      </c>
      <c r="C166" s="6" t="e">
        <f aca="false">sheet1!anj167</f>
        <v>#NAME?</v>
      </c>
      <c r="D166" s="6" t="e">
        <f aca="false">sheet1!ank167</f>
        <v>#NAME?</v>
      </c>
      <c r="E166" s="6" t="e">
        <f aca="false">sheet1!anl167</f>
        <v>#NAME?</v>
      </c>
      <c r="F166" s="6" t="e">
        <f aca="false">sheet1!anm167</f>
        <v>#NAME?</v>
      </c>
      <c r="G166" s="6" t="e">
        <f aca="false">sheet1!ann167</f>
        <v>#NAME?</v>
      </c>
      <c r="H166" s="6" t="e">
        <f aca="false">sheet1!ano167</f>
        <v>#NAME?</v>
      </c>
      <c r="I166" s="6" t="e">
        <f aca="false">sheet1!anp167</f>
        <v>#NAME?</v>
      </c>
      <c r="J166" s="6" t="e">
        <f aca="false">sheet1!anq167</f>
        <v>#NAME?</v>
      </c>
      <c r="K166" s="6" t="e">
        <f aca="false">sheet1!anr167</f>
        <v>#NAME?</v>
      </c>
      <c r="L166" s="6" t="e">
        <f aca="false">sheet1!ans167</f>
        <v>#NAME?</v>
      </c>
      <c r="M166" s="6" t="e">
        <f aca="false">sheet1!ant167</f>
        <v>#NAME?</v>
      </c>
    </row>
    <row r="167" customFormat="false" ht="15.75" hidden="false" customHeight="false" outlineLevel="0" collapsed="false">
      <c r="A167" s="0" t="s">
        <v>66</v>
      </c>
      <c r="B167" s="1" t="n">
        <v>44027</v>
      </c>
      <c r="C167" s="6" t="e">
        <f aca="false">sheet1!anj168</f>
        <v>#NAME?</v>
      </c>
      <c r="D167" s="6" t="e">
        <f aca="false">sheet1!ank168</f>
        <v>#NAME?</v>
      </c>
      <c r="E167" s="6" t="e">
        <f aca="false">sheet1!anl168</f>
        <v>#NAME?</v>
      </c>
      <c r="F167" s="6" t="e">
        <f aca="false">sheet1!anm168</f>
        <v>#NAME?</v>
      </c>
      <c r="G167" s="6" t="e">
        <f aca="false">sheet1!ann168</f>
        <v>#NAME?</v>
      </c>
      <c r="H167" s="6" t="e">
        <f aca="false">sheet1!ano168</f>
        <v>#NAME?</v>
      </c>
      <c r="I167" s="6" t="e">
        <f aca="false">sheet1!anp168</f>
        <v>#NAME?</v>
      </c>
      <c r="J167" s="6" t="e">
        <f aca="false">sheet1!anq168</f>
        <v>#NAME?</v>
      </c>
      <c r="K167" s="6" t="e">
        <f aca="false">sheet1!anr168</f>
        <v>#NAME?</v>
      </c>
      <c r="L167" s="6" t="e">
        <f aca="false">sheet1!ans168</f>
        <v>#NAME?</v>
      </c>
      <c r="M167" s="6" t="e">
        <f aca="false">sheet1!ant168</f>
        <v>#NAME?</v>
      </c>
    </row>
    <row r="168" customFormat="false" ht="15.75" hidden="false" customHeight="false" outlineLevel="0" collapsed="false">
      <c r="A168" s="0" t="s">
        <v>66</v>
      </c>
      <c r="B168" s="1" t="n">
        <v>44028</v>
      </c>
      <c r="C168" s="6" t="e">
        <f aca="false">sheet1!anj169</f>
        <v>#NAME?</v>
      </c>
      <c r="D168" s="6" t="e">
        <f aca="false">sheet1!ank169</f>
        <v>#NAME?</v>
      </c>
      <c r="E168" s="6" t="e">
        <f aca="false">sheet1!anl169</f>
        <v>#NAME?</v>
      </c>
      <c r="F168" s="6" t="e">
        <f aca="false">sheet1!anm169</f>
        <v>#NAME?</v>
      </c>
      <c r="G168" s="6" t="e">
        <f aca="false">sheet1!ann169</f>
        <v>#NAME?</v>
      </c>
      <c r="H168" s="6" t="e">
        <f aca="false">sheet1!ano169</f>
        <v>#NAME?</v>
      </c>
      <c r="I168" s="6" t="e">
        <f aca="false">sheet1!anp169</f>
        <v>#NAME?</v>
      </c>
      <c r="J168" s="6" t="e">
        <f aca="false">sheet1!anq169</f>
        <v>#NAME?</v>
      </c>
      <c r="K168" s="6" t="e">
        <f aca="false">sheet1!anr169</f>
        <v>#NAME?</v>
      </c>
      <c r="L168" s="6" t="e">
        <f aca="false">sheet1!ans169</f>
        <v>#NAME?</v>
      </c>
      <c r="M168" s="6" t="e">
        <f aca="false">sheet1!ant169</f>
        <v>#NAME?</v>
      </c>
    </row>
    <row r="169" customFormat="false" ht="15.75" hidden="false" customHeight="false" outlineLevel="0" collapsed="false">
      <c r="A169" s="0" t="s">
        <v>66</v>
      </c>
      <c r="B169" s="1" t="n">
        <v>44029</v>
      </c>
      <c r="C169" s="6" t="e">
        <f aca="false">sheet1!anj170</f>
        <v>#NAME?</v>
      </c>
      <c r="D169" s="6" t="e">
        <f aca="false">sheet1!ank170</f>
        <v>#NAME?</v>
      </c>
      <c r="E169" s="6" t="e">
        <f aca="false">sheet1!anl170</f>
        <v>#NAME?</v>
      </c>
      <c r="F169" s="6" t="e">
        <f aca="false">sheet1!anm170</f>
        <v>#NAME?</v>
      </c>
      <c r="G169" s="6" t="e">
        <f aca="false">sheet1!ann170</f>
        <v>#NAME?</v>
      </c>
      <c r="H169" s="6" t="e">
        <f aca="false">sheet1!ano170</f>
        <v>#NAME?</v>
      </c>
      <c r="I169" s="6" t="e">
        <f aca="false">sheet1!anp170</f>
        <v>#NAME?</v>
      </c>
      <c r="J169" s="6" t="e">
        <f aca="false">sheet1!anq170</f>
        <v>#NAME?</v>
      </c>
      <c r="K169" s="6" t="e">
        <f aca="false">sheet1!anr170</f>
        <v>#NAME?</v>
      </c>
      <c r="L169" s="6" t="e">
        <f aca="false">sheet1!ans170</f>
        <v>#NAME?</v>
      </c>
      <c r="M169" s="6" t="e">
        <f aca="false">sheet1!ant170</f>
        <v>#NAME?</v>
      </c>
    </row>
    <row r="170" customFormat="false" ht="15.75" hidden="false" customHeight="false" outlineLevel="0" collapsed="false">
      <c r="A170" s="0" t="s">
        <v>66</v>
      </c>
      <c r="B170" s="1" t="n">
        <v>44030</v>
      </c>
      <c r="C170" s="6" t="e">
        <f aca="false">sheet1!anj171</f>
        <v>#NAME?</v>
      </c>
      <c r="D170" s="6" t="e">
        <f aca="false">sheet1!ank171</f>
        <v>#NAME?</v>
      </c>
      <c r="E170" s="6" t="e">
        <f aca="false">sheet1!anl171</f>
        <v>#NAME?</v>
      </c>
      <c r="F170" s="6" t="e">
        <f aca="false">sheet1!anm171</f>
        <v>#NAME?</v>
      </c>
      <c r="G170" s="6" t="e">
        <f aca="false">sheet1!ann171</f>
        <v>#NAME?</v>
      </c>
      <c r="H170" s="6" t="e">
        <f aca="false">sheet1!ano171</f>
        <v>#NAME?</v>
      </c>
      <c r="I170" s="6" t="e">
        <f aca="false">sheet1!anp171</f>
        <v>#NAME?</v>
      </c>
      <c r="J170" s="6" t="e">
        <f aca="false">sheet1!anq171</f>
        <v>#NAME?</v>
      </c>
      <c r="K170" s="6" t="e">
        <f aca="false">sheet1!anr171</f>
        <v>#NAME?</v>
      </c>
      <c r="L170" s="6" t="e">
        <f aca="false">sheet1!ans171</f>
        <v>#NAME?</v>
      </c>
      <c r="M170" s="6" t="e">
        <f aca="false">sheet1!ant171</f>
        <v>#NAME?</v>
      </c>
    </row>
    <row r="171" customFormat="false" ht="15.75" hidden="false" customHeight="false" outlineLevel="0" collapsed="false">
      <c r="A171" s="0" t="s">
        <v>66</v>
      </c>
      <c r="B171" s="1" t="n">
        <v>44031</v>
      </c>
      <c r="C171" s="6" t="e">
        <f aca="false">sheet1!anj172</f>
        <v>#NAME?</v>
      </c>
      <c r="D171" s="6" t="e">
        <f aca="false">sheet1!ank172</f>
        <v>#NAME?</v>
      </c>
      <c r="E171" s="6" t="e">
        <f aca="false">sheet1!anl172</f>
        <v>#NAME?</v>
      </c>
      <c r="F171" s="6" t="e">
        <f aca="false">sheet1!anm172</f>
        <v>#NAME?</v>
      </c>
      <c r="G171" s="6" t="e">
        <f aca="false">sheet1!ann172</f>
        <v>#NAME?</v>
      </c>
      <c r="H171" s="6" t="e">
        <f aca="false">sheet1!ano172</f>
        <v>#NAME?</v>
      </c>
      <c r="I171" s="6" t="e">
        <f aca="false">sheet1!anp172</f>
        <v>#NAME?</v>
      </c>
      <c r="J171" s="6" t="e">
        <f aca="false">sheet1!anq172</f>
        <v>#NAME?</v>
      </c>
      <c r="K171" s="6" t="e">
        <f aca="false">sheet1!anr172</f>
        <v>#NAME?</v>
      </c>
      <c r="L171" s="6" t="e">
        <f aca="false">sheet1!ans172</f>
        <v>#NAME?</v>
      </c>
      <c r="M171" s="6" t="e">
        <f aca="false">sheet1!ant172</f>
        <v>#NAME?</v>
      </c>
    </row>
    <row r="172" customFormat="false" ht="15.75" hidden="false" customHeight="false" outlineLevel="0" collapsed="false">
      <c r="A172" s="0" t="s">
        <v>66</v>
      </c>
      <c r="B172" s="1" t="n">
        <v>44032</v>
      </c>
      <c r="C172" s="6" t="e">
        <f aca="false">sheet1!anj173</f>
        <v>#NAME?</v>
      </c>
      <c r="D172" s="6" t="e">
        <f aca="false">sheet1!ank173</f>
        <v>#NAME?</v>
      </c>
      <c r="E172" s="6" t="e">
        <f aca="false">sheet1!anl173</f>
        <v>#NAME?</v>
      </c>
      <c r="F172" s="6" t="e">
        <f aca="false">sheet1!anm173</f>
        <v>#NAME?</v>
      </c>
      <c r="G172" s="6" t="e">
        <f aca="false">sheet1!ann173</f>
        <v>#NAME?</v>
      </c>
      <c r="H172" s="6" t="e">
        <f aca="false">sheet1!ano173</f>
        <v>#NAME?</v>
      </c>
      <c r="I172" s="6" t="e">
        <f aca="false">sheet1!anp173</f>
        <v>#NAME?</v>
      </c>
      <c r="J172" s="6" t="e">
        <f aca="false">sheet1!anq173</f>
        <v>#NAME?</v>
      </c>
      <c r="K172" s="6" t="e">
        <f aca="false">sheet1!anr173</f>
        <v>#NAME?</v>
      </c>
      <c r="L172" s="6" t="e">
        <f aca="false">sheet1!ans173</f>
        <v>#NAME?</v>
      </c>
      <c r="M172" s="6" t="e">
        <f aca="false">sheet1!ant173</f>
        <v>#NAME?</v>
      </c>
    </row>
    <row r="173" customFormat="false" ht="15.75" hidden="false" customHeight="false" outlineLevel="0" collapsed="false">
      <c r="A173" s="0" t="s">
        <v>66</v>
      </c>
      <c r="B173" s="1" t="n">
        <v>44033</v>
      </c>
      <c r="C173" s="6" t="e">
        <f aca="false">sheet1!anj174</f>
        <v>#NAME?</v>
      </c>
      <c r="D173" s="6" t="e">
        <f aca="false">sheet1!ank174</f>
        <v>#NAME?</v>
      </c>
      <c r="E173" s="6" t="e">
        <f aca="false">sheet1!anl174</f>
        <v>#NAME?</v>
      </c>
      <c r="F173" s="6" t="e">
        <f aca="false">sheet1!anm174</f>
        <v>#NAME?</v>
      </c>
      <c r="G173" s="6" t="e">
        <f aca="false">sheet1!ann174</f>
        <v>#NAME?</v>
      </c>
      <c r="H173" s="6" t="e">
        <f aca="false">sheet1!ano174</f>
        <v>#NAME?</v>
      </c>
      <c r="I173" s="6" t="e">
        <f aca="false">sheet1!anp174</f>
        <v>#NAME?</v>
      </c>
      <c r="J173" s="6" t="e">
        <f aca="false">sheet1!anq174</f>
        <v>#NAME?</v>
      </c>
      <c r="K173" s="6" t="e">
        <f aca="false">sheet1!anr174</f>
        <v>#NAME?</v>
      </c>
      <c r="L173" s="6" t="e">
        <f aca="false">sheet1!ans174</f>
        <v>#NAME?</v>
      </c>
      <c r="M173" s="6" t="e">
        <f aca="false">sheet1!ant174</f>
        <v>#NAME?</v>
      </c>
    </row>
    <row r="174" customFormat="false" ht="15.75" hidden="false" customHeight="false" outlineLevel="0" collapsed="false">
      <c r="A174" s="0" t="s">
        <v>66</v>
      </c>
      <c r="B174" s="1" t="n">
        <v>44034</v>
      </c>
      <c r="C174" s="6" t="e">
        <f aca="false">sheet1!anj175</f>
        <v>#NAME?</v>
      </c>
      <c r="D174" s="6" t="e">
        <f aca="false">sheet1!ank175</f>
        <v>#NAME?</v>
      </c>
      <c r="E174" s="6" t="e">
        <f aca="false">sheet1!anl175</f>
        <v>#NAME?</v>
      </c>
      <c r="F174" s="6" t="e">
        <f aca="false">sheet1!anm175</f>
        <v>#NAME?</v>
      </c>
      <c r="G174" s="6" t="e">
        <f aca="false">sheet1!ann175</f>
        <v>#NAME?</v>
      </c>
      <c r="H174" s="6" t="e">
        <f aca="false">sheet1!ano175</f>
        <v>#NAME?</v>
      </c>
      <c r="I174" s="6" t="e">
        <f aca="false">sheet1!anp175</f>
        <v>#NAME?</v>
      </c>
      <c r="J174" s="6" t="e">
        <f aca="false">sheet1!anq175</f>
        <v>#NAME?</v>
      </c>
      <c r="K174" s="6" t="e">
        <f aca="false">sheet1!anr175</f>
        <v>#NAME?</v>
      </c>
      <c r="L174" s="6" t="e">
        <f aca="false">sheet1!ans175</f>
        <v>#NAME?</v>
      </c>
      <c r="M174" s="6" t="e">
        <f aca="false">sheet1!ant175</f>
        <v>#NAME?</v>
      </c>
    </row>
    <row r="175" customFormat="false" ht="15.75" hidden="false" customHeight="false" outlineLevel="0" collapsed="false">
      <c r="A175" s="0" t="s">
        <v>66</v>
      </c>
      <c r="B175" s="1" t="n">
        <v>44035</v>
      </c>
      <c r="C175" s="6" t="e">
        <f aca="false">sheet1!anj176</f>
        <v>#NAME?</v>
      </c>
      <c r="D175" s="6" t="e">
        <f aca="false">sheet1!ank176</f>
        <v>#NAME?</v>
      </c>
      <c r="E175" s="6" t="e">
        <f aca="false">sheet1!anl176</f>
        <v>#NAME?</v>
      </c>
      <c r="F175" s="6" t="e">
        <f aca="false">sheet1!anm176</f>
        <v>#NAME?</v>
      </c>
      <c r="G175" s="6" t="e">
        <f aca="false">sheet1!ann176</f>
        <v>#NAME?</v>
      </c>
      <c r="H175" s="6" t="e">
        <f aca="false">sheet1!ano176</f>
        <v>#NAME?</v>
      </c>
      <c r="I175" s="6" t="e">
        <f aca="false">sheet1!anp176</f>
        <v>#NAME?</v>
      </c>
      <c r="J175" s="6" t="e">
        <f aca="false">sheet1!anq176</f>
        <v>#NAME?</v>
      </c>
      <c r="K175" s="6" t="e">
        <f aca="false">sheet1!anr176</f>
        <v>#NAME?</v>
      </c>
      <c r="L175" s="6" t="e">
        <f aca="false">sheet1!ans176</f>
        <v>#NAME?</v>
      </c>
      <c r="M175" s="6" t="e">
        <f aca="false">sheet1!ant176</f>
        <v>#NAME?</v>
      </c>
    </row>
    <row r="176" customFormat="false" ht="15.75" hidden="false" customHeight="false" outlineLevel="0" collapsed="false">
      <c r="A176" s="0" t="s">
        <v>66</v>
      </c>
      <c r="B176" s="1" t="n">
        <v>44036</v>
      </c>
      <c r="C176" s="6" t="e">
        <f aca="false">sheet1!anj177</f>
        <v>#NAME?</v>
      </c>
      <c r="D176" s="6" t="e">
        <f aca="false">sheet1!ank177</f>
        <v>#NAME?</v>
      </c>
      <c r="E176" s="6" t="e">
        <f aca="false">sheet1!anl177</f>
        <v>#NAME?</v>
      </c>
      <c r="F176" s="6" t="e">
        <f aca="false">sheet1!anm177</f>
        <v>#NAME?</v>
      </c>
      <c r="G176" s="6" t="e">
        <f aca="false">sheet1!ann177</f>
        <v>#NAME?</v>
      </c>
      <c r="H176" s="6" t="e">
        <f aca="false">sheet1!ano177</f>
        <v>#NAME?</v>
      </c>
      <c r="I176" s="6" t="e">
        <f aca="false">sheet1!anp177</f>
        <v>#NAME?</v>
      </c>
      <c r="J176" s="6" t="e">
        <f aca="false">sheet1!anq177</f>
        <v>#NAME?</v>
      </c>
      <c r="K176" s="6" t="e">
        <f aca="false">sheet1!anr177</f>
        <v>#NAME?</v>
      </c>
      <c r="L176" s="6" t="e">
        <f aca="false">sheet1!ans177</f>
        <v>#NAME?</v>
      </c>
      <c r="M176" s="6" t="e">
        <f aca="false">sheet1!ant177</f>
        <v>#NAME?</v>
      </c>
    </row>
    <row r="177" customFormat="false" ht="15.75" hidden="false" customHeight="false" outlineLevel="0" collapsed="false">
      <c r="A177" s="0" t="s">
        <v>66</v>
      </c>
      <c r="B177" s="1" t="n">
        <v>44037</v>
      </c>
      <c r="C177" s="6" t="e">
        <f aca="false">sheet1!anj178</f>
        <v>#NAME?</v>
      </c>
      <c r="D177" s="6" t="e">
        <f aca="false">sheet1!ank178</f>
        <v>#NAME?</v>
      </c>
      <c r="E177" s="6" t="e">
        <f aca="false">sheet1!anl178</f>
        <v>#NAME?</v>
      </c>
      <c r="F177" s="6" t="e">
        <f aca="false">sheet1!anm178</f>
        <v>#NAME?</v>
      </c>
      <c r="G177" s="6" t="e">
        <f aca="false">sheet1!ann178</f>
        <v>#NAME?</v>
      </c>
      <c r="H177" s="6" t="e">
        <f aca="false">sheet1!ano178</f>
        <v>#NAME?</v>
      </c>
      <c r="I177" s="6" t="e">
        <f aca="false">sheet1!anp178</f>
        <v>#NAME?</v>
      </c>
      <c r="J177" s="6" t="e">
        <f aca="false">sheet1!anq178</f>
        <v>#NAME?</v>
      </c>
      <c r="K177" s="6" t="e">
        <f aca="false">sheet1!anr178</f>
        <v>#NAME?</v>
      </c>
      <c r="L177" s="6" t="e">
        <f aca="false">sheet1!ans178</f>
        <v>#NAME?</v>
      </c>
      <c r="M177" s="6" t="e">
        <f aca="false">sheet1!ant178</f>
        <v>#NAME?</v>
      </c>
    </row>
    <row r="178" customFormat="false" ht="15.75" hidden="false" customHeight="false" outlineLevel="0" collapsed="false">
      <c r="A178" s="0" t="s">
        <v>66</v>
      </c>
      <c r="B178" s="1" t="n">
        <v>44038</v>
      </c>
      <c r="C178" s="6" t="e">
        <f aca="false">sheet1!anj179</f>
        <v>#NAME?</v>
      </c>
      <c r="D178" s="6" t="e">
        <f aca="false">sheet1!ank179</f>
        <v>#NAME?</v>
      </c>
      <c r="E178" s="6" t="e">
        <f aca="false">sheet1!anl179</f>
        <v>#NAME?</v>
      </c>
      <c r="F178" s="6" t="e">
        <f aca="false">sheet1!anm179</f>
        <v>#NAME?</v>
      </c>
      <c r="G178" s="6" t="e">
        <f aca="false">sheet1!ann179</f>
        <v>#NAME?</v>
      </c>
      <c r="H178" s="6" t="e">
        <f aca="false">sheet1!ano179</f>
        <v>#NAME?</v>
      </c>
      <c r="I178" s="6" t="e">
        <f aca="false">sheet1!anp179</f>
        <v>#NAME?</v>
      </c>
      <c r="J178" s="6" t="e">
        <f aca="false">sheet1!anq179</f>
        <v>#NAME?</v>
      </c>
      <c r="K178" s="6" t="e">
        <f aca="false">sheet1!anr179</f>
        <v>#NAME?</v>
      </c>
      <c r="L178" s="6" t="e">
        <f aca="false">sheet1!ans179</f>
        <v>#NAME?</v>
      </c>
      <c r="M178" s="6" t="e">
        <f aca="false">sheet1!ant179</f>
        <v>#NAME?</v>
      </c>
    </row>
    <row r="179" customFormat="false" ht="15.75" hidden="false" customHeight="false" outlineLevel="0" collapsed="false">
      <c r="A179" s="0" t="s">
        <v>66</v>
      </c>
      <c r="B179" s="1" t="n">
        <v>44039</v>
      </c>
      <c r="C179" s="6" t="e">
        <f aca="false">sheet1!anj180</f>
        <v>#NAME?</v>
      </c>
      <c r="D179" s="6" t="e">
        <f aca="false">sheet1!ank180</f>
        <v>#NAME?</v>
      </c>
      <c r="E179" s="6" t="e">
        <f aca="false">sheet1!anl180</f>
        <v>#NAME?</v>
      </c>
      <c r="F179" s="6" t="e">
        <f aca="false">sheet1!anm180</f>
        <v>#NAME?</v>
      </c>
      <c r="G179" s="6" t="e">
        <f aca="false">sheet1!ann180</f>
        <v>#NAME?</v>
      </c>
      <c r="H179" s="6" t="e">
        <f aca="false">sheet1!ano180</f>
        <v>#NAME?</v>
      </c>
      <c r="I179" s="6" t="e">
        <f aca="false">sheet1!anp180</f>
        <v>#NAME?</v>
      </c>
      <c r="J179" s="6" t="e">
        <f aca="false">sheet1!anq180</f>
        <v>#NAME?</v>
      </c>
      <c r="K179" s="6" t="e">
        <f aca="false">sheet1!anr180</f>
        <v>#NAME?</v>
      </c>
      <c r="L179" s="6" t="e">
        <f aca="false">sheet1!ans180</f>
        <v>#NAME?</v>
      </c>
      <c r="M179" s="6" t="e">
        <f aca="false">sheet1!ant180</f>
        <v>#NAME?</v>
      </c>
    </row>
    <row r="180" customFormat="false" ht="15.75" hidden="false" customHeight="false" outlineLevel="0" collapsed="false">
      <c r="A180" s="0" t="s">
        <v>66</v>
      </c>
      <c r="B180" s="1" t="n">
        <v>44040</v>
      </c>
      <c r="C180" s="6" t="e">
        <f aca="false">sheet1!anj181</f>
        <v>#NAME?</v>
      </c>
      <c r="D180" s="6" t="e">
        <f aca="false">sheet1!ank181</f>
        <v>#NAME?</v>
      </c>
      <c r="E180" s="6" t="e">
        <f aca="false">sheet1!anl181</f>
        <v>#NAME?</v>
      </c>
      <c r="F180" s="6" t="e">
        <f aca="false">sheet1!anm181</f>
        <v>#NAME?</v>
      </c>
      <c r="G180" s="6" t="e">
        <f aca="false">sheet1!ann181</f>
        <v>#NAME?</v>
      </c>
      <c r="H180" s="6" t="e">
        <f aca="false">sheet1!ano181</f>
        <v>#NAME?</v>
      </c>
      <c r="I180" s="6" t="e">
        <f aca="false">sheet1!anp181</f>
        <v>#NAME?</v>
      </c>
      <c r="J180" s="6" t="e">
        <f aca="false">sheet1!anq181</f>
        <v>#NAME?</v>
      </c>
      <c r="K180" s="6" t="e">
        <f aca="false">sheet1!anr181</f>
        <v>#NAME?</v>
      </c>
      <c r="L180" s="6" t="e">
        <f aca="false">sheet1!ans181</f>
        <v>#NAME?</v>
      </c>
      <c r="M180" s="6" t="e">
        <f aca="false">sheet1!ant181</f>
        <v>#NAME?</v>
      </c>
    </row>
    <row r="181" customFormat="false" ht="15.75" hidden="false" customHeight="false" outlineLevel="0" collapsed="false">
      <c r="A181" s="0" t="s">
        <v>66</v>
      </c>
      <c r="B181" s="1" t="n">
        <v>44041</v>
      </c>
      <c r="C181" s="6" t="e">
        <f aca="false">sheet1!anj182</f>
        <v>#NAME?</v>
      </c>
      <c r="D181" s="6" t="e">
        <f aca="false">sheet1!ank182</f>
        <v>#NAME?</v>
      </c>
      <c r="E181" s="6" t="e">
        <f aca="false">sheet1!anl182</f>
        <v>#NAME?</v>
      </c>
      <c r="F181" s="6" t="e">
        <f aca="false">sheet1!anm182</f>
        <v>#NAME?</v>
      </c>
      <c r="G181" s="6" t="e">
        <f aca="false">sheet1!ann182</f>
        <v>#NAME?</v>
      </c>
      <c r="H181" s="6" t="e">
        <f aca="false">sheet1!ano182</f>
        <v>#NAME?</v>
      </c>
      <c r="I181" s="6" t="e">
        <f aca="false">sheet1!anp182</f>
        <v>#NAME?</v>
      </c>
      <c r="J181" s="6" t="e">
        <f aca="false">sheet1!anq182</f>
        <v>#NAME?</v>
      </c>
      <c r="K181" s="6" t="e">
        <f aca="false">sheet1!anr182</f>
        <v>#NAME?</v>
      </c>
      <c r="L181" s="6" t="e">
        <f aca="false">sheet1!ans182</f>
        <v>#NAME?</v>
      </c>
      <c r="M181" s="6" t="e">
        <f aca="false">sheet1!ant182</f>
        <v>#NAME?</v>
      </c>
    </row>
    <row r="182" customFormat="false" ht="15.75" hidden="false" customHeight="false" outlineLevel="0" collapsed="false">
      <c r="A182" s="0" t="s">
        <v>66</v>
      </c>
      <c r="B182" s="1" t="n">
        <v>44042</v>
      </c>
      <c r="C182" s="6" t="e">
        <f aca="false">sheet1!anj183</f>
        <v>#NAME?</v>
      </c>
      <c r="D182" s="6" t="e">
        <f aca="false">sheet1!ank183</f>
        <v>#NAME?</v>
      </c>
      <c r="E182" s="6" t="e">
        <f aca="false">sheet1!anl183</f>
        <v>#NAME?</v>
      </c>
      <c r="F182" s="6" t="e">
        <f aca="false">sheet1!anm183</f>
        <v>#NAME?</v>
      </c>
      <c r="G182" s="6" t="e">
        <f aca="false">sheet1!ann183</f>
        <v>#NAME?</v>
      </c>
      <c r="H182" s="6" t="e">
        <f aca="false">sheet1!ano183</f>
        <v>#NAME?</v>
      </c>
      <c r="I182" s="6" t="e">
        <f aca="false">sheet1!anp183</f>
        <v>#NAME?</v>
      </c>
      <c r="J182" s="6" t="e">
        <f aca="false">sheet1!anq183</f>
        <v>#NAME?</v>
      </c>
      <c r="K182" s="6" t="e">
        <f aca="false">sheet1!anr183</f>
        <v>#NAME?</v>
      </c>
      <c r="L182" s="6" t="e">
        <f aca="false">sheet1!ans183</f>
        <v>#NAME?</v>
      </c>
      <c r="M182" s="6" t="e">
        <f aca="false">sheet1!ant183</f>
        <v>#NAME?</v>
      </c>
    </row>
    <row r="183" customFormat="false" ht="15.75" hidden="false" customHeight="false" outlineLevel="0" collapsed="false">
      <c r="A183" s="0" t="s">
        <v>66</v>
      </c>
      <c r="B183" s="1" t="n">
        <v>44043</v>
      </c>
      <c r="C183" s="6" t="e">
        <f aca="false">sheet1!anj184</f>
        <v>#NAME?</v>
      </c>
      <c r="D183" s="6" t="e">
        <f aca="false">sheet1!ank184</f>
        <v>#NAME?</v>
      </c>
      <c r="E183" s="6" t="e">
        <f aca="false">sheet1!anl184</f>
        <v>#NAME?</v>
      </c>
      <c r="F183" s="6" t="e">
        <f aca="false">sheet1!anm184</f>
        <v>#NAME?</v>
      </c>
      <c r="G183" s="6" t="e">
        <f aca="false">sheet1!ann184</f>
        <v>#NAME?</v>
      </c>
      <c r="H183" s="6" t="e">
        <f aca="false">sheet1!ano184</f>
        <v>#NAME?</v>
      </c>
      <c r="I183" s="6" t="e">
        <f aca="false">sheet1!anp184</f>
        <v>#NAME?</v>
      </c>
      <c r="J183" s="6" t="e">
        <f aca="false">sheet1!anq184</f>
        <v>#NAME?</v>
      </c>
      <c r="K183" s="6" t="e">
        <f aca="false">sheet1!anr184</f>
        <v>#NAME?</v>
      </c>
      <c r="L183" s="6" t="e">
        <f aca="false">sheet1!ans184</f>
        <v>#NAME?</v>
      </c>
      <c r="M183" s="6" t="e">
        <f aca="false">sheet1!ant184</f>
        <v>#NAME?</v>
      </c>
    </row>
    <row r="184" customFormat="false" ht="15.75" hidden="false" customHeight="false" outlineLevel="0" collapsed="false">
      <c r="A184" s="0" t="s">
        <v>66</v>
      </c>
      <c r="B184" s="1" t="n">
        <v>44044</v>
      </c>
      <c r="C184" s="6" t="e">
        <f aca="false">sheet1!anj185</f>
        <v>#NAME?</v>
      </c>
      <c r="D184" s="6" t="e">
        <f aca="false">sheet1!ank185</f>
        <v>#NAME?</v>
      </c>
      <c r="E184" s="6" t="e">
        <f aca="false">sheet1!anl185</f>
        <v>#NAME?</v>
      </c>
      <c r="F184" s="6" t="e">
        <f aca="false">sheet1!anm185</f>
        <v>#NAME?</v>
      </c>
      <c r="G184" s="6" t="e">
        <f aca="false">sheet1!ann185</f>
        <v>#NAME?</v>
      </c>
      <c r="H184" s="6" t="e">
        <f aca="false">sheet1!ano185</f>
        <v>#NAME?</v>
      </c>
      <c r="I184" s="6" t="e">
        <f aca="false">sheet1!anp185</f>
        <v>#NAME?</v>
      </c>
      <c r="J184" s="6" t="e">
        <f aca="false">sheet1!anq185</f>
        <v>#NAME?</v>
      </c>
      <c r="K184" s="6" t="e">
        <f aca="false">sheet1!anr185</f>
        <v>#NAME?</v>
      </c>
      <c r="L184" s="6" t="e">
        <f aca="false">sheet1!ans185</f>
        <v>#NAME?</v>
      </c>
      <c r="M184" s="6" t="e">
        <f aca="false">sheet1!ant185</f>
        <v>#NAME?</v>
      </c>
    </row>
    <row r="185" customFormat="false" ht="15.75" hidden="false" customHeight="false" outlineLevel="0" collapsed="false">
      <c r="A185" s="0" t="s">
        <v>66</v>
      </c>
      <c r="B185" s="1" t="n">
        <v>44045</v>
      </c>
      <c r="C185" s="6" t="e">
        <f aca="false">sheet1!anj186</f>
        <v>#NAME?</v>
      </c>
      <c r="D185" s="6" t="e">
        <f aca="false">sheet1!ank186</f>
        <v>#NAME?</v>
      </c>
      <c r="E185" s="6" t="e">
        <f aca="false">sheet1!anl186</f>
        <v>#NAME?</v>
      </c>
      <c r="F185" s="6" t="e">
        <f aca="false">sheet1!anm186</f>
        <v>#NAME?</v>
      </c>
      <c r="G185" s="6" t="e">
        <f aca="false">sheet1!ann186</f>
        <v>#NAME?</v>
      </c>
      <c r="H185" s="6" t="e">
        <f aca="false">sheet1!ano186</f>
        <v>#NAME?</v>
      </c>
      <c r="I185" s="6" t="e">
        <f aca="false">sheet1!anp186</f>
        <v>#NAME?</v>
      </c>
      <c r="J185" s="6" t="e">
        <f aca="false">sheet1!anq186</f>
        <v>#NAME?</v>
      </c>
      <c r="K185" s="6" t="e">
        <f aca="false">sheet1!anr186</f>
        <v>#NAME?</v>
      </c>
      <c r="L185" s="6" t="e">
        <f aca="false">sheet1!ans186</f>
        <v>#NAME?</v>
      </c>
      <c r="M185" s="6" t="e">
        <f aca="false">sheet1!ant186</f>
        <v>#NAME?</v>
      </c>
    </row>
    <row r="186" customFormat="false" ht="15.75" hidden="false" customHeight="false" outlineLevel="0" collapsed="false">
      <c r="A186" s="0" t="s">
        <v>66</v>
      </c>
      <c r="B186" s="1" t="n">
        <v>44046</v>
      </c>
      <c r="C186" s="6" t="e">
        <f aca="false">sheet1!anj187</f>
        <v>#NAME?</v>
      </c>
      <c r="D186" s="6" t="e">
        <f aca="false">sheet1!ank187</f>
        <v>#NAME?</v>
      </c>
      <c r="E186" s="6" t="e">
        <f aca="false">sheet1!anl187</f>
        <v>#NAME?</v>
      </c>
      <c r="F186" s="6" t="e">
        <f aca="false">sheet1!anm187</f>
        <v>#NAME?</v>
      </c>
      <c r="G186" s="6" t="e">
        <f aca="false">sheet1!ann187</f>
        <v>#NAME?</v>
      </c>
      <c r="H186" s="6" t="e">
        <f aca="false">sheet1!ano187</f>
        <v>#NAME?</v>
      </c>
      <c r="I186" s="6" t="e">
        <f aca="false">sheet1!anp187</f>
        <v>#NAME?</v>
      </c>
      <c r="J186" s="6" t="e">
        <f aca="false">sheet1!anq187</f>
        <v>#NAME?</v>
      </c>
      <c r="K186" s="6" t="e">
        <f aca="false">sheet1!anr187</f>
        <v>#NAME?</v>
      </c>
      <c r="L186" s="6" t="e">
        <f aca="false">sheet1!ans187</f>
        <v>#NAME?</v>
      </c>
      <c r="M186" s="6" t="e">
        <f aca="false">sheet1!ant187</f>
        <v>#NAME?</v>
      </c>
    </row>
    <row r="187" customFormat="false" ht="15.75" hidden="false" customHeight="false" outlineLevel="0" collapsed="false">
      <c r="A187" s="0" t="s">
        <v>66</v>
      </c>
      <c r="B187" s="1" t="n">
        <v>44047</v>
      </c>
      <c r="C187" s="6" t="e">
        <f aca="false">sheet1!anj188</f>
        <v>#NAME?</v>
      </c>
      <c r="D187" s="6" t="e">
        <f aca="false">sheet1!ank188</f>
        <v>#NAME?</v>
      </c>
      <c r="E187" s="6" t="e">
        <f aca="false">sheet1!anl188</f>
        <v>#NAME?</v>
      </c>
      <c r="F187" s="6" t="e">
        <f aca="false">sheet1!anm188</f>
        <v>#NAME?</v>
      </c>
      <c r="G187" s="6" t="e">
        <f aca="false">sheet1!ann188</f>
        <v>#NAME?</v>
      </c>
      <c r="H187" s="6" t="e">
        <f aca="false">sheet1!ano188</f>
        <v>#NAME?</v>
      </c>
      <c r="I187" s="6" t="e">
        <f aca="false">sheet1!anp188</f>
        <v>#NAME?</v>
      </c>
      <c r="J187" s="6" t="e">
        <f aca="false">sheet1!anq188</f>
        <v>#NAME?</v>
      </c>
      <c r="K187" s="6" t="e">
        <f aca="false">sheet1!anr188</f>
        <v>#NAME?</v>
      </c>
      <c r="L187" s="6" t="e">
        <f aca="false">sheet1!ans188</f>
        <v>#NAME?</v>
      </c>
      <c r="M187" s="6" t="e">
        <f aca="false">sheet1!ant188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9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26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27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67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9"/>
      <c r="L2" s="6"/>
      <c r="M2" s="6"/>
    </row>
    <row r="3" customFormat="false" ht="15.75" hidden="false" customHeight="false" outlineLevel="0" collapsed="false">
      <c r="A3" s="0" t="s">
        <v>67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9"/>
      <c r="L3" s="6"/>
      <c r="M3" s="6"/>
    </row>
    <row r="4" customFormat="false" ht="15.75" hidden="false" customHeight="false" outlineLevel="0" collapsed="false">
      <c r="A4" s="0" t="s">
        <v>67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9"/>
      <c r="L4" s="6"/>
      <c r="M4" s="6"/>
    </row>
    <row r="5" customFormat="false" ht="15.75" hidden="false" customHeight="false" outlineLevel="0" collapsed="false">
      <c r="A5" s="0" t="s">
        <v>67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9"/>
      <c r="L5" s="6"/>
      <c r="M5" s="6"/>
    </row>
    <row r="6" customFormat="false" ht="15.75" hidden="false" customHeight="false" outlineLevel="0" collapsed="false">
      <c r="A6" s="0" t="s">
        <v>67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9"/>
      <c r="L6" s="6"/>
      <c r="M6" s="6"/>
    </row>
    <row r="7" customFormat="false" ht="15.75" hidden="false" customHeight="false" outlineLevel="0" collapsed="false">
      <c r="A7" s="0" t="s">
        <v>67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9"/>
      <c r="L7" s="6"/>
      <c r="M7" s="6"/>
    </row>
    <row r="8" customFormat="false" ht="15.75" hidden="false" customHeight="false" outlineLevel="0" collapsed="false">
      <c r="A8" s="0" t="s">
        <v>67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9"/>
      <c r="L8" s="6"/>
      <c r="M8" s="6"/>
    </row>
    <row r="9" customFormat="false" ht="15.75" hidden="false" customHeight="false" outlineLevel="0" collapsed="false">
      <c r="A9" s="0" t="s">
        <v>67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9"/>
      <c r="L9" s="6"/>
      <c r="M9" s="6"/>
    </row>
    <row r="10" customFormat="false" ht="15.75" hidden="false" customHeight="false" outlineLevel="0" collapsed="false">
      <c r="A10" s="0" t="s">
        <v>67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9"/>
      <c r="L10" s="6"/>
      <c r="M10" s="6"/>
    </row>
    <row r="11" customFormat="false" ht="15.75" hidden="false" customHeight="false" outlineLevel="0" collapsed="false">
      <c r="A11" s="0" t="s">
        <v>67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9"/>
      <c r="L11" s="6"/>
      <c r="M11" s="6"/>
    </row>
    <row r="12" customFormat="false" ht="15.75" hidden="false" customHeight="false" outlineLevel="0" collapsed="false">
      <c r="A12" s="0" t="s">
        <v>67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9"/>
      <c r="L12" s="6"/>
      <c r="M12" s="6"/>
    </row>
    <row r="13" customFormat="false" ht="15.75" hidden="false" customHeight="false" outlineLevel="0" collapsed="false">
      <c r="A13" s="0" t="s">
        <v>67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9"/>
      <c r="L13" s="6"/>
      <c r="M13" s="6"/>
    </row>
    <row r="14" customFormat="false" ht="15.75" hidden="false" customHeight="false" outlineLevel="0" collapsed="false">
      <c r="A14" s="0" t="s">
        <v>67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9"/>
      <c r="L14" s="6"/>
      <c r="M14" s="6"/>
    </row>
    <row r="15" customFormat="false" ht="15.75" hidden="false" customHeight="false" outlineLevel="0" collapsed="false">
      <c r="A15" s="0" t="s">
        <v>67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9"/>
      <c r="L15" s="6"/>
      <c r="M15" s="6"/>
    </row>
    <row r="16" customFormat="false" ht="15.75" hidden="false" customHeight="false" outlineLevel="0" collapsed="false">
      <c r="A16" s="0" t="s">
        <v>67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9"/>
      <c r="L16" s="6"/>
      <c r="M16" s="6"/>
    </row>
    <row r="17" customFormat="false" ht="15.75" hidden="false" customHeight="false" outlineLevel="0" collapsed="false">
      <c r="A17" s="0" t="s">
        <v>67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9"/>
      <c r="L17" s="6"/>
      <c r="M17" s="6"/>
    </row>
    <row r="18" customFormat="false" ht="15.75" hidden="false" customHeight="false" outlineLevel="0" collapsed="false">
      <c r="A18" s="0" t="s">
        <v>67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9"/>
      <c r="L18" s="6"/>
      <c r="M18" s="6"/>
    </row>
    <row r="19" customFormat="false" ht="15.75" hidden="false" customHeight="false" outlineLevel="0" collapsed="false">
      <c r="A19" s="0" t="s">
        <v>67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9"/>
      <c r="L19" s="6"/>
      <c r="M19" s="6"/>
    </row>
    <row r="20" customFormat="false" ht="15.75" hidden="false" customHeight="false" outlineLevel="0" collapsed="false">
      <c r="A20" s="0" t="s">
        <v>67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9"/>
      <c r="L20" s="6"/>
      <c r="M20" s="6"/>
    </row>
    <row r="21" customFormat="false" ht="15.75" hidden="false" customHeight="false" outlineLevel="0" collapsed="false">
      <c r="A21" s="0" t="s">
        <v>67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9"/>
      <c r="L21" s="6"/>
      <c r="M21" s="6"/>
    </row>
    <row r="22" customFormat="false" ht="15.75" hidden="false" customHeight="false" outlineLevel="0" collapsed="false">
      <c r="A22" s="0" t="s">
        <v>67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9"/>
      <c r="L22" s="6"/>
      <c r="M22" s="6"/>
    </row>
    <row r="23" customFormat="false" ht="15.75" hidden="false" customHeight="false" outlineLevel="0" collapsed="false">
      <c r="A23" s="0" t="s">
        <v>67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9"/>
      <c r="L23" s="6"/>
      <c r="M23" s="6"/>
    </row>
    <row r="24" customFormat="false" ht="15.75" hidden="false" customHeight="false" outlineLevel="0" collapsed="false">
      <c r="A24" s="0" t="s">
        <v>67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9"/>
      <c r="L24" s="6"/>
      <c r="M24" s="6"/>
    </row>
    <row r="25" customFormat="false" ht="15.75" hidden="false" customHeight="false" outlineLevel="0" collapsed="false">
      <c r="A25" s="0" t="s">
        <v>67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9"/>
      <c r="L25" s="6"/>
      <c r="M25" s="6"/>
    </row>
    <row r="26" customFormat="false" ht="15.75" hidden="false" customHeight="false" outlineLevel="0" collapsed="false">
      <c r="A26" s="0" t="s">
        <v>67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9"/>
      <c r="L26" s="6"/>
      <c r="M26" s="6"/>
    </row>
    <row r="27" customFormat="false" ht="15.75" hidden="false" customHeight="false" outlineLevel="0" collapsed="false">
      <c r="A27" s="0" t="s">
        <v>67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9"/>
      <c r="L27" s="6"/>
      <c r="M27" s="6"/>
    </row>
    <row r="28" customFormat="false" ht="15.75" hidden="false" customHeight="false" outlineLevel="0" collapsed="false">
      <c r="A28" s="0" t="s">
        <v>67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9"/>
      <c r="L28" s="6"/>
      <c r="M28" s="6"/>
    </row>
    <row r="29" customFormat="false" ht="15.75" hidden="false" customHeight="false" outlineLevel="0" collapsed="false">
      <c r="A29" s="0" t="s">
        <v>67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9"/>
      <c r="L29" s="6"/>
      <c r="M29" s="6"/>
    </row>
    <row r="30" customFormat="false" ht="15.75" hidden="false" customHeight="false" outlineLevel="0" collapsed="false">
      <c r="A30" s="0" t="s">
        <v>67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9"/>
      <c r="L30" s="6"/>
      <c r="M30" s="6"/>
    </row>
    <row r="31" customFormat="false" ht="15.75" hidden="false" customHeight="false" outlineLevel="0" collapsed="false">
      <c r="A31" s="0" t="s">
        <v>67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9"/>
      <c r="L31" s="6"/>
      <c r="M31" s="6"/>
    </row>
    <row r="32" customFormat="false" ht="15.75" hidden="false" customHeight="false" outlineLevel="0" collapsed="false">
      <c r="A32" s="0" t="s">
        <v>67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9"/>
      <c r="L32" s="6"/>
      <c r="M32" s="6"/>
    </row>
    <row r="33" customFormat="false" ht="15.75" hidden="false" customHeight="false" outlineLevel="0" collapsed="false">
      <c r="A33" s="0" t="s">
        <v>67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9"/>
      <c r="L33" s="6"/>
      <c r="M33" s="6"/>
    </row>
    <row r="34" customFormat="false" ht="15.75" hidden="false" customHeight="false" outlineLevel="0" collapsed="false">
      <c r="A34" s="0" t="s">
        <v>67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9"/>
      <c r="L34" s="6"/>
      <c r="M34" s="6"/>
    </row>
    <row r="35" customFormat="false" ht="15.75" hidden="false" customHeight="false" outlineLevel="0" collapsed="false">
      <c r="A35" s="0" t="s">
        <v>67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9"/>
      <c r="L35" s="6"/>
      <c r="M35" s="6"/>
    </row>
    <row r="36" customFormat="false" ht="15.75" hidden="false" customHeight="false" outlineLevel="0" collapsed="false">
      <c r="A36" s="0" t="s">
        <v>67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9"/>
      <c r="L36" s="6"/>
      <c r="M36" s="6"/>
    </row>
    <row r="37" customFormat="false" ht="15.75" hidden="false" customHeight="false" outlineLevel="0" collapsed="false">
      <c r="A37" s="0" t="s">
        <v>67</v>
      </c>
      <c r="B37" s="1" t="n">
        <v>43897</v>
      </c>
      <c r="C37" s="8" t="n">
        <v>15</v>
      </c>
      <c r="D37" s="8" t="n">
        <v>12</v>
      </c>
      <c r="E37" s="8"/>
      <c r="F37" s="8"/>
      <c r="G37" s="8" t="n">
        <v>1</v>
      </c>
      <c r="H37" s="8" t="n">
        <v>14</v>
      </c>
      <c r="I37" s="8"/>
      <c r="J37" s="8"/>
      <c r="K37" s="9"/>
      <c r="L37" s="8"/>
      <c r="M37" s="8"/>
    </row>
    <row r="38" customFormat="false" ht="15.75" hidden="false" customHeight="false" outlineLevel="0" collapsed="false">
      <c r="A38" s="0" t="s">
        <v>67</v>
      </c>
      <c r="B38" s="1" t="n">
        <v>43898</v>
      </c>
      <c r="C38" s="6" t="n">
        <v>48</v>
      </c>
      <c r="D38" s="6" t="n">
        <v>33</v>
      </c>
      <c r="E38" s="6"/>
      <c r="F38" s="6"/>
      <c r="G38" s="6" t="n">
        <v>1</v>
      </c>
      <c r="H38" s="6" t="n">
        <v>47</v>
      </c>
      <c r="I38" s="6"/>
      <c r="J38" s="6"/>
      <c r="K38" s="9"/>
      <c r="L38" s="6"/>
      <c r="M38" s="6"/>
    </row>
    <row r="39" customFormat="false" ht="15.75" hidden="false" customHeight="false" outlineLevel="0" collapsed="false">
      <c r="A39" s="0" t="s">
        <v>67</v>
      </c>
      <c r="B39" s="1" t="n">
        <v>43899</v>
      </c>
      <c r="C39" s="6" t="n">
        <v>55</v>
      </c>
      <c r="D39" s="6" t="n">
        <v>7</v>
      </c>
      <c r="E39" s="6" t="n">
        <v>1</v>
      </c>
      <c r="F39" s="6" t="n">
        <v>1</v>
      </c>
      <c r="G39" s="6" t="n">
        <v>1</v>
      </c>
      <c r="H39" s="6" t="n">
        <v>53</v>
      </c>
      <c r="I39" s="6"/>
      <c r="J39" s="6" t="n">
        <v>0.5</v>
      </c>
      <c r="K39" s="9"/>
      <c r="L39" s="6"/>
      <c r="M39" s="6"/>
    </row>
    <row r="40" customFormat="false" ht="15.75" hidden="false" customHeight="false" outlineLevel="0" collapsed="false">
      <c r="A40" s="0" t="s">
        <v>67</v>
      </c>
      <c r="B40" s="1" t="n">
        <v>43900</v>
      </c>
      <c r="C40" s="6" t="n">
        <v>59</v>
      </c>
      <c r="D40" s="6" t="n">
        <v>4</v>
      </c>
      <c r="E40" s="6" t="n">
        <v>1</v>
      </c>
      <c r="F40" s="6" t="n">
        <v>0</v>
      </c>
      <c r="G40" s="6" t="n">
        <v>1</v>
      </c>
      <c r="H40" s="6" t="n">
        <v>57</v>
      </c>
      <c r="I40" s="6"/>
      <c r="J40" s="6" t="n">
        <v>0.6</v>
      </c>
      <c r="K40" s="9"/>
      <c r="L40" s="6"/>
      <c r="M40" s="6"/>
    </row>
    <row r="41" customFormat="false" ht="15.75" hidden="false" customHeight="false" outlineLevel="0" collapsed="false">
      <c r="A41" s="0" t="s">
        <v>67</v>
      </c>
      <c r="B41" s="1" t="n">
        <v>43901</v>
      </c>
      <c r="C41" s="6" t="n">
        <v>59</v>
      </c>
      <c r="D41" s="6" t="n">
        <v>0</v>
      </c>
      <c r="E41" s="6" t="n">
        <v>1</v>
      </c>
      <c r="F41" s="6" t="n">
        <v>0</v>
      </c>
      <c r="G41" s="6" t="n">
        <v>1</v>
      </c>
      <c r="H41" s="6" t="n">
        <v>57</v>
      </c>
      <c r="I41" s="6"/>
      <c r="J41" s="6" t="n">
        <v>0.6</v>
      </c>
      <c r="K41" s="9"/>
      <c r="L41" s="6"/>
      <c r="M41" s="6"/>
    </row>
    <row r="42" customFormat="false" ht="15.75" hidden="false" customHeight="false" outlineLevel="0" collapsed="false">
      <c r="A42" s="0" t="s">
        <v>67</v>
      </c>
      <c r="B42" s="1" t="n">
        <v>43902</v>
      </c>
      <c r="C42" s="6" t="n">
        <v>60</v>
      </c>
      <c r="D42" s="6" t="n">
        <v>1</v>
      </c>
      <c r="E42" s="6" t="n">
        <v>1</v>
      </c>
      <c r="F42" s="6" t="n">
        <v>0</v>
      </c>
      <c r="G42" s="6" t="n">
        <v>27</v>
      </c>
      <c r="H42" s="6" t="n">
        <v>32</v>
      </c>
      <c r="I42" s="6"/>
      <c r="J42" s="6" t="n">
        <v>0.6</v>
      </c>
      <c r="K42" s="9"/>
      <c r="L42" s="6"/>
      <c r="M42" s="6"/>
    </row>
    <row r="43" customFormat="false" ht="15.75" hidden="false" customHeight="false" outlineLevel="0" collapsed="false">
      <c r="A43" s="0" t="s">
        <v>67</v>
      </c>
      <c r="B43" s="1" t="n">
        <v>43903</v>
      </c>
      <c r="C43" s="6" t="n">
        <v>80</v>
      </c>
      <c r="D43" s="6" t="n">
        <v>20</v>
      </c>
      <c r="E43" s="6" t="n">
        <v>2</v>
      </c>
      <c r="F43" s="6" t="n">
        <v>1</v>
      </c>
      <c r="G43" s="6" t="n">
        <v>27</v>
      </c>
      <c r="H43" s="6" t="n">
        <v>51</v>
      </c>
      <c r="I43" s="6"/>
      <c r="J43" s="6" t="n">
        <v>0.8</v>
      </c>
      <c r="K43" s="9"/>
      <c r="L43" s="6"/>
      <c r="M43" s="6"/>
    </row>
    <row r="44" customFormat="false" ht="15.75" hidden="false" customHeight="false" outlineLevel="0" collapsed="false">
      <c r="A44" s="0" t="s">
        <v>67</v>
      </c>
      <c r="B44" s="1" t="n">
        <v>43904</v>
      </c>
      <c r="C44" s="6" t="n">
        <v>80</v>
      </c>
      <c r="D44" s="6" t="n">
        <v>0</v>
      </c>
      <c r="E44" s="6" t="n">
        <v>2</v>
      </c>
      <c r="F44" s="6" t="n">
        <v>0</v>
      </c>
      <c r="G44" s="6" t="n">
        <v>27</v>
      </c>
      <c r="H44" s="6" t="n">
        <v>51</v>
      </c>
      <c r="I44" s="6"/>
      <c r="J44" s="6" t="n">
        <v>0.8</v>
      </c>
      <c r="K44" s="9"/>
      <c r="L44" s="6"/>
      <c r="M44" s="6"/>
    </row>
    <row r="45" customFormat="false" ht="15.75" hidden="false" customHeight="false" outlineLevel="0" collapsed="false">
      <c r="A45" s="0" t="s">
        <v>67</v>
      </c>
      <c r="B45" s="1" t="n">
        <v>43905</v>
      </c>
      <c r="C45" s="6" t="n">
        <v>109</v>
      </c>
      <c r="D45" s="6" t="n">
        <v>29</v>
      </c>
      <c r="E45" s="6" t="n">
        <v>2</v>
      </c>
      <c r="F45" s="6" t="n">
        <v>0</v>
      </c>
      <c r="G45" s="6" t="n">
        <v>27</v>
      </c>
      <c r="H45" s="6" t="n">
        <v>80</v>
      </c>
      <c r="I45" s="6"/>
      <c r="J45" s="6" t="n">
        <v>1.1</v>
      </c>
      <c r="K45" s="9"/>
      <c r="L45" s="6"/>
      <c r="M45" s="6"/>
    </row>
    <row r="46" customFormat="false" ht="15.75" hidden="false" customHeight="false" outlineLevel="0" collapsed="false">
      <c r="A46" s="0" t="s">
        <v>67</v>
      </c>
      <c r="B46" s="1" t="n">
        <v>43906</v>
      </c>
      <c r="C46" s="6" t="n">
        <v>126</v>
      </c>
      <c r="D46" s="6" t="n">
        <v>17</v>
      </c>
      <c r="E46" s="6" t="n">
        <v>2</v>
      </c>
      <c r="F46" s="6" t="n">
        <v>0</v>
      </c>
      <c r="G46" s="6" t="n">
        <v>27</v>
      </c>
      <c r="H46" s="6" t="n">
        <v>97</v>
      </c>
      <c r="I46" s="6"/>
      <c r="J46" s="6" t="n">
        <v>1.2</v>
      </c>
      <c r="K46" s="9"/>
      <c r="L46" s="6"/>
      <c r="M46" s="6"/>
    </row>
    <row r="47" customFormat="false" ht="15.75" hidden="false" customHeight="false" outlineLevel="0" collapsed="false">
      <c r="A47" s="0" t="s">
        <v>67</v>
      </c>
      <c r="B47" s="1" t="n">
        <v>43907</v>
      </c>
      <c r="C47" s="6" t="n">
        <v>150</v>
      </c>
      <c r="D47" s="6" t="n">
        <v>24</v>
      </c>
      <c r="E47" s="6" t="n">
        <v>2</v>
      </c>
      <c r="F47" s="6" t="n">
        <v>0</v>
      </c>
      <c r="G47" s="6" t="n">
        <v>32</v>
      </c>
      <c r="H47" s="6" t="n">
        <v>116</v>
      </c>
      <c r="I47" s="6"/>
      <c r="J47" s="6" t="n">
        <v>1.5</v>
      </c>
      <c r="K47" s="9"/>
      <c r="L47" s="6"/>
      <c r="M47" s="6"/>
    </row>
    <row r="48" customFormat="false" ht="15.75" hidden="false" customHeight="false" outlineLevel="0" collapsed="false">
      <c r="A48" s="0" t="s">
        <v>67</v>
      </c>
      <c r="B48" s="1" t="n">
        <v>43908</v>
      </c>
      <c r="C48" s="6" t="n">
        <v>196</v>
      </c>
      <c r="D48" s="6" t="n">
        <v>46</v>
      </c>
      <c r="E48" s="6" t="n">
        <v>6</v>
      </c>
      <c r="F48" s="6" t="n">
        <v>4</v>
      </c>
      <c r="G48" s="6" t="n">
        <v>26</v>
      </c>
      <c r="H48" s="6" t="n">
        <v>164</v>
      </c>
      <c r="I48" s="6"/>
      <c r="J48" s="6" t="n">
        <v>1.9</v>
      </c>
      <c r="K48" s="9"/>
      <c r="L48" s="6"/>
      <c r="M48" s="6"/>
    </row>
    <row r="49" customFormat="false" ht="15.75" hidden="false" customHeight="false" outlineLevel="0" collapsed="false">
      <c r="A49" s="0" t="s">
        <v>67</v>
      </c>
      <c r="B49" s="1" t="n">
        <v>43909</v>
      </c>
      <c r="C49" s="6" t="n">
        <v>210</v>
      </c>
      <c r="D49" s="6" t="n">
        <v>14</v>
      </c>
      <c r="E49" s="6" t="n">
        <v>6</v>
      </c>
      <c r="F49" s="6" t="n">
        <v>0</v>
      </c>
      <c r="G49" s="6" t="n">
        <v>28</v>
      </c>
      <c r="H49" s="6" t="n">
        <v>176</v>
      </c>
      <c r="I49" s="6"/>
      <c r="J49" s="6" t="n">
        <v>2</v>
      </c>
      <c r="K49" s="9"/>
      <c r="L49" s="6"/>
      <c r="M49" s="6"/>
    </row>
    <row r="50" customFormat="false" ht="15.75" hidden="false" customHeight="false" outlineLevel="0" collapsed="false">
      <c r="A50" s="0" t="s">
        <v>67</v>
      </c>
      <c r="B50" s="1" t="n">
        <v>43910</v>
      </c>
      <c r="C50" s="6" t="n">
        <v>256</v>
      </c>
      <c r="D50" s="6" t="n">
        <v>46</v>
      </c>
      <c r="E50" s="6" t="n">
        <v>7</v>
      </c>
      <c r="F50" s="6" t="n">
        <v>1</v>
      </c>
      <c r="G50" s="6" t="n">
        <v>42</v>
      </c>
      <c r="H50" s="6" t="n">
        <v>207</v>
      </c>
      <c r="I50" s="6"/>
      <c r="J50" s="6" t="n">
        <v>3</v>
      </c>
      <c r="K50" s="9"/>
      <c r="L50" s="6"/>
      <c r="M50" s="6"/>
    </row>
    <row r="51" customFormat="false" ht="15.75" hidden="false" customHeight="false" outlineLevel="0" collapsed="false">
      <c r="A51" s="0" t="s">
        <v>67</v>
      </c>
      <c r="B51" s="1" t="n">
        <v>43911</v>
      </c>
      <c r="C51" s="6" t="n">
        <v>285</v>
      </c>
      <c r="D51" s="6" t="n">
        <v>29</v>
      </c>
      <c r="E51" s="6" t="n">
        <v>8</v>
      </c>
      <c r="F51" s="6" t="n">
        <v>1</v>
      </c>
      <c r="G51" s="6" t="n">
        <v>42</v>
      </c>
      <c r="H51" s="6" t="n">
        <v>235</v>
      </c>
      <c r="I51" s="6"/>
      <c r="J51" s="6" t="n">
        <v>3</v>
      </c>
      <c r="K51" s="9"/>
      <c r="L51" s="6"/>
      <c r="M51" s="6"/>
    </row>
    <row r="52" customFormat="false" ht="15.75" hidden="false" customHeight="false" outlineLevel="0" collapsed="false">
      <c r="A52" s="0" t="s">
        <v>67</v>
      </c>
      <c r="B52" s="1" t="n">
        <v>43912</v>
      </c>
      <c r="C52" s="6" t="n">
        <v>294</v>
      </c>
      <c r="D52" s="6" t="n">
        <v>9</v>
      </c>
      <c r="E52" s="6" t="n">
        <v>10</v>
      </c>
      <c r="F52" s="6" t="n">
        <v>2</v>
      </c>
      <c r="G52" s="6" t="n">
        <v>42</v>
      </c>
      <c r="H52" s="6" t="n">
        <v>242</v>
      </c>
      <c r="I52" s="6"/>
      <c r="J52" s="6" t="n">
        <v>3</v>
      </c>
      <c r="K52" s="9"/>
      <c r="L52" s="6"/>
      <c r="M52" s="6"/>
    </row>
    <row r="53" customFormat="false" ht="15.75" hidden="false" customHeight="false" outlineLevel="0" collapsed="false">
      <c r="A53" s="0" t="s">
        <v>67</v>
      </c>
      <c r="B53" s="1" t="n">
        <v>43913</v>
      </c>
      <c r="C53" s="6" t="n">
        <v>327</v>
      </c>
      <c r="D53" s="6" t="n">
        <v>33</v>
      </c>
      <c r="E53" s="6" t="n">
        <v>14</v>
      </c>
      <c r="F53" s="6" t="n">
        <v>4</v>
      </c>
      <c r="G53" s="6" t="n">
        <v>56</v>
      </c>
      <c r="H53" s="6" t="n">
        <v>257</v>
      </c>
      <c r="I53" s="6"/>
      <c r="J53" s="6" t="n">
        <v>3</v>
      </c>
      <c r="K53" s="9"/>
      <c r="L53" s="6"/>
      <c r="M53" s="6"/>
    </row>
    <row r="54" customFormat="false" ht="15.75" hidden="false" customHeight="false" outlineLevel="0" collapsed="false">
      <c r="A54" s="0" t="s">
        <v>67</v>
      </c>
      <c r="B54" s="1" t="n">
        <v>43914</v>
      </c>
      <c r="C54" s="6" t="n">
        <v>366</v>
      </c>
      <c r="D54" s="6" t="n">
        <v>39</v>
      </c>
      <c r="E54" s="6" t="n">
        <v>19</v>
      </c>
      <c r="F54" s="6" t="n">
        <v>5</v>
      </c>
      <c r="G54" s="6" t="n">
        <v>68</v>
      </c>
      <c r="H54" s="6" t="n">
        <v>279</v>
      </c>
      <c r="I54" s="6"/>
      <c r="J54" s="6" t="n">
        <v>4</v>
      </c>
      <c r="K54" s="9"/>
      <c r="L54" s="6"/>
      <c r="M54" s="6"/>
    </row>
    <row r="55" customFormat="false" ht="15.75" hidden="false" customHeight="false" outlineLevel="0" collapsed="false">
      <c r="A55" s="0" t="s">
        <v>67</v>
      </c>
      <c r="B55" s="1" t="n">
        <v>43915</v>
      </c>
      <c r="C55" s="7" t="n">
        <v>402</v>
      </c>
      <c r="D55" s="7" t="n">
        <v>36</v>
      </c>
      <c r="E55" s="7" t="n">
        <v>20</v>
      </c>
      <c r="F55" s="7" t="n">
        <v>1</v>
      </c>
      <c r="G55" s="7" t="n">
        <v>80</v>
      </c>
      <c r="H55" s="7" t="n">
        <v>302</v>
      </c>
      <c r="I55" s="7"/>
      <c r="J55" s="7" t="n">
        <v>4</v>
      </c>
      <c r="K55" s="9" t="n">
        <v>0.2</v>
      </c>
      <c r="L55" s="7"/>
      <c r="M55" s="7"/>
    </row>
    <row r="56" customFormat="false" ht="15.75" hidden="false" customHeight="false" outlineLevel="0" collapsed="false">
      <c r="A56" s="0" t="s">
        <v>67</v>
      </c>
      <c r="B56" s="1" t="n">
        <v>43916</v>
      </c>
      <c r="C56" s="7" t="n">
        <v>456</v>
      </c>
      <c r="D56" s="7" t="n">
        <v>54</v>
      </c>
      <c r="E56" s="7" t="n">
        <v>21</v>
      </c>
      <c r="F56" s="7" t="n">
        <v>1</v>
      </c>
      <c r="G56" s="7" t="n">
        <v>95</v>
      </c>
      <c r="H56" s="7" t="n">
        <v>340</v>
      </c>
      <c r="I56" s="7"/>
      <c r="J56" s="7" t="n">
        <v>4</v>
      </c>
      <c r="K56" s="9" t="n">
        <v>0.2</v>
      </c>
      <c r="L56" s="7"/>
      <c r="M56" s="7"/>
    </row>
    <row r="57" customFormat="false" ht="15.75" hidden="false" customHeight="false" outlineLevel="0" collapsed="false">
      <c r="A57" s="0" t="s">
        <v>67</v>
      </c>
      <c r="B57" s="1" t="n">
        <v>43917</v>
      </c>
      <c r="C57" s="7" t="n">
        <v>495</v>
      </c>
      <c r="D57" s="7" t="n">
        <v>39</v>
      </c>
      <c r="E57" s="7" t="n">
        <v>24</v>
      </c>
      <c r="F57" s="7" t="n">
        <v>3</v>
      </c>
      <c r="G57" s="7" t="n">
        <v>102</v>
      </c>
      <c r="H57" s="7" t="n">
        <v>369</v>
      </c>
      <c r="I57" s="7"/>
      <c r="J57" s="7" t="n">
        <v>5</v>
      </c>
      <c r="K57" s="9" t="n">
        <v>0.2</v>
      </c>
      <c r="L57" s="7"/>
      <c r="M57" s="7"/>
    </row>
    <row r="58" customFormat="false" ht="15.75" hidden="false" customHeight="false" outlineLevel="0" collapsed="false">
      <c r="A58" s="0" t="s">
        <v>67</v>
      </c>
      <c r="B58" s="1" t="n">
        <v>43918</v>
      </c>
      <c r="C58" s="7" t="n">
        <v>536</v>
      </c>
      <c r="D58" s="7" t="n">
        <v>41</v>
      </c>
      <c r="E58" s="7" t="n">
        <v>30</v>
      </c>
      <c r="F58" s="7" t="n">
        <v>6</v>
      </c>
      <c r="G58" s="7" t="n">
        <v>116</v>
      </c>
      <c r="H58" s="7" t="n">
        <v>390</v>
      </c>
      <c r="I58" s="7"/>
      <c r="J58" s="7" t="n">
        <v>5</v>
      </c>
      <c r="K58" s="9" t="n">
        <v>0.3</v>
      </c>
      <c r="M58" s="7"/>
    </row>
    <row r="59" customFormat="false" ht="15.75" hidden="false" customHeight="false" outlineLevel="0" collapsed="false">
      <c r="A59" s="0" t="s">
        <v>67</v>
      </c>
      <c r="B59" s="1" t="n">
        <v>43919</v>
      </c>
      <c r="C59" s="7" t="n">
        <v>576</v>
      </c>
      <c r="D59" s="7" t="n">
        <v>40</v>
      </c>
      <c r="E59" s="7" t="n">
        <v>36</v>
      </c>
      <c r="F59" s="7" t="n">
        <v>6</v>
      </c>
      <c r="G59" s="7" t="n">
        <v>121</v>
      </c>
      <c r="H59" s="7" t="n">
        <v>419</v>
      </c>
      <c r="I59" s="7"/>
      <c r="J59" s="7" t="n">
        <v>6</v>
      </c>
      <c r="K59" s="9" t="n">
        <v>0.4</v>
      </c>
      <c r="M59" s="7"/>
    </row>
    <row r="60" customFormat="false" ht="15.75" hidden="false" customHeight="false" outlineLevel="0" collapsed="false">
      <c r="A60" s="0" t="s">
        <v>67</v>
      </c>
      <c r="B60" s="1" t="n">
        <v>43920</v>
      </c>
      <c r="C60" s="7" t="n">
        <v>609</v>
      </c>
      <c r="D60" s="7" t="n">
        <v>33</v>
      </c>
      <c r="E60" s="7" t="n">
        <v>40</v>
      </c>
      <c r="F60" s="7" t="n">
        <v>4</v>
      </c>
      <c r="G60" s="7" t="n">
        <v>132</v>
      </c>
      <c r="H60" s="7" t="n">
        <v>437</v>
      </c>
      <c r="I60" s="7"/>
      <c r="J60" s="7" t="n">
        <v>6</v>
      </c>
      <c r="K60" s="9" t="n">
        <v>0.4</v>
      </c>
      <c r="M60" s="7"/>
    </row>
    <row r="61" customFormat="false" ht="15.75" hidden="false" customHeight="false" outlineLevel="0" collapsed="false">
      <c r="A61" s="0" t="s">
        <v>67</v>
      </c>
      <c r="B61" s="1" t="n">
        <v>43921</v>
      </c>
      <c r="C61" s="7" t="n">
        <v>656</v>
      </c>
      <c r="D61" s="7" t="n">
        <v>47</v>
      </c>
      <c r="E61" s="7" t="n">
        <v>41</v>
      </c>
      <c r="F61" s="7" t="n">
        <v>1</v>
      </c>
      <c r="G61" s="7" t="n">
        <v>150</v>
      </c>
      <c r="H61" s="7" t="n">
        <v>465</v>
      </c>
      <c r="I61" s="7"/>
      <c r="J61" s="7" t="n">
        <v>6</v>
      </c>
      <c r="K61" s="9" t="n">
        <v>0.4</v>
      </c>
      <c r="M61" s="7"/>
    </row>
    <row r="62" customFormat="false" ht="15.75" hidden="false" customHeight="false" outlineLevel="0" collapsed="false">
      <c r="A62" s="0" t="s">
        <v>67</v>
      </c>
      <c r="B62" s="1" t="n">
        <v>43922</v>
      </c>
      <c r="C62" s="7" t="n">
        <v>710</v>
      </c>
      <c r="D62" s="7" t="n">
        <v>54</v>
      </c>
      <c r="E62" s="7" t="n">
        <v>46</v>
      </c>
      <c r="F62" s="7" t="n">
        <v>5</v>
      </c>
      <c r="G62" s="7" t="n">
        <v>157</v>
      </c>
      <c r="H62" s="7" t="n">
        <v>507</v>
      </c>
      <c r="I62" s="7"/>
      <c r="J62" s="7" t="n">
        <v>7</v>
      </c>
      <c r="K62" s="9" t="n">
        <v>0.4</v>
      </c>
      <c r="M62" s="7"/>
    </row>
    <row r="63" customFormat="false" ht="15.75" hidden="false" customHeight="false" outlineLevel="0" collapsed="false">
      <c r="A63" s="0" t="s">
        <v>67</v>
      </c>
      <c r="B63" s="1" t="n">
        <v>43923</v>
      </c>
      <c r="C63" s="7" t="n">
        <v>779</v>
      </c>
      <c r="D63" s="7" t="n">
        <v>69</v>
      </c>
      <c r="E63" s="7" t="n">
        <v>52</v>
      </c>
      <c r="F63" s="7" t="n">
        <v>6</v>
      </c>
      <c r="G63" s="7" t="n">
        <v>179</v>
      </c>
      <c r="H63" s="7" t="n">
        <v>548</v>
      </c>
      <c r="I63" s="7"/>
      <c r="J63" s="7" t="n">
        <v>8</v>
      </c>
      <c r="K63" s="9" t="n">
        <v>0.5</v>
      </c>
      <c r="M63" s="7"/>
    </row>
    <row r="64" customFormat="false" ht="15.75" hidden="false" customHeight="false" outlineLevel="0" collapsed="false">
      <c r="A64" s="0" t="s">
        <v>67</v>
      </c>
      <c r="B64" s="1" t="n">
        <v>43924</v>
      </c>
      <c r="C64" s="7" t="n">
        <v>865</v>
      </c>
      <c r="D64" s="7" t="n">
        <v>86</v>
      </c>
      <c r="E64" s="7" t="n">
        <v>58</v>
      </c>
      <c r="F64" s="7" t="n">
        <v>6</v>
      </c>
      <c r="G64" s="7" t="n">
        <v>201</v>
      </c>
      <c r="H64" s="7" t="n">
        <v>606</v>
      </c>
      <c r="I64" s="7"/>
      <c r="J64" s="7" t="n">
        <v>8</v>
      </c>
      <c r="K64" s="9" t="n">
        <v>0.6</v>
      </c>
      <c r="M64" s="7"/>
    </row>
    <row r="65" customFormat="false" ht="15.75" hidden="false" customHeight="false" outlineLevel="0" collapsed="false">
      <c r="A65" s="0" t="s">
        <v>67</v>
      </c>
      <c r="B65" s="1" t="n">
        <v>43925</v>
      </c>
      <c r="C65" s="7" t="n">
        <v>985</v>
      </c>
      <c r="D65" s="7" t="n">
        <v>120</v>
      </c>
      <c r="E65" s="7" t="n">
        <v>66</v>
      </c>
      <c r="F65" s="7" t="n">
        <v>8</v>
      </c>
      <c r="G65" s="7" t="n">
        <v>216</v>
      </c>
      <c r="H65" s="7" t="n">
        <v>703</v>
      </c>
      <c r="I65" s="7"/>
      <c r="J65" s="7" t="n">
        <v>10</v>
      </c>
      <c r="K65" s="9" t="n">
        <v>0.6</v>
      </c>
      <c r="M65" s="7"/>
    </row>
    <row r="66" customFormat="false" ht="15.75" hidden="false" customHeight="false" outlineLevel="0" collapsed="false">
      <c r="A66" s="0" t="s">
        <v>67</v>
      </c>
      <c r="B66" s="1" t="n">
        <v>43926</v>
      </c>
      <c r="C66" s="7" t="n">
        <v>1070</v>
      </c>
      <c r="D66" s="7" t="n">
        <v>85</v>
      </c>
      <c r="E66" s="7" t="n">
        <v>71</v>
      </c>
      <c r="F66" s="7" t="n">
        <v>5</v>
      </c>
      <c r="G66" s="7" t="n">
        <v>241</v>
      </c>
      <c r="H66" s="7" t="n">
        <v>758</v>
      </c>
      <c r="I66" s="7"/>
      <c r="J66" s="7" t="n">
        <v>10</v>
      </c>
      <c r="K66" s="9" t="n">
        <v>0.7</v>
      </c>
      <c r="L66" s="7" t="n">
        <v>25000</v>
      </c>
      <c r="M66" s="7" t="n">
        <v>244</v>
      </c>
    </row>
    <row r="67" customFormat="false" ht="15.75" hidden="false" customHeight="false" outlineLevel="0" collapsed="false">
      <c r="A67" s="0" t="s">
        <v>67</v>
      </c>
      <c r="B67" s="1" t="n">
        <v>43927</v>
      </c>
      <c r="C67" s="7" t="n">
        <v>1173</v>
      </c>
      <c r="D67" s="7" t="n">
        <v>103</v>
      </c>
      <c r="E67" s="7" t="n">
        <v>78</v>
      </c>
      <c r="F67" s="7" t="n">
        <v>7</v>
      </c>
      <c r="G67" s="7" t="n">
        <v>247</v>
      </c>
      <c r="H67" s="7" t="n">
        <v>848</v>
      </c>
      <c r="I67" s="7"/>
      <c r="J67" s="7" t="n">
        <v>11</v>
      </c>
      <c r="K67" s="9" t="n">
        <v>0.8</v>
      </c>
      <c r="L67" s="7" t="n">
        <v>25000</v>
      </c>
      <c r="M67" s="7" t="n">
        <v>244</v>
      </c>
    </row>
    <row r="68" customFormat="false" ht="15.75" hidden="false" customHeight="false" outlineLevel="0" collapsed="false">
      <c r="A68" s="0" t="s">
        <v>67</v>
      </c>
      <c r="B68" s="1" t="n">
        <v>43928</v>
      </c>
      <c r="C68" s="12" t="n">
        <v>1322</v>
      </c>
      <c r="D68" s="12" t="n">
        <v>149</v>
      </c>
      <c r="E68" s="12" t="n">
        <v>85</v>
      </c>
      <c r="F68" s="12" t="n">
        <v>7</v>
      </c>
      <c r="G68" s="12" t="n">
        <v>259</v>
      </c>
      <c r="H68" s="12" t="n">
        <v>978</v>
      </c>
      <c r="J68" s="12" t="n">
        <v>13</v>
      </c>
      <c r="K68" s="13" t="n">
        <v>0.8</v>
      </c>
      <c r="L68" s="12" t="n">
        <v>25000</v>
      </c>
      <c r="M68" s="12" t="n">
        <v>244</v>
      </c>
    </row>
    <row r="69" customFormat="false" ht="15.75" hidden="false" customHeight="false" outlineLevel="0" collapsed="false">
      <c r="A69" s="0" t="s">
        <v>67</v>
      </c>
      <c r="B69" s="1" t="n">
        <v>43929</v>
      </c>
      <c r="C69" s="14" t="n">
        <v>1450</v>
      </c>
      <c r="D69" s="14" t="n">
        <v>128</v>
      </c>
      <c r="E69" s="14" t="n">
        <v>94</v>
      </c>
      <c r="F69" s="14" t="n">
        <v>9</v>
      </c>
      <c r="G69" s="14" t="n">
        <v>276</v>
      </c>
      <c r="H69" s="14" t="n">
        <v>1080</v>
      </c>
      <c r="J69" s="14" t="n">
        <v>14</v>
      </c>
      <c r="K69" s="28" t="n">
        <v>1</v>
      </c>
      <c r="L69" s="14" t="n">
        <v>25000</v>
      </c>
      <c r="M69" s="14" t="n">
        <v>244</v>
      </c>
    </row>
    <row r="70" customFormat="false" ht="15.75" hidden="false" customHeight="false" outlineLevel="0" collapsed="false">
      <c r="A70" s="0" t="s">
        <v>67</v>
      </c>
      <c r="B70" s="1" t="n">
        <v>43930</v>
      </c>
      <c r="C70" s="14" t="n">
        <v>1560</v>
      </c>
      <c r="D70" s="14" t="n">
        <v>110</v>
      </c>
      <c r="E70" s="14" t="n">
        <v>103</v>
      </c>
      <c r="F70" s="14" t="n">
        <v>9</v>
      </c>
      <c r="G70" s="14" t="n">
        <v>305</v>
      </c>
      <c r="H70" s="14" t="n">
        <v>1152</v>
      </c>
      <c r="J70" s="14" t="n">
        <v>15</v>
      </c>
      <c r="K70" s="28" t="n">
        <v>1</v>
      </c>
      <c r="L70" s="14" t="n">
        <v>25000</v>
      </c>
      <c r="M70" s="14" t="n">
        <v>244</v>
      </c>
    </row>
    <row r="71" customFormat="false" ht="15.75" hidden="false" customHeight="false" outlineLevel="0" collapsed="false">
      <c r="A71" s="0" t="s">
        <v>67</v>
      </c>
      <c r="B71" s="1" t="n">
        <v>43931</v>
      </c>
      <c r="C71" s="14" t="n">
        <v>1699</v>
      </c>
      <c r="D71" s="14" t="n">
        <v>139</v>
      </c>
      <c r="E71" s="14" t="n">
        <v>118</v>
      </c>
      <c r="F71" s="14" t="n">
        <v>15</v>
      </c>
      <c r="G71" s="14" t="n">
        <v>348</v>
      </c>
      <c r="H71" s="14" t="n">
        <v>1233</v>
      </c>
      <c r="J71" s="14" t="n">
        <v>17</v>
      </c>
      <c r="K71" s="28" t="n">
        <v>1</v>
      </c>
      <c r="L71" s="14" t="n">
        <v>25000</v>
      </c>
      <c r="M71" s="14" t="n">
        <v>244</v>
      </c>
    </row>
    <row r="72" customFormat="false" ht="15.75" hidden="false" customHeight="false" outlineLevel="0" collapsed="false">
      <c r="A72" s="0" t="s">
        <v>67</v>
      </c>
      <c r="B72" s="1" t="n">
        <v>43932</v>
      </c>
      <c r="C72" s="14" t="n">
        <v>1794</v>
      </c>
      <c r="D72" s="14" t="n">
        <v>95</v>
      </c>
      <c r="E72" s="14" t="n">
        <v>135</v>
      </c>
      <c r="F72" s="14" t="n">
        <v>17</v>
      </c>
      <c r="G72" s="14" t="n">
        <v>384</v>
      </c>
      <c r="H72" s="14" t="n">
        <v>1275</v>
      </c>
      <c r="J72" s="14" t="n">
        <v>18</v>
      </c>
      <c r="K72" s="28" t="n">
        <v>1</v>
      </c>
      <c r="L72" s="14" t="n">
        <v>25000</v>
      </c>
      <c r="M72" s="14" t="n">
        <v>244</v>
      </c>
    </row>
    <row r="73" customFormat="false" ht="15.75" hidden="false" customHeight="false" outlineLevel="0" collapsed="false">
      <c r="A73" s="0" t="s">
        <v>67</v>
      </c>
      <c r="B73" s="1" t="n">
        <v>43933</v>
      </c>
      <c r="C73" s="14" t="n">
        <v>1939</v>
      </c>
      <c r="D73" s="14" t="n">
        <v>145</v>
      </c>
      <c r="E73" s="14" t="n">
        <v>146</v>
      </c>
      <c r="F73" s="14" t="n">
        <v>11</v>
      </c>
      <c r="G73" s="14" t="n">
        <v>426</v>
      </c>
      <c r="H73" s="14" t="n">
        <v>1367</v>
      </c>
      <c r="J73" s="14" t="n">
        <v>19</v>
      </c>
      <c r="K73" s="28" t="n">
        <v>1</v>
      </c>
      <c r="L73" s="14" t="n">
        <v>25000</v>
      </c>
      <c r="M73" s="14" t="n">
        <v>244</v>
      </c>
    </row>
    <row r="74" customFormat="false" ht="15.75" hidden="false" customHeight="false" outlineLevel="0" collapsed="false">
      <c r="A74" s="0" t="s">
        <v>67</v>
      </c>
      <c r="B74" s="1" t="n">
        <v>43934</v>
      </c>
      <c r="C74" s="14" t="n">
        <v>2065</v>
      </c>
      <c r="D74" s="14" t="n">
        <v>126</v>
      </c>
      <c r="E74" s="14" t="n">
        <v>159</v>
      </c>
      <c r="F74" s="14" t="n">
        <v>13</v>
      </c>
      <c r="G74" s="14" t="n">
        <v>589</v>
      </c>
      <c r="H74" s="14" t="n">
        <v>1317</v>
      </c>
      <c r="J74" s="14" t="n">
        <v>20</v>
      </c>
      <c r="K74" s="28" t="n">
        <v>2</v>
      </c>
      <c r="L74" s="14" t="n">
        <v>25000</v>
      </c>
      <c r="M74" s="14" t="n">
        <v>244</v>
      </c>
    </row>
    <row r="75" customFormat="false" ht="15.75" hidden="false" customHeight="false" outlineLevel="0" collapsed="false">
      <c r="A75" s="0" t="s">
        <v>67</v>
      </c>
      <c r="B75" s="1" t="n">
        <v>43935</v>
      </c>
      <c r="C75" s="14" t="n">
        <v>2190</v>
      </c>
      <c r="D75" s="14" t="n">
        <v>125</v>
      </c>
      <c r="E75" s="14" t="n">
        <v>164</v>
      </c>
      <c r="F75" s="14" t="n">
        <v>5</v>
      </c>
      <c r="G75" s="14" t="n">
        <v>589</v>
      </c>
      <c r="H75" s="14" t="n">
        <v>1437</v>
      </c>
      <c r="J75" s="14" t="n">
        <v>21</v>
      </c>
      <c r="K75" s="28" t="n">
        <v>2</v>
      </c>
      <c r="L75" s="14" t="n">
        <v>25000</v>
      </c>
      <c r="M75" s="14" t="n">
        <v>244</v>
      </c>
    </row>
    <row r="76" customFormat="false" ht="15.75" hidden="false" customHeight="false" outlineLevel="0" collapsed="false">
      <c r="A76" s="0" t="s">
        <v>67</v>
      </c>
      <c r="B76" s="1" t="n">
        <v>43936</v>
      </c>
      <c r="C76" s="14" t="n">
        <v>2350</v>
      </c>
      <c r="D76" s="14" t="n">
        <v>160</v>
      </c>
      <c r="E76" s="14" t="n">
        <v>178</v>
      </c>
      <c r="F76" s="14" t="n">
        <v>14</v>
      </c>
      <c r="G76" s="14" t="n">
        <v>589</v>
      </c>
      <c r="H76" s="14" t="n">
        <v>1583</v>
      </c>
      <c r="J76" s="14" t="n">
        <v>23</v>
      </c>
      <c r="K76" s="28" t="n">
        <v>2</v>
      </c>
      <c r="L76" s="14" t="n">
        <v>25000</v>
      </c>
      <c r="M76" s="14" t="n">
        <v>244</v>
      </c>
    </row>
    <row r="77" customFormat="false" ht="15.75" hidden="false" customHeight="false" outlineLevel="0" collapsed="false">
      <c r="A77" s="0" t="s">
        <v>67</v>
      </c>
      <c r="B77" s="1" t="n">
        <v>43937</v>
      </c>
      <c r="C77" s="14" t="n">
        <v>2505</v>
      </c>
      <c r="D77" s="14" t="n">
        <v>155</v>
      </c>
      <c r="E77" s="14" t="n">
        <v>183</v>
      </c>
      <c r="F77" s="14" t="n">
        <v>5</v>
      </c>
      <c r="G77" s="14" t="n">
        <v>589</v>
      </c>
      <c r="H77" s="14" t="n">
        <v>1733</v>
      </c>
      <c r="I77" s="2" t="n">
        <v>0</v>
      </c>
      <c r="J77" s="14" t="n">
        <v>24</v>
      </c>
      <c r="K77" s="28" t="n">
        <v>2</v>
      </c>
      <c r="L77" s="14" t="n">
        <v>25000</v>
      </c>
      <c r="M77" s="14" t="n">
        <v>244</v>
      </c>
    </row>
    <row r="78" customFormat="false" ht="15.75" hidden="false" customHeight="false" outlineLevel="0" collapsed="false">
      <c r="A78" s="0" t="s">
        <v>67</v>
      </c>
      <c r="B78" s="1" t="n">
        <v>43938</v>
      </c>
      <c r="C78" s="14" t="n">
        <v>2673</v>
      </c>
      <c r="D78" s="14" t="n">
        <v>168</v>
      </c>
      <c r="E78" s="14" t="n">
        <v>196</v>
      </c>
      <c r="F78" s="14" t="n">
        <v>13</v>
      </c>
      <c r="G78" s="14" t="n">
        <v>596</v>
      </c>
      <c r="H78" s="14" t="n">
        <v>1881</v>
      </c>
      <c r="I78" s="2" t="n">
        <v>0</v>
      </c>
      <c r="J78" s="14" t="n">
        <v>26</v>
      </c>
      <c r="K78" s="28" t="n">
        <v>2</v>
      </c>
      <c r="L78" s="14" t="n">
        <v>25000</v>
      </c>
      <c r="M78" s="14" t="n">
        <v>244</v>
      </c>
    </row>
    <row r="79" customFormat="false" ht="15.75" hidden="false" customHeight="false" outlineLevel="0" collapsed="false">
      <c r="A79" s="0" t="s">
        <v>67</v>
      </c>
      <c r="B79" s="1" t="n">
        <v>43939</v>
      </c>
      <c r="C79" s="14" t="n">
        <v>2844</v>
      </c>
      <c r="D79" s="14" t="n">
        <v>171</v>
      </c>
      <c r="E79" s="14" t="n">
        <v>205</v>
      </c>
      <c r="F79" s="14" t="n">
        <v>9</v>
      </c>
      <c r="G79" s="14" t="n">
        <v>646</v>
      </c>
      <c r="H79" s="14" t="n">
        <v>1993</v>
      </c>
      <c r="I79" s="2" t="n">
        <v>0</v>
      </c>
      <c r="J79" s="14" t="n">
        <v>28</v>
      </c>
      <c r="K79" s="28" t="n">
        <v>2</v>
      </c>
      <c r="L79" s="14" t="n">
        <v>25000</v>
      </c>
      <c r="M79" s="14" t="n">
        <v>244</v>
      </c>
    </row>
    <row r="80" customFormat="false" ht="15.75" hidden="false" customHeight="false" outlineLevel="0" collapsed="false">
      <c r="A80" s="0" t="s">
        <v>67</v>
      </c>
      <c r="B80" s="1" t="n">
        <v>43940</v>
      </c>
      <c r="C80" s="14" t="n">
        <v>3032</v>
      </c>
      <c r="D80" s="14" t="n">
        <v>188</v>
      </c>
      <c r="E80" s="14" t="n">
        <v>224</v>
      </c>
      <c r="F80" s="14" t="n">
        <v>19</v>
      </c>
      <c r="G80" s="14" t="n">
        <v>701</v>
      </c>
      <c r="H80" s="14" t="n">
        <v>2107</v>
      </c>
      <c r="I80" s="2" t="n">
        <v>0</v>
      </c>
      <c r="J80" s="14" t="n">
        <v>30</v>
      </c>
      <c r="K80" s="28" t="n">
        <v>2</v>
      </c>
      <c r="L80" s="14" t="n">
        <v>55000</v>
      </c>
      <c r="M80" s="14" t="n">
        <v>537</v>
      </c>
    </row>
    <row r="81" customFormat="false" ht="15.75" hidden="false" customHeight="false" outlineLevel="0" collapsed="false">
      <c r="A81" s="0" t="s">
        <v>67</v>
      </c>
      <c r="B81" s="1" t="n">
        <v>43941</v>
      </c>
      <c r="C81" s="14" t="n">
        <v>3144</v>
      </c>
      <c r="D81" s="14" t="n">
        <v>112</v>
      </c>
      <c r="E81" s="14" t="n">
        <v>239</v>
      </c>
      <c r="F81" s="14" t="n">
        <v>15</v>
      </c>
      <c r="G81" s="14" t="n">
        <v>732</v>
      </c>
      <c r="H81" s="14" t="n">
        <v>2173</v>
      </c>
      <c r="I81" s="14" t="n">
        <v>0</v>
      </c>
      <c r="J81" s="14" t="n">
        <v>31</v>
      </c>
      <c r="K81" s="28" t="n">
        <v>2</v>
      </c>
      <c r="L81" s="14" t="n">
        <v>55000</v>
      </c>
      <c r="M81" s="14" t="n">
        <v>537</v>
      </c>
    </row>
    <row r="82" customFormat="false" ht="15.75" hidden="false" customHeight="false" outlineLevel="0" collapsed="false">
      <c r="A82" s="0" t="s">
        <v>67</v>
      </c>
      <c r="B82" s="1" t="n">
        <v>43942</v>
      </c>
      <c r="C82" s="6" t="n">
        <v>3333</v>
      </c>
      <c r="D82" s="6" t="n">
        <v>189</v>
      </c>
      <c r="E82" s="6" t="n">
        <v>250</v>
      </c>
      <c r="F82" s="6" t="n">
        <v>11</v>
      </c>
      <c r="G82" s="6" t="n">
        <v>821</v>
      </c>
      <c r="H82" s="6" t="n">
        <v>2262</v>
      </c>
      <c r="I82" s="6" t="n">
        <v>0</v>
      </c>
      <c r="J82" s="6" t="n">
        <v>33</v>
      </c>
      <c r="K82" s="11" t="n">
        <v>2</v>
      </c>
      <c r="L82" s="6" t="n">
        <v>55000</v>
      </c>
      <c r="M82" s="6" t="n">
        <v>537</v>
      </c>
    </row>
    <row r="83" customFormat="false" ht="15.75" hidden="false" customHeight="false" outlineLevel="0" collapsed="false">
      <c r="A83" s="0" t="s">
        <v>67</v>
      </c>
      <c r="B83" s="1" t="n">
        <v>43943</v>
      </c>
      <c r="C83" s="6" t="n">
        <v>3490</v>
      </c>
      <c r="D83" s="6" t="n">
        <v>157</v>
      </c>
      <c r="E83" s="6" t="n">
        <v>264</v>
      </c>
      <c r="F83" s="6" t="n">
        <v>14</v>
      </c>
      <c r="G83" s="6" t="n">
        <v>870</v>
      </c>
      <c r="H83" s="6" t="n">
        <v>2356</v>
      </c>
      <c r="I83" s="6" t="n">
        <v>0</v>
      </c>
      <c r="J83" s="6" t="n">
        <v>34</v>
      </c>
      <c r="K83" s="11" t="n">
        <v>3</v>
      </c>
      <c r="L83" s="6" t="n">
        <v>55000</v>
      </c>
      <c r="M83" s="6" t="n">
        <v>537</v>
      </c>
    </row>
    <row r="84" customFormat="false" ht="15.75" hidden="false" customHeight="false" outlineLevel="0" collapsed="false">
      <c r="A84" s="0" t="s">
        <v>67</v>
      </c>
      <c r="B84" s="1" t="n">
        <v>43944</v>
      </c>
      <c r="C84" s="6" t="n">
        <v>3659</v>
      </c>
      <c r="D84" s="6" t="n">
        <v>169</v>
      </c>
      <c r="E84" s="6" t="n">
        <v>276</v>
      </c>
      <c r="F84" s="6" t="n">
        <v>12</v>
      </c>
      <c r="G84" s="6" t="n">
        <v>935</v>
      </c>
      <c r="H84" s="6" t="n">
        <v>2448</v>
      </c>
      <c r="I84" s="6" t="n">
        <v>0</v>
      </c>
      <c r="J84" s="6" t="n">
        <v>36</v>
      </c>
      <c r="K84" s="11" t="n">
        <v>3</v>
      </c>
      <c r="L84" s="6" t="n">
        <v>55000</v>
      </c>
      <c r="M84" s="6" t="n">
        <v>537</v>
      </c>
    </row>
    <row r="85" customFormat="false" ht="15.75" hidden="false" customHeight="false" outlineLevel="0" collapsed="false">
      <c r="A85" s="0" t="s">
        <v>67</v>
      </c>
      <c r="B85" s="1" t="n">
        <v>43945</v>
      </c>
      <c r="C85" s="6" t="n">
        <v>3891</v>
      </c>
      <c r="D85" s="6" t="n">
        <v>232</v>
      </c>
      <c r="E85" s="6" t="n">
        <v>287</v>
      </c>
      <c r="F85" s="6" t="n">
        <v>11</v>
      </c>
      <c r="G85" s="6" t="n">
        <v>1004</v>
      </c>
      <c r="H85" s="6" t="n">
        <v>2600</v>
      </c>
      <c r="I85" s="6" t="n">
        <v>0</v>
      </c>
      <c r="J85" s="6" t="n">
        <v>38</v>
      </c>
      <c r="K85" s="11" t="n">
        <v>3</v>
      </c>
      <c r="L85" s="6" t="n">
        <v>90000</v>
      </c>
      <c r="M85" s="6" t="n">
        <v>879</v>
      </c>
    </row>
    <row r="86" customFormat="false" ht="15.75" hidden="false" customHeight="false" outlineLevel="0" collapsed="false">
      <c r="A86" s="0" t="s">
        <v>67</v>
      </c>
      <c r="B86" s="1" t="n">
        <v>43946</v>
      </c>
      <c r="C86" s="6" t="n">
        <v>4092</v>
      </c>
      <c r="D86" s="6" t="n">
        <v>201</v>
      </c>
      <c r="E86" s="6" t="n">
        <v>294</v>
      </c>
      <c r="F86" s="6" t="n">
        <v>7</v>
      </c>
      <c r="G86" s="6" t="n">
        <v>1075</v>
      </c>
      <c r="H86" s="6" t="n">
        <v>2723</v>
      </c>
      <c r="I86" s="6" t="n">
        <v>0</v>
      </c>
      <c r="J86" s="6" t="n">
        <v>40</v>
      </c>
      <c r="K86" s="11" t="n">
        <v>3</v>
      </c>
      <c r="L86" s="6" t="n">
        <v>90000</v>
      </c>
      <c r="M86" s="6" t="n">
        <v>879</v>
      </c>
    </row>
    <row r="87" customFormat="false" ht="15.75" hidden="false" customHeight="false" outlineLevel="0" collapsed="false">
      <c r="A87" s="0" t="s">
        <v>67</v>
      </c>
      <c r="B87" s="1" t="n">
        <v>43947</v>
      </c>
      <c r="C87" s="6" t="n">
        <v>4319</v>
      </c>
      <c r="D87" s="6" t="n">
        <v>227</v>
      </c>
      <c r="E87" s="6" t="n">
        <v>307</v>
      </c>
      <c r="F87" s="6" t="n">
        <v>13</v>
      </c>
      <c r="G87" s="6" t="n">
        <v>1114</v>
      </c>
      <c r="H87" s="6" t="n">
        <v>2898</v>
      </c>
      <c r="I87" s="6" t="n">
        <v>0</v>
      </c>
      <c r="J87" s="6" t="n">
        <v>42</v>
      </c>
      <c r="K87" s="11" t="n">
        <v>3</v>
      </c>
      <c r="L87" s="6" t="n">
        <v>90000</v>
      </c>
      <c r="M87" s="6" t="n">
        <v>879</v>
      </c>
    </row>
    <row r="88" customFormat="false" ht="15.75" hidden="false" customHeight="false" outlineLevel="0" collapsed="false">
      <c r="A88" s="0" t="s">
        <v>67</v>
      </c>
      <c r="B88" s="1" t="n">
        <v>43948</v>
      </c>
      <c r="C88" s="6" t="n">
        <v>4534</v>
      </c>
      <c r="D88" s="6" t="n">
        <v>215</v>
      </c>
      <c r="E88" s="6" t="n">
        <v>317</v>
      </c>
      <c r="F88" s="6" t="n">
        <v>10</v>
      </c>
      <c r="G88" s="6" t="n">
        <v>1176</v>
      </c>
      <c r="H88" s="6" t="n">
        <v>3041</v>
      </c>
      <c r="I88" s="6" t="n">
        <v>0</v>
      </c>
      <c r="J88" s="6" t="n">
        <v>44</v>
      </c>
      <c r="K88" s="11" t="n">
        <v>3</v>
      </c>
      <c r="L88" s="6" t="n">
        <v>90000</v>
      </c>
      <c r="M88" s="6" t="n">
        <v>879</v>
      </c>
    </row>
    <row r="89" customFormat="false" ht="13.5" hidden="false" customHeight="false" outlineLevel="0" collapsed="false">
      <c r="A89" s="0" t="s">
        <v>67</v>
      </c>
      <c r="B89" s="1" t="n">
        <v>43949</v>
      </c>
      <c r="C89" s="2" t="n">
        <v>4782</v>
      </c>
      <c r="D89" s="2" t="n">
        <v>248</v>
      </c>
      <c r="E89" s="2" t="n">
        <v>337</v>
      </c>
      <c r="F89" s="2" t="n">
        <v>20</v>
      </c>
      <c r="G89" s="2" t="n">
        <v>1236</v>
      </c>
      <c r="H89" s="2" t="n">
        <v>3209</v>
      </c>
      <c r="I89" s="2" t="n">
        <v>0</v>
      </c>
      <c r="J89" s="2" t="n">
        <v>47</v>
      </c>
      <c r="K89" s="2" t="n">
        <v>3</v>
      </c>
      <c r="L89" s="2" t="n">
        <v>90000</v>
      </c>
      <c r="M89" s="2" t="n">
        <v>879</v>
      </c>
    </row>
    <row r="90" customFormat="false" ht="13.5" hidden="false" customHeight="false" outlineLevel="0" collapsed="false">
      <c r="A90" s="0" t="s">
        <v>67</v>
      </c>
      <c r="B90" s="1" t="n">
        <v>43950</v>
      </c>
      <c r="C90" s="2" t="n">
        <v>5042</v>
      </c>
      <c r="D90" s="2" t="n">
        <v>260</v>
      </c>
      <c r="E90" s="2" t="n">
        <v>359</v>
      </c>
      <c r="F90" s="2" t="n">
        <v>22</v>
      </c>
      <c r="G90" s="2" t="n">
        <v>1304</v>
      </c>
      <c r="H90" s="2" t="n">
        <v>3379</v>
      </c>
      <c r="I90" s="2" t="n">
        <v>0</v>
      </c>
      <c r="J90" s="2" t="n">
        <v>49</v>
      </c>
      <c r="K90" s="2" t="n">
        <v>4</v>
      </c>
      <c r="L90" s="2" t="n">
        <v>90000</v>
      </c>
      <c r="M90" s="2" t="n">
        <v>879</v>
      </c>
    </row>
    <row r="91" customFormat="false" ht="13.5" hidden="false" customHeight="false" outlineLevel="0" collapsed="false">
      <c r="A91" s="0" t="s">
        <v>67</v>
      </c>
      <c r="B91" s="1" t="n">
        <v>43951</v>
      </c>
      <c r="C91" s="2" t="n">
        <v>5268</v>
      </c>
      <c r="D91" s="2" t="n">
        <v>226</v>
      </c>
      <c r="E91" s="2" t="n">
        <v>380</v>
      </c>
      <c r="F91" s="2" t="n">
        <v>21</v>
      </c>
      <c r="G91" s="2" t="n">
        <v>1335</v>
      </c>
      <c r="H91" s="2" t="n">
        <v>3553</v>
      </c>
      <c r="I91" s="2" t="n">
        <v>0</v>
      </c>
      <c r="J91" s="2" t="n">
        <v>51</v>
      </c>
      <c r="K91" s="2" t="n">
        <v>4</v>
      </c>
      <c r="L91" s="2" t="n">
        <v>90000</v>
      </c>
      <c r="M91" s="2" t="n">
        <v>879</v>
      </c>
    </row>
    <row r="92" customFormat="false" ht="14.25" hidden="false" customHeight="false" outlineLevel="0" collapsed="false">
      <c r="A92" s="0" t="s">
        <v>67</v>
      </c>
      <c r="B92" s="1" t="n">
        <v>43952</v>
      </c>
      <c r="C92" s="2" t="n">
        <v>5537</v>
      </c>
      <c r="D92" s="2" t="n">
        <v>269</v>
      </c>
      <c r="E92" s="2" t="n">
        <v>392</v>
      </c>
      <c r="F92" s="2" t="n">
        <v>12</v>
      </c>
      <c r="G92" s="2" t="n">
        <v>1381</v>
      </c>
      <c r="H92" s="2" t="n">
        <v>3764</v>
      </c>
      <c r="I92" s="2" t="n">
        <v>0</v>
      </c>
      <c r="J92" s="2" t="n">
        <v>54</v>
      </c>
      <c r="K92" s="2" t="n">
        <v>4</v>
      </c>
      <c r="L92" s="2" t="n">
        <v>90000</v>
      </c>
      <c r="M92" s="2" t="n">
        <v>879</v>
      </c>
    </row>
    <row r="93" customFormat="false" ht="15.75" hidden="false" customHeight="false" outlineLevel="0" collapsed="false">
      <c r="A93" s="0" t="s">
        <v>67</v>
      </c>
      <c r="B93" s="1" t="n">
        <v>43953</v>
      </c>
      <c r="C93" s="6" t="e">
        <f aca="false">sheet1!apb94</f>
        <v>#NAME?</v>
      </c>
      <c r="D93" s="6" t="e">
        <f aca="false">sheet1!apc94</f>
        <v>#NAME?</v>
      </c>
      <c r="E93" s="6" t="e">
        <f aca="false">sheet1!apd94</f>
        <v>#NAME?</v>
      </c>
      <c r="F93" s="6" t="e">
        <f aca="false">sheet1!ape94</f>
        <v>#NAME?</v>
      </c>
      <c r="G93" s="6" t="e">
        <f aca="false">sheet1!apf94</f>
        <v>#NAME?</v>
      </c>
      <c r="H93" s="6" t="e">
        <f aca="false">sheet1!apg94</f>
        <v>#NAME?</v>
      </c>
      <c r="I93" s="6" t="e">
        <f aca="false">sheet1!aph94</f>
        <v>#NAME?</v>
      </c>
      <c r="J93" s="6" t="e">
        <f aca="false">sheet1!api94</f>
        <v>#NAME?</v>
      </c>
      <c r="K93" s="6" t="e">
        <f aca="false">sheet1!apj94</f>
        <v>#NAME?</v>
      </c>
      <c r="L93" s="6" t="e">
        <f aca="false">sheet1!apk94</f>
        <v>#NAME?</v>
      </c>
      <c r="M93" s="6" t="e">
        <f aca="false">sheet1!apl94</f>
        <v>#NAME?</v>
      </c>
    </row>
    <row r="94" customFormat="false" ht="15.75" hidden="false" customHeight="false" outlineLevel="0" collapsed="false">
      <c r="A94" s="0" t="s">
        <v>67</v>
      </c>
      <c r="B94" s="1" t="n">
        <v>43954</v>
      </c>
      <c r="C94" s="6" t="e">
        <f aca="false">sheet1!apb95</f>
        <v>#NAME?</v>
      </c>
      <c r="D94" s="6" t="e">
        <f aca="false">sheet1!apc95</f>
        <v>#NAME?</v>
      </c>
      <c r="E94" s="6" t="e">
        <f aca="false">sheet1!apd95</f>
        <v>#NAME?</v>
      </c>
      <c r="F94" s="6" t="e">
        <f aca="false">sheet1!ape95</f>
        <v>#NAME?</v>
      </c>
      <c r="G94" s="6" t="e">
        <f aca="false">sheet1!apf95</f>
        <v>#NAME?</v>
      </c>
      <c r="H94" s="6" t="e">
        <f aca="false">sheet1!apg95</f>
        <v>#NAME?</v>
      </c>
      <c r="I94" s="6" t="e">
        <f aca="false">sheet1!aph95</f>
        <v>#NAME?</v>
      </c>
      <c r="J94" s="6" t="e">
        <f aca="false">sheet1!api95</f>
        <v>#NAME?</v>
      </c>
      <c r="K94" s="6" t="e">
        <f aca="false">sheet1!apj95</f>
        <v>#NAME?</v>
      </c>
      <c r="L94" s="6" t="e">
        <f aca="false">sheet1!apk95</f>
        <v>#NAME?</v>
      </c>
      <c r="M94" s="6" t="e">
        <f aca="false">sheet1!apl95</f>
        <v>#NAME?</v>
      </c>
    </row>
    <row r="95" customFormat="false" ht="15.75" hidden="false" customHeight="false" outlineLevel="0" collapsed="false">
      <c r="A95" s="0" t="s">
        <v>67</v>
      </c>
      <c r="B95" s="1" t="n">
        <v>43955</v>
      </c>
      <c r="C95" s="6" t="e">
        <f aca="false">sheet1!apb96</f>
        <v>#NAME?</v>
      </c>
      <c r="D95" s="6" t="e">
        <f aca="false">sheet1!apc96</f>
        <v>#NAME?</v>
      </c>
      <c r="E95" s="6" t="e">
        <f aca="false">sheet1!apd96</f>
        <v>#NAME?</v>
      </c>
      <c r="F95" s="6" t="e">
        <f aca="false">sheet1!ape96</f>
        <v>#NAME?</v>
      </c>
      <c r="G95" s="6" t="e">
        <f aca="false">sheet1!apf96</f>
        <v>#NAME?</v>
      </c>
      <c r="H95" s="6" t="e">
        <f aca="false">sheet1!apg96</f>
        <v>#NAME?</v>
      </c>
      <c r="I95" s="6" t="e">
        <f aca="false">sheet1!aph96</f>
        <v>#NAME?</v>
      </c>
      <c r="J95" s="6" t="e">
        <f aca="false">sheet1!api96</f>
        <v>#NAME?</v>
      </c>
      <c r="K95" s="6" t="e">
        <f aca="false">sheet1!apj96</f>
        <v>#NAME?</v>
      </c>
      <c r="L95" s="6" t="e">
        <f aca="false">sheet1!apk96</f>
        <v>#NAME?</v>
      </c>
      <c r="M95" s="6" t="e">
        <f aca="false">sheet1!apl96</f>
        <v>#NAME?</v>
      </c>
    </row>
    <row r="96" customFormat="false" ht="15.75" hidden="false" customHeight="false" outlineLevel="0" collapsed="false">
      <c r="A96" s="0" t="s">
        <v>67</v>
      </c>
      <c r="B96" s="1" t="n">
        <v>43956</v>
      </c>
      <c r="C96" s="6" t="e">
        <f aca="false">sheet1!apb97</f>
        <v>#NAME?</v>
      </c>
      <c r="D96" s="6" t="e">
        <f aca="false">sheet1!apc97</f>
        <v>#NAME?</v>
      </c>
      <c r="E96" s="6" t="e">
        <f aca="false">sheet1!apd97</f>
        <v>#NAME?</v>
      </c>
      <c r="F96" s="6" t="e">
        <f aca="false">sheet1!ape97</f>
        <v>#NAME?</v>
      </c>
      <c r="G96" s="6" t="e">
        <f aca="false">sheet1!apf97</f>
        <v>#NAME?</v>
      </c>
      <c r="H96" s="6" t="e">
        <f aca="false">sheet1!apg97</f>
        <v>#NAME?</v>
      </c>
      <c r="I96" s="6" t="e">
        <f aca="false">sheet1!aph97</f>
        <v>#NAME?</v>
      </c>
      <c r="J96" s="6" t="e">
        <f aca="false">sheet1!api97</f>
        <v>#NAME?</v>
      </c>
      <c r="K96" s="6" t="e">
        <f aca="false">sheet1!apj97</f>
        <v>#NAME?</v>
      </c>
      <c r="L96" s="6" t="e">
        <f aca="false">sheet1!apk97</f>
        <v>#NAME?</v>
      </c>
      <c r="M96" s="6" t="e">
        <f aca="false">sheet1!apl97</f>
        <v>#NAME?</v>
      </c>
    </row>
    <row r="97" customFormat="false" ht="15.75" hidden="false" customHeight="false" outlineLevel="0" collapsed="false">
      <c r="A97" s="0" t="s">
        <v>67</v>
      </c>
      <c r="B97" s="1" t="n">
        <v>43957</v>
      </c>
      <c r="C97" s="6" t="e">
        <f aca="false">sheet1!apb98</f>
        <v>#NAME?</v>
      </c>
      <c r="D97" s="6" t="e">
        <f aca="false">sheet1!apc98</f>
        <v>#NAME?</v>
      </c>
      <c r="E97" s="6" t="e">
        <f aca="false">sheet1!apd98</f>
        <v>#NAME?</v>
      </c>
      <c r="F97" s="6" t="e">
        <f aca="false">sheet1!ape98</f>
        <v>#NAME?</v>
      </c>
      <c r="G97" s="6" t="e">
        <f aca="false">sheet1!apf98</f>
        <v>#NAME?</v>
      </c>
      <c r="H97" s="6" t="e">
        <f aca="false">sheet1!apg98</f>
        <v>#NAME?</v>
      </c>
      <c r="I97" s="6" t="e">
        <f aca="false">sheet1!aph98</f>
        <v>#NAME?</v>
      </c>
      <c r="J97" s="6" t="e">
        <f aca="false">sheet1!api98</f>
        <v>#NAME?</v>
      </c>
      <c r="K97" s="6" t="e">
        <f aca="false">sheet1!apj98</f>
        <v>#NAME?</v>
      </c>
      <c r="L97" s="6" t="e">
        <f aca="false">sheet1!apk98</f>
        <v>#NAME?</v>
      </c>
      <c r="M97" s="6" t="e">
        <f aca="false">sheet1!apl98</f>
        <v>#NAME?</v>
      </c>
    </row>
    <row r="98" customFormat="false" ht="15.75" hidden="false" customHeight="false" outlineLevel="0" collapsed="false">
      <c r="A98" s="0" t="s">
        <v>67</v>
      </c>
      <c r="B98" s="1" t="n">
        <v>43958</v>
      </c>
      <c r="C98" s="6" t="e">
        <f aca="false">sheet1!apb99</f>
        <v>#NAME?</v>
      </c>
      <c r="D98" s="6" t="e">
        <f aca="false">sheet1!apc99</f>
        <v>#NAME?</v>
      </c>
      <c r="E98" s="6" t="e">
        <f aca="false">sheet1!apd99</f>
        <v>#NAME?</v>
      </c>
      <c r="F98" s="6" t="e">
        <f aca="false">sheet1!ape99</f>
        <v>#NAME?</v>
      </c>
      <c r="G98" s="6" t="e">
        <f aca="false">sheet1!apf99</f>
        <v>#NAME?</v>
      </c>
      <c r="H98" s="6" t="e">
        <f aca="false">sheet1!apg99</f>
        <v>#NAME?</v>
      </c>
      <c r="I98" s="6" t="e">
        <f aca="false">sheet1!aph99</f>
        <v>#NAME?</v>
      </c>
      <c r="J98" s="6" t="e">
        <f aca="false">sheet1!api99</f>
        <v>#NAME?</v>
      </c>
      <c r="K98" s="6" t="e">
        <f aca="false">sheet1!apj99</f>
        <v>#NAME?</v>
      </c>
      <c r="L98" s="6" t="e">
        <f aca="false">sheet1!apk99</f>
        <v>#NAME?</v>
      </c>
      <c r="M98" s="6" t="e">
        <f aca="false">sheet1!apl99</f>
        <v>#NAME?</v>
      </c>
    </row>
    <row r="99" customFormat="false" ht="15.75" hidden="false" customHeight="false" outlineLevel="0" collapsed="false">
      <c r="A99" s="0" t="s">
        <v>67</v>
      </c>
      <c r="B99" s="1" t="n">
        <v>43959</v>
      </c>
      <c r="C99" s="6" t="e">
        <f aca="false">sheet1!apb100</f>
        <v>#NAME?</v>
      </c>
      <c r="D99" s="6" t="e">
        <f aca="false">sheet1!apc100</f>
        <v>#NAME?</v>
      </c>
      <c r="E99" s="6" t="e">
        <f aca="false">sheet1!apd100</f>
        <v>#NAME?</v>
      </c>
      <c r="F99" s="6" t="e">
        <f aca="false">sheet1!ape100</f>
        <v>#NAME?</v>
      </c>
      <c r="G99" s="6" t="e">
        <f aca="false">sheet1!apf100</f>
        <v>#NAME?</v>
      </c>
      <c r="H99" s="6" t="e">
        <f aca="false">sheet1!apg100</f>
        <v>#NAME?</v>
      </c>
      <c r="I99" s="6" t="e">
        <f aca="false">sheet1!aph100</f>
        <v>#NAME?</v>
      </c>
      <c r="J99" s="6" t="e">
        <f aca="false">sheet1!api100</f>
        <v>#NAME?</v>
      </c>
      <c r="K99" s="6" t="e">
        <f aca="false">sheet1!apj100</f>
        <v>#NAME?</v>
      </c>
      <c r="L99" s="6" t="e">
        <f aca="false">sheet1!apk100</f>
        <v>#NAME?</v>
      </c>
      <c r="M99" s="6" t="e">
        <f aca="false">sheet1!apl100</f>
        <v>#NAME?</v>
      </c>
    </row>
    <row r="100" customFormat="false" ht="15.75" hidden="false" customHeight="false" outlineLevel="0" collapsed="false">
      <c r="A100" s="0" t="s">
        <v>67</v>
      </c>
      <c r="B100" s="1" t="n">
        <v>43960</v>
      </c>
      <c r="C100" s="6" t="e">
        <f aca="false">sheet1!apb101</f>
        <v>#NAME?</v>
      </c>
      <c r="D100" s="6" t="e">
        <f aca="false">sheet1!apc101</f>
        <v>#NAME?</v>
      </c>
      <c r="E100" s="6" t="e">
        <f aca="false">sheet1!apd101</f>
        <v>#NAME?</v>
      </c>
      <c r="F100" s="6" t="e">
        <f aca="false">sheet1!ape101</f>
        <v>#NAME?</v>
      </c>
      <c r="G100" s="6" t="e">
        <f aca="false">sheet1!apf101</f>
        <v>#NAME?</v>
      </c>
      <c r="H100" s="6" t="e">
        <f aca="false">sheet1!apg101</f>
        <v>#NAME?</v>
      </c>
      <c r="I100" s="6" t="e">
        <f aca="false">sheet1!aph101</f>
        <v>#NAME?</v>
      </c>
      <c r="J100" s="6" t="e">
        <f aca="false">sheet1!api101</f>
        <v>#NAME?</v>
      </c>
      <c r="K100" s="6" t="e">
        <f aca="false">sheet1!apj101</f>
        <v>#NAME?</v>
      </c>
      <c r="L100" s="6" t="e">
        <f aca="false">sheet1!apk101</f>
        <v>#NAME?</v>
      </c>
      <c r="M100" s="6" t="e">
        <f aca="false">sheet1!apl101</f>
        <v>#NAME?</v>
      </c>
    </row>
    <row r="101" customFormat="false" ht="15.75" hidden="false" customHeight="false" outlineLevel="0" collapsed="false">
      <c r="A101" s="0" t="s">
        <v>67</v>
      </c>
      <c r="B101" s="1" t="n">
        <v>43961</v>
      </c>
      <c r="C101" s="6" t="e">
        <f aca="false">sheet1!apb102</f>
        <v>#NAME?</v>
      </c>
      <c r="D101" s="6" t="e">
        <f aca="false">sheet1!apc102</f>
        <v>#NAME?</v>
      </c>
      <c r="E101" s="6" t="e">
        <f aca="false">sheet1!apd102</f>
        <v>#NAME?</v>
      </c>
      <c r="F101" s="6" t="e">
        <f aca="false">sheet1!ape102</f>
        <v>#NAME?</v>
      </c>
      <c r="G101" s="6" t="e">
        <f aca="false">sheet1!apf102</f>
        <v>#NAME?</v>
      </c>
      <c r="H101" s="6" t="e">
        <f aca="false">sheet1!apg102</f>
        <v>#NAME?</v>
      </c>
      <c r="I101" s="6" t="e">
        <f aca="false">sheet1!aph102</f>
        <v>#NAME?</v>
      </c>
      <c r="J101" s="6" t="e">
        <f aca="false">sheet1!api102</f>
        <v>#NAME?</v>
      </c>
      <c r="K101" s="6" t="e">
        <f aca="false">sheet1!apj102</f>
        <v>#NAME?</v>
      </c>
      <c r="L101" s="6" t="e">
        <f aca="false">sheet1!apk102</f>
        <v>#NAME?</v>
      </c>
      <c r="M101" s="6" t="e">
        <f aca="false">sheet1!apl102</f>
        <v>#NAME?</v>
      </c>
    </row>
    <row r="102" customFormat="false" ht="15.75" hidden="false" customHeight="false" outlineLevel="0" collapsed="false">
      <c r="A102" s="0" t="s">
        <v>67</v>
      </c>
      <c r="B102" s="1" t="n">
        <v>43962</v>
      </c>
      <c r="C102" s="6" t="e">
        <f aca="false">sheet1!apb103</f>
        <v>#NAME?</v>
      </c>
      <c r="D102" s="6" t="e">
        <f aca="false">sheet1!apc103</f>
        <v>#NAME?</v>
      </c>
      <c r="E102" s="6" t="e">
        <f aca="false">sheet1!apd103</f>
        <v>#NAME?</v>
      </c>
      <c r="F102" s="6" t="e">
        <f aca="false">sheet1!ape103</f>
        <v>#NAME?</v>
      </c>
      <c r="G102" s="6" t="e">
        <f aca="false">sheet1!apf103</f>
        <v>#NAME?</v>
      </c>
      <c r="H102" s="6" t="e">
        <f aca="false">sheet1!apg103</f>
        <v>#NAME?</v>
      </c>
      <c r="I102" s="6" t="e">
        <f aca="false">sheet1!aph103</f>
        <v>#NAME?</v>
      </c>
      <c r="J102" s="6" t="e">
        <f aca="false">sheet1!api103</f>
        <v>#NAME?</v>
      </c>
      <c r="K102" s="6" t="e">
        <f aca="false">sheet1!apj103</f>
        <v>#NAME?</v>
      </c>
      <c r="L102" s="6" t="e">
        <f aca="false">sheet1!apk103</f>
        <v>#NAME?</v>
      </c>
      <c r="M102" s="6" t="e">
        <f aca="false">sheet1!apl103</f>
        <v>#NAME?</v>
      </c>
    </row>
    <row r="103" customFormat="false" ht="15.75" hidden="false" customHeight="false" outlineLevel="0" collapsed="false">
      <c r="A103" s="0" t="s">
        <v>67</v>
      </c>
      <c r="B103" s="1" t="n">
        <v>43963</v>
      </c>
      <c r="C103" s="6" t="e">
        <f aca="false">sheet1!apb104</f>
        <v>#NAME?</v>
      </c>
      <c r="D103" s="6" t="e">
        <f aca="false">sheet1!apc104</f>
        <v>#NAME?</v>
      </c>
      <c r="E103" s="6" t="e">
        <f aca="false">sheet1!apd104</f>
        <v>#NAME?</v>
      </c>
      <c r="F103" s="6" t="e">
        <f aca="false">sheet1!ape104</f>
        <v>#NAME?</v>
      </c>
      <c r="G103" s="6" t="e">
        <f aca="false">sheet1!apf104</f>
        <v>#NAME?</v>
      </c>
      <c r="H103" s="6" t="e">
        <f aca="false">sheet1!apg104</f>
        <v>#NAME?</v>
      </c>
      <c r="I103" s="6" t="e">
        <f aca="false">sheet1!aph104</f>
        <v>#NAME?</v>
      </c>
      <c r="J103" s="6" t="e">
        <f aca="false">sheet1!api104</f>
        <v>#NAME?</v>
      </c>
      <c r="K103" s="6" t="e">
        <f aca="false">sheet1!apj104</f>
        <v>#NAME?</v>
      </c>
      <c r="L103" s="6" t="e">
        <f aca="false">sheet1!apk104</f>
        <v>#NAME?</v>
      </c>
      <c r="M103" s="6" t="e">
        <f aca="false">sheet1!apl104</f>
        <v>#NAME?</v>
      </c>
    </row>
    <row r="104" customFormat="false" ht="15.75" hidden="false" customHeight="false" outlineLevel="0" collapsed="false">
      <c r="A104" s="0" t="s">
        <v>67</v>
      </c>
      <c r="B104" s="1" t="n">
        <v>43964</v>
      </c>
      <c r="C104" s="6" t="e">
        <f aca="false">sheet1!apb105</f>
        <v>#NAME?</v>
      </c>
      <c r="D104" s="6" t="e">
        <f aca="false">sheet1!apc105</f>
        <v>#NAME?</v>
      </c>
      <c r="E104" s="6" t="e">
        <f aca="false">sheet1!apd105</f>
        <v>#NAME?</v>
      </c>
      <c r="F104" s="6" t="e">
        <f aca="false">sheet1!ape105</f>
        <v>#NAME?</v>
      </c>
      <c r="G104" s="6" t="e">
        <f aca="false">sheet1!apf105</f>
        <v>#NAME?</v>
      </c>
      <c r="H104" s="6" t="e">
        <f aca="false">sheet1!apg105</f>
        <v>#NAME?</v>
      </c>
      <c r="I104" s="6" t="e">
        <f aca="false">sheet1!aph105</f>
        <v>#NAME?</v>
      </c>
      <c r="J104" s="6" t="e">
        <f aca="false">sheet1!api105</f>
        <v>#NAME?</v>
      </c>
      <c r="K104" s="6" t="e">
        <f aca="false">sheet1!apj105</f>
        <v>#NAME?</v>
      </c>
      <c r="L104" s="6" t="e">
        <f aca="false">sheet1!apk105</f>
        <v>#NAME?</v>
      </c>
      <c r="M104" s="6" t="e">
        <f aca="false">sheet1!apl105</f>
        <v>#NAME?</v>
      </c>
    </row>
    <row r="105" customFormat="false" ht="15.75" hidden="false" customHeight="false" outlineLevel="0" collapsed="false">
      <c r="A105" s="0" t="s">
        <v>67</v>
      </c>
      <c r="B105" s="1" t="n">
        <v>43965</v>
      </c>
      <c r="C105" s="6" t="e">
        <f aca="false">sheet1!apb106</f>
        <v>#NAME?</v>
      </c>
      <c r="D105" s="6" t="e">
        <f aca="false">sheet1!apc106</f>
        <v>#NAME?</v>
      </c>
      <c r="E105" s="6" t="e">
        <f aca="false">sheet1!apd106</f>
        <v>#NAME?</v>
      </c>
      <c r="F105" s="6" t="e">
        <f aca="false">sheet1!ape106</f>
        <v>#NAME?</v>
      </c>
      <c r="G105" s="6" t="e">
        <f aca="false">sheet1!apf106</f>
        <v>#NAME?</v>
      </c>
      <c r="H105" s="6" t="e">
        <f aca="false">sheet1!apg106</f>
        <v>#NAME?</v>
      </c>
      <c r="I105" s="6" t="e">
        <f aca="false">sheet1!aph106</f>
        <v>#NAME?</v>
      </c>
      <c r="J105" s="6" t="e">
        <f aca="false">sheet1!api106</f>
        <v>#NAME?</v>
      </c>
      <c r="K105" s="6" t="e">
        <f aca="false">sheet1!apj106</f>
        <v>#NAME?</v>
      </c>
      <c r="L105" s="6" t="e">
        <f aca="false">sheet1!apk106</f>
        <v>#NAME?</v>
      </c>
      <c r="M105" s="6" t="e">
        <f aca="false">sheet1!apl106</f>
        <v>#NAME?</v>
      </c>
    </row>
    <row r="106" customFormat="false" ht="15.75" hidden="false" customHeight="false" outlineLevel="0" collapsed="false">
      <c r="A106" s="0" t="s">
        <v>67</v>
      </c>
      <c r="B106" s="1" t="n">
        <v>43966</v>
      </c>
      <c r="C106" s="6" t="e">
        <f aca="false">sheet1!apb107</f>
        <v>#NAME?</v>
      </c>
      <c r="D106" s="6" t="e">
        <f aca="false">sheet1!apc107</f>
        <v>#NAME?</v>
      </c>
      <c r="E106" s="6" t="e">
        <f aca="false">sheet1!apd107</f>
        <v>#NAME?</v>
      </c>
      <c r="F106" s="6" t="e">
        <f aca="false">sheet1!ape107</f>
        <v>#NAME?</v>
      </c>
      <c r="G106" s="6" t="e">
        <f aca="false">sheet1!apf107</f>
        <v>#NAME?</v>
      </c>
      <c r="H106" s="6" t="e">
        <f aca="false">sheet1!apg107</f>
        <v>#NAME?</v>
      </c>
      <c r="I106" s="6" t="e">
        <f aca="false">sheet1!aph107</f>
        <v>#NAME?</v>
      </c>
      <c r="J106" s="6" t="e">
        <f aca="false">sheet1!api107</f>
        <v>#NAME?</v>
      </c>
      <c r="K106" s="6" t="e">
        <f aca="false">sheet1!apj107</f>
        <v>#NAME?</v>
      </c>
      <c r="L106" s="6" t="e">
        <f aca="false">sheet1!apk107</f>
        <v>#NAME?</v>
      </c>
      <c r="M106" s="6" t="e">
        <f aca="false">sheet1!apl107</f>
        <v>#NAME?</v>
      </c>
    </row>
    <row r="107" customFormat="false" ht="15.75" hidden="false" customHeight="false" outlineLevel="0" collapsed="false">
      <c r="A107" s="0" t="s">
        <v>67</v>
      </c>
      <c r="B107" s="1" t="n">
        <v>43967</v>
      </c>
      <c r="C107" s="6" t="e">
        <f aca="false">sheet1!apb108</f>
        <v>#NAME?</v>
      </c>
      <c r="D107" s="6" t="e">
        <f aca="false">sheet1!apc108</f>
        <v>#NAME?</v>
      </c>
      <c r="E107" s="6" t="e">
        <f aca="false">sheet1!apd108</f>
        <v>#NAME?</v>
      </c>
      <c r="F107" s="6" t="e">
        <f aca="false">sheet1!ape108</f>
        <v>#NAME?</v>
      </c>
      <c r="G107" s="6" t="e">
        <f aca="false">sheet1!apf108</f>
        <v>#NAME?</v>
      </c>
      <c r="H107" s="6" t="e">
        <f aca="false">sheet1!apg108</f>
        <v>#NAME?</v>
      </c>
      <c r="I107" s="6" t="e">
        <f aca="false">sheet1!aph108</f>
        <v>#NAME?</v>
      </c>
      <c r="J107" s="6" t="e">
        <f aca="false">sheet1!api108</f>
        <v>#NAME?</v>
      </c>
      <c r="K107" s="6" t="e">
        <f aca="false">sheet1!apj108</f>
        <v>#NAME?</v>
      </c>
      <c r="L107" s="6" t="e">
        <f aca="false">sheet1!apk108</f>
        <v>#NAME?</v>
      </c>
      <c r="M107" s="6" t="e">
        <f aca="false">sheet1!apl108</f>
        <v>#NAME?</v>
      </c>
    </row>
    <row r="108" customFormat="false" ht="15.75" hidden="false" customHeight="false" outlineLevel="0" collapsed="false">
      <c r="A108" s="0" t="s">
        <v>67</v>
      </c>
      <c r="B108" s="1" t="n">
        <v>43968</v>
      </c>
      <c r="C108" s="6" t="e">
        <f aca="false">sheet1!apb109</f>
        <v>#NAME?</v>
      </c>
      <c r="D108" s="6" t="e">
        <f aca="false">sheet1!apc109</f>
        <v>#NAME?</v>
      </c>
      <c r="E108" s="6" t="e">
        <f aca="false">sheet1!apd109</f>
        <v>#NAME?</v>
      </c>
      <c r="F108" s="6" t="e">
        <f aca="false">sheet1!ape109</f>
        <v>#NAME?</v>
      </c>
      <c r="G108" s="6" t="e">
        <f aca="false">sheet1!apf109</f>
        <v>#NAME?</v>
      </c>
      <c r="H108" s="6" t="e">
        <f aca="false">sheet1!apg109</f>
        <v>#NAME?</v>
      </c>
      <c r="I108" s="6" t="e">
        <f aca="false">sheet1!aph109</f>
        <v>#NAME?</v>
      </c>
      <c r="J108" s="6" t="e">
        <f aca="false">sheet1!api109</f>
        <v>#NAME?</v>
      </c>
      <c r="K108" s="6" t="e">
        <f aca="false">sheet1!apj109</f>
        <v>#NAME?</v>
      </c>
      <c r="L108" s="6" t="e">
        <f aca="false">sheet1!apk109</f>
        <v>#NAME?</v>
      </c>
      <c r="M108" s="6" t="e">
        <f aca="false">sheet1!apl109</f>
        <v>#NAME?</v>
      </c>
    </row>
    <row r="109" customFormat="false" ht="15.75" hidden="false" customHeight="false" outlineLevel="0" collapsed="false">
      <c r="A109" s="0" t="s">
        <v>67</v>
      </c>
      <c r="B109" s="1" t="n">
        <v>43969</v>
      </c>
      <c r="C109" s="6" t="e">
        <f aca="false">sheet1!apb110</f>
        <v>#NAME?</v>
      </c>
      <c r="D109" s="6" t="e">
        <f aca="false">sheet1!apc110</f>
        <v>#NAME?</v>
      </c>
      <c r="E109" s="6" t="e">
        <f aca="false">sheet1!apd110</f>
        <v>#NAME?</v>
      </c>
      <c r="F109" s="6" t="e">
        <f aca="false">sheet1!ape110</f>
        <v>#NAME?</v>
      </c>
      <c r="G109" s="6" t="e">
        <f aca="false">sheet1!apf110</f>
        <v>#NAME?</v>
      </c>
      <c r="H109" s="6" t="e">
        <f aca="false">sheet1!apg110</f>
        <v>#NAME?</v>
      </c>
      <c r="I109" s="6" t="e">
        <f aca="false">sheet1!aph110</f>
        <v>#NAME?</v>
      </c>
      <c r="J109" s="6" t="e">
        <f aca="false">sheet1!api110</f>
        <v>#NAME?</v>
      </c>
      <c r="K109" s="6" t="e">
        <f aca="false">sheet1!apj110</f>
        <v>#NAME?</v>
      </c>
      <c r="L109" s="6" t="e">
        <f aca="false">sheet1!apk110</f>
        <v>#NAME?</v>
      </c>
      <c r="M109" s="6" t="e">
        <f aca="false">sheet1!apl110</f>
        <v>#NAME?</v>
      </c>
    </row>
    <row r="110" customFormat="false" ht="15.75" hidden="false" customHeight="false" outlineLevel="0" collapsed="false">
      <c r="A110" s="0" t="s">
        <v>67</v>
      </c>
      <c r="B110" s="1" t="n">
        <v>43970</v>
      </c>
      <c r="C110" s="6" t="e">
        <f aca="false">sheet1!apb111</f>
        <v>#NAME?</v>
      </c>
      <c r="D110" s="6" t="e">
        <f aca="false">sheet1!apc111</f>
        <v>#NAME?</v>
      </c>
      <c r="E110" s="6" t="e">
        <f aca="false">sheet1!apd111</f>
        <v>#NAME?</v>
      </c>
      <c r="F110" s="6" t="e">
        <f aca="false">sheet1!ape111</f>
        <v>#NAME?</v>
      </c>
      <c r="G110" s="6" t="e">
        <f aca="false">sheet1!apf111</f>
        <v>#NAME?</v>
      </c>
      <c r="H110" s="6" t="e">
        <f aca="false">sheet1!apg111</f>
        <v>#NAME?</v>
      </c>
      <c r="I110" s="6" t="e">
        <f aca="false">sheet1!aph111</f>
        <v>#NAME?</v>
      </c>
      <c r="J110" s="6" t="e">
        <f aca="false">sheet1!api111</f>
        <v>#NAME?</v>
      </c>
      <c r="K110" s="6" t="e">
        <f aca="false">sheet1!apj111</f>
        <v>#NAME?</v>
      </c>
      <c r="L110" s="6" t="e">
        <f aca="false">sheet1!apk111</f>
        <v>#NAME?</v>
      </c>
      <c r="M110" s="6" t="e">
        <f aca="false">sheet1!apl111</f>
        <v>#NAME?</v>
      </c>
    </row>
    <row r="111" customFormat="false" ht="15.75" hidden="false" customHeight="false" outlineLevel="0" collapsed="false">
      <c r="A111" s="0" t="s">
        <v>67</v>
      </c>
      <c r="B111" s="1" t="n">
        <v>43971</v>
      </c>
      <c r="C111" s="6" t="e">
        <f aca="false">sheet1!apb112</f>
        <v>#NAME?</v>
      </c>
      <c r="D111" s="6" t="e">
        <f aca="false">sheet1!apc112</f>
        <v>#NAME?</v>
      </c>
      <c r="E111" s="6" t="e">
        <f aca="false">sheet1!apd112</f>
        <v>#NAME?</v>
      </c>
      <c r="F111" s="6" t="e">
        <f aca="false">sheet1!ape112</f>
        <v>#NAME?</v>
      </c>
      <c r="G111" s="6" t="e">
        <f aca="false">sheet1!apf112</f>
        <v>#NAME?</v>
      </c>
      <c r="H111" s="6" t="e">
        <f aca="false">sheet1!apg112</f>
        <v>#NAME?</v>
      </c>
      <c r="I111" s="6" t="e">
        <f aca="false">sheet1!aph112</f>
        <v>#NAME?</v>
      </c>
      <c r="J111" s="6" t="e">
        <f aca="false">sheet1!api112</f>
        <v>#NAME?</v>
      </c>
      <c r="K111" s="6" t="e">
        <f aca="false">sheet1!apj112</f>
        <v>#NAME?</v>
      </c>
      <c r="L111" s="6" t="e">
        <f aca="false">sheet1!apk112</f>
        <v>#NAME?</v>
      </c>
      <c r="M111" s="6" t="e">
        <f aca="false">sheet1!apl112</f>
        <v>#NAME?</v>
      </c>
    </row>
    <row r="112" customFormat="false" ht="15.75" hidden="false" customHeight="false" outlineLevel="0" collapsed="false">
      <c r="A112" s="0" t="s">
        <v>67</v>
      </c>
      <c r="B112" s="1" t="n">
        <v>43972</v>
      </c>
      <c r="C112" s="6" t="e">
        <f aca="false">sheet1!apb113</f>
        <v>#NAME?</v>
      </c>
      <c r="D112" s="6" t="e">
        <f aca="false">sheet1!apc113</f>
        <v>#NAME?</v>
      </c>
      <c r="E112" s="6" t="e">
        <f aca="false">sheet1!apd113</f>
        <v>#NAME?</v>
      </c>
      <c r="F112" s="6" t="e">
        <f aca="false">sheet1!ape113</f>
        <v>#NAME?</v>
      </c>
      <c r="G112" s="6" t="e">
        <f aca="false">sheet1!apf113</f>
        <v>#NAME?</v>
      </c>
      <c r="H112" s="6" t="e">
        <f aca="false">sheet1!apg113</f>
        <v>#NAME?</v>
      </c>
      <c r="I112" s="6" t="e">
        <f aca="false">sheet1!aph113</f>
        <v>#NAME?</v>
      </c>
      <c r="J112" s="6" t="e">
        <f aca="false">sheet1!api113</f>
        <v>#NAME?</v>
      </c>
      <c r="K112" s="6" t="e">
        <f aca="false">sheet1!apj113</f>
        <v>#NAME?</v>
      </c>
      <c r="L112" s="6" t="e">
        <f aca="false">sheet1!apk113</f>
        <v>#NAME?</v>
      </c>
      <c r="M112" s="6" t="e">
        <f aca="false">sheet1!apl113</f>
        <v>#NAME?</v>
      </c>
    </row>
    <row r="113" customFormat="false" ht="15.75" hidden="false" customHeight="false" outlineLevel="0" collapsed="false">
      <c r="A113" s="0" t="s">
        <v>67</v>
      </c>
      <c r="B113" s="1" t="n">
        <v>43973</v>
      </c>
      <c r="C113" s="6" t="e">
        <f aca="false">sheet1!apb114</f>
        <v>#NAME?</v>
      </c>
      <c r="D113" s="6" t="e">
        <f aca="false">sheet1!apc114</f>
        <v>#NAME?</v>
      </c>
      <c r="E113" s="6" t="e">
        <f aca="false">sheet1!apd114</f>
        <v>#NAME?</v>
      </c>
      <c r="F113" s="6" t="e">
        <f aca="false">sheet1!ape114</f>
        <v>#NAME?</v>
      </c>
      <c r="G113" s="6" t="e">
        <f aca="false">sheet1!apf114</f>
        <v>#NAME?</v>
      </c>
      <c r="H113" s="6" t="e">
        <f aca="false">sheet1!apg114</f>
        <v>#NAME?</v>
      </c>
      <c r="I113" s="6" t="e">
        <f aca="false">sheet1!aph114</f>
        <v>#NAME?</v>
      </c>
      <c r="J113" s="6" t="e">
        <f aca="false">sheet1!api114</f>
        <v>#NAME?</v>
      </c>
      <c r="K113" s="6" t="e">
        <f aca="false">sheet1!apj114</f>
        <v>#NAME?</v>
      </c>
      <c r="L113" s="6" t="e">
        <f aca="false">sheet1!apk114</f>
        <v>#NAME?</v>
      </c>
      <c r="M113" s="6" t="e">
        <f aca="false">sheet1!apl114</f>
        <v>#NAME?</v>
      </c>
    </row>
    <row r="114" customFormat="false" ht="15.75" hidden="false" customHeight="false" outlineLevel="0" collapsed="false">
      <c r="A114" s="0" t="s">
        <v>67</v>
      </c>
      <c r="B114" s="1" t="n">
        <v>43974</v>
      </c>
      <c r="C114" s="6" t="e">
        <f aca="false">sheet1!apb115</f>
        <v>#NAME?</v>
      </c>
      <c r="D114" s="6" t="e">
        <f aca="false">sheet1!apc115</f>
        <v>#NAME?</v>
      </c>
      <c r="E114" s="6" t="e">
        <f aca="false">sheet1!apd115</f>
        <v>#NAME?</v>
      </c>
      <c r="F114" s="6" t="e">
        <f aca="false">sheet1!ape115</f>
        <v>#NAME?</v>
      </c>
      <c r="G114" s="6" t="e">
        <f aca="false">sheet1!apf115</f>
        <v>#NAME?</v>
      </c>
      <c r="H114" s="6" t="e">
        <f aca="false">sheet1!apg115</f>
        <v>#NAME?</v>
      </c>
      <c r="I114" s="6" t="e">
        <f aca="false">sheet1!aph115</f>
        <v>#NAME?</v>
      </c>
      <c r="J114" s="6" t="e">
        <f aca="false">sheet1!api115</f>
        <v>#NAME?</v>
      </c>
      <c r="K114" s="6" t="e">
        <f aca="false">sheet1!apj115</f>
        <v>#NAME?</v>
      </c>
      <c r="L114" s="6" t="e">
        <f aca="false">sheet1!apk115</f>
        <v>#NAME?</v>
      </c>
      <c r="M114" s="6" t="e">
        <f aca="false">sheet1!apl115</f>
        <v>#NAME?</v>
      </c>
    </row>
    <row r="115" customFormat="false" ht="15.75" hidden="false" customHeight="false" outlineLevel="0" collapsed="false">
      <c r="A115" s="0" t="s">
        <v>67</v>
      </c>
      <c r="B115" s="1" t="n">
        <v>43975</v>
      </c>
      <c r="C115" s="6" t="e">
        <f aca="false">sheet1!apb116</f>
        <v>#NAME?</v>
      </c>
      <c r="D115" s="6" t="e">
        <f aca="false">sheet1!apc116</f>
        <v>#NAME?</v>
      </c>
      <c r="E115" s="6" t="e">
        <f aca="false">sheet1!apd116</f>
        <v>#NAME?</v>
      </c>
      <c r="F115" s="6" t="e">
        <f aca="false">sheet1!ape116</f>
        <v>#NAME?</v>
      </c>
      <c r="G115" s="6" t="e">
        <f aca="false">sheet1!apf116</f>
        <v>#NAME?</v>
      </c>
      <c r="H115" s="6" t="e">
        <f aca="false">sheet1!apg116</f>
        <v>#NAME?</v>
      </c>
      <c r="I115" s="6" t="e">
        <f aca="false">sheet1!aph116</f>
        <v>#NAME?</v>
      </c>
      <c r="J115" s="6" t="e">
        <f aca="false">sheet1!api116</f>
        <v>#NAME?</v>
      </c>
      <c r="K115" s="6" t="e">
        <f aca="false">sheet1!apj116</f>
        <v>#NAME?</v>
      </c>
      <c r="L115" s="6" t="e">
        <f aca="false">sheet1!apk116</f>
        <v>#NAME?</v>
      </c>
      <c r="M115" s="6" t="e">
        <f aca="false">sheet1!apl116</f>
        <v>#NAME?</v>
      </c>
    </row>
    <row r="116" customFormat="false" ht="15.75" hidden="false" customHeight="false" outlineLevel="0" collapsed="false">
      <c r="A116" s="0" t="s">
        <v>67</v>
      </c>
      <c r="B116" s="1" t="n">
        <v>43976</v>
      </c>
      <c r="C116" s="6" t="e">
        <f aca="false">sheet1!apb117</f>
        <v>#NAME?</v>
      </c>
      <c r="D116" s="6" t="e">
        <f aca="false">sheet1!apc117</f>
        <v>#NAME?</v>
      </c>
      <c r="E116" s="6" t="e">
        <f aca="false">sheet1!apd117</f>
        <v>#NAME?</v>
      </c>
      <c r="F116" s="6" t="e">
        <f aca="false">sheet1!ape117</f>
        <v>#NAME?</v>
      </c>
      <c r="G116" s="6" t="e">
        <f aca="false">sheet1!apf117</f>
        <v>#NAME?</v>
      </c>
      <c r="H116" s="6" t="e">
        <f aca="false">sheet1!apg117</f>
        <v>#NAME?</v>
      </c>
      <c r="I116" s="6" t="e">
        <f aca="false">sheet1!aph117</f>
        <v>#NAME?</v>
      </c>
      <c r="J116" s="6" t="e">
        <f aca="false">sheet1!api117</f>
        <v>#NAME?</v>
      </c>
      <c r="K116" s="6" t="e">
        <f aca="false">sheet1!apj117</f>
        <v>#NAME?</v>
      </c>
      <c r="L116" s="6" t="e">
        <f aca="false">sheet1!apk117</f>
        <v>#NAME?</v>
      </c>
      <c r="M116" s="6" t="e">
        <f aca="false">sheet1!apl117</f>
        <v>#NAME?</v>
      </c>
    </row>
    <row r="117" customFormat="false" ht="15.75" hidden="false" customHeight="false" outlineLevel="0" collapsed="false">
      <c r="A117" s="0" t="s">
        <v>67</v>
      </c>
      <c r="B117" s="1" t="n">
        <v>43977</v>
      </c>
      <c r="C117" s="6" t="e">
        <f aca="false">sheet1!apb118</f>
        <v>#NAME?</v>
      </c>
      <c r="D117" s="6" t="e">
        <f aca="false">sheet1!apc118</f>
        <v>#NAME?</v>
      </c>
      <c r="E117" s="6" t="e">
        <f aca="false">sheet1!apd118</f>
        <v>#NAME?</v>
      </c>
      <c r="F117" s="6" t="e">
        <f aca="false">sheet1!ape118</f>
        <v>#NAME?</v>
      </c>
      <c r="G117" s="6" t="e">
        <f aca="false">sheet1!apf118</f>
        <v>#NAME?</v>
      </c>
      <c r="H117" s="6" t="e">
        <f aca="false">sheet1!apg118</f>
        <v>#NAME?</v>
      </c>
      <c r="I117" s="6" t="e">
        <f aca="false">sheet1!aph118</f>
        <v>#NAME?</v>
      </c>
      <c r="J117" s="6" t="e">
        <f aca="false">sheet1!api118</f>
        <v>#NAME?</v>
      </c>
      <c r="K117" s="6" t="e">
        <f aca="false">sheet1!apj118</f>
        <v>#NAME?</v>
      </c>
      <c r="L117" s="6" t="e">
        <f aca="false">sheet1!apk118</f>
        <v>#NAME?</v>
      </c>
      <c r="M117" s="6" t="e">
        <f aca="false">sheet1!apl118</f>
        <v>#NAME?</v>
      </c>
    </row>
    <row r="118" customFormat="false" ht="15.75" hidden="false" customHeight="false" outlineLevel="0" collapsed="false">
      <c r="A118" s="0" t="s">
        <v>67</v>
      </c>
      <c r="B118" s="1" t="n">
        <v>43978</v>
      </c>
      <c r="C118" s="6" t="e">
        <f aca="false">sheet1!apb119</f>
        <v>#NAME?</v>
      </c>
      <c r="D118" s="6" t="e">
        <f aca="false">sheet1!apc119</f>
        <v>#NAME?</v>
      </c>
      <c r="E118" s="6" t="e">
        <f aca="false">sheet1!apd119</f>
        <v>#NAME?</v>
      </c>
      <c r="F118" s="6" t="e">
        <f aca="false">sheet1!ape119</f>
        <v>#NAME?</v>
      </c>
      <c r="G118" s="6" t="e">
        <f aca="false">sheet1!apf119</f>
        <v>#NAME?</v>
      </c>
      <c r="H118" s="6" t="e">
        <f aca="false">sheet1!apg119</f>
        <v>#NAME?</v>
      </c>
      <c r="I118" s="6" t="e">
        <f aca="false">sheet1!aph119</f>
        <v>#NAME?</v>
      </c>
      <c r="J118" s="6" t="e">
        <f aca="false">sheet1!api119</f>
        <v>#NAME?</v>
      </c>
      <c r="K118" s="6" t="e">
        <f aca="false">sheet1!apj119</f>
        <v>#NAME?</v>
      </c>
      <c r="L118" s="6" t="e">
        <f aca="false">sheet1!apk119</f>
        <v>#NAME?</v>
      </c>
      <c r="M118" s="6" t="e">
        <f aca="false">sheet1!apl119</f>
        <v>#NAME?</v>
      </c>
    </row>
    <row r="119" customFormat="false" ht="15.75" hidden="false" customHeight="false" outlineLevel="0" collapsed="false">
      <c r="A119" s="0" t="s">
        <v>67</v>
      </c>
      <c r="B119" s="1" t="n">
        <v>43979</v>
      </c>
      <c r="C119" s="6" t="e">
        <f aca="false">sheet1!apb120</f>
        <v>#NAME?</v>
      </c>
      <c r="D119" s="6" t="e">
        <f aca="false">sheet1!apc120</f>
        <v>#NAME?</v>
      </c>
      <c r="E119" s="6" t="e">
        <f aca="false">sheet1!apd120</f>
        <v>#NAME?</v>
      </c>
      <c r="F119" s="6" t="e">
        <f aca="false">sheet1!ape120</f>
        <v>#NAME?</v>
      </c>
      <c r="G119" s="6" t="e">
        <f aca="false">sheet1!apf120</f>
        <v>#NAME?</v>
      </c>
      <c r="H119" s="6" t="e">
        <f aca="false">sheet1!apg120</f>
        <v>#NAME?</v>
      </c>
      <c r="I119" s="6" t="e">
        <f aca="false">sheet1!aph120</f>
        <v>#NAME?</v>
      </c>
      <c r="J119" s="6" t="e">
        <f aca="false">sheet1!api120</f>
        <v>#NAME?</v>
      </c>
      <c r="K119" s="6" t="e">
        <f aca="false">sheet1!apj120</f>
        <v>#NAME?</v>
      </c>
      <c r="L119" s="6" t="e">
        <f aca="false">sheet1!apk120</f>
        <v>#NAME?</v>
      </c>
      <c r="M119" s="6" t="e">
        <f aca="false">sheet1!apl120</f>
        <v>#NAME?</v>
      </c>
    </row>
    <row r="120" customFormat="false" ht="15.75" hidden="false" customHeight="false" outlineLevel="0" collapsed="false">
      <c r="A120" s="0" t="s">
        <v>67</v>
      </c>
      <c r="B120" s="1" t="n">
        <v>43980</v>
      </c>
      <c r="C120" s="6" t="e">
        <f aca="false">sheet1!apb121</f>
        <v>#NAME?</v>
      </c>
      <c r="D120" s="6" t="e">
        <f aca="false">sheet1!apc121</f>
        <v>#NAME?</v>
      </c>
      <c r="E120" s="6" t="e">
        <f aca="false">sheet1!apd121</f>
        <v>#NAME?</v>
      </c>
      <c r="F120" s="6" t="e">
        <f aca="false">sheet1!ape121</f>
        <v>#NAME?</v>
      </c>
      <c r="G120" s="6" t="e">
        <f aca="false">sheet1!apf121</f>
        <v>#NAME?</v>
      </c>
      <c r="H120" s="6" t="e">
        <f aca="false">sheet1!apg121</f>
        <v>#NAME?</v>
      </c>
      <c r="I120" s="6" t="e">
        <f aca="false">sheet1!aph121</f>
        <v>#NAME?</v>
      </c>
      <c r="J120" s="6" t="e">
        <f aca="false">sheet1!api121</f>
        <v>#NAME?</v>
      </c>
      <c r="K120" s="6" t="e">
        <f aca="false">sheet1!apj121</f>
        <v>#NAME?</v>
      </c>
      <c r="L120" s="6" t="e">
        <f aca="false">sheet1!apk121</f>
        <v>#NAME?</v>
      </c>
      <c r="M120" s="6" t="e">
        <f aca="false">sheet1!apl121</f>
        <v>#NAME?</v>
      </c>
    </row>
    <row r="121" customFormat="false" ht="15.75" hidden="false" customHeight="false" outlineLevel="0" collapsed="false">
      <c r="A121" s="0" t="s">
        <v>67</v>
      </c>
      <c r="B121" s="1" t="n">
        <v>43981</v>
      </c>
      <c r="C121" s="6" t="e">
        <f aca="false">sheet1!apb122</f>
        <v>#NAME?</v>
      </c>
      <c r="D121" s="6" t="e">
        <f aca="false">sheet1!apc122</f>
        <v>#NAME?</v>
      </c>
      <c r="E121" s="6" t="e">
        <f aca="false">sheet1!apd122</f>
        <v>#NAME?</v>
      </c>
      <c r="F121" s="6" t="e">
        <f aca="false">sheet1!ape122</f>
        <v>#NAME?</v>
      </c>
      <c r="G121" s="6" t="e">
        <f aca="false">sheet1!apf122</f>
        <v>#NAME?</v>
      </c>
      <c r="H121" s="6" t="e">
        <f aca="false">sheet1!apg122</f>
        <v>#NAME?</v>
      </c>
      <c r="I121" s="6" t="e">
        <f aca="false">sheet1!aph122</f>
        <v>#NAME?</v>
      </c>
      <c r="J121" s="6" t="e">
        <f aca="false">sheet1!api122</f>
        <v>#NAME?</v>
      </c>
      <c r="K121" s="6" t="e">
        <f aca="false">sheet1!apj122</f>
        <v>#NAME?</v>
      </c>
      <c r="L121" s="6" t="e">
        <f aca="false">sheet1!apk122</f>
        <v>#NAME?</v>
      </c>
      <c r="M121" s="6" t="e">
        <f aca="false">sheet1!apl122</f>
        <v>#NAME?</v>
      </c>
    </row>
    <row r="122" customFormat="false" ht="15.75" hidden="false" customHeight="false" outlineLevel="0" collapsed="false">
      <c r="A122" s="0" t="s">
        <v>67</v>
      </c>
      <c r="B122" s="1" t="n">
        <v>43982</v>
      </c>
      <c r="C122" s="6" t="e">
        <f aca="false">sheet1!apb123</f>
        <v>#NAME?</v>
      </c>
      <c r="D122" s="6" t="e">
        <f aca="false">sheet1!apc123</f>
        <v>#NAME?</v>
      </c>
      <c r="E122" s="6" t="e">
        <f aca="false">sheet1!apd123</f>
        <v>#NAME?</v>
      </c>
      <c r="F122" s="6" t="e">
        <f aca="false">sheet1!ape123</f>
        <v>#NAME?</v>
      </c>
      <c r="G122" s="6" t="e">
        <f aca="false">sheet1!apf123</f>
        <v>#NAME?</v>
      </c>
      <c r="H122" s="6" t="e">
        <f aca="false">sheet1!apg123</f>
        <v>#NAME?</v>
      </c>
      <c r="I122" s="6" t="e">
        <f aca="false">sheet1!aph123</f>
        <v>#NAME?</v>
      </c>
      <c r="J122" s="6" t="e">
        <f aca="false">sheet1!api123</f>
        <v>#NAME?</v>
      </c>
      <c r="K122" s="6" t="e">
        <f aca="false">sheet1!apj123</f>
        <v>#NAME?</v>
      </c>
      <c r="L122" s="6" t="e">
        <f aca="false">sheet1!apk123</f>
        <v>#NAME?</v>
      </c>
      <c r="M122" s="6" t="e">
        <f aca="false">sheet1!apl123</f>
        <v>#NAME?</v>
      </c>
    </row>
    <row r="123" customFormat="false" ht="15.75" hidden="false" customHeight="false" outlineLevel="0" collapsed="false">
      <c r="A123" s="0" t="s">
        <v>67</v>
      </c>
      <c r="B123" s="1" t="n">
        <v>43983</v>
      </c>
      <c r="C123" s="6" t="e">
        <f aca="false">sheet1!apb124</f>
        <v>#NAME?</v>
      </c>
      <c r="D123" s="6" t="e">
        <f aca="false">sheet1!apc124</f>
        <v>#NAME?</v>
      </c>
      <c r="E123" s="6" t="e">
        <f aca="false">sheet1!apd124</f>
        <v>#NAME?</v>
      </c>
      <c r="F123" s="6" t="e">
        <f aca="false">sheet1!ape124</f>
        <v>#NAME?</v>
      </c>
      <c r="G123" s="6" t="e">
        <f aca="false">sheet1!apf124</f>
        <v>#NAME?</v>
      </c>
      <c r="H123" s="6" t="e">
        <f aca="false">sheet1!apg124</f>
        <v>#NAME?</v>
      </c>
      <c r="I123" s="6" t="e">
        <f aca="false">sheet1!aph124</f>
        <v>#NAME?</v>
      </c>
      <c r="J123" s="6" t="e">
        <f aca="false">sheet1!api124</f>
        <v>#NAME?</v>
      </c>
      <c r="K123" s="6" t="e">
        <f aca="false">sheet1!apj124</f>
        <v>#NAME?</v>
      </c>
      <c r="L123" s="6" t="e">
        <f aca="false">sheet1!apk124</f>
        <v>#NAME?</v>
      </c>
      <c r="M123" s="6" t="e">
        <f aca="false">sheet1!apl124</f>
        <v>#NAME?</v>
      </c>
    </row>
    <row r="124" customFormat="false" ht="15.75" hidden="false" customHeight="false" outlineLevel="0" collapsed="false">
      <c r="A124" s="0" t="s">
        <v>67</v>
      </c>
      <c r="B124" s="1" t="n">
        <v>43984</v>
      </c>
      <c r="C124" s="6" t="e">
        <f aca="false">sheet1!apb125</f>
        <v>#NAME?</v>
      </c>
      <c r="D124" s="6" t="e">
        <f aca="false">sheet1!apc125</f>
        <v>#NAME?</v>
      </c>
      <c r="E124" s="6" t="e">
        <f aca="false">sheet1!apd125</f>
        <v>#NAME?</v>
      </c>
      <c r="F124" s="6" t="e">
        <f aca="false">sheet1!ape125</f>
        <v>#NAME?</v>
      </c>
      <c r="G124" s="6" t="e">
        <f aca="false">sheet1!apf125</f>
        <v>#NAME?</v>
      </c>
      <c r="H124" s="6" t="e">
        <f aca="false">sheet1!apg125</f>
        <v>#NAME?</v>
      </c>
      <c r="I124" s="6" t="e">
        <f aca="false">sheet1!aph125</f>
        <v>#NAME?</v>
      </c>
      <c r="J124" s="6" t="e">
        <f aca="false">sheet1!api125</f>
        <v>#NAME?</v>
      </c>
      <c r="K124" s="6" t="e">
        <f aca="false">sheet1!apj125</f>
        <v>#NAME?</v>
      </c>
      <c r="L124" s="6" t="e">
        <f aca="false">sheet1!apk125</f>
        <v>#NAME?</v>
      </c>
      <c r="M124" s="6" t="e">
        <f aca="false">sheet1!apl125</f>
        <v>#NAME?</v>
      </c>
    </row>
    <row r="125" customFormat="false" ht="15.75" hidden="false" customHeight="false" outlineLevel="0" collapsed="false">
      <c r="A125" s="0" t="s">
        <v>67</v>
      </c>
      <c r="B125" s="1" t="n">
        <v>43985</v>
      </c>
      <c r="C125" s="6" t="e">
        <f aca="false">sheet1!apb126</f>
        <v>#NAME?</v>
      </c>
      <c r="D125" s="6" t="e">
        <f aca="false">sheet1!apc126</f>
        <v>#NAME?</v>
      </c>
      <c r="E125" s="6" t="e">
        <f aca="false">sheet1!apd126</f>
        <v>#NAME?</v>
      </c>
      <c r="F125" s="6" t="e">
        <f aca="false">sheet1!ape126</f>
        <v>#NAME?</v>
      </c>
      <c r="G125" s="6" t="e">
        <f aca="false">sheet1!apf126</f>
        <v>#NAME?</v>
      </c>
      <c r="H125" s="6" t="e">
        <f aca="false">sheet1!apg126</f>
        <v>#NAME?</v>
      </c>
      <c r="I125" s="6" t="e">
        <f aca="false">sheet1!aph126</f>
        <v>#NAME?</v>
      </c>
      <c r="J125" s="6" t="e">
        <f aca="false">sheet1!api126</f>
        <v>#NAME?</v>
      </c>
      <c r="K125" s="6" t="e">
        <f aca="false">sheet1!apj126</f>
        <v>#NAME?</v>
      </c>
      <c r="L125" s="6" t="e">
        <f aca="false">sheet1!apk126</f>
        <v>#NAME?</v>
      </c>
      <c r="M125" s="6" t="e">
        <f aca="false">sheet1!apl126</f>
        <v>#NAME?</v>
      </c>
    </row>
    <row r="126" customFormat="false" ht="15.75" hidden="false" customHeight="false" outlineLevel="0" collapsed="false">
      <c r="A126" s="0" t="s">
        <v>67</v>
      </c>
      <c r="B126" s="1" t="n">
        <v>43986</v>
      </c>
      <c r="C126" s="6" t="e">
        <f aca="false">sheet1!apb127</f>
        <v>#NAME?</v>
      </c>
      <c r="D126" s="6" t="e">
        <f aca="false">sheet1!apc127</f>
        <v>#NAME?</v>
      </c>
      <c r="E126" s="6" t="e">
        <f aca="false">sheet1!apd127</f>
        <v>#NAME?</v>
      </c>
      <c r="F126" s="6" t="e">
        <f aca="false">sheet1!ape127</f>
        <v>#NAME?</v>
      </c>
      <c r="G126" s="6" t="e">
        <f aca="false">sheet1!apf127</f>
        <v>#NAME?</v>
      </c>
      <c r="H126" s="6" t="e">
        <f aca="false">sheet1!apg127</f>
        <v>#NAME?</v>
      </c>
      <c r="I126" s="6" t="e">
        <f aca="false">sheet1!aph127</f>
        <v>#NAME?</v>
      </c>
      <c r="J126" s="6" t="e">
        <f aca="false">sheet1!api127</f>
        <v>#NAME?</v>
      </c>
      <c r="K126" s="6" t="e">
        <f aca="false">sheet1!apj127</f>
        <v>#NAME?</v>
      </c>
      <c r="L126" s="6" t="e">
        <f aca="false">sheet1!apk127</f>
        <v>#NAME?</v>
      </c>
      <c r="M126" s="6" t="e">
        <f aca="false">sheet1!apl127</f>
        <v>#NAME?</v>
      </c>
    </row>
    <row r="127" customFormat="false" ht="15.75" hidden="false" customHeight="false" outlineLevel="0" collapsed="false">
      <c r="A127" s="0" t="s">
        <v>67</v>
      </c>
      <c r="B127" s="1" t="n">
        <v>43987</v>
      </c>
      <c r="C127" s="6" t="e">
        <f aca="false">sheet1!apb128</f>
        <v>#NAME?</v>
      </c>
      <c r="D127" s="6" t="e">
        <f aca="false">sheet1!apc128</f>
        <v>#NAME?</v>
      </c>
      <c r="E127" s="6" t="e">
        <f aca="false">sheet1!apd128</f>
        <v>#NAME?</v>
      </c>
      <c r="F127" s="6" t="e">
        <f aca="false">sheet1!ape128</f>
        <v>#NAME?</v>
      </c>
      <c r="G127" s="6" t="e">
        <f aca="false">sheet1!apf128</f>
        <v>#NAME?</v>
      </c>
      <c r="H127" s="6" t="e">
        <f aca="false">sheet1!apg128</f>
        <v>#NAME?</v>
      </c>
      <c r="I127" s="6" t="e">
        <f aca="false">sheet1!aph128</f>
        <v>#NAME?</v>
      </c>
      <c r="J127" s="6" t="e">
        <f aca="false">sheet1!api128</f>
        <v>#NAME?</v>
      </c>
      <c r="K127" s="6" t="e">
        <f aca="false">sheet1!apj128</f>
        <v>#NAME?</v>
      </c>
      <c r="L127" s="6" t="e">
        <f aca="false">sheet1!apk128</f>
        <v>#NAME?</v>
      </c>
      <c r="M127" s="6" t="e">
        <f aca="false">sheet1!apl128</f>
        <v>#NAME?</v>
      </c>
    </row>
    <row r="128" customFormat="false" ht="15.75" hidden="false" customHeight="false" outlineLevel="0" collapsed="false">
      <c r="A128" s="0" t="s">
        <v>67</v>
      </c>
      <c r="B128" s="1" t="n">
        <v>43988</v>
      </c>
      <c r="C128" s="6" t="e">
        <f aca="false">sheet1!apb129</f>
        <v>#NAME?</v>
      </c>
      <c r="D128" s="6" t="e">
        <f aca="false">sheet1!apc129</f>
        <v>#NAME?</v>
      </c>
      <c r="E128" s="6" t="e">
        <f aca="false">sheet1!apd129</f>
        <v>#NAME?</v>
      </c>
      <c r="F128" s="6" t="e">
        <f aca="false">sheet1!ape129</f>
        <v>#NAME?</v>
      </c>
      <c r="G128" s="6" t="e">
        <f aca="false">sheet1!apf129</f>
        <v>#NAME?</v>
      </c>
      <c r="H128" s="6" t="e">
        <f aca="false">sheet1!apg129</f>
        <v>#NAME?</v>
      </c>
      <c r="I128" s="6" t="e">
        <f aca="false">sheet1!aph129</f>
        <v>#NAME?</v>
      </c>
      <c r="J128" s="6" t="e">
        <f aca="false">sheet1!api129</f>
        <v>#NAME?</v>
      </c>
      <c r="K128" s="6" t="e">
        <f aca="false">sheet1!apj129</f>
        <v>#NAME?</v>
      </c>
      <c r="L128" s="6" t="e">
        <f aca="false">sheet1!apk129</f>
        <v>#NAME?</v>
      </c>
      <c r="M128" s="6" t="e">
        <f aca="false">sheet1!apl129</f>
        <v>#NAME?</v>
      </c>
    </row>
    <row r="129" customFormat="false" ht="15.75" hidden="false" customHeight="false" outlineLevel="0" collapsed="false">
      <c r="A129" s="0" t="s">
        <v>67</v>
      </c>
      <c r="B129" s="1" t="n">
        <v>43989</v>
      </c>
      <c r="C129" s="6" t="e">
        <f aca="false">sheet1!apb130</f>
        <v>#NAME?</v>
      </c>
      <c r="D129" s="6" t="e">
        <f aca="false">sheet1!apc130</f>
        <v>#NAME?</v>
      </c>
      <c r="E129" s="6" t="e">
        <f aca="false">sheet1!apd130</f>
        <v>#NAME?</v>
      </c>
      <c r="F129" s="6" t="e">
        <f aca="false">sheet1!ape130</f>
        <v>#NAME?</v>
      </c>
      <c r="G129" s="6" t="e">
        <f aca="false">sheet1!apf130</f>
        <v>#NAME?</v>
      </c>
      <c r="H129" s="6" t="e">
        <f aca="false">sheet1!apg130</f>
        <v>#NAME?</v>
      </c>
      <c r="I129" s="6" t="e">
        <f aca="false">sheet1!aph130</f>
        <v>#NAME?</v>
      </c>
      <c r="J129" s="6" t="e">
        <f aca="false">sheet1!api130</f>
        <v>#NAME?</v>
      </c>
      <c r="K129" s="6" t="e">
        <f aca="false">sheet1!apj130</f>
        <v>#NAME?</v>
      </c>
      <c r="L129" s="6" t="e">
        <f aca="false">sheet1!apk130</f>
        <v>#NAME?</v>
      </c>
      <c r="M129" s="6" t="e">
        <f aca="false">sheet1!apl130</f>
        <v>#NAME?</v>
      </c>
    </row>
    <row r="130" customFormat="false" ht="15.75" hidden="false" customHeight="false" outlineLevel="0" collapsed="false">
      <c r="A130" s="0" t="s">
        <v>67</v>
      </c>
      <c r="B130" s="1" t="n">
        <v>43990</v>
      </c>
      <c r="C130" s="6" t="e">
        <f aca="false">sheet1!apb131</f>
        <v>#NAME?</v>
      </c>
      <c r="D130" s="6" t="e">
        <f aca="false">sheet1!apc131</f>
        <v>#NAME?</v>
      </c>
      <c r="E130" s="6" t="e">
        <f aca="false">sheet1!apd131</f>
        <v>#NAME?</v>
      </c>
      <c r="F130" s="6" t="e">
        <f aca="false">sheet1!ape131</f>
        <v>#NAME?</v>
      </c>
      <c r="G130" s="6" t="e">
        <f aca="false">sheet1!apf131</f>
        <v>#NAME?</v>
      </c>
      <c r="H130" s="6" t="e">
        <f aca="false">sheet1!apg131</f>
        <v>#NAME?</v>
      </c>
      <c r="I130" s="6" t="e">
        <f aca="false">sheet1!aph131</f>
        <v>#NAME?</v>
      </c>
      <c r="J130" s="6" t="e">
        <f aca="false">sheet1!api131</f>
        <v>#NAME?</v>
      </c>
      <c r="K130" s="6" t="e">
        <f aca="false">sheet1!apj131</f>
        <v>#NAME?</v>
      </c>
      <c r="L130" s="6" t="e">
        <f aca="false">sheet1!apk131</f>
        <v>#NAME?</v>
      </c>
      <c r="M130" s="6" t="e">
        <f aca="false">sheet1!apl131</f>
        <v>#NAME?</v>
      </c>
    </row>
    <row r="131" customFormat="false" ht="15.75" hidden="false" customHeight="false" outlineLevel="0" collapsed="false">
      <c r="A131" s="0" t="s">
        <v>67</v>
      </c>
      <c r="B131" s="1" t="n">
        <v>43991</v>
      </c>
      <c r="C131" s="6" t="e">
        <f aca="false">sheet1!apb132</f>
        <v>#NAME?</v>
      </c>
      <c r="D131" s="6" t="e">
        <f aca="false">sheet1!apc132</f>
        <v>#NAME?</v>
      </c>
      <c r="E131" s="6" t="e">
        <f aca="false">sheet1!apd132</f>
        <v>#NAME?</v>
      </c>
      <c r="F131" s="6" t="e">
        <f aca="false">sheet1!ape132</f>
        <v>#NAME?</v>
      </c>
      <c r="G131" s="6" t="e">
        <f aca="false">sheet1!apf132</f>
        <v>#NAME?</v>
      </c>
      <c r="H131" s="6" t="e">
        <f aca="false">sheet1!apg132</f>
        <v>#NAME?</v>
      </c>
      <c r="I131" s="6" t="e">
        <f aca="false">sheet1!aph132</f>
        <v>#NAME?</v>
      </c>
      <c r="J131" s="6" t="e">
        <f aca="false">sheet1!api132</f>
        <v>#NAME?</v>
      </c>
      <c r="K131" s="6" t="e">
        <f aca="false">sheet1!apj132</f>
        <v>#NAME?</v>
      </c>
      <c r="L131" s="6" t="e">
        <f aca="false">sheet1!apk132</f>
        <v>#NAME?</v>
      </c>
      <c r="M131" s="6" t="e">
        <f aca="false">sheet1!apl132</f>
        <v>#NAME?</v>
      </c>
    </row>
    <row r="132" customFormat="false" ht="15.75" hidden="false" customHeight="false" outlineLevel="0" collapsed="false">
      <c r="A132" s="0" t="s">
        <v>67</v>
      </c>
      <c r="B132" s="1" t="n">
        <v>43992</v>
      </c>
      <c r="C132" s="6" t="e">
        <f aca="false">sheet1!apb133</f>
        <v>#NAME?</v>
      </c>
      <c r="D132" s="6" t="e">
        <f aca="false">sheet1!apc133</f>
        <v>#NAME?</v>
      </c>
      <c r="E132" s="6" t="e">
        <f aca="false">sheet1!apd133</f>
        <v>#NAME?</v>
      </c>
      <c r="F132" s="6" t="e">
        <f aca="false">sheet1!ape133</f>
        <v>#NAME?</v>
      </c>
      <c r="G132" s="6" t="e">
        <f aca="false">sheet1!apf133</f>
        <v>#NAME?</v>
      </c>
      <c r="H132" s="6" t="e">
        <f aca="false">sheet1!apg133</f>
        <v>#NAME?</v>
      </c>
      <c r="I132" s="6" t="e">
        <f aca="false">sheet1!aph133</f>
        <v>#NAME?</v>
      </c>
      <c r="J132" s="6" t="e">
        <f aca="false">sheet1!api133</f>
        <v>#NAME?</v>
      </c>
      <c r="K132" s="6" t="e">
        <f aca="false">sheet1!apj133</f>
        <v>#NAME?</v>
      </c>
      <c r="L132" s="6" t="e">
        <f aca="false">sheet1!apk133</f>
        <v>#NAME?</v>
      </c>
      <c r="M132" s="6" t="e">
        <f aca="false">sheet1!apl133</f>
        <v>#NAME?</v>
      </c>
    </row>
    <row r="133" customFormat="false" ht="15.75" hidden="false" customHeight="false" outlineLevel="0" collapsed="false">
      <c r="A133" s="0" t="s">
        <v>67</v>
      </c>
      <c r="B133" s="1" t="n">
        <v>43993</v>
      </c>
      <c r="C133" s="6" t="e">
        <f aca="false">sheet1!apb134</f>
        <v>#NAME?</v>
      </c>
      <c r="D133" s="6" t="e">
        <f aca="false">sheet1!apc134</f>
        <v>#NAME?</v>
      </c>
      <c r="E133" s="6" t="e">
        <f aca="false">sheet1!apd134</f>
        <v>#NAME?</v>
      </c>
      <c r="F133" s="6" t="e">
        <f aca="false">sheet1!ape134</f>
        <v>#NAME?</v>
      </c>
      <c r="G133" s="6" t="e">
        <f aca="false">sheet1!apf134</f>
        <v>#NAME?</v>
      </c>
      <c r="H133" s="6" t="e">
        <f aca="false">sheet1!apg134</f>
        <v>#NAME?</v>
      </c>
      <c r="I133" s="6" t="e">
        <f aca="false">sheet1!aph134</f>
        <v>#NAME?</v>
      </c>
      <c r="J133" s="6" t="e">
        <f aca="false">sheet1!api134</f>
        <v>#NAME?</v>
      </c>
      <c r="K133" s="6" t="e">
        <f aca="false">sheet1!apj134</f>
        <v>#NAME?</v>
      </c>
      <c r="L133" s="6" t="e">
        <f aca="false">sheet1!apk134</f>
        <v>#NAME?</v>
      </c>
      <c r="M133" s="6" t="e">
        <f aca="false">sheet1!apl134</f>
        <v>#NAME?</v>
      </c>
    </row>
    <row r="134" customFormat="false" ht="15.75" hidden="false" customHeight="false" outlineLevel="0" collapsed="false">
      <c r="A134" s="0" t="s">
        <v>67</v>
      </c>
      <c r="B134" s="1" t="n">
        <v>43994</v>
      </c>
      <c r="C134" s="6" t="e">
        <f aca="false">sheet1!apb135</f>
        <v>#NAME?</v>
      </c>
      <c r="D134" s="6" t="e">
        <f aca="false">sheet1!apc135</f>
        <v>#NAME?</v>
      </c>
      <c r="E134" s="6" t="e">
        <f aca="false">sheet1!apd135</f>
        <v>#NAME?</v>
      </c>
      <c r="F134" s="6" t="e">
        <f aca="false">sheet1!ape135</f>
        <v>#NAME?</v>
      </c>
      <c r="G134" s="6" t="e">
        <f aca="false">sheet1!apf135</f>
        <v>#NAME?</v>
      </c>
      <c r="H134" s="6" t="e">
        <f aca="false">sheet1!apg135</f>
        <v>#NAME?</v>
      </c>
      <c r="I134" s="6" t="e">
        <f aca="false">sheet1!aph135</f>
        <v>#NAME?</v>
      </c>
      <c r="J134" s="6" t="e">
        <f aca="false">sheet1!api135</f>
        <v>#NAME?</v>
      </c>
      <c r="K134" s="6" t="e">
        <f aca="false">sheet1!apj135</f>
        <v>#NAME?</v>
      </c>
      <c r="L134" s="6" t="e">
        <f aca="false">sheet1!apk135</f>
        <v>#NAME?</v>
      </c>
      <c r="M134" s="6" t="e">
        <f aca="false">sheet1!apl135</f>
        <v>#NAME?</v>
      </c>
    </row>
    <row r="135" customFormat="false" ht="15.75" hidden="false" customHeight="false" outlineLevel="0" collapsed="false">
      <c r="A135" s="0" t="s">
        <v>67</v>
      </c>
      <c r="B135" s="1" t="n">
        <v>43995</v>
      </c>
      <c r="C135" s="6" t="e">
        <f aca="false">sheet1!apb136</f>
        <v>#NAME?</v>
      </c>
      <c r="D135" s="6" t="e">
        <f aca="false">sheet1!apc136</f>
        <v>#NAME?</v>
      </c>
      <c r="E135" s="6" t="e">
        <f aca="false">sheet1!apd136</f>
        <v>#NAME?</v>
      </c>
      <c r="F135" s="6" t="e">
        <f aca="false">sheet1!ape136</f>
        <v>#NAME?</v>
      </c>
      <c r="G135" s="6" t="e">
        <f aca="false">sheet1!apf136</f>
        <v>#NAME?</v>
      </c>
      <c r="H135" s="6" t="e">
        <f aca="false">sheet1!apg136</f>
        <v>#NAME?</v>
      </c>
      <c r="I135" s="6" t="e">
        <f aca="false">sheet1!aph136</f>
        <v>#NAME?</v>
      </c>
      <c r="J135" s="6" t="e">
        <f aca="false">sheet1!api136</f>
        <v>#NAME?</v>
      </c>
      <c r="K135" s="6" t="e">
        <f aca="false">sheet1!apj136</f>
        <v>#NAME?</v>
      </c>
      <c r="L135" s="6" t="e">
        <f aca="false">sheet1!apk136</f>
        <v>#NAME?</v>
      </c>
      <c r="M135" s="6" t="e">
        <f aca="false">sheet1!apl136</f>
        <v>#NAME?</v>
      </c>
    </row>
    <row r="136" customFormat="false" ht="15.75" hidden="false" customHeight="false" outlineLevel="0" collapsed="false">
      <c r="A136" s="0" t="s">
        <v>67</v>
      </c>
      <c r="B136" s="1" t="n">
        <v>43996</v>
      </c>
      <c r="C136" s="6" t="e">
        <f aca="false">sheet1!apb137</f>
        <v>#NAME?</v>
      </c>
      <c r="D136" s="6" t="e">
        <f aca="false">sheet1!apc137</f>
        <v>#NAME?</v>
      </c>
      <c r="E136" s="6" t="e">
        <f aca="false">sheet1!apd137</f>
        <v>#NAME?</v>
      </c>
      <c r="F136" s="6" t="e">
        <f aca="false">sheet1!ape137</f>
        <v>#NAME?</v>
      </c>
      <c r="G136" s="6" t="e">
        <f aca="false">sheet1!apf137</f>
        <v>#NAME?</v>
      </c>
      <c r="H136" s="6" t="e">
        <f aca="false">sheet1!apg137</f>
        <v>#NAME?</v>
      </c>
      <c r="I136" s="6" t="e">
        <f aca="false">sheet1!aph137</f>
        <v>#NAME?</v>
      </c>
      <c r="J136" s="6" t="e">
        <f aca="false">sheet1!api137</f>
        <v>#NAME?</v>
      </c>
      <c r="K136" s="6" t="e">
        <f aca="false">sheet1!apj137</f>
        <v>#NAME?</v>
      </c>
      <c r="L136" s="6" t="e">
        <f aca="false">sheet1!apk137</f>
        <v>#NAME?</v>
      </c>
      <c r="M136" s="6" t="e">
        <f aca="false">sheet1!apl137</f>
        <v>#NAME?</v>
      </c>
    </row>
    <row r="137" customFormat="false" ht="15.75" hidden="false" customHeight="false" outlineLevel="0" collapsed="false">
      <c r="A137" s="0" t="s">
        <v>67</v>
      </c>
      <c r="B137" s="1" t="n">
        <v>43997</v>
      </c>
      <c r="C137" s="6" t="e">
        <f aca="false">sheet1!apb138</f>
        <v>#NAME?</v>
      </c>
      <c r="D137" s="6" t="e">
        <f aca="false">sheet1!apc138</f>
        <v>#NAME?</v>
      </c>
      <c r="E137" s="6" t="e">
        <f aca="false">sheet1!apd138</f>
        <v>#NAME?</v>
      </c>
      <c r="F137" s="6" t="e">
        <f aca="false">sheet1!ape138</f>
        <v>#NAME?</v>
      </c>
      <c r="G137" s="6" t="e">
        <f aca="false">sheet1!apf138</f>
        <v>#NAME?</v>
      </c>
      <c r="H137" s="6" t="e">
        <f aca="false">sheet1!apg138</f>
        <v>#NAME?</v>
      </c>
      <c r="I137" s="6" t="e">
        <f aca="false">sheet1!aph138</f>
        <v>#NAME?</v>
      </c>
      <c r="J137" s="6" t="e">
        <f aca="false">sheet1!api138</f>
        <v>#NAME?</v>
      </c>
      <c r="K137" s="6" t="e">
        <f aca="false">sheet1!apj138</f>
        <v>#NAME?</v>
      </c>
      <c r="L137" s="6" t="e">
        <f aca="false">sheet1!apk138</f>
        <v>#NAME?</v>
      </c>
      <c r="M137" s="6" t="e">
        <f aca="false">sheet1!apl138</f>
        <v>#NAME?</v>
      </c>
    </row>
    <row r="138" customFormat="false" ht="15.75" hidden="false" customHeight="false" outlineLevel="0" collapsed="false">
      <c r="A138" s="0" t="s">
        <v>67</v>
      </c>
      <c r="B138" s="1" t="n">
        <v>43998</v>
      </c>
      <c r="C138" s="6" t="e">
        <f aca="false">sheet1!apb139</f>
        <v>#NAME?</v>
      </c>
      <c r="D138" s="6" t="e">
        <f aca="false">sheet1!apc139</f>
        <v>#NAME?</v>
      </c>
      <c r="E138" s="6" t="e">
        <f aca="false">sheet1!apd139</f>
        <v>#NAME?</v>
      </c>
      <c r="F138" s="6" t="e">
        <f aca="false">sheet1!ape139</f>
        <v>#NAME?</v>
      </c>
      <c r="G138" s="6" t="e">
        <f aca="false">sheet1!apf139</f>
        <v>#NAME?</v>
      </c>
      <c r="H138" s="6" t="e">
        <f aca="false">sheet1!apg139</f>
        <v>#NAME?</v>
      </c>
      <c r="I138" s="6" t="e">
        <f aca="false">sheet1!aph139</f>
        <v>#NAME?</v>
      </c>
      <c r="J138" s="6" t="e">
        <f aca="false">sheet1!api139</f>
        <v>#NAME?</v>
      </c>
      <c r="K138" s="6" t="e">
        <f aca="false">sheet1!apj139</f>
        <v>#NAME?</v>
      </c>
      <c r="L138" s="6" t="e">
        <f aca="false">sheet1!apk139</f>
        <v>#NAME?</v>
      </c>
      <c r="M138" s="6" t="e">
        <f aca="false">sheet1!apl139</f>
        <v>#NAME?</v>
      </c>
    </row>
    <row r="139" customFormat="false" ht="15.75" hidden="false" customHeight="false" outlineLevel="0" collapsed="false">
      <c r="A139" s="0" t="s">
        <v>67</v>
      </c>
      <c r="B139" s="1" t="n">
        <v>43999</v>
      </c>
      <c r="C139" s="6" t="e">
        <f aca="false">sheet1!apb140</f>
        <v>#NAME?</v>
      </c>
      <c r="D139" s="6" t="e">
        <f aca="false">sheet1!apc140</f>
        <v>#NAME?</v>
      </c>
      <c r="E139" s="6" t="e">
        <f aca="false">sheet1!apd140</f>
        <v>#NAME?</v>
      </c>
      <c r="F139" s="6" t="e">
        <f aca="false">sheet1!ape140</f>
        <v>#NAME?</v>
      </c>
      <c r="G139" s="6" t="e">
        <f aca="false">sheet1!apf140</f>
        <v>#NAME?</v>
      </c>
      <c r="H139" s="6" t="e">
        <f aca="false">sheet1!apg140</f>
        <v>#NAME?</v>
      </c>
      <c r="I139" s="6" t="e">
        <f aca="false">sheet1!aph140</f>
        <v>#NAME?</v>
      </c>
      <c r="J139" s="6" t="e">
        <f aca="false">sheet1!api140</f>
        <v>#NAME?</v>
      </c>
      <c r="K139" s="6" t="e">
        <f aca="false">sheet1!apj140</f>
        <v>#NAME?</v>
      </c>
      <c r="L139" s="6" t="e">
        <f aca="false">sheet1!apk140</f>
        <v>#NAME?</v>
      </c>
      <c r="M139" s="6" t="e">
        <f aca="false">sheet1!apl140</f>
        <v>#NAME?</v>
      </c>
    </row>
    <row r="140" customFormat="false" ht="15.75" hidden="false" customHeight="false" outlineLevel="0" collapsed="false">
      <c r="A140" s="0" t="s">
        <v>67</v>
      </c>
      <c r="B140" s="1" t="n">
        <v>44000</v>
      </c>
      <c r="C140" s="6" t="e">
        <f aca="false">sheet1!apb141</f>
        <v>#NAME?</v>
      </c>
      <c r="D140" s="6" t="e">
        <f aca="false">sheet1!apc141</f>
        <v>#NAME?</v>
      </c>
      <c r="E140" s="6" t="e">
        <f aca="false">sheet1!apd141</f>
        <v>#NAME?</v>
      </c>
      <c r="F140" s="6" t="e">
        <f aca="false">sheet1!ape141</f>
        <v>#NAME?</v>
      </c>
      <c r="G140" s="6" t="e">
        <f aca="false">sheet1!apf141</f>
        <v>#NAME?</v>
      </c>
      <c r="H140" s="6" t="e">
        <f aca="false">sheet1!apg141</f>
        <v>#NAME?</v>
      </c>
      <c r="I140" s="6" t="e">
        <f aca="false">sheet1!aph141</f>
        <v>#NAME?</v>
      </c>
      <c r="J140" s="6" t="e">
        <f aca="false">sheet1!api141</f>
        <v>#NAME?</v>
      </c>
      <c r="K140" s="6" t="e">
        <f aca="false">sheet1!apj141</f>
        <v>#NAME?</v>
      </c>
      <c r="L140" s="6" t="e">
        <f aca="false">sheet1!apk141</f>
        <v>#NAME?</v>
      </c>
      <c r="M140" s="6" t="e">
        <f aca="false">sheet1!apl141</f>
        <v>#NAME?</v>
      </c>
    </row>
    <row r="141" customFormat="false" ht="15.75" hidden="false" customHeight="false" outlineLevel="0" collapsed="false">
      <c r="A141" s="0" t="s">
        <v>67</v>
      </c>
      <c r="B141" s="1" t="n">
        <v>44001</v>
      </c>
      <c r="C141" s="6" t="e">
        <f aca="false">sheet1!apb142</f>
        <v>#NAME?</v>
      </c>
      <c r="D141" s="6" t="e">
        <f aca="false">sheet1!apc142</f>
        <v>#NAME?</v>
      </c>
      <c r="E141" s="6" t="e">
        <f aca="false">sheet1!apd142</f>
        <v>#NAME?</v>
      </c>
      <c r="F141" s="6" t="e">
        <f aca="false">sheet1!ape142</f>
        <v>#NAME?</v>
      </c>
      <c r="G141" s="6" t="e">
        <f aca="false">sheet1!apf142</f>
        <v>#NAME?</v>
      </c>
      <c r="H141" s="6" t="e">
        <f aca="false">sheet1!apg142</f>
        <v>#NAME?</v>
      </c>
      <c r="I141" s="6" t="e">
        <f aca="false">sheet1!aph142</f>
        <v>#NAME?</v>
      </c>
      <c r="J141" s="6" t="e">
        <f aca="false">sheet1!api142</f>
        <v>#NAME?</v>
      </c>
      <c r="K141" s="6" t="e">
        <f aca="false">sheet1!apj142</f>
        <v>#NAME?</v>
      </c>
      <c r="L141" s="6" t="e">
        <f aca="false">sheet1!apk142</f>
        <v>#NAME?</v>
      </c>
      <c r="M141" s="6" t="e">
        <f aca="false">sheet1!apl142</f>
        <v>#NAME?</v>
      </c>
    </row>
    <row r="142" customFormat="false" ht="15.75" hidden="false" customHeight="false" outlineLevel="0" collapsed="false">
      <c r="A142" s="0" t="s">
        <v>67</v>
      </c>
      <c r="B142" s="1" t="n">
        <v>44002</v>
      </c>
      <c r="C142" s="6" t="e">
        <f aca="false">sheet1!apb143</f>
        <v>#NAME?</v>
      </c>
      <c r="D142" s="6" t="e">
        <f aca="false">sheet1!apc143</f>
        <v>#NAME?</v>
      </c>
      <c r="E142" s="6" t="e">
        <f aca="false">sheet1!apd143</f>
        <v>#NAME?</v>
      </c>
      <c r="F142" s="6" t="e">
        <f aca="false">sheet1!ape143</f>
        <v>#NAME?</v>
      </c>
      <c r="G142" s="6" t="e">
        <f aca="false">sheet1!apf143</f>
        <v>#NAME?</v>
      </c>
      <c r="H142" s="6" t="e">
        <f aca="false">sheet1!apg143</f>
        <v>#NAME?</v>
      </c>
      <c r="I142" s="6" t="e">
        <f aca="false">sheet1!aph143</f>
        <v>#NAME?</v>
      </c>
      <c r="J142" s="6" t="e">
        <f aca="false">sheet1!api143</f>
        <v>#NAME?</v>
      </c>
      <c r="K142" s="6" t="e">
        <f aca="false">sheet1!apj143</f>
        <v>#NAME?</v>
      </c>
      <c r="L142" s="6" t="e">
        <f aca="false">sheet1!apk143</f>
        <v>#NAME?</v>
      </c>
      <c r="M142" s="6" t="e">
        <f aca="false">sheet1!apl143</f>
        <v>#NAME?</v>
      </c>
    </row>
    <row r="143" customFormat="false" ht="15.75" hidden="false" customHeight="false" outlineLevel="0" collapsed="false">
      <c r="A143" s="0" t="s">
        <v>67</v>
      </c>
      <c r="B143" s="1" t="n">
        <v>44003</v>
      </c>
      <c r="C143" s="6" t="e">
        <f aca="false">sheet1!apb144</f>
        <v>#NAME?</v>
      </c>
      <c r="D143" s="6" t="e">
        <f aca="false">sheet1!apc144</f>
        <v>#NAME?</v>
      </c>
      <c r="E143" s="6" t="e">
        <f aca="false">sheet1!apd144</f>
        <v>#NAME?</v>
      </c>
      <c r="F143" s="6" t="e">
        <f aca="false">sheet1!ape144</f>
        <v>#NAME?</v>
      </c>
      <c r="G143" s="6" t="e">
        <f aca="false">sheet1!apf144</f>
        <v>#NAME?</v>
      </c>
      <c r="H143" s="6" t="e">
        <f aca="false">sheet1!apg144</f>
        <v>#NAME?</v>
      </c>
      <c r="I143" s="6" t="e">
        <f aca="false">sheet1!aph144</f>
        <v>#NAME?</v>
      </c>
      <c r="J143" s="6" t="e">
        <f aca="false">sheet1!api144</f>
        <v>#NAME?</v>
      </c>
      <c r="K143" s="6" t="e">
        <f aca="false">sheet1!apj144</f>
        <v>#NAME?</v>
      </c>
      <c r="L143" s="6" t="e">
        <f aca="false">sheet1!apk144</f>
        <v>#NAME?</v>
      </c>
      <c r="M143" s="6" t="e">
        <f aca="false">sheet1!apl144</f>
        <v>#NAME?</v>
      </c>
    </row>
    <row r="144" customFormat="false" ht="15.75" hidden="false" customHeight="false" outlineLevel="0" collapsed="false">
      <c r="A144" s="0" t="s">
        <v>67</v>
      </c>
      <c r="B144" s="1" t="n">
        <v>44004</v>
      </c>
      <c r="C144" s="6" t="e">
        <f aca="false">sheet1!apb145</f>
        <v>#NAME?</v>
      </c>
      <c r="D144" s="6" t="e">
        <f aca="false">sheet1!apc145</f>
        <v>#NAME?</v>
      </c>
      <c r="E144" s="6" t="e">
        <f aca="false">sheet1!apd145</f>
        <v>#NAME?</v>
      </c>
      <c r="F144" s="6" t="e">
        <f aca="false">sheet1!ape145</f>
        <v>#NAME?</v>
      </c>
      <c r="G144" s="6" t="e">
        <f aca="false">sheet1!apf145</f>
        <v>#NAME?</v>
      </c>
      <c r="H144" s="6" t="e">
        <f aca="false">sheet1!apg145</f>
        <v>#NAME?</v>
      </c>
      <c r="I144" s="6" t="e">
        <f aca="false">sheet1!aph145</f>
        <v>#NAME?</v>
      </c>
      <c r="J144" s="6" t="e">
        <f aca="false">sheet1!api145</f>
        <v>#NAME?</v>
      </c>
      <c r="K144" s="6" t="e">
        <f aca="false">sheet1!apj145</f>
        <v>#NAME?</v>
      </c>
      <c r="L144" s="6" t="e">
        <f aca="false">sheet1!apk145</f>
        <v>#NAME?</v>
      </c>
      <c r="M144" s="6" t="e">
        <f aca="false">sheet1!apl145</f>
        <v>#NAME?</v>
      </c>
    </row>
    <row r="145" customFormat="false" ht="15.75" hidden="false" customHeight="false" outlineLevel="0" collapsed="false">
      <c r="A145" s="0" t="s">
        <v>67</v>
      </c>
      <c r="B145" s="1" t="n">
        <v>44005</v>
      </c>
      <c r="C145" s="6" t="e">
        <f aca="false">sheet1!apb146</f>
        <v>#NAME?</v>
      </c>
      <c r="D145" s="6" t="e">
        <f aca="false">sheet1!apc146</f>
        <v>#NAME?</v>
      </c>
      <c r="E145" s="6" t="e">
        <f aca="false">sheet1!apd146</f>
        <v>#NAME?</v>
      </c>
      <c r="F145" s="6" t="e">
        <f aca="false">sheet1!ape146</f>
        <v>#NAME?</v>
      </c>
      <c r="G145" s="6" t="e">
        <f aca="false">sheet1!apf146</f>
        <v>#NAME?</v>
      </c>
      <c r="H145" s="6" t="e">
        <f aca="false">sheet1!apg146</f>
        <v>#NAME?</v>
      </c>
      <c r="I145" s="6" t="e">
        <f aca="false">sheet1!aph146</f>
        <v>#NAME?</v>
      </c>
      <c r="J145" s="6" t="e">
        <f aca="false">sheet1!api146</f>
        <v>#NAME?</v>
      </c>
      <c r="K145" s="6" t="e">
        <f aca="false">sheet1!apj146</f>
        <v>#NAME?</v>
      </c>
      <c r="L145" s="6" t="e">
        <f aca="false">sheet1!apk146</f>
        <v>#NAME?</v>
      </c>
      <c r="M145" s="6" t="e">
        <f aca="false">sheet1!apl146</f>
        <v>#NAME?</v>
      </c>
    </row>
    <row r="146" customFormat="false" ht="15.75" hidden="false" customHeight="false" outlineLevel="0" collapsed="false">
      <c r="A146" s="0" t="s">
        <v>67</v>
      </c>
      <c r="B146" s="1" t="n">
        <v>44006</v>
      </c>
      <c r="C146" s="6" t="e">
        <f aca="false">sheet1!apb147</f>
        <v>#NAME?</v>
      </c>
      <c r="D146" s="6" t="e">
        <f aca="false">sheet1!apc147</f>
        <v>#NAME?</v>
      </c>
      <c r="E146" s="6" t="e">
        <f aca="false">sheet1!apd147</f>
        <v>#NAME?</v>
      </c>
      <c r="F146" s="6" t="e">
        <f aca="false">sheet1!ape147</f>
        <v>#NAME?</v>
      </c>
      <c r="G146" s="6" t="e">
        <f aca="false">sheet1!apf147</f>
        <v>#NAME?</v>
      </c>
      <c r="H146" s="6" t="e">
        <f aca="false">sheet1!apg147</f>
        <v>#NAME?</v>
      </c>
      <c r="I146" s="6" t="e">
        <f aca="false">sheet1!aph147</f>
        <v>#NAME?</v>
      </c>
      <c r="J146" s="6" t="e">
        <f aca="false">sheet1!api147</f>
        <v>#NAME?</v>
      </c>
      <c r="K146" s="6" t="e">
        <f aca="false">sheet1!apj147</f>
        <v>#NAME?</v>
      </c>
      <c r="L146" s="6" t="e">
        <f aca="false">sheet1!apk147</f>
        <v>#NAME?</v>
      </c>
      <c r="M146" s="6" t="e">
        <f aca="false">sheet1!apl147</f>
        <v>#NAME?</v>
      </c>
    </row>
    <row r="147" customFormat="false" ht="15.75" hidden="false" customHeight="false" outlineLevel="0" collapsed="false">
      <c r="A147" s="0" t="s">
        <v>67</v>
      </c>
      <c r="B147" s="1" t="n">
        <v>44007</v>
      </c>
      <c r="C147" s="6" t="e">
        <f aca="false">sheet1!apb148</f>
        <v>#NAME?</v>
      </c>
      <c r="D147" s="6" t="e">
        <f aca="false">sheet1!apc148</f>
        <v>#NAME?</v>
      </c>
      <c r="E147" s="6" t="e">
        <f aca="false">sheet1!apd148</f>
        <v>#NAME?</v>
      </c>
      <c r="F147" s="6" t="e">
        <f aca="false">sheet1!ape148</f>
        <v>#NAME?</v>
      </c>
      <c r="G147" s="6" t="e">
        <f aca="false">sheet1!apf148</f>
        <v>#NAME?</v>
      </c>
      <c r="H147" s="6" t="e">
        <f aca="false">sheet1!apg148</f>
        <v>#NAME?</v>
      </c>
      <c r="I147" s="6" t="e">
        <f aca="false">sheet1!aph148</f>
        <v>#NAME?</v>
      </c>
      <c r="J147" s="6" t="e">
        <f aca="false">sheet1!api148</f>
        <v>#NAME?</v>
      </c>
      <c r="K147" s="6" t="e">
        <f aca="false">sheet1!apj148</f>
        <v>#NAME?</v>
      </c>
      <c r="L147" s="6" t="e">
        <f aca="false">sheet1!apk148</f>
        <v>#NAME?</v>
      </c>
      <c r="M147" s="6" t="e">
        <f aca="false">sheet1!apl148</f>
        <v>#NAME?</v>
      </c>
    </row>
    <row r="148" customFormat="false" ht="15.75" hidden="false" customHeight="false" outlineLevel="0" collapsed="false">
      <c r="A148" s="0" t="s">
        <v>67</v>
      </c>
      <c r="B148" s="1" t="n">
        <v>44008</v>
      </c>
      <c r="C148" s="6" t="e">
        <f aca="false">sheet1!apb149</f>
        <v>#NAME?</v>
      </c>
      <c r="D148" s="6" t="e">
        <f aca="false">sheet1!apc149</f>
        <v>#NAME?</v>
      </c>
      <c r="E148" s="6" t="e">
        <f aca="false">sheet1!apd149</f>
        <v>#NAME?</v>
      </c>
      <c r="F148" s="6" t="e">
        <f aca="false">sheet1!ape149</f>
        <v>#NAME?</v>
      </c>
      <c r="G148" s="6" t="e">
        <f aca="false">sheet1!apf149</f>
        <v>#NAME?</v>
      </c>
      <c r="H148" s="6" t="e">
        <f aca="false">sheet1!apg149</f>
        <v>#NAME?</v>
      </c>
      <c r="I148" s="6" t="e">
        <f aca="false">sheet1!aph149</f>
        <v>#NAME?</v>
      </c>
      <c r="J148" s="6" t="e">
        <f aca="false">sheet1!api149</f>
        <v>#NAME?</v>
      </c>
      <c r="K148" s="6" t="e">
        <f aca="false">sheet1!apj149</f>
        <v>#NAME?</v>
      </c>
      <c r="L148" s="6" t="e">
        <f aca="false">sheet1!apk149</f>
        <v>#NAME?</v>
      </c>
      <c r="M148" s="6" t="e">
        <f aca="false">sheet1!apl149</f>
        <v>#NAME?</v>
      </c>
    </row>
    <row r="149" customFormat="false" ht="15.75" hidden="false" customHeight="false" outlineLevel="0" collapsed="false">
      <c r="A149" s="0" t="s">
        <v>67</v>
      </c>
      <c r="B149" s="1" t="n">
        <v>44009</v>
      </c>
      <c r="C149" s="6" t="e">
        <f aca="false">sheet1!apb150</f>
        <v>#NAME?</v>
      </c>
      <c r="D149" s="6" t="e">
        <f aca="false">sheet1!apc150</f>
        <v>#NAME?</v>
      </c>
      <c r="E149" s="6" t="e">
        <f aca="false">sheet1!apd150</f>
        <v>#NAME?</v>
      </c>
      <c r="F149" s="6" t="e">
        <f aca="false">sheet1!ape150</f>
        <v>#NAME?</v>
      </c>
      <c r="G149" s="6" t="e">
        <f aca="false">sheet1!apf150</f>
        <v>#NAME?</v>
      </c>
      <c r="H149" s="6" t="e">
        <f aca="false">sheet1!apg150</f>
        <v>#NAME?</v>
      </c>
      <c r="I149" s="6" t="e">
        <f aca="false">sheet1!aph150</f>
        <v>#NAME?</v>
      </c>
      <c r="J149" s="6" t="e">
        <f aca="false">sheet1!api150</f>
        <v>#NAME?</v>
      </c>
      <c r="K149" s="6" t="e">
        <f aca="false">sheet1!apj150</f>
        <v>#NAME?</v>
      </c>
      <c r="L149" s="6" t="e">
        <f aca="false">sheet1!apk150</f>
        <v>#NAME?</v>
      </c>
      <c r="M149" s="6" t="e">
        <f aca="false">sheet1!apl150</f>
        <v>#NAME?</v>
      </c>
    </row>
    <row r="150" customFormat="false" ht="15.75" hidden="false" customHeight="false" outlineLevel="0" collapsed="false">
      <c r="A150" s="0" t="s">
        <v>67</v>
      </c>
      <c r="B150" s="1" t="n">
        <v>44010</v>
      </c>
      <c r="C150" s="6" t="e">
        <f aca="false">sheet1!apb151</f>
        <v>#NAME?</v>
      </c>
      <c r="D150" s="6" t="e">
        <f aca="false">sheet1!apc151</f>
        <v>#NAME?</v>
      </c>
      <c r="E150" s="6" t="e">
        <f aca="false">sheet1!apd151</f>
        <v>#NAME?</v>
      </c>
      <c r="F150" s="6" t="e">
        <f aca="false">sheet1!ape151</f>
        <v>#NAME?</v>
      </c>
      <c r="G150" s="6" t="e">
        <f aca="false">sheet1!apf151</f>
        <v>#NAME?</v>
      </c>
      <c r="H150" s="6" t="e">
        <f aca="false">sheet1!apg151</f>
        <v>#NAME?</v>
      </c>
      <c r="I150" s="6" t="e">
        <f aca="false">sheet1!aph151</f>
        <v>#NAME?</v>
      </c>
      <c r="J150" s="6" t="e">
        <f aca="false">sheet1!api151</f>
        <v>#NAME?</v>
      </c>
      <c r="K150" s="6" t="e">
        <f aca="false">sheet1!apj151</f>
        <v>#NAME?</v>
      </c>
      <c r="L150" s="6" t="e">
        <f aca="false">sheet1!apk151</f>
        <v>#NAME?</v>
      </c>
      <c r="M150" s="6" t="e">
        <f aca="false">sheet1!apl151</f>
        <v>#NAME?</v>
      </c>
    </row>
    <row r="151" customFormat="false" ht="15.75" hidden="false" customHeight="false" outlineLevel="0" collapsed="false">
      <c r="A151" s="0" t="s">
        <v>67</v>
      </c>
      <c r="B151" s="1" t="n">
        <v>44011</v>
      </c>
      <c r="C151" s="6" t="e">
        <f aca="false">sheet1!apb152</f>
        <v>#NAME?</v>
      </c>
      <c r="D151" s="6" t="e">
        <f aca="false">sheet1!apc152</f>
        <v>#NAME?</v>
      </c>
      <c r="E151" s="6" t="e">
        <f aca="false">sheet1!apd152</f>
        <v>#NAME?</v>
      </c>
      <c r="F151" s="6" t="e">
        <f aca="false">sheet1!ape152</f>
        <v>#NAME?</v>
      </c>
      <c r="G151" s="6" t="e">
        <f aca="false">sheet1!apf152</f>
        <v>#NAME?</v>
      </c>
      <c r="H151" s="6" t="e">
        <f aca="false">sheet1!apg152</f>
        <v>#NAME?</v>
      </c>
      <c r="I151" s="6" t="e">
        <f aca="false">sheet1!aph152</f>
        <v>#NAME?</v>
      </c>
      <c r="J151" s="6" t="e">
        <f aca="false">sheet1!api152</f>
        <v>#NAME?</v>
      </c>
      <c r="K151" s="6" t="e">
        <f aca="false">sheet1!apj152</f>
        <v>#NAME?</v>
      </c>
      <c r="L151" s="6" t="e">
        <f aca="false">sheet1!apk152</f>
        <v>#NAME?</v>
      </c>
      <c r="M151" s="6" t="e">
        <f aca="false">sheet1!apl152</f>
        <v>#NAME?</v>
      </c>
    </row>
    <row r="152" customFormat="false" ht="15.75" hidden="false" customHeight="false" outlineLevel="0" collapsed="false">
      <c r="A152" s="0" t="s">
        <v>67</v>
      </c>
      <c r="B152" s="1" t="n">
        <v>44012</v>
      </c>
      <c r="C152" s="6" t="e">
        <f aca="false">sheet1!apb153</f>
        <v>#NAME?</v>
      </c>
      <c r="D152" s="6" t="e">
        <f aca="false">sheet1!apc153</f>
        <v>#NAME?</v>
      </c>
      <c r="E152" s="6" t="e">
        <f aca="false">sheet1!apd153</f>
        <v>#NAME?</v>
      </c>
      <c r="F152" s="6" t="e">
        <f aca="false">sheet1!ape153</f>
        <v>#NAME?</v>
      </c>
      <c r="G152" s="6" t="e">
        <f aca="false">sheet1!apf153</f>
        <v>#NAME?</v>
      </c>
      <c r="H152" s="6" t="e">
        <f aca="false">sheet1!apg153</f>
        <v>#NAME?</v>
      </c>
      <c r="I152" s="6" t="e">
        <f aca="false">sheet1!aph153</f>
        <v>#NAME?</v>
      </c>
      <c r="J152" s="6" t="e">
        <f aca="false">sheet1!api153</f>
        <v>#NAME?</v>
      </c>
      <c r="K152" s="6" t="e">
        <f aca="false">sheet1!apj153</f>
        <v>#NAME?</v>
      </c>
      <c r="L152" s="6" t="e">
        <f aca="false">sheet1!apk153</f>
        <v>#NAME?</v>
      </c>
      <c r="M152" s="6" t="e">
        <f aca="false">sheet1!apl153</f>
        <v>#NAME?</v>
      </c>
    </row>
    <row r="153" customFormat="false" ht="15.75" hidden="false" customHeight="false" outlineLevel="0" collapsed="false">
      <c r="A153" s="0" t="s">
        <v>67</v>
      </c>
      <c r="B153" s="1" t="n">
        <v>44013</v>
      </c>
      <c r="C153" s="6" t="e">
        <f aca="false">sheet1!apb154</f>
        <v>#NAME?</v>
      </c>
      <c r="D153" s="6" t="e">
        <f aca="false">sheet1!apc154</f>
        <v>#NAME?</v>
      </c>
      <c r="E153" s="6" t="e">
        <f aca="false">sheet1!apd154</f>
        <v>#NAME?</v>
      </c>
      <c r="F153" s="6" t="e">
        <f aca="false">sheet1!ape154</f>
        <v>#NAME?</v>
      </c>
      <c r="G153" s="6" t="e">
        <f aca="false">sheet1!apf154</f>
        <v>#NAME?</v>
      </c>
      <c r="H153" s="6" t="e">
        <f aca="false">sheet1!apg154</f>
        <v>#NAME?</v>
      </c>
      <c r="I153" s="6" t="e">
        <f aca="false">sheet1!aph154</f>
        <v>#NAME?</v>
      </c>
      <c r="J153" s="6" t="e">
        <f aca="false">sheet1!api154</f>
        <v>#NAME?</v>
      </c>
      <c r="K153" s="6" t="e">
        <f aca="false">sheet1!apj154</f>
        <v>#NAME?</v>
      </c>
      <c r="L153" s="6" t="e">
        <f aca="false">sheet1!apk154</f>
        <v>#NAME?</v>
      </c>
      <c r="M153" s="6" t="e">
        <f aca="false">sheet1!apl154</f>
        <v>#NAME?</v>
      </c>
    </row>
    <row r="154" customFormat="false" ht="15.75" hidden="false" customHeight="false" outlineLevel="0" collapsed="false">
      <c r="A154" s="0" t="s">
        <v>67</v>
      </c>
      <c r="B154" s="1" t="n">
        <v>44014</v>
      </c>
      <c r="C154" s="6" t="e">
        <f aca="false">sheet1!apb155</f>
        <v>#NAME?</v>
      </c>
      <c r="D154" s="6" t="e">
        <f aca="false">sheet1!apc155</f>
        <v>#NAME?</v>
      </c>
      <c r="E154" s="6" t="e">
        <f aca="false">sheet1!apd155</f>
        <v>#NAME?</v>
      </c>
      <c r="F154" s="6" t="e">
        <f aca="false">sheet1!ape155</f>
        <v>#NAME?</v>
      </c>
      <c r="G154" s="6" t="e">
        <f aca="false">sheet1!apf155</f>
        <v>#NAME?</v>
      </c>
      <c r="H154" s="6" t="e">
        <f aca="false">sheet1!apg155</f>
        <v>#NAME?</v>
      </c>
      <c r="I154" s="6" t="e">
        <f aca="false">sheet1!aph155</f>
        <v>#NAME?</v>
      </c>
      <c r="J154" s="6" t="e">
        <f aca="false">sheet1!api155</f>
        <v>#NAME?</v>
      </c>
      <c r="K154" s="6" t="e">
        <f aca="false">sheet1!apj155</f>
        <v>#NAME?</v>
      </c>
      <c r="L154" s="6" t="e">
        <f aca="false">sheet1!apk155</f>
        <v>#NAME?</v>
      </c>
      <c r="M154" s="6" t="e">
        <f aca="false">sheet1!apl155</f>
        <v>#NAME?</v>
      </c>
    </row>
    <row r="155" customFormat="false" ht="15.75" hidden="false" customHeight="false" outlineLevel="0" collapsed="false">
      <c r="A155" s="0" t="s">
        <v>67</v>
      </c>
      <c r="B155" s="1" t="n">
        <v>44015</v>
      </c>
      <c r="C155" s="6" t="e">
        <f aca="false">sheet1!apb156</f>
        <v>#NAME?</v>
      </c>
      <c r="D155" s="6" t="e">
        <f aca="false">sheet1!apc156</f>
        <v>#NAME?</v>
      </c>
      <c r="E155" s="6" t="e">
        <f aca="false">sheet1!apd156</f>
        <v>#NAME?</v>
      </c>
      <c r="F155" s="6" t="e">
        <f aca="false">sheet1!ape156</f>
        <v>#NAME?</v>
      </c>
      <c r="G155" s="6" t="e">
        <f aca="false">sheet1!apf156</f>
        <v>#NAME?</v>
      </c>
      <c r="H155" s="6" t="e">
        <f aca="false">sheet1!apg156</f>
        <v>#NAME?</v>
      </c>
      <c r="I155" s="6" t="e">
        <f aca="false">sheet1!aph156</f>
        <v>#NAME?</v>
      </c>
      <c r="J155" s="6" t="e">
        <f aca="false">sheet1!api156</f>
        <v>#NAME?</v>
      </c>
      <c r="K155" s="6" t="e">
        <f aca="false">sheet1!apj156</f>
        <v>#NAME?</v>
      </c>
      <c r="L155" s="6" t="e">
        <f aca="false">sheet1!apk156</f>
        <v>#NAME?</v>
      </c>
      <c r="M155" s="6" t="e">
        <f aca="false">sheet1!apl156</f>
        <v>#NAME?</v>
      </c>
    </row>
    <row r="156" customFormat="false" ht="15.75" hidden="false" customHeight="false" outlineLevel="0" collapsed="false">
      <c r="A156" s="0" t="s">
        <v>67</v>
      </c>
      <c r="B156" s="1" t="n">
        <v>44016</v>
      </c>
      <c r="C156" s="6" t="e">
        <f aca="false">sheet1!apb157</f>
        <v>#NAME?</v>
      </c>
      <c r="D156" s="6" t="e">
        <f aca="false">sheet1!apc157</f>
        <v>#NAME?</v>
      </c>
      <c r="E156" s="6" t="e">
        <f aca="false">sheet1!apd157</f>
        <v>#NAME?</v>
      </c>
      <c r="F156" s="6" t="e">
        <f aca="false">sheet1!ape157</f>
        <v>#NAME?</v>
      </c>
      <c r="G156" s="6" t="e">
        <f aca="false">sheet1!apf157</f>
        <v>#NAME?</v>
      </c>
      <c r="H156" s="6" t="e">
        <f aca="false">sheet1!apg157</f>
        <v>#NAME?</v>
      </c>
      <c r="I156" s="6" t="e">
        <f aca="false">sheet1!aph157</f>
        <v>#NAME?</v>
      </c>
      <c r="J156" s="6" t="e">
        <f aca="false">sheet1!api157</f>
        <v>#NAME?</v>
      </c>
      <c r="K156" s="6" t="e">
        <f aca="false">sheet1!apj157</f>
        <v>#NAME?</v>
      </c>
      <c r="L156" s="6" t="e">
        <f aca="false">sheet1!apk157</f>
        <v>#NAME?</v>
      </c>
      <c r="M156" s="6" t="e">
        <f aca="false">sheet1!apl157</f>
        <v>#NAME?</v>
      </c>
    </row>
    <row r="157" customFormat="false" ht="15.75" hidden="false" customHeight="false" outlineLevel="0" collapsed="false">
      <c r="A157" s="0" t="s">
        <v>67</v>
      </c>
      <c r="B157" s="1" t="n">
        <v>44017</v>
      </c>
      <c r="C157" s="6" t="e">
        <f aca="false">sheet1!apb158</f>
        <v>#NAME?</v>
      </c>
      <c r="D157" s="6" t="e">
        <f aca="false">sheet1!apc158</f>
        <v>#NAME?</v>
      </c>
      <c r="E157" s="6" t="e">
        <f aca="false">sheet1!apd158</f>
        <v>#NAME?</v>
      </c>
      <c r="F157" s="6" t="e">
        <f aca="false">sheet1!ape158</f>
        <v>#NAME?</v>
      </c>
      <c r="G157" s="6" t="e">
        <f aca="false">sheet1!apf158</f>
        <v>#NAME?</v>
      </c>
      <c r="H157" s="6" t="e">
        <f aca="false">sheet1!apg158</f>
        <v>#NAME?</v>
      </c>
      <c r="I157" s="6" t="e">
        <f aca="false">sheet1!aph158</f>
        <v>#NAME?</v>
      </c>
      <c r="J157" s="6" t="e">
        <f aca="false">sheet1!api158</f>
        <v>#NAME?</v>
      </c>
      <c r="K157" s="6" t="e">
        <f aca="false">sheet1!apj158</f>
        <v>#NAME?</v>
      </c>
      <c r="L157" s="6" t="e">
        <f aca="false">sheet1!apk158</f>
        <v>#NAME?</v>
      </c>
      <c r="M157" s="6" t="e">
        <f aca="false">sheet1!apl158</f>
        <v>#NAME?</v>
      </c>
    </row>
    <row r="158" customFormat="false" ht="15.75" hidden="false" customHeight="false" outlineLevel="0" collapsed="false">
      <c r="A158" s="0" t="s">
        <v>67</v>
      </c>
      <c r="B158" s="1" t="n">
        <v>44018</v>
      </c>
      <c r="C158" s="6" t="e">
        <f aca="false">sheet1!apb159</f>
        <v>#NAME?</v>
      </c>
      <c r="D158" s="6" t="e">
        <f aca="false">sheet1!apc159</f>
        <v>#NAME?</v>
      </c>
      <c r="E158" s="6" t="e">
        <f aca="false">sheet1!apd159</f>
        <v>#NAME?</v>
      </c>
      <c r="F158" s="6" t="e">
        <f aca="false">sheet1!ape159</f>
        <v>#NAME?</v>
      </c>
      <c r="G158" s="6" t="e">
        <f aca="false">sheet1!apf159</f>
        <v>#NAME?</v>
      </c>
      <c r="H158" s="6" t="e">
        <f aca="false">sheet1!apg159</f>
        <v>#NAME?</v>
      </c>
      <c r="I158" s="6" t="e">
        <f aca="false">sheet1!aph159</f>
        <v>#NAME?</v>
      </c>
      <c r="J158" s="6" t="e">
        <f aca="false">sheet1!api159</f>
        <v>#NAME?</v>
      </c>
      <c r="K158" s="6" t="e">
        <f aca="false">sheet1!apj159</f>
        <v>#NAME?</v>
      </c>
      <c r="L158" s="6" t="e">
        <f aca="false">sheet1!apk159</f>
        <v>#NAME?</v>
      </c>
      <c r="M158" s="6" t="e">
        <f aca="false">sheet1!apl159</f>
        <v>#NAME?</v>
      </c>
    </row>
    <row r="159" customFormat="false" ht="15.75" hidden="false" customHeight="false" outlineLevel="0" collapsed="false">
      <c r="A159" s="0" t="s">
        <v>67</v>
      </c>
      <c r="B159" s="1" t="n">
        <v>44019</v>
      </c>
      <c r="C159" s="6" t="e">
        <f aca="false">sheet1!apb160</f>
        <v>#NAME?</v>
      </c>
      <c r="D159" s="6" t="e">
        <f aca="false">sheet1!apc160</f>
        <v>#NAME?</v>
      </c>
      <c r="E159" s="6" t="e">
        <f aca="false">sheet1!apd160</f>
        <v>#NAME?</v>
      </c>
      <c r="F159" s="6" t="e">
        <f aca="false">sheet1!ape160</f>
        <v>#NAME?</v>
      </c>
      <c r="G159" s="6" t="e">
        <f aca="false">sheet1!apf160</f>
        <v>#NAME?</v>
      </c>
      <c r="H159" s="6" t="e">
        <f aca="false">sheet1!apg160</f>
        <v>#NAME?</v>
      </c>
      <c r="I159" s="6" t="e">
        <f aca="false">sheet1!aph160</f>
        <v>#NAME?</v>
      </c>
      <c r="J159" s="6" t="e">
        <f aca="false">sheet1!api160</f>
        <v>#NAME?</v>
      </c>
      <c r="K159" s="6" t="e">
        <f aca="false">sheet1!apj160</f>
        <v>#NAME?</v>
      </c>
      <c r="L159" s="6" t="e">
        <f aca="false">sheet1!apk160</f>
        <v>#NAME?</v>
      </c>
      <c r="M159" s="6" t="e">
        <f aca="false">sheet1!apl160</f>
        <v>#NAME?</v>
      </c>
    </row>
    <row r="160" customFormat="false" ht="15.75" hidden="false" customHeight="false" outlineLevel="0" collapsed="false">
      <c r="A160" s="0" t="s">
        <v>67</v>
      </c>
      <c r="B160" s="1" t="n">
        <v>44020</v>
      </c>
      <c r="C160" s="6" t="e">
        <f aca="false">sheet1!apb161</f>
        <v>#NAME?</v>
      </c>
      <c r="D160" s="6" t="e">
        <f aca="false">sheet1!apc161</f>
        <v>#NAME?</v>
      </c>
      <c r="E160" s="6" t="e">
        <f aca="false">sheet1!apd161</f>
        <v>#NAME?</v>
      </c>
      <c r="F160" s="6" t="e">
        <f aca="false">sheet1!ape161</f>
        <v>#NAME?</v>
      </c>
      <c r="G160" s="6" t="e">
        <f aca="false">sheet1!apf161</f>
        <v>#NAME?</v>
      </c>
      <c r="H160" s="6" t="e">
        <f aca="false">sheet1!apg161</f>
        <v>#NAME?</v>
      </c>
      <c r="I160" s="6" t="e">
        <f aca="false">sheet1!aph161</f>
        <v>#NAME?</v>
      </c>
      <c r="J160" s="6" t="e">
        <f aca="false">sheet1!api161</f>
        <v>#NAME?</v>
      </c>
      <c r="K160" s="6" t="e">
        <f aca="false">sheet1!apj161</f>
        <v>#NAME?</v>
      </c>
      <c r="L160" s="6" t="e">
        <f aca="false">sheet1!apk161</f>
        <v>#NAME?</v>
      </c>
      <c r="M160" s="6" t="e">
        <f aca="false">sheet1!apl161</f>
        <v>#NAME?</v>
      </c>
    </row>
    <row r="161" customFormat="false" ht="15.75" hidden="false" customHeight="false" outlineLevel="0" collapsed="false">
      <c r="A161" s="0" t="s">
        <v>67</v>
      </c>
      <c r="B161" s="1" t="n">
        <v>44021</v>
      </c>
      <c r="C161" s="6" t="e">
        <f aca="false">sheet1!apb162</f>
        <v>#NAME?</v>
      </c>
      <c r="D161" s="6" t="e">
        <f aca="false">sheet1!apc162</f>
        <v>#NAME?</v>
      </c>
      <c r="E161" s="6" t="e">
        <f aca="false">sheet1!apd162</f>
        <v>#NAME?</v>
      </c>
      <c r="F161" s="6" t="e">
        <f aca="false">sheet1!ape162</f>
        <v>#NAME?</v>
      </c>
      <c r="G161" s="6" t="e">
        <f aca="false">sheet1!apf162</f>
        <v>#NAME?</v>
      </c>
      <c r="H161" s="6" t="e">
        <f aca="false">sheet1!apg162</f>
        <v>#NAME?</v>
      </c>
      <c r="I161" s="6" t="e">
        <f aca="false">sheet1!aph162</f>
        <v>#NAME?</v>
      </c>
      <c r="J161" s="6" t="e">
        <f aca="false">sheet1!api162</f>
        <v>#NAME?</v>
      </c>
      <c r="K161" s="6" t="e">
        <f aca="false">sheet1!apj162</f>
        <v>#NAME?</v>
      </c>
      <c r="L161" s="6" t="e">
        <f aca="false">sheet1!apk162</f>
        <v>#NAME?</v>
      </c>
      <c r="M161" s="6" t="e">
        <f aca="false">sheet1!apl162</f>
        <v>#NAME?</v>
      </c>
    </row>
    <row r="162" customFormat="false" ht="15.75" hidden="false" customHeight="false" outlineLevel="0" collapsed="false">
      <c r="A162" s="0" t="s">
        <v>67</v>
      </c>
      <c r="B162" s="1" t="n">
        <v>44022</v>
      </c>
      <c r="C162" s="6" t="e">
        <f aca="false">sheet1!apb163</f>
        <v>#NAME?</v>
      </c>
      <c r="D162" s="6" t="e">
        <f aca="false">sheet1!apc163</f>
        <v>#NAME?</v>
      </c>
      <c r="E162" s="6" t="e">
        <f aca="false">sheet1!apd163</f>
        <v>#NAME?</v>
      </c>
      <c r="F162" s="6" t="e">
        <f aca="false">sheet1!ape163</f>
        <v>#NAME?</v>
      </c>
      <c r="G162" s="6" t="e">
        <f aca="false">sheet1!apf163</f>
        <v>#NAME?</v>
      </c>
      <c r="H162" s="6" t="e">
        <f aca="false">sheet1!apg163</f>
        <v>#NAME?</v>
      </c>
      <c r="I162" s="6" t="e">
        <f aca="false">sheet1!aph163</f>
        <v>#NAME?</v>
      </c>
      <c r="J162" s="6" t="e">
        <f aca="false">sheet1!api163</f>
        <v>#NAME?</v>
      </c>
      <c r="K162" s="6" t="e">
        <f aca="false">sheet1!apj163</f>
        <v>#NAME?</v>
      </c>
      <c r="L162" s="6" t="e">
        <f aca="false">sheet1!apk163</f>
        <v>#NAME?</v>
      </c>
      <c r="M162" s="6" t="e">
        <f aca="false">sheet1!apl163</f>
        <v>#NAME?</v>
      </c>
    </row>
    <row r="163" customFormat="false" ht="15.75" hidden="false" customHeight="false" outlineLevel="0" collapsed="false">
      <c r="A163" s="0" t="s">
        <v>67</v>
      </c>
      <c r="B163" s="1" t="n">
        <v>44023</v>
      </c>
      <c r="C163" s="6" t="e">
        <f aca="false">sheet1!apb164</f>
        <v>#NAME?</v>
      </c>
      <c r="D163" s="6" t="e">
        <f aca="false">sheet1!apc164</f>
        <v>#NAME?</v>
      </c>
      <c r="E163" s="6" t="e">
        <f aca="false">sheet1!apd164</f>
        <v>#NAME?</v>
      </c>
      <c r="F163" s="6" t="e">
        <f aca="false">sheet1!ape164</f>
        <v>#NAME?</v>
      </c>
      <c r="G163" s="6" t="e">
        <f aca="false">sheet1!apf164</f>
        <v>#NAME?</v>
      </c>
      <c r="H163" s="6" t="e">
        <f aca="false">sheet1!apg164</f>
        <v>#NAME?</v>
      </c>
      <c r="I163" s="6" t="e">
        <f aca="false">sheet1!aph164</f>
        <v>#NAME?</v>
      </c>
      <c r="J163" s="6" t="e">
        <f aca="false">sheet1!api164</f>
        <v>#NAME?</v>
      </c>
      <c r="K163" s="6" t="e">
        <f aca="false">sheet1!apj164</f>
        <v>#NAME?</v>
      </c>
      <c r="L163" s="6" t="e">
        <f aca="false">sheet1!apk164</f>
        <v>#NAME?</v>
      </c>
      <c r="M163" s="6" t="e">
        <f aca="false">sheet1!apl164</f>
        <v>#NAME?</v>
      </c>
    </row>
    <row r="164" customFormat="false" ht="15.75" hidden="false" customHeight="false" outlineLevel="0" collapsed="false">
      <c r="A164" s="0" t="s">
        <v>67</v>
      </c>
      <c r="B164" s="1" t="n">
        <v>44024</v>
      </c>
      <c r="C164" s="6" t="e">
        <f aca="false">sheet1!apb165</f>
        <v>#NAME?</v>
      </c>
      <c r="D164" s="6" t="e">
        <f aca="false">sheet1!apc165</f>
        <v>#NAME?</v>
      </c>
      <c r="E164" s="6" t="e">
        <f aca="false">sheet1!apd165</f>
        <v>#NAME?</v>
      </c>
      <c r="F164" s="6" t="e">
        <f aca="false">sheet1!ape165</f>
        <v>#NAME?</v>
      </c>
      <c r="G164" s="6" t="e">
        <f aca="false">sheet1!apf165</f>
        <v>#NAME?</v>
      </c>
      <c r="H164" s="6" t="e">
        <f aca="false">sheet1!apg165</f>
        <v>#NAME?</v>
      </c>
      <c r="I164" s="6" t="e">
        <f aca="false">sheet1!aph165</f>
        <v>#NAME?</v>
      </c>
      <c r="J164" s="6" t="e">
        <f aca="false">sheet1!api165</f>
        <v>#NAME?</v>
      </c>
      <c r="K164" s="6" t="e">
        <f aca="false">sheet1!apj165</f>
        <v>#NAME?</v>
      </c>
      <c r="L164" s="6" t="e">
        <f aca="false">sheet1!apk165</f>
        <v>#NAME?</v>
      </c>
      <c r="M164" s="6" t="e">
        <f aca="false">sheet1!apl165</f>
        <v>#NAME?</v>
      </c>
    </row>
    <row r="165" customFormat="false" ht="15.75" hidden="false" customHeight="false" outlineLevel="0" collapsed="false">
      <c r="A165" s="0" t="s">
        <v>67</v>
      </c>
      <c r="B165" s="1" t="n">
        <v>44025</v>
      </c>
      <c r="C165" s="6" t="e">
        <f aca="false">sheet1!apb166</f>
        <v>#NAME?</v>
      </c>
      <c r="D165" s="6" t="e">
        <f aca="false">sheet1!apc166</f>
        <v>#NAME?</v>
      </c>
      <c r="E165" s="6" t="e">
        <f aca="false">sheet1!apd166</f>
        <v>#NAME?</v>
      </c>
      <c r="F165" s="6" t="e">
        <f aca="false">sheet1!ape166</f>
        <v>#NAME?</v>
      </c>
      <c r="G165" s="6" t="e">
        <f aca="false">sheet1!apf166</f>
        <v>#NAME?</v>
      </c>
      <c r="H165" s="6" t="e">
        <f aca="false">sheet1!apg166</f>
        <v>#NAME?</v>
      </c>
      <c r="I165" s="6" t="e">
        <f aca="false">sheet1!aph166</f>
        <v>#NAME?</v>
      </c>
      <c r="J165" s="6" t="e">
        <f aca="false">sheet1!api166</f>
        <v>#NAME?</v>
      </c>
      <c r="K165" s="6" t="e">
        <f aca="false">sheet1!apj166</f>
        <v>#NAME?</v>
      </c>
      <c r="L165" s="6" t="e">
        <f aca="false">sheet1!apk166</f>
        <v>#NAME?</v>
      </c>
      <c r="M165" s="6" t="e">
        <f aca="false">sheet1!apl166</f>
        <v>#NAME?</v>
      </c>
    </row>
    <row r="166" customFormat="false" ht="15.75" hidden="false" customHeight="false" outlineLevel="0" collapsed="false">
      <c r="A166" s="0" t="s">
        <v>67</v>
      </c>
      <c r="B166" s="1" t="n">
        <v>44026</v>
      </c>
      <c r="C166" s="6" t="e">
        <f aca="false">sheet1!apb167</f>
        <v>#NAME?</v>
      </c>
      <c r="D166" s="6" t="e">
        <f aca="false">sheet1!apc167</f>
        <v>#NAME?</v>
      </c>
      <c r="E166" s="6" t="e">
        <f aca="false">sheet1!apd167</f>
        <v>#NAME?</v>
      </c>
      <c r="F166" s="6" t="e">
        <f aca="false">sheet1!ape167</f>
        <v>#NAME?</v>
      </c>
      <c r="G166" s="6" t="e">
        <f aca="false">sheet1!apf167</f>
        <v>#NAME?</v>
      </c>
      <c r="H166" s="6" t="e">
        <f aca="false">sheet1!apg167</f>
        <v>#NAME?</v>
      </c>
      <c r="I166" s="6" t="e">
        <f aca="false">sheet1!aph167</f>
        <v>#NAME?</v>
      </c>
      <c r="J166" s="6" t="e">
        <f aca="false">sheet1!api167</f>
        <v>#NAME?</v>
      </c>
      <c r="K166" s="6" t="e">
        <f aca="false">sheet1!apj167</f>
        <v>#NAME?</v>
      </c>
      <c r="L166" s="6" t="e">
        <f aca="false">sheet1!apk167</f>
        <v>#NAME?</v>
      </c>
      <c r="M166" s="6" t="e">
        <f aca="false">sheet1!apl167</f>
        <v>#NAME?</v>
      </c>
    </row>
    <row r="167" customFormat="false" ht="15.75" hidden="false" customHeight="false" outlineLevel="0" collapsed="false">
      <c r="A167" s="0" t="s">
        <v>67</v>
      </c>
      <c r="B167" s="1" t="n">
        <v>44027</v>
      </c>
      <c r="C167" s="6" t="e">
        <f aca="false">sheet1!apb168</f>
        <v>#NAME?</v>
      </c>
      <c r="D167" s="6" t="e">
        <f aca="false">sheet1!apc168</f>
        <v>#NAME?</v>
      </c>
      <c r="E167" s="6" t="e">
        <f aca="false">sheet1!apd168</f>
        <v>#NAME?</v>
      </c>
      <c r="F167" s="6" t="e">
        <f aca="false">sheet1!ape168</f>
        <v>#NAME?</v>
      </c>
      <c r="G167" s="6" t="e">
        <f aca="false">sheet1!apf168</f>
        <v>#NAME?</v>
      </c>
      <c r="H167" s="6" t="e">
        <f aca="false">sheet1!apg168</f>
        <v>#NAME?</v>
      </c>
      <c r="I167" s="6" t="e">
        <f aca="false">sheet1!aph168</f>
        <v>#NAME?</v>
      </c>
      <c r="J167" s="6" t="e">
        <f aca="false">sheet1!api168</f>
        <v>#NAME?</v>
      </c>
      <c r="K167" s="6" t="e">
        <f aca="false">sheet1!apj168</f>
        <v>#NAME?</v>
      </c>
      <c r="L167" s="6" t="e">
        <f aca="false">sheet1!apk168</f>
        <v>#NAME?</v>
      </c>
      <c r="M167" s="6" t="e">
        <f aca="false">sheet1!apl168</f>
        <v>#NAME?</v>
      </c>
    </row>
    <row r="168" customFormat="false" ht="15.75" hidden="false" customHeight="false" outlineLevel="0" collapsed="false">
      <c r="A168" s="0" t="s">
        <v>67</v>
      </c>
      <c r="B168" s="1" t="n">
        <v>44028</v>
      </c>
      <c r="C168" s="6" t="e">
        <f aca="false">sheet1!apb169</f>
        <v>#NAME?</v>
      </c>
      <c r="D168" s="6" t="e">
        <f aca="false">sheet1!apc169</f>
        <v>#NAME?</v>
      </c>
      <c r="E168" s="6" t="e">
        <f aca="false">sheet1!apd169</f>
        <v>#NAME?</v>
      </c>
      <c r="F168" s="6" t="e">
        <f aca="false">sheet1!ape169</f>
        <v>#NAME?</v>
      </c>
      <c r="G168" s="6" t="e">
        <f aca="false">sheet1!apf169</f>
        <v>#NAME?</v>
      </c>
      <c r="H168" s="6" t="e">
        <f aca="false">sheet1!apg169</f>
        <v>#NAME?</v>
      </c>
      <c r="I168" s="6" t="e">
        <f aca="false">sheet1!aph169</f>
        <v>#NAME?</v>
      </c>
      <c r="J168" s="6" t="e">
        <f aca="false">sheet1!api169</f>
        <v>#NAME?</v>
      </c>
      <c r="K168" s="6" t="e">
        <f aca="false">sheet1!apj169</f>
        <v>#NAME?</v>
      </c>
      <c r="L168" s="6" t="e">
        <f aca="false">sheet1!apk169</f>
        <v>#NAME?</v>
      </c>
      <c r="M168" s="6" t="e">
        <f aca="false">sheet1!apl169</f>
        <v>#NAME?</v>
      </c>
    </row>
    <row r="169" customFormat="false" ht="15.75" hidden="false" customHeight="false" outlineLevel="0" collapsed="false">
      <c r="A169" s="0" t="s">
        <v>67</v>
      </c>
      <c r="B169" s="1" t="n">
        <v>44029</v>
      </c>
      <c r="C169" s="6" t="e">
        <f aca="false">sheet1!apb170</f>
        <v>#NAME?</v>
      </c>
      <c r="D169" s="6" t="e">
        <f aca="false">sheet1!apc170</f>
        <v>#NAME?</v>
      </c>
      <c r="E169" s="6" t="e">
        <f aca="false">sheet1!apd170</f>
        <v>#NAME?</v>
      </c>
      <c r="F169" s="6" t="e">
        <f aca="false">sheet1!ape170</f>
        <v>#NAME?</v>
      </c>
      <c r="G169" s="6" t="e">
        <f aca="false">sheet1!apf170</f>
        <v>#NAME?</v>
      </c>
      <c r="H169" s="6" t="e">
        <f aca="false">sheet1!apg170</f>
        <v>#NAME?</v>
      </c>
      <c r="I169" s="6" t="e">
        <f aca="false">sheet1!aph170</f>
        <v>#NAME?</v>
      </c>
      <c r="J169" s="6" t="e">
        <f aca="false">sheet1!api170</f>
        <v>#NAME?</v>
      </c>
      <c r="K169" s="6" t="e">
        <f aca="false">sheet1!apj170</f>
        <v>#NAME?</v>
      </c>
      <c r="L169" s="6" t="e">
        <f aca="false">sheet1!apk170</f>
        <v>#NAME?</v>
      </c>
      <c r="M169" s="6" t="e">
        <f aca="false">sheet1!apl170</f>
        <v>#NAME?</v>
      </c>
    </row>
    <row r="170" customFormat="false" ht="15.75" hidden="false" customHeight="false" outlineLevel="0" collapsed="false">
      <c r="A170" s="0" t="s">
        <v>67</v>
      </c>
      <c r="B170" s="1" t="n">
        <v>44030</v>
      </c>
      <c r="C170" s="6" t="e">
        <f aca="false">sheet1!apb171</f>
        <v>#NAME?</v>
      </c>
      <c r="D170" s="6" t="e">
        <f aca="false">sheet1!apc171</f>
        <v>#NAME?</v>
      </c>
      <c r="E170" s="6" t="e">
        <f aca="false">sheet1!apd171</f>
        <v>#NAME?</v>
      </c>
      <c r="F170" s="6" t="e">
        <f aca="false">sheet1!ape171</f>
        <v>#NAME?</v>
      </c>
      <c r="G170" s="6" t="e">
        <f aca="false">sheet1!apf171</f>
        <v>#NAME?</v>
      </c>
      <c r="H170" s="6" t="e">
        <f aca="false">sheet1!apg171</f>
        <v>#NAME?</v>
      </c>
      <c r="I170" s="6" t="e">
        <f aca="false">sheet1!aph171</f>
        <v>#NAME?</v>
      </c>
      <c r="J170" s="6" t="e">
        <f aca="false">sheet1!api171</f>
        <v>#NAME?</v>
      </c>
      <c r="K170" s="6" t="e">
        <f aca="false">sheet1!apj171</f>
        <v>#NAME?</v>
      </c>
      <c r="L170" s="6" t="e">
        <f aca="false">sheet1!apk171</f>
        <v>#NAME?</v>
      </c>
      <c r="M170" s="6" t="e">
        <f aca="false">sheet1!apl171</f>
        <v>#NAME?</v>
      </c>
    </row>
    <row r="171" customFormat="false" ht="15.75" hidden="false" customHeight="false" outlineLevel="0" collapsed="false">
      <c r="A171" s="0" t="s">
        <v>67</v>
      </c>
      <c r="B171" s="1" t="n">
        <v>44031</v>
      </c>
      <c r="C171" s="6" t="e">
        <f aca="false">sheet1!apb172</f>
        <v>#NAME?</v>
      </c>
      <c r="D171" s="6" t="e">
        <f aca="false">sheet1!apc172</f>
        <v>#NAME?</v>
      </c>
      <c r="E171" s="6" t="e">
        <f aca="false">sheet1!apd172</f>
        <v>#NAME?</v>
      </c>
      <c r="F171" s="6" t="e">
        <f aca="false">sheet1!ape172</f>
        <v>#NAME?</v>
      </c>
      <c r="G171" s="6" t="e">
        <f aca="false">sheet1!apf172</f>
        <v>#NAME?</v>
      </c>
      <c r="H171" s="6" t="e">
        <f aca="false">sheet1!apg172</f>
        <v>#NAME?</v>
      </c>
      <c r="I171" s="6" t="e">
        <f aca="false">sheet1!aph172</f>
        <v>#NAME?</v>
      </c>
      <c r="J171" s="6" t="e">
        <f aca="false">sheet1!api172</f>
        <v>#NAME?</v>
      </c>
      <c r="K171" s="6" t="e">
        <f aca="false">sheet1!apj172</f>
        <v>#NAME?</v>
      </c>
      <c r="L171" s="6" t="e">
        <f aca="false">sheet1!apk172</f>
        <v>#NAME?</v>
      </c>
      <c r="M171" s="6" t="e">
        <f aca="false">sheet1!apl172</f>
        <v>#NAME?</v>
      </c>
    </row>
    <row r="172" customFormat="false" ht="15.75" hidden="false" customHeight="false" outlineLevel="0" collapsed="false">
      <c r="A172" s="0" t="s">
        <v>67</v>
      </c>
      <c r="B172" s="1" t="n">
        <v>44032</v>
      </c>
      <c r="C172" s="6" t="e">
        <f aca="false">sheet1!apb173</f>
        <v>#NAME?</v>
      </c>
      <c r="D172" s="6" t="e">
        <f aca="false">sheet1!apc173</f>
        <v>#NAME?</v>
      </c>
      <c r="E172" s="6" t="e">
        <f aca="false">sheet1!apd173</f>
        <v>#NAME?</v>
      </c>
      <c r="F172" s="6" t="e">
        <f aca="false">sheet1!ape173</f>
        <v>#NAME?</v>
      </c>
      <c r="G172" s="6" t="e">
        <f aca="false">sheet1!apf173</f>
        <v>#NAME?</v>
      </c>
      <c r="H172" s="6" t="e">
        <f aca="false">sheet1!apg173</f>
        <v>#NAME?</v>
      </c>
      <c r="I172" s="6" t="e">
        <f aca="false">sheet1!aph173</f>
        <v>#NAME?</v>
      </c>
      <c r="J172" s="6" t="e">
        <f aca="false">sheet1!api173</f>
        <v>#NAME?</v>
      </c>
      <c r="K172" s="6" t="e">
        <f aca="false">sheet1!apj173</f>
        <v>#NAME?</v>
      </c>
      <c r="L172" s="6" t="e">
        <f aca="false">sheet1!apk173</f>
        <v>#NAME?</v>
      </c>
      <c r="M172" s="6" t="e">
        <f aca="false">sheet1!apl173</f>
        <v>#NAME?</v>
      </c>
    </row>
    <row r="173" customFormat="false" ht="15.75" hidden="false" customHeight="false" outlineLevel="0" collapsed="false">
      <c r="A173" s="0" t="s">
        <v>67</v>
      </c>
      <c r="B173" s="1" t="n">
        <v>44033</v>
      </c>
      <c r="C173" s="6" t="e">
        <f aca="false">sheet1!apb174</f>
        <v>#NAME?</v>
      </c>
      <c r="D173" s="6" t="e">
        <f aca="false">sheet1!apc174</f>
        <v>#NAME?</v>
      </c>
      <c r="E173" s="6" t="e">
        <f aca="false">sheet1!apd174</f>
        <v>#NAME?</v>
      </c>
      <c r="F173" s="6" t="e">
        <f aca="false">sheet1!ape174</f>
        <v>#NAME?</v>
      </c>
      <c r="G173" s="6" t="e">
        <f aca="false">sheet1!apf174</f>
        <v>#NAME?</v>
      </c>
      <c r="H173" s="6" t="e">
        <f aca="false">sheet1!apg174</f>
        <v>#NAME?</v>
      </c>
      <c r="I173" s="6" t="e">
        <f aca="false">sheet1!aph174</f>
        <v>#NAME?</v>
      </c>
      <c r="J173" s="6" t="e">
        <f aca="false">sheet1!api174</f>
        <v>#NAME?</v>
      </c>
      <c r="K173" s="6" t="e">
        <f aca="false">sheet1!apj174</f>
        <v>#NAME?</v>
      </c>
      <c r="L173" s="6" t="e">
        <f aca="false">sheet1!apk174</f>
        <v>#NAME?</v>
      </c>
      <c r="M173" s="6" t="e">
        <f aca="false">sheet1!apl174</f>
        <v>#NAME?</v>
      </c>
    </row>
    <row r="174" customFormat="false" ht="15.75" hidden="false" customHeight="false" outlineLevel="0" collapsed="false">
      <c r="A174" s="0" t="s">
        <v>67</v>
      </c>
      <c r="B174" s="1" t="n">
        <v>44034</v>
      </c>
      <c r="C174" s="6" t="e">
        <f aca="false">sheet1!apb175</f>
        <v>#NAME?</v>
      </c>
      <c r="D174" s="6" t="e">
        <f aca="false">sheet1!apc175</f>
        <v>#NAME?</v>
      </c>
      <c r="E174" s="6" t="e">
        <f aca="false">sheet1!apd175</f>
        <v>#NAME?</v>
      </c>
      <c r="F174" s="6" t="e">
        <f aca="false">sheet1!ape175</f>
        <v>#NAME?</v>
      </c>
      <c r="G174" s="6" t="e">
        <f aca="false">sheet1!apf175</f>
        <v>#NAME?</v>
      </c>
      <c r="H174" s="6" t="e">
        <f aca="false">sheet1!apg175</f>
        <v>#NAME?</v>
      </c>
      <c r="I174" s="6" t="e">
        <f aca="false">sheet1!aph175</f>
        <v>#NAME?</v>
      </c>
      <c r="J174" s="6" t="e">
        <f aca="false">sheet1!api175</f>
        <v>#NAME?</v>
      </c>
      <c r="K174" s="6" t="e">
        <f aca="false">sheet1!apj175</f>
        <v>#NAME?</v>
      </c>
      <c r="L174" s="6" t="e">
        <f aca="false">sheet1!apk175</f>
        <v>#NAME?</v>
      </c>
      <c r="M174" s="6" t="e">
        <f aca="false">sheet1!apl175</f>
        <v>#NAME?</v>
      </c>
    </row>
    <row r="175" customFormat="false" ht="15.75" hidden="false" customHeight="false" outlineLevel="0" collapsed="false">
      <c r="A175" s="0" t="s">
        <v>67</v>
      </c>
      <c r="B175" s="1" t="n">
        <v>44035</v>
      </c>
      <c r="C175" s="6" t="e">
        <f aca="false">sheet1!apb176</f>
        <v>#NAME?</v>
      </c>
      <c r="D175" s="6" t="e">
        <f aca="false">sheet1!apc176</f>
        <v>#NAME?</v>
      </c>
      <c r="E175" s="6" t="e">
        <f aca="false">sheet1!apd176</f>
        <v>#NAME?</v>
      </c>
      <c r="F175" s="6" t="e">
        <f aca="false">sheet1!ape176</f>
        <v>#NAME?</v>
      </c>
      <c r="G175" s="6" t="e">
        <f aca="false">sheet1!apf176</f>
        <v>#NAME?</v>
      </c>
      <c r="H175" s="6" t="e">
        <f aca="false">sheet1!apg176</f>
        <v>#NAME?</v>
      </c>
      <c r="I175" s="6" t="e">
        <f aca="false">sheet1!aph176</f>
        <v>#NAME?</v>
      </c>
      <c r="J175" s="6" t="e">
        <f aca="false">sheet1!api176</f>
        <v>#NAME?</v>
      </c>
      <c r="K175" s="6" t="e">
        <f aca="false">sheet1!apj176</f>
        <v>#NAME?</v>
      </c>
      <c r="L175" s="6" t="e">
        <f aca="false">sheet1!apk176</f>
        <v>#NAME?</v>
      </c>
      <c r="M175" s="6" t="e">
        <f aca="false">sheet1!apl176</f>
        <v>#NAME?</v>
      </c>
    </row>
    <row r="176" customFormat="false" ht="15.75" hidden="false" customHeight="false" outlineLevel="0" collapsed="false">
      <c r="A176" s="0" t="s">
        <v>67</v>
      </c>
      <c r="B176" s="1" t="n">
        <v>44036</v>
      </c>
      <c r="C176" s="6" t="e">
        <f aca="false">sheet1!apb177</f>
        <v>#NAME?</v>
      </c>
      <c r="D176" s="6" t="e">
        <f aca="false">sheet1!apc177</f>
        <v>#NAME?</v>
      </c>
      <c r="E176" s="6" t="e">
        <f aca="false">sheet1!apd177</f>
        <v>#NAME?</v>
      </c>
      <c r="F176" s="6" t="e">
        <f aca="false">sheet1!ape177</f>
        <v>#NAME?</v>
      </c>
      <c r="G176" s="6" t="e">
        <f aca="false">sheet1!apf177</f>
        <v>#NAME?</v>
      </c>
      <c r="H176" s="6" t="e">
        <f aca="false">sheet1!apg177</f>
        <v>#NAME?</v>
      </c>
      <c r="I176" s="6" t="e">
        <f aca="false">sheet1!aph177</f>
        <v>#NAME?</v>
      </c>
      <c r="J176" s="6" t="e">
        <f aca="false">sheet1!api177</f>
        <v>#NAME?</v>
      </c>
      <c r="K176" s="6" t="e">
        <f aca="false">sheet1!apj177</f>
        <v>#NAME?</v>
      </c>
      <c r="L176" s="6" t="e">
        <f aca="false">sheet1!apk177</f>
        <v>#NAME?</v>
      </c>
      <c r="M176" s="6" t="e">
        <f aca="false">sheet1!apl177</f>
        <v>#NAME?</v>
      </c>
    </row>
    <row r="177" customFormat="false" ht="15.75" hidden="false" customHeight="false" outlineLevel="0" collapsed="false">
      <c r="A177" s="0" t="s">
        <v>67</v>
      </c>
      <c r="B177" s="1" t="n">
        <v>44037</v>
      </c>
      <c r="C177" s="6" t="e">
        <f aca="false">sheet1!apb178</f>
        <v>#NAME?</v>
      </c>
      <c r="D177" s="6" t="e">
        <f aca="false">sheet1!apc178</f>
        <v>#NAME?</v>
      </c>
      <c r="E177" s="6" t="e">
        <f aca="false">sheet1!apd178</f>
        <v>#NAME?</v>
      </c>
      <c r="F177" s="6" t="e">
        <f aca="false">sheet1!ape178</f>
        <v>#NAME?</v>
      </c>
      <c r="G177" s="6" t="e">
        <f aca="false">sheet1!apf178</f>
        <v>#NAME?</v>
      </c>
      <c r="H177" s="6" t="e">
        <f aca="false">sheet1!apg178</f>
        <v>#NAME?</v>
      </c>
      <c r="I177" s="6" t="e">
        <f aca="false">sheet1!aph178</f>
        <v>#NAME?</v>
      </c>
      <c r="J177" s="6" t="e">
        <f aca="false">sheet1!api178</f>
        <v>#NAME?</v>
      </c>
      <c r="K177" s="6" t="e">
        <f aca="false">sheet1!apj178</f>
        <v>#NAME?</v>
      </c>
      <c r="L177" s="6" t="e">
        <f aca="false">sheet1!apk178</f>
        <v>#NAME?</v>
      </c>
      <c r="M177" s="6" t="e">
        <f aca="false">sheet1!apl178</f>
        <v>#NAME?</v>
      </c>
    </row>
    <row r="178" customFormat="false" ht="15.75" hidden="false" customHeight="false" outlineLevel="0" collapsed="false">
      <c r="A178" s="0" t="s">
        <v>67</v>
      </c>
      <c r="B178" s="1" t="n">
        <v>44038</v>
      </c>
      <c r="C178" s="6" t="e">
        <f aca="false">sheet1!apb179</f>
        <v>#NAME?</v>
      </c>
      <c r="D178" s="6" t="e">
        <f aca="false">sheet1!apc179</f>
        <v>#NAME?</v>
      </c>
      <c r="E178" s="6" t="e">
        <f aca="false">sheet1!apd179</f>
        <v>#NAME?</v>
      </c>
      <c r="F178" s="6" t="e">
        <f aca="false">sheet1!ape179</f>
        <v>#NAME?</v>
      </c>
      <c r="G178" s="6" t="e">
        <f aca="false">sheet1!apf179</f>
        <v>#NAME?</v>
      </c>
      <c r="H178" s="6" t="e">
        <f aca="false">sheet1!apg179</f>
        <v>#NAME?</v>
      </c>
      <c r="I178" s="6" t="e">
        <f aca="false">sheet1!aph179</f>
        <v>#NAME?</v>
      </c>
      <c r="J178" s="6" t="e">
        <f aca="false">sheet1!api179</f>
        <v>#NAME?</v>
      </c>
      <c r="K178" s="6" t="e">
        <f aca="false">sheet1!apj179</f>
        <v>#NAME?</v>
      </c>
      <c r="L178" s="6" t="e">
        <f aca="false">sheet1!apk179</f>
        <v>#NAME?</v>
      </c>
      <c r="M178" s="6" t="e">
        <f aca="false">sheet1!apl179</f>
        <v>#NAME?</v>
      </c>
    </row>
    <row r="179" customFormat="false" ht="15.75" hidden="false" customHeight="false" outlineLevel="0" collapsed="false">
      <c r="A179" s="0" t="s">
        <v>67</v>
      </c>
      <c r="B179" s="1" t="n">
        <v>44039</v>
      </c>
      <c r="C179" s="6" t="e">
        <f aca="false">sheet1!apb180</f>
        <v>#NAME?</v>
      </c>
      <c r="D179" s="6" t="e">
        <f aca="false">sheet1!apc180</f>
        <v>#NAME?</v>
      </c>
      <c r="E179" s="6" t="e">
        <f aca="false">sheet1!apd180</f>
        <v>#NAME?</v>
      </c>
      <c r="F179" s="6" t="e">
        <f aca="false">sheet1!ape180</f>
        <v>#NAME?</v>
      </c>
      <c r="G179" s="6" t="e">
        <f aca="false">sheet1!apf180</f>
        <v>#NAME?</v>
      </c>
      <c r="H179" s="6" t="e">
        <f aca="false">sheet1!apg180</f>
        <v>#NAME?</v>
      </c>
      <c r="I179" s="6" t="e">
        <f aca="false">sheet1!aph180</f>
        <v>#NAME?</v>
      </c>
      <c r="J179" s="6" t="e">
        <f aca="false">sheet1!api180</f>
        <v>#NAME?</v>
      </c>
      <c r="K179" s="6" t="e">
        <f aca="false">sheet1!apj180</f>
        <v>#NAME?</v>
      </c>
      <c r="L179" s="6" t="e">
        <f aca="false">sheet1!apk180</f>
        <v>#NAME?</v>
      </c>
      <c r="M179" s="6" t="e">
        <f aca="false">sheet1!apl180</f>
        <v>#NAME?</v>
      </c>
    </row>
    <row r="180" customFormat="false" ht="15.75" hidden="false" customHeight="false" outlineLevel="0" collapsed="false">
      <c r="A180" s="0" t="s">
        <v>67</v>
      </c>
      <c r="B180" s="1" t="n">
        <v>44040</v>
      </c>
      <c r="C180" s="6" t="e">
        <f aca="false">sheet1!apb181</f>
        <v>#NAME?</v>
      </c>
      <c r="D180" s="6" t="e">
        <f aca="false">sheet1!apc181</f>
        <v>#NAME?</v>
      </c>
      <c r="E180" s="6" t="e">
        <f aca="false">sheet1!apd181</f>
        <v>#NAME?</v>
      </c>
      <c r="F180" s="6" t="e">
        <f aca="false">sheet1!ape181</f>
        <v>#NAME?</v>
      </c>
      <c r="G180" s="6" t="e">
        <f aca="false">sheet1!apf181</f>
        <v>#NAME?</v>
      </c>
      <c r="H180" s="6" t="e">
        <f aca="false">sheet1!apg181</f>
        <v>#NAME?</v>
      </c>
      <c r="I180" s="6" t="e">
        <f aca="false">sheet1!aph181</f>
        <v>#NAME?</v>
      </c>
      <c r="J180" s="6" t="e">
        <f aca="false">sheet1!api181</f>
        <v>#NAME?</v>
      </c>
      <c r="K180" s="6" t="e">
        <f aca="false">sheet1!apj181</f>
        <v>#NAME?</v>
      </c>
      <c r="L180" s="6" t="e">
        <f aca="false">sheet1!apk181</f>
        <v>#NAME?</v>
      </c>
      <c r="M180" s="6" t="e">
        <f aca="false">sheet1!apl181</f>
        <v>#NAME?</v>
      </c>
    </row>
    <row r="181" customFormat="false" ht="15.75" hidden="false" customHeight="false" outlineLevel="0" collapsed="false">
      <c r="A181" s="0" t="s">
        <v>67</v>
      </c>
      <c r="B181" s="1" t="n">
        <v>44041</v>
      </c>
      <c r="C181" s="6" t="e">
        <f aca="false">sheet1!apb182</f>
        <v>#NAME?</v>
      </c>
      <c r="D181" s="6" t="e">
        <f aca="false">sheet1!apc182</f>
        <v>#NAME?</v>
      </c>
      <c r="E181" s="6" t="e">
        <f aca="false">sheet1!apd182</f>
        <v>#NAME?</v>
      </c>
      <c r="F181" s="6" t="e">
        <f aca="false">sheet1!ape182</f>
        <v>#NAME?</v>
      </c>
      <c r="G181" s="6" t="e">
        <f aca="false">sheet1!apf182</f>
        <v>#NAME?</v>
      </c>
      <c r="H181" s="6" t="e">
        <f aca="false">sheet1!apg182</f>
        <v>#NAME?</v>
      </c>
      <c r="I181" s="6" t="e">
        <f aca="false">sheet1!aph182</f>
        <v>#NAME?</v>
      </c>
      <c r="J181" s="6" t="e">
        <f aca="false">sheet1!api182</f>
        <v>#NAME?</v>
      </c>
      <c r="K181" s="6" t="e">
        <f aca="false">sheet1!apj182</f>
        <v>#NAME?</v>
      </c>
      <c r="L181" s="6" t="e">
        <f aca="false">sheet1!apk182</f>
        <v>#NAME?</v>
      </c>
      <c r="M181" s="6" t="e">
        <f aca="false">sheet1!apl182</f>
        <v>#NAME?</v>
      </c>
    </row>
    <row r="182" customFormat="false" ht="15.75" hidden="false" customHeight="false" outlineLevel="0" collapsed="false">
      <c r="A182" s="0" t="s">
        <v>67</v>
      </c>
      <c r="B182" s="1" t="n">
        <v>44042</v>
      </c>
      <c r="C182" s="6" t="e">
        <f aca="false">sheet1!apb183</f>
        <v>#NAME?</v>
      </c>
      <c r="D182" s="6" t="e">
        <f aca="false">sheet1!apc183</f>
        <v>#NAME?</v>
      </c>
      <c r="E182" s="6" t="e">
        <f aca="false">sheet1!apd183</f>
        <v>#NAME?</v>
      </c>
      <c r="F182" s="6" t="e">
        <f aca="false">sheet1!ape183</f>
        <v>#NAME?</v>
      </c>
      <c r="G182" s="6" t="e">
        <f aca="false">sheet1!apf183</f>
        <v>#NAME?</v>
      </c>
      <c r="H182" s="6" t="e">
        <f aca="false">sheet1!apg183</f>
        <v>#NAME?</v>
      </c>
      <c r="I182" s="6" t="e">
        <f aca="false">sheet1!aph183</f>
        <v>#NAME?</v>
      </c>
      <c r="J182" s="6" t="e">
        <f aca="false">sheet1!api183</f>
        <v>#NAME?</v>
      </c>
      <c r="K182" s="6" t="e">
        <f aca="false">sheet1!apj183</f>
        <v>#NAME?</v>
      </c>
      <c r="L182" s="6" t="e">
        <f aca="false">sheet1!apk183</f>
        <v>#NAME?</v>
      </c>
      <c r="M182" s="6" t="e">
        <f aca="false">sheet1!apl183</f>
        <v>#NAME?</v>
      </c>
    </row>
    <row r="183" customFormat="false" ht="15.75" hidden="false" customHeight="false" outlineLevel="0" collapsed="false">
      <c r="A183" s="0" t="s">
        <v>67</v>
      </c>
      <c r="B183" s="1" t="n">
        <v>44043</v>
      </c>
      <c r="C183" s="6" t="e">
        <f aca="false">sheet1!apb184</f>
        <v>#NAME?</v>
      </c>
      <c r="D183" s="6" t="e">
        <f aca="false">sheet1!apc184</f>
        <v>#NAME?</v>
      </c>
      <c r="E183" s="6" t="e">
        <f aca="false">sheet1!apd184</f>
        <v>#NAME?</v>
      </c>
      <c r="F183" s="6" t="e">
        <f aca="false">sheet1!ape184</f>
        <v>#NAME?</v>
      </c>
      <c r="G183" s="6" t="e">
        <f aca="false">sheet1!apf184</f>
        <v>#NAME?</v>
      </c>
      <c r="H183" s="6" t="e">
        <f aca="false">sheet1!apg184</f>
        <v>#NAME?</v>
      </c>
      <c r="I183" s="6" t="e">
        <f aca="false">sheet1!aph184</f>
        <v>#NAME?</v>
      </c>
      <c r="J183" s="6" t="e">
        <f aca="false">sheet1!api184</f>
        <v>#NAME?</v>
      </c>
      <c r="K183" s="6" t="e">
        <f aca="false">sheet1!apj184</f>
        <v>#NAME?</v>
      </c>
      <c r="L183" s="6" t="e">
        <f aca="false">sheet1!apk184</f>
        <v>#NAME?</v>
      </c>
      <c r="M183" s="6" t="e">
        <f aca="false">sheet1!apl184</f>
        <v>#NAME?</v>
      </c>
    </row>
    <row r="184" customFormat="false" ht="15.75" hidden="false" customHeight="false" outlineLevel="0" collapsed="false">
      <c r="A184" s="0" t="s">
        <v>67</v>
      </c>
      <c r="B184" s="1" t="n">
        <v>44044</v>
      </c>
      <c r="C184" s="6" t="e">
        <f aca="false">sheet1!apb185</f>
        <v>#NAME?</v>
      </c>
      <c r="D184" s="6" t="e">
        <f aca="false">sheet1!apc185</f>
        <v>#NAME?</v>
      </c>
      <c r="E184" s="6" t="e">
        <f aca="false">sheet1!apd185</f>
        <v>#NAME?</v>
      </c>
      <c r="F184" s="6" t="e">
        <f aca="false">sheet1!ape185</f>
        <v>#NAME?</v>
      </c>
      <c r="G184" s="6" t="e">
        <f aca="false">sheet1!apf185</f>
        <v>#NAME?</v>
      </c>
      <c r="H184" s="6" t="e">
        <f aca="false">sheet1!apg185</f>
        <v>#NAME?</v>
      </c>
      <c r="I184" s="6" t="e">
        <f aca="false">sheet1!aph185</f>
        <v>#NAME?</v>
      </c>
      <c r="J184" s="6" t="e">
        <f aca="false">sheet1!api185</f>
        <v>#NAME?</v>
      </c>
      <c r="K184" s="6" t="e">
        <f aca="false">sheet1!apj185</f>
        <v>#NAME?</v>
      </c>
      <c r="L184" s="6" t="e">
        <f aca="false">sheet1!apk185</f>
        <v>#NAME?</v>
      </c>
      <c r="M184" s="6" t="e">
        <f aca="false">sheet1!apl185</f>
        <v>#NAME?</v>
      </c>
    </row>
    <row r="185" customFormat="false" ht="15.75" hidden="false" customHeight="false" outlineLevel="0" collapsed="false">
      <c r="A185" s="0" t="s">
        <v>67</v>
      </c>
      <c r="B185" s="1" t="n">
        <v>44045</v>
      </c>
      <c r="C185" s="6" t="e">
        <f aca="false">sheet1!apb186</f>
        <v>#NAME?</v>
      </c>
      <c r="D185" s="6" t="e">
        <f aca="false">sheet1!apc186</f>
        <v>#NAME?</v>
      </c>
      <c r="E185" s="6" t="e">
        <f aca="false">sheet1!apd186</f>
        <v>#NAME?</v>
      </c>
      <c r="F185" s="6" t="e">
        <f aca="false">sheet1!ape186</f>
        <v>#NAME?</v>
      </c>
      <c r="G185" s="6" t="e">
        <f aca="false">sheet1!apf186</f>
        <v>#NAME?</v>
      </c>
      <c r="H185" s="6" t="e">
        <f aca="false">sheet1!apg186</f>
        <v>#NAME?</v>
      </c>
      <c r="I185" s="6" t="e">
        <f aca="false">sheet1!aph186</f>
        <v>#NAME?</v>
      </c>
      <c r="J185" s="6" t="e">
        <f aca="false">sheet1!api186</f>
        <v>#NAME?</v>
      </c>
      <c r="K185" s="6" t="e">
        <f aca="false">sheet1!apj186</f>
        <v>#NAME?</v>
      </c>
      <c r="L185" s="6" t="e">
        <f aca="false">sheet1!apk186</f>
        <v>#NAME?</v>
      </c>
      <c r="M185" s="6" t="e">
        <f aca="false">sheet1!apl186</f>
        <v>#NAME?</v>
      </c>
    </row>
    <row r="186" customFormat="false" ht="15.75" hidden="false" customHeight="false" outlineLevel="0" collapsed="false">
      <c r="A186" s="0" t="s">
        <v>67</v>
      </c>
      <c r="B186" s="1" t="n">
        <v>44046</v>
      </c>
      <c r="C186" s="6" t="e">
        <f aca="false">sheet1!apb187</f>
        <v>#NAME?</v>
      </c>
      <c r="D186" s="6" t="e">
        <f aca="false">sheet1!apc187</f>
        <v>#NAME?</v>
      </c>
      <c r="E186" s="6" t="e">
        <f aca="false">sheet1!apd187</f>
        <v>#NAME?</v>
      </c>
      <c r="F186" s="6" t="e">
        <f aca="false">sheet1!ape187</f>
        <v>#NAME?</v>
      </c>
      <c r="G186" s="6" t="e">
        <f aca="false">sheet1!apf187</f>
        <v>#NAME?</v>
      </c>
      <c r="H186" s="6" t="e">
        <f aca="false">sheet1!apg187</f>
        <v>#NAME?</v>
      </c>
      <c r="I186" s="6" t="e">
        <f aca="false">sheet1!aph187</f>
        <v>#NAME?</v>
      </c>
      <c r="J186" s="6" t="e">
        <f aca="false">sheet1!api187</f>
        <v>#NAME?</v>
      </c>
      <c r="K186" s="6" t="e">
        <f aca="false">sheet1!apj187</f>
        <v>#NAME?</v>
      </c>
      <c r="L186" s="6" t="e">
        <f aca="false">sheet1!apk187</f>
        <v>#NAME?</v>
      </c>
      <c r="M186" s="6" t="e">
        <f aca="false">sheet1!apl187</f>
        <v>#NAME?</v>
      </c>
    </row>
    <row r="187" customFormat="false" ht="15.75" hidden="false" customHeight="false" outlineLevel="0" collapsed="false">
      <c r="A187" s="0" t="s">
        <v>67</v>
      </c>
      <c r="B187" s="1" t="n">
        <v>44047</v>
      </c>
      <c r="C187" s="6" t="e">
        <f aca="false">sheet1!apb188</f>
        <v>#NAME?</v>
      </c>
      <c r="D187" s="6" t="e">
        <f aca="false">sheet1!apc188</f>
        <v>#NAME?</v>
      </c>
      <c r="E187" s="6" t="e">
        <f aca="false">sheet1!apd188</f>
        <v>#NAME?</v>
      </c>
      <c r="F187" s="6" t="e">
        <f aca="false">sheet1!ape188</f>
        <v>#NAME?</v>
      </c>
      <c r="G187" s="6" t="e">
        <f aca="false">sheet1!apf188</f>
        <v>#NAME?</v>
      </c>
      <c r="H187" s="6" t="e">
        <f aca="false">sheet1!apg188</f>
        <v>#NAME?</v>
      </c>
      <c r="I187" s="6" t="e">
        <f aca="false">sheet1!aph188</f>
        <v>#NAME?</v>
      </c>
      <c r="J187" s="6" t="e">
        <f aca="false">sheet1!api188</f>
        <v>#NAME?</v>
      </c>
      <c r="K187" s="6" t="e">
        <f aca="false">sheet1!apj188</f>
        <v>#NAME?</v>
      </c>
      <c r="L187" s="6" t="e">
        <f aca="false">sheet1!apk188</f>
        <v>#NAME?</v>
      </c>
      <c r="M187" s="6" t="e">
        <f aca="false">sheet1!apl188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0" min="3" style="2" width="9.76"/>
    <col collapsed="false" customWidth="true" hidden="false" outlineLevel="0" max="11" min="11" style="18" width="9.76"/>
    <col collapsed="false" customWidth="true" hidden="false" outlineLevel="0" max="13" min="12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68</v>
      </c>
      <c r="B2" s="1" t="n">
        <v>43862</v>
      </c>
      <c r="C2" s="6"/>
      <c r="D2" s="6"/>
      <c r="E2" s="6"/>
      <c r="F2" s="6"/>
      <c r="G2" s="6"/>
      <c r="H2" s="6"/>
      <c r="I2" s="6"/>
      <c r="J2" s="6"/>
      <c r="K2" s="11"/>
      <c r="L2" s="6"/>
      <c r="M2" s="6"/>
    </row>
    <row r="3" customFormat="false" ht="15.75" hidden="false" customHeight="false" outlineLevel="0" collapsed="false">
      <c r="A3" s="0" t="s">
        <v>68</v>
      </c>
      <c r="B3" s="1" t="n">
        <v>43863</v>
      </c>
      <c r="C3" s="6"/>
      <c r="D3" s="6"/>
      <c r="E3" s="6"/>
      <c r="F3" s="6"/>
      <c r="G3" s="6"/>
      <c r="H3" s="6"/>
      <c r="I3" s="6"/>
      <c r="J3" s="6"/>
      <c r="K3" s="11"/>
      <c r="L3" s="6"/>
      <c r="M3" s="6"/>
    </row>
    <row r="4" customFormat="false" ht="15.75" hidden="false" customHeight="false" outlineLevel="0" collapsed="false">
      <c r="A4" s="0" t="s">
        <v>68</v>
      </c>
      <c r="B4" s="1" t="n">
        <v>43864</v>
      </c>
      <c r="C4" s="6"/>
      <c r="D4" s="6"/>
      <c r="E4" s="6"/>
      <c r="F4" s="6"/>
      <c r="G4" s="6"/>
      <c r="H4" s="6"/>
      <c r="I4" s="6"/>
      <c r="J4" s="6"/>
      <c r="K4" s="11"/>
      <c r="L4" s="6"/>
      <c r="M4" s="6"/>
    </row>
    <row r="5" customFormat="false" ht="15.75" hidden="false" customHeight="false" outlineLevel="0" collapsed="false">
      <c r="A5" s="0" t="s">
        <v>68</v>
      </c>
      <c r="B5" s="1" t="n">
        <v>43865</v>
      </c>
      <c r="C5" s="6"/>
      <c r="D5" s="6"/>
      <c r="E5" s="6"/>
      <c r="F5" s="6"/>
      <c r="G5" s="6"/>
      <c r="H5" s="6"/>
      <c r="I5" s="6"/>
      <c r="J5" s="6"/>
      <c r="K5" s="11"/>
      <c r="L5" s="6"/>
      <c r="M5" s="6"/>
    </row>
    <row r="6" customFormat="false" ht="15.75" hidden="false" customHeight="false" outlineLevel="0" collapsed="false">
      <c r="A6" s="0" t="s">
        <v>68</v>
      </c>
      <c r="B6" s="1" t="n">
        <v>43866</v>
      </c>
      <c r="C6" s="6"/>
      <c r="D6" s="6"/>
      <c r="E6" s="6"/>
      <c r="F6" s="6"/>
      <c r="G6" s="6"/>
      <c r="H6" s="6"/>
      <c r="I6" s="6"/>
      <c r="J6" s="6"/>
      <c r="K6" s="11"/>
      <c r="L6" s="6"/>
      <c r="M6" s="6"/>
    </row>
    <row r="7" customFormat="false" ht="15.75" hidden="false" customHeight="false" outlineLevel="0" collapsed="false">
      <c r="A7" s="0" t="s">
        <v>68</v>
      </c>
      <c r="B7" s="1" t="n">
        <v>43867</v>
      </c>
      <c r="C7" s="6"/>
      <c r="D7" s="6"/>
      <c r="E7" s="6"/>
      <c r="F7" s="6"/>
      <c r="G7" s="6"/>
      <c r="H7" s="6"/>
      <c r="I7" s="6"/>
      <c r="J7" s="6"/>
      <c r="K7" s="11"/>
      <c r="L7" s="6"/>
      <c r="M7" s="6"/>
    </row>
    <row r="8" customFormat="false" ht="15.75" hidden="false" customHeight="false" outlineLevel="0" collapsed="false">
      <c r="A8" s="0" t="s">
        <v>68</v>
      </c>
      <c r="B8" s="1" t="n">
        <v>43868</v>
      </c>
      <c r="C8" s="6"/>
      <c r="D8" s="6"/>
      <c r="E8" s="6"/>
      <c r="F8" s="6"/>
      <c r="G8" s="6"/>
      <c r="H8" s="6"/>
      <c r="I8" s="6"/>
      <c r="J8" s="6"/>
      <c r="K8" s="11"/>
      <c r="L8" s="6"/>
      <c r="M8" s="6"/>
    </row>
    <row r="9" customFormat="false" ht="15.75" hidden="false" customHeight="false" outlineLevel="0" collapsed="false">
      <c r="A9" s="0" t="s">
        <v>68</v>
      </c>
      <c r="B9" s="1" t="n">
        <v>43869</v>
      </c>
      <c r="C9" s="6"/>
      <c r="D9" s="6"/>
      <c r="E9" s="6"/>
      <c r="F9" s="6"/>
      <c r="G9" s="6"/>
      <c r="H9" s="6"/>
      <c r="I9" s="6"/>
      <c r="J9" s="6"/>
      <c r="K9" s="11"/>
      <c r="L9" s="6"/>
      <c r="M9" s="6"/>
    </row>
    <row r="10" customFormat="false" ht="15.75" hidden="false" customHeight="false" outlineLevel="0" collapsed="false">
      <c r="A10" s="0" t="s">
        <v>68</v>
      </c>
      <c r="B10" s="1" t="n">
        <v>43870</v>
      </c>
      <c r="C10" s="6"/>
      <c r="D10" s="6"/>
      <c r="E10" s="6"/>
      <c r="F10" s="6"/>
      <c r="G10" s="6"/>
      <c r="H10" s="6"/>
      <c r="I10" s="6"/>
      <c r="J10" s="6"/>
      <c r="K10" s="11"/>
      <c r="L10" s="6"/>
      <c r="M10" s="6"/>
    </row>
    <row r="11" customFormat="false" ht="15.75" hidden="false" customHeight="false" outlineLevel="0" collapsed="false">
      <c r="A11" s="0" t="s">
        <v>68</v>
      </c>
      <c r="B11" s="1" t="n">
        <v>43871</v>
      </c>
      <c r="C11" s="6"/>
      <c r="D11" s="6"/>
      <c r="E11" s="6"/>
      <c r="F11" s="6"/>
      <c r="G11" s="6"/>
      <c r="H11" s="6"/>
      <c r="I11" s="6"/>
      <c r="J11" s="6"/>
      <c r="K11" s="11"/>
      <c r="L11" s="6"/>
      <c r="M11" s="6"/>
    </row>
    <row r="12" customFormat="false" ht="15.75" hidden="false" customHeight="false" outlineLevel="0" collapsed="false">
      <c r="A12" s="0" t="s">
        <v>68</v>
      </c>
      <c r="B12" s="1" t="n">
        <v>43872</v>
      </c>
      <c r="C12" s="6"/>
      <c r="D12" s="6"/>
      <c r="E12" s="6"/>
      <c r="F12" s="6"/>
      <c r="G12" s="6"/>
      <c r="H12" s="6"/>
      <c r="I12" s="6"/>
      <c r="J12" s="6"/>
      <c r="K12" s="11"/>
      <c r="L12" s="6"/>
      <c r="M12" s="6"/>
    </row>
    <row r="13" customFormat="false" ht="15.75" hidden="false" customHeight="false" outlineLevel="0" collapsed="false">
      <c r="A13" s="0" t="s">
        <v>68</v>
      </c>
      <c r="B13" s="1" t="n">
        <v>43873</v>
      </c>
      <c r="C13" s="6"/>
      <c r="D13" s="6"/>
      <c r="E13" s="6"/>
      <c r="F13" s="6"/>
      <c r="G13" s="6"/>
      <c r="H13" s="6"/>
      <c r="I13" s="6"/>
      <c r="J13" s="6"/>
      <c r="K13" s="11"/>
      <c r="L13" s="6"/>
      <c r="M13" s="6"/>
    </row>
    <row r="14" customFormat="false" ht="15.75" hidden="false" customHeight="false" outlineLevel="0" collapsed="false">
      <c r="A14" s="0" t="s">
        <v>68</v>
      </c>
      <c r="B14" s="1" t="n">
        <v>43874</v>
      </c>
      <c r="C14" s="6"/>
      <c r="D14" s="6"/>
      <c r="E14" s="6"/>
      <c r="F14" s="6"/>
      <c r="G14" s="6"/>
      <c r="H14" s="6"/>
      <c r="I14" s="6"/>
      <c r="J14" s="6"/>
      <c r="K14" s="11"/>
      <c r="L14" s="6"/>
      <c r="M14" s="6"/>
    </row>
    <row r="15" customFormat="false" ht="15.75" hidden="false" customHeight="false" outlineLevel="0" collapsed="false">
      <c r="A15" s="0" t="s">
        <v>68</v>
      </c>
      <c r="B15" s="1" t="n">
        <v>43875</v>
      </c>
      <c r="C15" s="6"/>
      <c r="D15" s="6"/>
      <c r="E15" s="6"/>
      <c r="F15" s="6"/>
      <c r="G15" s="6"/>
      <c r="H15" s="6"/>
      <c r="I15" s="6"/>
      <c r="J15" s="6"/>
      <c r="K15" s="11"/>
      <c r="L15" s="6"/>
      <c r="M15" s="6"/>
    </row>
    <row r="16" customFormat="false" ht="15.75" hidden="false" customHeight="false" outlineLevel="0" collapsed="false">
      <c r="A16" s="0" t="s">
        <v>68</v>
      </c>
      <c r="B16" s="1" t="n">
        <v>43876</v>
      </c>
      <c r="C16" s="6"/>
      <c r="D16" s="6"/>
      <c r="E16" s="6"/>
      <c r="F16" s="6"/>
      <c r="G16" s="6"/>
      <c r="H16" s="6"/>
      <c r="I16" s="6"/>
      <c r="J16" s="6"/>
      <c r="K16" s="11"/>
      <c r="L16" s="6"/>
      <c r="M16" s="6"/>
    </row>
    <row r="17" customFormat="false" ht="15.75" hidden="false" customHeight="false" outlineLevel="0" collapsed="false">
      <c r="A17" s="0" t="s">
        <v>68</v>
      </c>
      <c r="B17" s="1" t="n">
        <v>43877</v>
      </c>
      <c r="C17" s="6"/>
      <c r="D17" s="6"/>
      <c r="E17" s="6"/>
      <c r="F17" s="6"/>
      <c r="G17" s="6"/>
      <c r="H17" s="6"/>
      <c r="I17" s="6"/>
      <c r="J17" s="6"/>
      <c r="K17" s="11"/>
      <c r="L17" s="6"/>
      <c r="M17" s="6"/>
    </row>
    <row r="18" customFormat="false" ht="15.75" hidden="false" customHeight="false" outlineLevel="0" collapsed="false">
      <c r="A18" s="0" t="s">
        <v>68</v>
      </c>
      <c r="B18" s="1" t="n">
        <v>43878</v>
      </c>
      <c r="C18" s="6"/>
      <c r="D18" s="6"/>
      <c r="E18" s="6"/>
      <c r="F18" s="6"/>
      <c r="G18" s="6"/>
      <c r="H18" s="6"/>
      <c r="I18" s="6"/>
      <c r="J18" s="6"/>
      <c r="K18" s="11"/>
      <c r="L18" s="6"/>
      <c r="M18" s="6"/>
    </row>
    <row r="19" customFormat="false" ht="15.75" hidden="false" customHeight="false" outlineLevel="0" collapsed="false">
      <c r="A19" s="0" t="s">
        <v>68</v>
      </c>
      <c r="B19" s="1" t="n">
        <v>43879</v>
      </c>
      <c r="C19" s="6"/>
      <c r="D19" s="6"/>
      <c r="E19" s="6"/>
      <c r="F19" s="6"/>
      <c r="G19" s="6"/>
      <c r="H19" s="6"/>
      <c r="I19" s="6"/>
      <c r="J19" s="6"/>
      <c r="K19" s="11"/>
      <c r="L19" s="6"/>
      <c r="M19" s="6"/>
    </row>
    <row r="20" customFormat="false" ht="15.75" hidden="false" customHeight="false" outlineLevel="0" collapsed="false">
      <c r="A20" s="0" t="s">
        <v>68</v>
      </c>
      <c r="B20" s="1" t="n">
        <v>43880</v>
      </c>
      <c r="C20" s="6"/>
      <c r="D20" s="6"/>
      <c r="E20" s="6"/>
      <c r="F20" s="6"/>
      <c r="G20" s="6"/>
      <c r="H20" s="6"/>
      <c r="I20" s="6"/>
      <c r="J20" s="6"/>
      <c r="K20" s="11"/>
      <c r="L20" s="6"/>
      <c r="M20" s="6"/>
    </row>
    <row r="21" customFormat="false" ht="15.75" hidden="false" customHeight="false" outlineLevel="0" collapsed="false">
      <c r="A21" s="0" t="s">
        <v>68</v>
      </c>
      <c r="B21" s="1" t="n">
        <v>43881</v>
      </c>
      <c r="C21" s="6"/>
      <c r="D21" s="6"/>
      <c r="E21" s="6"/>
      <c r="F21" s="6"/>
      <c r="G21" s="6"/>
      <c r="H21" s="6"/>
      <c r="I21" s="6"/>
      <c r="J21" s="6"/>
      <c r="K21" s="11"/>
      <c r="L21" s="6"/>
      <c r="M21" s="6"/>
    </row>
    <row r="22" customFormat="false" ht="15.75" hidden="false" customHeight="false" outlineLevel="0" collapsed="false">
      <c r="A22" s="0" t="s">
        <v>68</v>
      </c>
      <c r="B22" s="1" t="n">
        <v>43882</v>
      </c>
      <c r="C22" s="6"/>
      <c r="D22" s="6"/>
      <c r="E22" s="6"/>
      <c r="F22" s="6"/>
      <c r="G22" s="6"/>
      <c r="H22" s="6"/>
      <c r="I22" s="6"/>
      <c r="J22" s="6"/>
      <c r="K22" s="11"/>
      <c r="L22" s="6"/>
      <c r="M22" s="6"/>
    </row>
    <row r="23" customFormat="false" ht="15.75" hidden="false" customHeight="false" outlineLevel="0" collapsed="false">
      <c r="A23" s="0" t="s">
        <v>68</v>
      </c>
      <c r="B23" s="1" t="n">
        <v>43883</v>
      </c>
      <c r="C23" s="6"/>
      <c r="D23" s="6"/>
      <c r="E23" s="6"/>
      <c r="F23" s="6"/>
      <c r="G23" s="6"/>
      <c r="H23" s="6"/>
      <c r="I23" s="6"/>
      <c r="J23" s="6"/>
      <c r="K23" s="11"/>
      <c r="L23" s="6"/>
      <c r="M23" s="6"/>
    </row>
    <row r="24" customFormat="false" ht="15.75" hidden="false" customHeight="false" outlineLevel="0" collapsed="false">
      <c r="A24" s="0" t="s">
        <v>68</v>
      </c>
      <c r="B24" s="1" t="n">
        <v>43884</v>
      </c>
      <c r="C24" s="6"/>
      <c r="D24" s="6"/>
      <c r="E24" s="6"/>
      <c r="F24" s="6"/>
      <c r="G24" s="6"/>
      <c r="H24" s="6"/>
      <c r="I24" s="6"/>
      <c r="J24" s="6"/>
      <c r="K24" s="11"/>
      <c r="L24" s="6"/>
      <c r="M24" s="6"/>
    </row>
    <row r="25" customFormat="false" ht="15.75" hidden="false" customHeight="false" outlineLevel="0" collapsed="false">
      <c r="A25" s="0" t="s">
        <v>68</v>
      </c>
      <c r="B25" s="1" t="n">
        <v>43885</v>
      </c>
      <c r="C25" s="6"/>
      <c r="D25" s="6"/>
      <c r="E25" s="6"/>
      <c r="F25" s="6"/>
      <c r="G25" s="6"/>
      <c r="H25" s="6"/>
      <c r="I25" s="6"/>
      <c r="J25" s="6"/>
      <c r="K25" s="11"/>
      <c r="L25" s="6"/>
      <c r="M25" s="6"/>
    </row>
    <row r="26" customFormat="false" ht="15.75" hidden="false" customHeight="false" outlineLevel="0" collapsed="false">
      <c r="A26" s="0" t="s">
        <v>68</v>
      </c>
      <c r="B26" s="1" t="n">
        <v>43886</v>
      </c>
      <c r="C26" s="6"/>
      <c r="D26" s="6"/>
      <c r="E26" s="6"/>
      <c r="F26" s="6"/>
      <c r="G26" s="6"/>
      <c r="H26" s="6"/>
      <c r="I26" s="6"/>
      <c r="J26" s="6"/>
      <c r="K26" s="11"/>
      <c r="L26" s="6"/>
      <c r="M26" s="6"/>
    </row>
    <row r="27" customFormat="false" ht="15.75" hidden="false" customHeight="false" outlineLevel="0" collapsed="false">
      <c r="A27" s="0" t="s">
        <v>68</v>
      </c>
      <c r="B27" s="1" t="n">
        <v>43887</v>
      </c>
      <c r="C27" s="6"/>
      <c r="D27" s="6"/>
      <c r="E27" s="6"/>
      <c r="F27" s="6"/>
      <c r="G27" s="6"/>
      <c r="H27" s="6"/>
      <c r="I27" s="6"/>
      <c r="J27" s="6"/>
      <c r="K27" s="11"/>
      <c r="L27" s="6"/>
      <c r="M27" s="6"/>
    </row>
    <row r="28" customFormat="false" ht="15.75" hidden="false" customHeight="false" outlineLevel="0" collapsed="false">
      <c r="A28" s="0" t="s">
        <v>68</v>
      </c>
      <c r="B28" s="1" t="n">
        <v>43888</v>
      </c>
      <c r="C28" s="6"/>
      <c r="D28" s="6"/>
      <c r="E28" s="6"/>
      <c r="F28" s="6"/>
      <c r="G28" s="6"/>
      <c r="H28" s="6"/>
      <c r="I28" s="6"/>
      <c r="J28" s="6"/>
      <c r="K28" s="11"/>
      <c r="L28" s="6"/>
      <c r="M28" s="6"/>
    </row>
    <row r="29" customFormat="false" ht="15.75" hidden="false" customHeight="false" outlineLevel="0" collapsed="false">
      <c r="A29" s="0" t="s">
        <v>68</v>
      </c>
      <c r="B29" s="1" t="n">
        <v>43889</v>
      </c>
      <c r="C29" s="6"/>
      <c r="D29" s="6"/>
      <c r="E29" s="6"/>
      <c r="F29" s="6"/>
      <c r="G29" s="6"/>
      <c r="H29" s="6"/>
      <c r="I29" s="6"/>
      <c r="J29" s="6"/>
      <c r="K29" s="11"/>
      <c r="L29" s="6"/>
      <c r="M29" s="6"/>
    </row>
    <row r="30" customFormat="false" ht="15.75" hidden="false" customHeight="false" outlineLevel="0" collapsed="false">
      <c r="A30" s="0" t="s">
        <v>68</v>
      </c>
      <c r="B30" s="1" t="n">
        <v>43890</v>
      </c>
      <c r="C30" s="6"/>
      <c r="D30" s="6"/>
      <c r="E30" s="6"/>
      <c r="F30" s="6"/>
      <c r="G30" s="6"/>
      <c r="H30" s="6"/>
      <c r="I30" s="6"/>
      <c r="J30" s="6"/>
      <c r="K30" s="11"/>
      <c r="L30" s="6"/>
      <c r="M30" s="6"/>
    </row>
    <row r="31" customFormat="false" ht="15.75" hidden="false" customHeight="false" outlineLevel="0" collapsed="false">
      <c r="A31" s="0" t="s">
        <v>68</v>
      </c>
      <c r="B31" s="1" t="n">
        <v>43891</v>
      </c>
      <c r="C31" s="6"/>
      <c r="D31" s="6"/>
      <c r="E31" s="6"/>
      <c r="F31" s="6"/>
      <c r="G31" s="6"/>
      <c r="H31" s="6"/>
      <c r="I31" s="6"/>
      <c r="J31" s="6"/>
      <c r="K31" s="11"/>
      <c r="L31" s="6"/>
      <c r="M31" s="6"/>
    </row>
    <row r="32" customFormat="false" ht="15.75" hidden="false" customHeight="false" outlineLevel="0" collapsed="false">
      <c r="A32" s="0" t="s">
        <v>68</v>
      </c>
      <c r="B32" s="1" t="n">
        <v>43892</v>
      </c>
      <c r="C32" s="6"/>
      <c r="D32" s="6"/>
      <c r="E32" s="6"/>
      <c r="F32" s="6"/>
      <c r="G32" s="6"/>
      <c r="H32" s="6"/>
      <c r="I32" s="6"/>
      <c r="J32" s="6"/>
      <c r="K32" s="11"/>
      <c r="L32" s="6"/>
      <c r="M32" s="6"/>
    </row>
    <row r="33" customFormat="false" ht="15.75" hidden="false" customHeight="false" outlineLevel="0" collapsed="false">
      <c r="A33" s="0" t="s">
        <v>68</v>
      </c>
      <c r="B33" s="1" t="n">
        <v>43893</v>
      </c>
      <c r="C33" s="6"/>
      <c r="D33" s="6"/>
      <c r="E33" s="6"/>
      <c r="F33" s="6"/>
      <c r="G33" s="6"/>
      <c r="H33" s="6"/>
      <c r="I33" s="6"/>
      <c r="J33" s="6"/>
      <c r="K33" s="11"/>
      <c r="L33" s="6"/>
      <c r="M33" s="6"/>
    </row>
    <row r="34" customFormat="false" ht="15.75" hidden="false" customHeight="false" outlineLevel="0" collapsed="false">
      <c r="A34" s="0" t="s">
        <v>68</v>
      </c>
      <c r="B34" s="1" t="n">
        <v>43894</v>
      </c>
      <c r="C34" s="6"/>
      <c r="D34" s="6"/>
      <c r="E34" s="6"/>
      <c r="F34" s="6"/>
      <c r="G34" s="6"/>
      <c r="H34" s="6"/>
      <c r="I34" s="6"/>
      <c r="J34" s="6"/>
      <c r="K34" s="11"/>
      <c r="L34" s="6"/>
      <c r="M34" s="6"/>
    </row>
    <row r="35" customFormat="false" ht="15.75" hidden="false" customHeight="false" outlineLevel="0" collapsed="false">
      <c r="A35" s="0" t="s">
        <v>68</v>
      </c>
      <c r="B35" s="1" t="n">
        <v>43895</v>
      </c>
      <c r="C35" s="6"/>
      <c r="D35" s="6"/>
      <c r="E35" s="6"/>
      <c r="F35" s="6"/>
      <c r="G35" s="6"/>
      <c r="H35" s="6"/>
      <c r="I35" s="6"/>
      <c r="J35" s="6"/>
      <c r="K35" s="11"/>
      <c r="L35" s="6"/>
      <c r="M35" s="6"/>
    </row>
    <row r="36" customFormat="false" ht="15.75" hidden="false" customHeight="false" outlineLevel="0" collapsed="false">
      <c r="A36" s="0" t="s">
        <v>68</v>
      </c>
      <c r="B36" s="1" t="n">
        <v>43896</v>
      </c>
      <c r="C36" s="6"/>
      <c r="D36" s="6"/>
      <c r="E36" s="6"/>
      <c r="F36" s="6"/>
      <c r="G36" s="6"/>
      <c r="H36" s="6"/>
      <c r="I36" s="6"/>
      <c r="J36" s="6"/>
      <c r="K36" s="11"/>
      <c r="L36" s="6"/>
      <c r="M36" s="6"/>
    </row>
    <row r="37" customFormat="false" ht="15.75" hidden="false" customHeight="false" outlineLevel="0" collapsed="false">
      <c r="A37" s="0" t="s">
        <v>68</v>
      </c>
      <c r="B37" s="1" t="n">
        <v>43897</v>
      </c>
      <c r="C37" s="8" t="n">
        <v>45</v>
      </c>
      <c r="D37" s="8" t="n">
        <v>14</v>
      </c>
      <c r="E37" s="8"/>
      <c r="F37" s="8"/>
      <c r="G37" s="8"/>
      <c r="H37" s="8" t="n">
        <v>45</v>
      </c>
      <c r="I37" s="8" t="n">
        <v>1</v>
      </c>
      <c r="J37" s="8"/>
      <c r="K37" s="11"/>
      <c r="L37" s="8"/>
      <c r="M37" s="8"/>
    </row>
    <row r="38" customFormat="false" ht="15.75" hidden="false" customHeight="false" outlineLevel="0" collapsed="false">
      <c r="A38" s="0" t="s">
        <v>68</v>
      </c>
      <c r="B38" s="1" t="n">
        <v>43898</v>
      </c>
      <c r="C38" s="6" t="n">
        <v>66</v>
      </c>
      <c r="D38" s="6" t="n">
        <v>21</v>
      </c>
      <c r="E38" s="6"/>
      <c r="F38" s="6"/>
      <c r="G38" s="6"/>
      <c r="H38" s="6" t="n">
        <v>66</v>
      </c>
      <c r="I38" s="6" t="n">
        <v>1</v>
      </c>
      <c r="J38" s="6" t="n">
        <v>6.3</v>
      </c>
      <c r="K38" s="11"/>
      <c r="L38" s="6"/>
      <c r="M38" s="6"/>
    </row>
    <row r="39" customFormat="false" ht="15.75" hidden="false" customHeight="false" outlineLevel="0" collapsed="false">
      <c r="A39" s="0" t="s">
        <v>68</v>
      </c>
      <c r="B39" s="1" t="n">
        <v>43899</v>
      </c>
      <c r="C39" s="6" t="n">
        <v>73</v>
      </c>
      <c r="D39" s="6" t="n">
        <v>7</v>
      </c>
      <c r="E39" s="6"/>
      <c r="F39" s="6"/>
      <c r="G39" s="6"/>
      <c r="H39" s="6" t="n">
        <v>73</v>
      </c>
      <c r="I39" s="6" t="n">
        <v>1</v>
      </c>
      <c r="J39" s="6" t="n">
        <v>7</v>
      </c>
      <c r="K39" s="11"/>
      <c r="L39" s="6"/>
      <c r="M39" s="6"/>
    </row>
    <row r="40" customFormat="false" ht="15.75" hidden="false" customHeight="false" outlineLevel="0" collapsed="false">
      <c r="A40" s="0" t="s">
        <v>68</v>
      </c>
      <c r="B40" s="1" t="n">
        <v>43900</v>
      </c>
      <c r="C40" s="6" t="n">
        <v>84</v>
      </c>
      <c r="D40" s="6" t="n">
        <v>11</v>
      </c>
      <c r="E40" s="6"/>
      <c r="F40" s="6"/>
      <c r="G40" s="6"/>
      <c r="H40" s="6" t="n">
        <v>84</v>
      </c>
      <c r="I40" s="6" t="n">
        <v>1</v>
      </c>
      <c r="J40" s="6" t="n">
        <v>8.1</v>
      </c>
      <c r="K40" s="11"/>
      <c r="L40" s="6"/>
      <c r="M40" s="6"/>
    </row>
    <row r="41" customFormat="false" ht="15.75" hidden="false" customHeight="false" outlineLevel="0" collapsed="false">
      <c r="A41" s="0" t="s">
        <v>68</v>
      </c>
      <c r="B41" s="1" t="n">
        <v>43901</v>
      </c>
      <c r="C41" s="6" t="n">
        <v>89</v>
      </c>
      <c r="D41" s="6" t="n">
        <v>5</v>
      </c>
      <c r="E41" s="6"/>
      <c r="F41" s="6"/>
      <c r="G41" s="6"/>
      <c r="H41" s="6" t="n">
        <v>89</v>
      </c>
      <c r="I41" s="6" t="n">
        <v>1</v>
      </c>
      <c r="J41" s="6" t="n">
        <v>8.5</v>
      </c>
      <c r="K41" s="11"/>
      <c r="L41" s="6"/>
      <c r="M41" s="6"/>
    </row>
    <row r="42" customFormat="false" ht="15.75" hidden="false" customHeight="false" outlineLevel="0" collapsed="false">
      <c r="A42" s="0" t="s">
        <v>68</v>
      </c>
      <c r="B42" s="1" t="n">
        <v>43902</v>
      </c>
      <c r="C42" s="6" t="n">
        <v>99</v>
      </c>
      <c r="D42" s="6" t="n">
        <v>10</v>
      </c>
      <c r="E42" s="6"/>
      <c r="F42" s="6"/>
      <c r="G42" s="6"/>
      <c r="H42" s="6" t="n">
        <v>99</v>
      </c>
      <c r="I42" s="6" t="n">
        <v>2</v>
      </c>
      <c r="J42" s="6" t="n">
        <v>9.5</v>
      </c>
      <c r="K42" s="11"/>
      <c r="L42" s="6"/>
      <c r="M42" s="6"/>
    </row>
    <row r="43" customFormat="false" ht="15.75" hidden="false" customHeight="false" outlineLevel="0" collapsed="false">
      <c r="A43" s="0" t="s">
        <v>68</v>
      </c>
      <c r="B43" s="1" t="n">
        <v>43903</v>
      </c>
      <c r="C43" s="6" t="n">
        <v>117</v>
      </c>
      <c r="D43" s="6" t="n">
        <v>18</v>
      </c>
      <c r="E43" s="6" t="n">
        <v>1</v>
      </c>
      <c r="F43" s="6" t="n">
        <v>1</v>
      </c>
      <c r="G43" s="6"/>
      <c r="H43" s="6" t="n">
        <v>116</v>
      </c>
      <c r="I43" s="6" t="n">
        <v>2</v>
      </c>
      <c r="J43" s="6" t="n">
        <v>11.2</v>
      </c>
      <c r="K43" s="11"/>
      <c r="L43" s="6"/>
      <c r="M43" s="6"/>
    </row>
    <row r="44" customFormat="false" ht="15.75" hidden="false" customHeight="false" outlineLevel="0" collapsed="false">
      <c r="A44" s="0" t="s">
        <v>68</v>
      </c>
      <c r="B44" s="1" t="n">
        <v>43904</v>
      </c>
      <c r="C44" s="6" t="n">
        <v>190</v>
      </c>
      <c r="D44" s="6" t="n">
        <v>73</v>
      </c>
      <c r="E44" s="6" t="n">
        <v>1</v>
      </c>
      <c r="F44" s="6" t="n">
        <v>0</v>
      </c>
      <c r="G44" s="6" t="n">
        <v>2</v>
      </c>
      <c r="H44" s="6" t="n">
        <v>187</v>
      </c>
      <c r="I44" s="6" t="n">
        <v>2</v>
      </c>
      <c r="J44" s="6" t="n">
        <v>18.2</v>
      </c>
      <c r="K44" s="11"/>
      <c r="L44" s="6"/>
      <c r="M44" s="6"/>
    </row>
    <row r="45" customFormat="false" ht="15.75" hidden="false" customHeight="false" outlineLevel="0" collapsed="false">
      <c r="A45" s="0" t="s">
        <v>68</v>
      </c>
      <c r="B45" s="1" t="n">
        <v>43905</v>
      </c>
      <c r="C45" s="6" t="n">
        <v>228</v>
      </c>
      <c r="D45" s="6" t="n">
        <v>38</v>
      </c>
      <c r="E45" s="6" t="n">
        <v>3</v>
      </c>
      <c r="F45" s="6" t="n">
        <v>2</v>
      </c>
      <c r="G45" s="6" t="n">
        <v>8</v>
      </c>
      <c r="H45" s="6" t="n">
        <v>217</v>
      </c>
      <c r="I45" s="6" t="n">
        <v>5</v>
      </c>
      <c r="J45" s="6" t="n">
        <v>21.9</v>
      </c>
      <c r="K45" s="11"/>
      <c r="L45" s="6"/>
      <c r="M45" s="6"/>
    </row>
    <row r="46" customFormat="false" ht="15.75" hidden="false" customHeight="false" outlineLevel="0" collapsed="false">
      <c r="A46" s="0" t="s">
        <v>68</v>
      </c>
      <c r="B46" s="1" t="n">
        <v>43906</v>
      </c>
      <c r="C46" s="6" t="n">
        <v>331</v>
      </c>
      <c r="D46" s="6" t="n">
        <v>103</v>
      </c>
      <c r="E46" s="6" t="n">
        <v>4</v>
      </c>
      <c r="F46" s="6" t="n">
        <v>1</v>
      </c>
      <c r="G46" s="6" t="n">
        <v>8</v>
      </c>
      <c r="H46" s="6" t="n">
        <v>319</v>
      </c>
      <c r="I46" s="6" t="n">
        <v>5</v>
      </c>
      <c r="J46" s="6" t="n">
        <v>31.8</v>
      </c>
      <c r="K46" s="11"/>
      <c r="L46" s="6"/>
      <c r="M46" s="6"/>
    </row>
    <row r="47" customFormat="false" ht="15.75" hidden="false" customHeight="false" outlineLevel="0" collapsed="false">
      <c r="A47" s="0" t="s">
        <v>68</v>
      </c>
      <c r="B47" s="1" t="n">
        <v>43907</v>
      </c>
      <c r="C47" s="6" t="n">
        <v>352</v>
      </c>
      <c r="D47" s="6" t="n">
        <v>21</v>
      </c>
      <c r="E47" s="6" t="n">
        <v>4</v>
      </c>
      <c r="F47" s="6" t="n">
        <v>0</v>
      </c>
      <c r="G47" s="6" t="n">
        <v>8</v>
      </c>
      <c r="H47" s="6" t="n">
        <v>340</v>
      </c>
      <c r="I47" s="6" t="n">
        <v>5</v>
      </c>
      <c r="J47" s="6" t="n">
        <v>33.8</v>
      </c>
      <c r="K47" s="11"/>
      <c r="L47" s="6"/>
      <c r="M47" s="6"/>
    </row>
    <row r="48" customFormat="false" ht="15.75" hidden="false" customHeight="false" outlineLevel="0" collapsed="false">
      <c r="A48" s="0" t="s">
        <v>68</v>
      </c>
      <c r="B48" s="1" t="n">
        <v>43908</v>
      </c>
      <c r="C48" s="6" t="n">
        <v>387</v>
      </c>
      <c r="D48" s="6" t="n">
        <v>35</v>
      </c>
      <c r="E48" s="6" t="n">
        <v>5</v>
      </c>
      <c r="F48" s="6" t="n">
        <v>1</v>
      </c>
      <c r="G48" s="6" t="n">
        <v>14</v>
      </c>
      <c r="H48" s="6" t="n">
        <v>368</v>
      </c>
      <c r="I48" s="6" t="n">
        <v>11</v>
      </c>
      <c r="J48" s="6" t="n">
        <v>37.1</v>
      </c>
      <c r="K48" s="11"/>
      <c r="L48" s="6"/>
      <c r="M48" s="6"/>
    </row>
    <row r="49" customFormat="false" ht="15.75" hidden="false" customHeight="false" outlineLevel="0" collapsed="false">
      <c r="A49" s="0" t="s">
        <v>68</v>
      </c>
      <c r="B49" s="1" t="n">
        <v>43909</v>
      </c>
      <c r="C49" s="6" t="n">
        <v>418</v>
      </c>
      <c r="D49" s="6" t="n">
        <v>31</v>
      </c>
      <c r="E49" s="6" t="n">
        <v>5</v>
      </c>
      <c r="F49" s="6" t="n">
        <v>0</v>
      </c>
      <c r="G49" s="6" t="n">
        <v>14</v>
      </c>
      <c r="H49" s="6" t="n">
        <v>399</v>
      </c>
      <c r="I49" s="6" t="n">
        <v>13</v>
      </c>
      <c r="J49" s="6" t="n">
        <v>40</v>
      </c>
      <c r="K49" s="11"/>
      <c r="L49" s="6"/>
      <c r="M49" s="6"/>
    </row>
    <row r="50" customFormat="false" ht="15.75" hidden="false" customHeight="false" outlineLevel="0" collapsed="false">
      <c r="A50" s="0" t="s">
        <v>68</v>
      </c>
      <c r="B50" s="1" t="n">
        <v>43910</v>
      </c>
      <c r="C50" s="6" t="n">
        <v>464</v>
      </c>
      <c r="D50" s="6" t="n">
        <v>46</v>
      </c>
      <c r="E50" s="6" t="n">
        <v>6</v>
      </c>
      <c r="F50" s="6" t="n">
        <v>1</v>
      </c>
      <c r="G50" s="6" t="n">
        <v>19</v>
      </c>
      <c r="H50" s="6" t="n">
        <v>439</v>
      </c>
      <c r="I50" s="6" t="n">
        <v>16</v>
      </c>
      <c r="J50" s="6" t="n">
        <v>45</v>
      </c>
      <c r="K50" s="11"/>
      <c r="L50" s="6"/>
      <c r="M50" s="6"/>
    </row>
    <row r="51" customFormat="false" ht="15.75" hidden="false" customHeight="false" outlineLevel="0" collapsed="false">
      <c r="A51" s="0" t="s">
        <v>68</v>
      </c>
      <c r="B51" s="1" t="n">
        <v>43911</v>
      </c>
      <c r="C51" s="6" t="n">
        <v>495</v>
      </c>
      <c r="D51" s="6" t="n">
        <v>31</v>
      </c>
      <c r="E51" s="6" t="n">
        <v>10</v>
      </c>
      <c r="F51" s="6" t="n">
        <v>4</v>
      </c>
      <c r="G51" s="6" t="n">
        <v>19</v>
      </c>
      <c r="H51" s="6" t="n">
        <v>466</v>
      </c>
      <c r="I51" s="6" t="n">
        <v>20</v>
      </c>
      <c r="J51" s="6" t="n">
        <v>47</v>
      </c>
      <c r="K51" s="11"/>
      <c r="L51" s="6"/>
      <c r="M51" s="6"/>
    </row>
    <row r="52" customFormat="false" ht="15.75" hidden="false" customHeight="false" outlineLevel="0" collapsed="false">
      <c r="A52" s="0" t="s">
        <v>68</v>
      </c>
      <c r="B52" s="1" t="n">
        <v>43912</v>
      </c>
      <c r="C52" s="6" t="n">
        <v>530</v>
      </c>
      <c r="D52" s="6" t="n">
        <v>35</v>
      </c>
      <c r="E52" s="6" t="n">
        <v>13</v>
      </c>
      <c r="F52" s="6" t="n">
        <v>3</v>
      </c>
      <c r="G52" s="6" t="n">
        <v>19</v>
      </c>
      <c r="H52" s="6" t="n">
        <v>498</v>
      </c>
      <c r="I52" s="6" t="n">
        <v>18</v>
      </c>
      <c r="J52" s="6" t="n">
        <v>51</v>
      </c>
      <c r="K52" s="11"/>
      <c r="L52" s="6"/>
      <c r="M52" s="6"/>
    </row>
    <row r="53" customFormat="false" ht="15.75" hidden="false" customHeight="false" outlineLevel="0" collapsed="false">
      <c r="A53" s="0" t="s">
        <v>68</v>
      </c>
      <c r="B53" s="1" t="n">
        <v>43913</v>
      </c>
      <c r="C53" s="6" t="n">
        <v>624</v>
      </c>
      <c r="D53" s="6" t="n">
        <v>94</v>
      </c>
      <c r="E53" s="6" t="n">
        <v>15</v>
      </c>
      <c r="F53" s="6" t="n">
        <v>2</v>
      </c>
      <c r="G53" s="6" t="n">
        <v>19</v>
      </c>
      <c r="H53" s="6" t="n">
        <v>590</v>
      </c>
      <c r="I53" s="6" t="n">
        <v>18</v>
      </c>
      <c r="J53" s="6" t="n">
        <v>60</v>
      </c>
      <c r="K53" s="11"/>
      <c r="L53" s="6"/>
      <c r="M53" s="6"/>
    </row>
    <row r="54" customFormat="false" ht="15.75" hidden="false" customHeight="false" outlineLevel="0" collapsed="false">
      <c r="A54" s="0" t="s">
        <v>68</v>
      </c>
      <c r="B54" s="1" t="n">
        <v>43914</v>
      </c>
      <c r="C54" s="6" t="n">
        <v>695</v>
      </c>
      <c r="D54" s="6" t="n">
        <v>71</v>
      </c>
      <c r="E54" s="6" t="n">
        <v>17</v>
      </c>
      <c r="F54" s="6" t="n">
        <v>2</v>
      </c>
      <c r="G54" s="6" t="n">
        <v>29</v>
      </c>
      <c r="H54" s="6" t="n">
        <v>649</v>
      </c>
      <c r="I54" s="6" t="n">
        <v>35</v>
      </c>
      <c r="J54" s="6" t="n">
        <v>67</v>
      </c>
      <c r="K54" s="11"/>
      <c r="L54" s="6"/>
      <c r="M54" s="6"/>
    </row>
    <row r="55" customFormat="false" ht="15.75" hidden="false" customHeight="false" outlineLevel="0" collapsed="false">
      <c r="A55" s="0" t="s">
        <v>68</v>
      </c>
      <c r="B55" s="1" t="n">
        <v>43915</v>
      </c>
      <c r="C55" s="7" t="n">
        <v>743</v>
      </c>
      <c r="D55" s="7" t="n">
        <v>48</v>
      </c>
      <c r="E55" s="7" t="n">
        <v>20</v>
      </c>
      <c r="F55" s="7" t="n">
        <v>3</v>
      </c>
      <c r="G55" s="7" t="n">
        <v>29</v>
      </c>
      <c r="H55" s="7" t="n">
        <v>694</v>
      </c>
      <c r="I55" s="7" t="n">
        <v>35</v>
      </c>
      <c r="J55" s="7" t="n">
        <v>71</v>
      </c>
      <c r="K55" s="11" t="n">
        <v>2</v>
      </c>
      <c r="L55" s="7"/>
      <c r="M55" s="7"/>
    </row>
    <row r="56" customFormat="false" ht="15.75" hidden="false" customHeight="false" outlineLevel="0" collapsed="false">
      <c r="A56" s="0" t="s">
        <v>68</v>
      </c>
      <c r="B56" s="1" t="n">
        <v>43916</v>
      </c>
      <c r="C56" s="7" t="n">
        <v>821</v>
      </c>
      <c r="D56" s="7" t="n">
        <v>78</v>
      </c>
      <c r="E56" s="7" t="n">
        <v>22</v>
      </c>
      <c r="F56" s="7" t="n">
        <v>2</v>
      </c>
      <c r="G56" s="7" t="n">
        <v>36</v>
      </c>
      <c r="H56" s="7" t="n">
        <v>763</v>
      </c>
      <c r="I56" s="7" t="n">
        <v>53</v>
      </c>
      <c r="J56" s="7" t="n">
        <v>79</v>
      </c>
      <c r="K56" s="11" t="n">
        <v>2</v>
      </c>
      <c r="L56" s="7"/>
      <c r="M56" s="7"/>
    </row>
    <row r="57" customFormat="false" ht="15.75" hidden="false" customHeight="false" outlineLevel="0" collapsed="false">
      <c r="A57" s="0" t="s">
        <v>68</v>
      </c>
      <c r="B57" s="1" t="n">
        <v>43917</v>
      </c>
      <c r="C57" s="7" t="n">
        <v>892</v>
      </c>
      <c r="D57" s="7" t="n">
        <v>71</v>
      </c>
      <c r="E57" s="7" t="n">
        <v>26</v>
      </c>
      <c r="F57" s="7" t="n">
        <v>4</v>
      </c>
      <c r="G57" s="7" t="n">
        <v>36</v>
      </c>
      <c r="H57" s="7" t="n">
        <v>830</v>
      </c>
      <c r="I57" s="7" t="n">
        <v>53</v>
      </c>
      <c r="J57" s="7" t="n">
        <v>86</v>
      </c>
      <c r="K57" s="11" t="n">
        <v>2</v>
      </c>
      <c r="M57" s="7"/>
    </row>
    <row r="58" customFormat="false" ht="15.75" hidden="false" customHeight="false" outlineLevel="0" collapsed="false">
      <c r="A58" s="0" t="s">
        <v>68</v>
      </c>
      <c r="B58" s="1" t="n">
        <v>43918</v>
      </c>
      <c r="C58" s="7" t="n">
        <v>966</v>
      </c>
      <c r="D58" s="7" t="n">
        <v>74</v>
      </c>
      <c r="E58" s="7" t="n">
        <v>28</v>
      </c>
      <c r="F58" s="7" t="n">
        <v>2</v>
      </c>
      <c r="G58" s="7" t="n">
        <v>52</v>
      </c>
      <c r="H58" s="7" t="n">
        <v>886</v>
      </c>
      <c r="I58" s="7" t="n">
        <v>66</v>
      </c>
      <c r="J58" s="7" t="n">
        <v>93</v>
      </c>
      <c r="K58" s="11" t="n">
        <v>3</v>
      </c>
      <c r="M58" s="7"/>
    </row>
    <row r="59" customFormat="false" ht="15.75" hidden="false" customHeight="false" outlineLevel="0" collapsed="false">
      <c r="A59" s="0" t="s">
        <v>68</v>
      </c>
      <c r="B59" s="1" t="n">
        <v>43919</v>
      </c>
      <c r="C59" s="7" t="n">
        <v>1061</v>
      </c>
      <c r="D59" s="7" t="n">
        <v>95</v>
      </c>
      <c r="E59" s="7" t="n">
        <v>32</v>
      </c>
      <c r="F59" s="7" t="n">
        <v>4</v>
      </c>
      <c r="G59" s="7" t="n">
        <v>52</v>
      </c>
      <c r="H59" s="7" t="n">
        <v>977</v>
      </c>
      <c r="I59" s="7" t="n">
        <v>66</v>
      </c>
      <c r="J59" s="7" t="n">
        <v>102</v>
      </c>
      <c r="K59" s="11" t="n">
        <v>3</v>
      </c>
      <c r="M59" s="7"/>
    </row>
    <row r="60" customFormat="false" ht="15.75" hidden="false" customHeight="false" outlineLevel="0" collapsed="false">
      <c r="A60" s="0" t="s">
        <v>68</v>
      </c>
      <c r="B60" s="1" t="n">
        <v>43920</v>
      </c>
      <c r="C60" s="7" t="n">
        <v>1156</v>
      </c>
      <c r="D60" s="7" t="n">
        <v>95</v>
      </c>
      <c r="E60" s="7" t="n">
        <v>38</v>
      </c>
      <c r="F60" s="7" t="n">
        <v>6</v>
      </c>
      <c r="G60" s="7" t="n">
        <v>52</v>
      </c>
      <c r="H60" s="7" t="n">
        <v>1066</v>
      </c>
      <c r="I60" s="7" t="n">
        <v>66</v>
      </c>
      <c r="J60" s="7" t="n">
        <v>111</v>
      </c>
      <c r="K60" s="11" t="n">
        <v>4</v>
      </c>
      <c r="M60" s="7"/>
    </row>
    <row r="61" customFormat="false" ht="15.75" hidden="false" customHeight="false" outlineLevel="0" collapsed="false">
      <c r="A61" s="0" t="s">
        <v>68</v>
      </c>
      <c r="B61" s="1" t="n">
        <v>43921</v>
      </c>
      <c r="C61" s="7" t="n">
        <v>1212</v>
      </c>
      <c r="D61" s="7" t="n">
        <v>56</v>
      </c>
      <c r="E61" s="7" t="n">
        <v>43</v>
      </c>
      <c r="F61" s="7" t="n">
        <v>5</v>
      </c>
      <c r="G61" s="7" t="n">
        <v>52</v>
      </c>
      <c r="H61" s="7" t="n">
        <v>1117</v>
      </c>
      <c r="I61" s="7" t="n">
        <v>72</v>
      </c>
      <c r="J61" s="7" t="n">
        <v>116</v>
      </c>
      <c r="K61" s="11" t="n">
        <v>4</v>
      </c>
      <c r="M61" s="7"/>
    </row>
    <row r="62" customFormat="false" ht="15.75" hidden="false" customHeight="false" outlineLevel="0" collapsed="false">
      <c r="A62" s="0" t="s">
        <v>68</v>
      </c>
      <c r="B62" s="1" t="n">
        <v>43922</v>
      </c>
      <c r="C62" s="7" t="n">
        <v>1314</v>
      </c>
      <c r="D62" s="7" t="n">
        <v>102</v>
      </c>
      <c r="E62" s="7" t="n">
        <v>49</v>
      </c>
      <c r="F62" s="7" t="n">
        <v>6</v>
      </c>
      <c r="G62" s="7" t="n">
        <v>52</v>
      </c>
      <c r="H62" s="7" t="n">
        <v>1213</v>
      </c>
      <c r="I62" s="7" t="n">
        <v>72</v>
      </c>
      <c r="J62" s="7" t="n">
        <v>126</v>
      </c>
      <c r="K62" s="11" t="n">
        <v>5</v>
      </c>
      <c r="M62" s="7"/>
    </row>
    <row r="63" customFormat="false" ht="15.75" hidden="false" customHeight="false" outlineLevel="0" collapsed="false">
      <c r="A63" s="0" t="s">
        <v>68</v>
      </c>
      <c r="B63" s="1" t="n">
        <v>43923</v>
      </c>
      <c r="C63" s="7" t="n">
        <v>1415</v>
      </c>
      <c r="D63" s="7" t="n">
        <v>101</v>
      </c>
      <c r="E63" s="7" t="n">
        <v>50</v>
      </c>
      <c r="F63" s="7" t="n">
        <v>1</v>
      </c>
      <c r="G63" s="7" t="n">
        <v>52</v>
      </c>
      <c r="H63" s="7" t="n">
        <v>1313</v>
      </c>
      <c r="I63" s="7" t="n">
        <v>90</v>
      </c>
      <c r="J63" s="7" t="n">
        <v>136</v>
      </c>
      <c r="K63" s="11" t="n">
        <v>5</v>
      </c>
      <c r="M63" s="7"/>
    </row>
    <row r="64" customFormat="false" ht="15.75" hidden="false" customHeight="false" outlineLevel="0" collapsed="false">
      <c r="A64" s="0" t="s">
        <v>68</v>
      </c>
      <c r="B64" s="1" t="n">
        <v>43924</v>
      </c>
      <c r="C64" s="7" t="n">
        <v>1544</v>
      </c>
      <c r="D64" s="7" t="n">
        <v>129</v>
      </c>
      <c r="E64" s="7" t="n">
        <v>53</v>
      </c>
      <c r="F64" s="7" t="n">
        <v>3</v>
      </c>
      <c r="G64" s="7" t="n">
        <v>61</v>
      </c>
      <c r="H64" s="7" t="n">
        <v>1430</v>
      </c>
      <c r="I64" s="7" t="n">
        <v>91</v>
      </c>
      <c r="J64" s="7" t="n">
        <v>148</v>
      </c>
      <c r="K64" s="11" t="n">
        <v>5</v>
      </c>
      <c r="M64" s="7"/>
    </row>
    <row r="65" customFormat="false" ht="15.75" hidden="false" customHeight="false" outlineLevel="0" collapsed="false">
      <c r="A65" s="0" t="s">
        <v>68</v>
      </c>
      <c r="B65" s="1" t="n">
        <v>43925</v>
      </c>
      <c r="C65" s="7" t="n">
        <v>1613</v>
      </c>
      <c r="D65" s="7" t="n">
        <v>69</v>
      </c>
      <c r="E65" s="7" t="n">
        <v>63</v>
      </c>
      <c r="F65" s="7" t="n">
        <v>10</v>
      </c>
      <c r="G65" s="7" t="n">
        <v>78</v>
      </c>
      <c r="H65" s="7" t="n">
        <v>1472</v>
      </c>
      <c r="I65" s="7" t="n">
        <v>92</v>
      </c>
      <c r="J65" s="7" t="n">
        <v>155</v>
      </c>
      <c r="K65" s="11" t="n">
        <v>6</v>
      </c>
      <c r="M65" s="7"/>
    </row>
    <row r="66" customFormat="false" ht="15.75" hidden="false" customHeight="false" outlineLevel="0" collapsed="false">
      <c r="A66" s="0" t="s">
        <v>68</v>
      </c>
      <c r="B66" s="1" t="n">
        <v>43926</v>
      </c>
      <c r="C66" s="7" t="n">
        <v>1673</v>
      </c>
      <c r="D66" s="7" t="n">
        <v>60</v>
      </c>
      <c r="E66" s="7" t="n">
        <v>68</v>
      </c>
      <c r="F66" s="7" t="n">
        <v>5</v>
      </c>
      <c r="G66" s="7" t="n">
        <v>78</v>
      </c>
      <c r="H66" s="7" t="n">
        <v>1527</v>
      </c>
      <c r="I66" s="7" t="n">
        <v>92</v>
      </c>
      <c r="J66" s="7" t="n">
        <v>161</v>
      </c>
      <c r="K66" s="11" t="n">
        <v>7</v>
      </c>
      <c r="L66" s="7" t="n">
        <v>22437</v>
      </c>
      <c r="M66" s="7" t="n">
        <v>2153</v>
      </c>
    </row>
    <row r="67" customFormat="false" ht="15.75" hidden="false" customHeight="false" outlineLevel="0" collapsed="false">
      <c r="A67" s="0" t="s">
        <v>68</v>
      </c>
      <c r="B67" s="1" t="n">
        <v>43927</v>
      </c>
      <c r="C67" s="7" t="n">
        <v>1735</v>
      </c>
      <c r="D67" s="7" t="n">
        <v>62</v>
      </c>
      <c r="E67" s="7" t="n">
        <v>73</v>
      </c>
      <c r="F67" s="7" t="n">
        <v>5</v>
      </c>
      <c r="G67" s="7" t="n">
        <v>78</v>
      </c>
      <c r="H67" s="7" t="n">
        <v>1584</v>
      </c>
      <c r="I67" s="7" t="n">
        <v>93</v>
      </c>
      <c r="J67" s="7" t="n">
        <v>166</v>
      </c>
      <c r="K67" s="11" t="n">
        <v>7</v>
      </c>
      <c r="L67" s="7" t="n">
        <v>25453</v>
      </c>
      <c r="M67" s="7" t="n">
        <v>2442</v>
      </c>
    </row>
    <row r="68" customFormat="false" ht="15.75" hidden="false" customHeight="false" outlineLevel="0" collapsed="false">
      <c r="A68" s="0" t="s">
        <v>68</v>
      </c>
      <c r="B68" s="1" t="n">
        <v>43928</v>
      </c>
      <c r="C68" s="12" t="n">
        <v>1755</v>
      </c>
      <c r="D68" s="12" t="n">
        <v>20</v>
      </c>
      <c r="E68" s="12" t="n">
        <v>79</v>
      </c>
      <c r="F68" s="12" t="n">
        <v>6</v>
      </c>
      <c r="G68" s="12" t="n">
        <v>269</v>
      </c>
      <c r="H68" s="12" t="n">
        <v>1407</v>
      </c>
      <c r="I68" s="12" t="n">
        <v>90</v>
      </c>
      <c r="J68" s="12" t="n">
        <v>168</v>
      </c>
      <c r="K68" s="28" t="n">
        <v>8</v>
      </c>
      <c r="L68" s="12" t="n">
        <v>26193</v>
      </c>
      <c r="M68" s="12" t="n">
        <v>2513</v>
      </c>
    </row>
    <row r="69" customFormat="false" ht="15.75" hidden="false" customHeight="false" outlineLevel="0" collapsed="false">
      <c r="A69" s="0" t="s">
        <v>68</v>
      </c>
      <c r="B69" s="1" t="n">
        <v>43929</v>
      </c>
      <c r="C69" s="14" t="n">
        <v>1832</v>
      </c>
      <c r="D69" s="14" t="n">
        <v>77</v>
      </c>
      <c r="E69" s="14" t="n">
        <v>81</v>
      </c>
      <c r="F69" s="14" t="n">
        <v>2</v>
      </c>
      <c r="G69" s="14" t="n">
        <v>269</v>
      </c>
      <c r="H69" s="14" t="n">
        <v>1482</v>
      </c>
      <c r="I69" s="14" t="n">
        <v>90</v>
      </c>
      <c r="J69" s="14" t="n">
        <v>176</v>
      </c>
      <c r="K69" s="28" t="n">
        <v>8</v>
      </c>
      <c r="L69" s="14" t="n">
        <v>28584</v>
      </c>
      <c r="M69" s="14" t="n">
        <v>2742</v>
      </c>
    </row>
    <row r="70" customFormat="false" ht="15.75" hidden="false" customHeight="false" outlineLevel="0" collapsed="false">
      <c r="A70" s="0" t="s">
        <v>68</v>
      </c>
      <c r="B70" s="1" t="n">
        <v>43930</v>
      </c>
      <c r="C70" s="14" t="n">
        <v>1884</v>
      </c>
      <c r="D70" s="14" t="n">
        <v>52</v>
      </c>
      <c r="E70" s="14" t="n">
        <v>83</v>
      </c>
      <c r="F70" s="14" t="n">
        <v>2</v>
      </c>
      <c r="G70" s="14" t="n">
        <v>269</v>
      </c>
      <c r="H70" s="14" t="n">
        <v>1532</v>
      </c>
      <c r="I70" s="14" t="n">
        <v>84</v>
      </c>
      <c r="J70" s="14" t="n">
        <v>181</v>
      </c>
      <c r="K70" s="28" t="n">
        <v>8</v>
      </c>
      <c r="L70" s="14" t="n">
        <v>32528</v>
      </c>
      <c r="M70" s="14" t="n">
        <v>3121</v>
      </c>
    </row>
    <row r="71" customFormat="false" ht="15.75" hidden="false" customHeight="false" outlineLevel="0" collapsed="false">
      <c r="A71" s="0" t="s">
        <v>68</v>
      </c>
      <c r="B71" s="1" t="n">
        <v>43931</v>
      </c>
      <c r="C71" s="14" t="n">
        <v>1955</v>
      </c>
      <c r="D71" s="14" t="n">
        <v>71</v>
      </c>
      <c r="E71" s="14" t="n">
        <v>87</v>
      </c>
      <c r="F71" s="14" t="n">
        <v>4</v>
      </c>
      <c r="G71" s="14" t="n">
        <v>269</v>
      </c>
      <c r="H71" s="14" t="n">
        <v>1599</v>
      </c>
      <c r="I71" s="14" t="n">
        <v>79</v>
      </c>
      <c r="J71" s="14" t="n">
        <v>188</v>
      </c>
      <c r="K71" s="28" t="n">
        <v>8</v>
      </c>
      <c r="L71" s="14" t="n">
        <v>33634</v>
      </c>
      <c r="M71" s="14" t="n">
        <v>3227</v>
      </c>
    </row>
    <row r="72" customFormat="false" ht="15.75" hidden="false" customHeight="false" outlineLevel="0" collapsed="false">
      <c r="A72" s="0" t="s">
        <v>68</v>
      </c>
      <c r="B72" s="1" t="n">
        <v>43932</v>
      </c>
      <c r="C72" s="14" t="n">
        <v>2011</v>
      </c>
      <c r="D72" s="14" t="n">
        <v>56</v>
      </c>
      <c r="E72" s="14" t="n">
        <v>92</v>
      </c>
      <c r="F72" s="14" t="n">
        <v>5</v>
      </c>
      <c r="G72" s="14" t="n">
        <v>269</v>
      </c>
      <c r="H72" s="14" t="n">
        <v>1650</v>
      </c>
      <c r="I72" s="14" t="n">
        <v>77</v>
      </c>
      <c r="J72" s="14" t="n">
        <v>193</v>
      </c>
      <c r="K72" s="28" t="n">
        <v>9</v>
      </c>
      <c r="L72" s="14" t="n">
        <v>35532</v>
      </c>
      <c r="M72" s="14" t="n">
        <v>3409</v>
      </c>
    </row>
    <row r="73" customFormat="false" ht="15.75" hidden="false" customHeight="false" outlineLevel="0" collapsed="false">
      <c r="A73" s="0" t="s">
        <v>68</v>
      </c>
      <c r="B73" s="1" t="n">
        <v>43933</v>
      </c>
      <c r="C73" s="14" t="n">
        <v>2081</v>
      </c>
      <c r="D73" s="14" t="n">
        <v>70</v>
      </c>
      <c r="E73" s="14" t="n">
        <v>93</v>
      </c>
      <c r="F73" s="14" t="n">
        <v>1</v>
      </c>
      <c r="G73" s="14" t="n">
        <v>269</v>
      </c>
      <c r="H73" s="14" t="n">
        <v>1719</v>
      </c>
      <c r="I73" s="14" t="n">
        <v>75</v>
      </c>
      <c r="J73" s="14" t="n">
        <v>200</v>
      </c>
      <c r="K73" s="28" t="n">
        <v>9</v>
      </c>
      <c r="L73" s="14" t="n">
        <v>37344</v>
      </c>
      <c r="M73" s="14" t="n">
        <v>3583</v>
      </c>
    </row>
    <row r="74" customFormat="false" ht="15.75" hidden="false" customHeight="false" outlineLevel="0" collapsed="false">
      <c r="A74" s="0" t="s">
        <v>68</v>
      </c>
      <c r="B74" s="1" t="n">
        <v>43934</v>
      </c>
      <c r="C74" s="14" t="n">
        <v>2114</v>
      </c>
      <c r="D74" s="14" t="n">
        <v>33</v>
      </c>
      <c r="E74" s="14" t="n">
        <v>98</v>
      </c>
      <c r="F74" s="14" t="n">
        <v>5</v>
      </c>
      <c r="G74" s="14" t="n">
        <v>269</v>
      </c>
      <c r="H74" s="14" t="n">
        <v>1747</v>
      </c>
      <c r="I74" s="14" t="n">
        <v>76</v>
      </c>
      <c r="J74" s="14" t="n">
        <v>203</v>
      </c>
      <c r="K74" s="28" t="n">
        <v>9</v>
      </c>
      <c r="L74" s="14" t="n">
        <v>42261</v>
      </c>
      <c r="M74" s="14" t="n">
        <v>4055</v>
      </c>
    </row>
    <row r="75" customFormat="false" ht="15.75" hidden="false" customHeight="false" outlineLevel="0" collapsed="false">
      <c r="A75" s="0" t="s">
        <v>68</v>
      </c>
      <c r="B75" s="1" t="n">
        <v>43935</v>
      </c>
      <c r="C75" s="14" t="n">
        <v>2145</v>
      </c>
      <c r="D75" s="14" t="n">
        <v>31</v>
      </c>
      <c r="E75" s="14" t="n">
        <v>99</v>
      </c>
      <c r="F75" s="14" t="n">
        <v>1</v>
      </c>
      <c r="G75" s="14" t="n">
        <v>269</v>
      </c>
      <c r="H75" s="14" t="n">
        <v>1777</v>
      </c>
      <c r="I75" s="14" t="n">
        <v>73</v>
      </c>
      <c r="J75" s="14" t="n">
        <v>206</v>
      </c>
      <c r="K75" s="28" t="n">
        <v>9</v>
      </c>
      <c r="L75" s="14" t="n">
        <v>43417</v>
      </c>
      <c r="M75" s="14" t="n">
        <v>4165</v>
      </c>
    </row>
    <row r="76" customFormat="false" ht="15.75" hidden="false" customHeight="false" outlineLevel="0" collapsed="false">
      <c r="A76" s="0" t="s">
        <v>68</v>
      </c>
      <c r="B76" s="1" t="n">
        <v>43936</v>
      </c>
      <c r="C76" s="14" t="n">
        <v>2170</v>
      </c>
      <c r="D76" s="14" t="n">
        <v>25</v>
      </c>
      <c r="E76" s="14" t="n">
        <v>101</v>
      </c>
      <c r="F76" s="14" t="n">
        <v>2</v>
      </c>
      <c r="G76" s="14" t="n">
        <v>269</v>
      </c>
      <c r="H76" s="14" t="n">
        <v>1800</v>
      </c>
      <c r="I76" s="14" t="n">
        <v>76</v>
      </c>
      <c r="J76" s="14" t="n">
        <v>208</v>
      </c>
      <c r="K76" s="28" t="n">
        <v>10</v>
      </c>
      <c r="L76" s="14" t="n">
        <v>48798</v>
      </c>
      <c r="M76" s="14" t="n">
        <v>4682</v>
      </c>
    </row>
    <row r="77" customFormat="false" ht="15.75" hidden="false" customHeight="false" outlineLevel="0" collapsed="false">
      <c r="A77" s="0" t="s">
        <v>68</v>
      </c>
      <c r="B77" s="1" t="n">
        <v>43937</v>
      </c>
      <c r="C77" s="14" t="n">
        <v>2192</v>
      </c>
      <c r="D77" s="14" t="n">
        <v>22</v>
      </c>
      <c r="E77" s="14" t="n">
        <v>102</v>
      </c>
      <c r="F77" s="14" t="n">
        <v>1</v>
      </c>
      <c r="G77" s="14" t="n">
        <v>269</v>
      </c>
      <c r="H77" s="14" t="n">
        <v>1821</v>
      </c>
      <c r="I77" s="14" t="n">
        <v>72</v>
      </c>
      <c r="J77" s="14" t="n">
        <v>210</v>
      </c>
      <c r="K77" s="28" t="n">
        <v>10</v>
      </c>
      <c r="L77" s="14" t="n">
        <v>50771</v>
      </c>
      <c r="M77" s="14" t="n">
        <v>4871</v>
      </c>
    </row>
    <row r="78" customFormat="false" ht="15.75" hidden="false" customHeight="false" outlineLevel="0" collapsed="false">
      <c r="A78" s="0" t="s">
        <v>68</v>
      </c>
      <c r="B78" s="1" t="n">
        <v>43938</v>
      </c>
      <c r="C78" s="14" t="n">
        <v>2207</v>
      </c>
      <c r="D78" s="14" t="n">
        <v>15</v>
      </c>
      <c r="E78" s="14" t="n">
        <v>105</v>
      </c>
      <c r="F78" s="14" t="n">
        <v>3</v>
      </c>
      <c r="G78" s="14" t="n">
        <v>269</v>
      </c>
      <c r="H78" s="14" t="n">
        <v>1833</v>
      </c>
      <c r="I78" s="14" t="n">
        <v>69</v>
      </c>
      <c r="J78" s="14" t="n">
        <v>212</v>
      </c>
      <c r="K78" s="28" t="n">
        <v>10</v>
      </c>
      <c r="L78" s="14" t="n">
        <v>50771</v>
      </c>
      <c r="M78" s="14" t="n">
        <v>4871</v>
      </c>
    </row>
    <row r="79" customFormat="false" ht="15.75" hidden="false" customHeight="false" outlineLevel="0" collapsed="false">
      <c r="A79" s="0" t="s">
        <v>68</v>
      </c>
      <c r="B79" s="1" t="n">
        <v>43939</v>
      </c>
      <c r="C79" s="14" t="n">
        <v>2224</v>
      </c>
      <c r="D79" s="14" t="n">
        <v>17</v>
      </c>
      <c r="E79" s="14" t="n">
        <v>108</v>
      </c>
      <c r="F79" s="14" t="n">
        <v>3</v>
      </c>
      <c r="G79" s="14" t="n">
        <v>269</v>
      </c>
      <c r="H79" s="14" t="n">
        <v>1847</v>
      </c>
      <c r="I79" s="14" t="n">
        <v>71</v>
      </c>
      <c r="J79" s="14" t="n">
        <v>213</v>
      </c>
      <c r="K79" s="28" t="n">
        <v>10</v>
      </c>
      <c r="L79" s="14" t="n">
        <v>50771</v>
      </c>
      <c r="M79" s="14" t="n">
        <v>4871</v>
      </c>
    </row>
    <row r="80" customFormat="false" ht="15.75" hidden="false" customHeight="false" outlineLevel="0" collapsed="false">
      <c r="A80" s="0" t="s">
        <v>68</v>
      </c>
      <c r="B80" s="1" t="n">
        <v>43940</v>
      </c>
      <c r="C80" s="14" t="n">
        <v>2235</v>
      </c>
      <c r="D80" s="14" t="n">
        <v>11</v>
      </c>
      <c r="E80" s="14" t="n">
        <v>110</v>
      </c>
      <c r="F80" s="14" t="n">
        <v>2</v>
      </c>
      <c r="G80" s="14" t="n">
        <v>269</v>
      </c>
      <c r="H80" s="14" t="n">
        <v>1856</v>
      </c>
      <c r="I80" s="14" t="n">
        <v>67</v>
      </c>
      <c r="J80" s="14" t="n">
        <v>214</v>
      </c>
      <c r="K80" s="28" t="n">
        <v>11</v>
      </c>
      <c r="L80" s="14" t="n">
        <v>53290</v>
      </c>
      <c r="M80" s="14" t="n">
        <v>5113</v>
      </c>
    </row>
    <row r="81" customFormat="false" ht="15.75" hidden="false" customHeight="false" outlineLevel="0" collapsed="false">
      <c r="A81" s="0" t="s">
        <v>68</v>
      </c>
      <c r="B81" s="1" t="n">
        <v>43941</v>
      </c>
      <c r="C81" s="14" t="n">
        <v>2235</v>
      </c>
      <c r="D81" s="14" t="n">
        <v>0</v>
      </c>
      <c r="E81" s="14" t="n">
        <v>113</v>
      </c>
      <c r="F81" s="14" t="n">
        <v>3</v>
      </c>
      <c r="G81" s="14" t="n">
        <v>269</v>
      </c>
      <c r="H81" s="14" t="n">
        <v>1853</v>
      </c>
      <c r="I81" s="14" t="n">
        <v>67</v>
      </c>
      <c r="J81" s="14" t="n">
        <v>214</v>
      </c>
      <c r="K81" s="28" t="n">
        <v>11</v>
      </c>
      <c r="L81" s="14" t="n">
        <v>53290</v>
      </c>
      <c r="M81" s="14" t="n">
        <v>5113</v>
      </c>
    </row>
    <row r="82" customFormat="false" ht="15.75" hidden="false" customHeight="false" outlineLevel="0" collapsed="false">
      <c r="A82" s="0" t="s">
        <v>68</v>
      </c>
      <c r="B82" s="1" t="n">
        <v>43942</v>
      </c>
      <c r="C82" s="6" t="n">
        <v>2245</v>
      </c>
      <c r="D82" s="6" t="n">
        <v>10</v>
      </c>
      <c r="E82" s="6" t="n">
        <v>116</v>
      </c>
      <c r="F82" s="6" t="n">
        <v>3</v>
      </c>
      <c r="G82" s="6" t="n">
        <v>269</v>
      </c>
      <c r="H82" s="6" t="n">
        <v>1860</v>
      </c>
      <c r="I82" s="6" t="n">
        <v>61</v>
      </c>
      <c r="J82" s="6" t="n">
        <v>215</v>
      </c>
      <c r="K82" s="11" t="n">
        <v>11</v>
      </c>
      <c r="L82" s="6" t="n">
        <v>54344</v>
      </c>
      <c r="M82" s="6" t="n">
        <v>5214</v>
      </c>
    </row>
    <row r="83" customFormat="false" ht="15.75" hidden="false" customHeight="false" outlineLevel="0" collapsed="false">
      <c r="A83" s="0" t="s">
        <v>68</v>
      </c>
      <c r="B83" s="1" t="n">
        <v>43943</v>
      </c>
      <c r="C83" s="6" t="n">
        <v>2401</v>
      </c>
      <c r="D83" s="6" t="n">
        <v>156</v>
      </c>
      <c r="E83" s="6" t="n">
        <v>121</v>
      </c>
      <c r="F83" s="6" t="n">
        <v>5</v>
      </c>
      <c r="G83" s="6" t="n">
        <v>577</v>
      </c>
      <c r="H83" s="6" t="n">
        <v>1703</v>
      </c>
      <c r="I83" s="6" t="n">
        <v>59</v>
      </c>
      <c r="J83" s="6" t="n">
        <v>230</v>
      </c>
      <c r="K83" s="11" t="n">
        <v>12</v>
      </c>
      <c r="L83" s="6" t="n">
        <v>55666</v>
      </c>
      <c r="M83" s="6" t="n">
        <v>5341</v>
      </c>
    </row>
    <row r="84" customFormat="false" ht="15.75" hidden="false" customHeight="false" outlineLevel="0" collapsed="false">
      <c r="A84" s="0" t="s">
        <v>68</v>
      </c>
      <c r="B84" s="1" t="n">
        <v>43944</v>
      </c>
      <c r="C84" s="6" t="n">
        <v>2408</v>
      </c>
      <c r="D84" s="6" t="n">
        <v>7</v>
      </c>
      <c r="E84" s="6" t="n">
        <v>121</v>
      </c>
      <c r="F84" s="6" t="n">
        <v>0</v>
      </c>
      <c r="G84" s="6" t="n">
        <v>577</v>
      </c>
      <c r="H84" s="6" t="n">
        <v>1710</v>
      </c>
      <c r="I84" s="6" t="n">
        <v>55</v>
      </c>
      <c r="J84" s="6" t="n">
        <v>231</v>
      </c>
      <c r="K84" s="11" t="n">
        <v>12</v>
      </c>
      <c r="L84" s="6" t="n">
        <v>56944</v>
      </c>
      <c r="M84" s="6" t="n">
        <v>5463</v>
      </c>
    </row>
    <row r="85" customFormat="false" ht="15.75" hidden="false" customHeight="false" outlineLevel="0" collapsed="false">
      <c r="A85" s="0" t="s">
        <v>68</v>
      </c>
      <c r="B85" s="1" t="n">
        <v>43945</v>
      </c>
      <c r="C85" s="6" t="n">
        <v>2463</v>
      </c>
      <c r="D85" s="6" t="n">
        <v>55</v>
      </c>
      <c r="E85" s="6" t="n">
        <v>125</v>
      </c>
      <c r="F85" s="6" t="n">
        <v>4</v>
      </c>
      <c r="G85" s="6" t="n">
        <v>577</v>
      </c>
      <c r="H85" s="6" t="n">
        <v>1761</v>
      </c>
      <c r="I85" s="6" t="n">
        <v>52</v>
      </c>
      <c r="J85" s="6" t="n">
        <v>236</v>
      </c>
      <c r="K85" s="11" t="n">
        <v>12</v>
      </c>
      <c r="L85" s="6" t="n">
        <v>59241</v>
      </c>
      <c r="M85" s="6" t="n">
        <v>5684</v>
      </c>
    </row>
    <row r="86" customFormat="false" ht="15.75" hidden="false" customHeight="false" outlineLevel="0" collapsed="false">
      <c r="A86" s="0" t="s">
        <v>68</v>
      </c>
      <c r="B86" s="1" t="n">
        <v>43946</v>
      </c>
      <c r="C86" s="6" t="n">
        <v>2490</v>
      </c>
      <c r="D86" s="6" t="n">
        <v>27</v>
      </c>
      <c r="E86" s="6" t="n">
        <v>130</v>
      </c>
      <c r="F86" s="6" t="n">
        <v>5</v>
      </c>
      <c r="G86" s="6" t="n">
        <v>577</v>
      </c>
      <c r="H86" s="6" t="n">
        <v>1783</v>
      </c>
      <c r="I86" s="6" t="n">
        <v>48</v>
      </c>
      <c r="J86" s="6" t="n">
        <v>239</v>
      </c>
      <c r="K86" s="11" t="n">
        <v>12</v>
      </c>
      <c r="L86" s="6" t="n">
        <v>61407</v>
      </c>
      <c r="M86" s="6" t="n">
        <v>5891</v>
      </c>
    </row>
    <row r="87" customFormat="false" ht="15.75" hidden="false" customHeight="false" outlineLevel="0" collapsed="false">
      <c r="A87" s="0" t="s">
        <v>68</v>
      </c>
      <c r="B87" s="1" t="n">
        <v>43947</v>
      </c>
      <c r="C87" s="6" t="n">
        <v>2506</v>
      </c>
      <c r="D87" s="6" t="n">
        <v>16</v>
      </c>
      <c r="E87" s="6" t="n">
        <v>130</v>
      </c>
      <c r="F87" s="6" t="n">
        <v>0</v>
      </c>
      <c r="G87" s="6" t="n">
        <v>577</v>
      </c>
      <c r="H87" s="6" t="n">
        <v>1799</v>
      </c>
      <c r="I87" s="6" t="n">
        <v>47</v>
      </c>
      <c r="J87" s="6" t="n">
        <v>240</v>
      </c>
      <c r="K87" s="11" t="n">
        <v>12</v>
      </c>
      <c r="L87" s="6" t="n">
        <v>63087</v>
      </c>
      <c r="M87" s="6" t="n">
        <v>6053</v>
      </c>
    </row>
    <row r="88" customFormat="false" ht="15.75" hidden="false" customHeight="false" outlineLevel="0" collapsed="false">
      <c r="A88" s="0" t="s">
        <v>68</v>
      </c>
      <c r="B88" s="1" t="n">
        <v>43948</v>
      </c>
      <c r="C88" s="6" t="n">
        <v>2517</v>
      </c>
      <c r="D88" s="6" t="n">
        <v>11</v>
      </c>
      <c r="E88" s="6" t="n">
        <v>134</v>
      </c>
      <c r="F88" s="6" t="n">
        <v>4</v>
      </c>
      <c r="G88" s="6" t="n">
        <v>577</v>
      </c>
      <c r="H88" s="6" t="n">
        <v>1806</v>
      </c>
      <c r="I88" s="6" t="n">
        <v>46</v>
      </c>
      <c r="J88" s="6" t="n">
        <v>241</v>
      </c>
      <c r="K88" s="11" t="n">
        <v>13</v>
      </c>
      <c r="L88" s="6" t="n">
        <v>64608</v>
      </c>
      <c r="M88" s="6" t="n">
        <v>6199</v>
      </c>
    </row>
    <row r="89" customFormat="false" ht="13.5" hidden="false" customHeight="false" outlineLevel="0" collapsed="false">
      <c r="A89" s="0" t="s">
        <v>68</v>
      </c>
      <c r="B89" s="1" t="n">
        <v>43949</v>
      </c>
      <c r="C89" s="2" t="n">
        <v>2534</v>
      </c>
      <c r="D89" s="2" t="n">
        <v>17</v>
      </c>
      <c r="E89" s="2" t="n">
        <v>136</v>
      </c>
      <c r="F89" s="2" t="n">
        <v>2</v>
      </c>
      <c r="G89" s="2" t="n">
        <v>577</v>
      </c>
      <c r="H89" s="2" t="n">
        <v>1821</v>
      </c>
      <c r="I89" s="2" t="n">
        <v>43</v>
      </c>
      <c r="J89" s="2" t="n">
        <v>243</v>
      </c>
      <c r="K89" s="2" t="n">
        <v>13</v>
      </c>
      <c r="L89" s="2" t="n">
        <v>66094</v>
      </c>
      <c r="M89" s="2" t="n">
        <v>6341</v>
      </c>
    </row>
    <row r="90" customFormat="false" ht="13.5" hidden="false" customHeight="false" outlineLevel="0" collapsed="false">
      <c r="A90" s="0" t="s">
        <v>68</v>
      </c>
      <c r="B90" s="1" t="n">
        <v>43950</v>
      </c>
      <c r="C90" s="2" t="n">
        <v>2566</v>
      </c>
      <c r="D90" s="2" t="n">
        <v>32</v>
      </c>
      <c r="E90" s="2" t="n">
        <v>138</v>
      </c>
      <c r="F90" s="2" t="n">
        <v>2</v>
      </c>
      <c r="G90" s="2" t="n">
        <v>577</v>
      </c>
      <c r="H90" s="2" t="n">
        <v>1851</v>
      </c>
      <c r="I90" s="2" t="n">
        <v>40</v>
      </c>
      <c r="J90" s="2" t="n">
        <v>246</v>
      </c>
      <c r="K90" s="2" t="n">
        <v>13</v>
      </c>
      <c r="L90" s="2" t="n">
        <v>69833</v>
      </c>
      <c r="M90" s="2" t="n">
        <v>6700</v>
      </c>
    </row>
    <row r="91" customFormat="false" ht="13.5" hidden="false" customHeight="false" outlineLevel="0" collapsed="false">
      <c r="A91" s="0" t="s">
        <v>68</v>
      </c>
      <c r="B91" s="1" t="n">
        <v>43951</v>
      </c>
      <c r="C91" s="2" t="n">
        <v>2576</v>
      </c>
      <c r="D91" s="2" t="n">
        <v>10</v>
      </c>
      <c r="E91" s="2" t="n">
        <v>139</v>
      </c>
      <c r="F91" s="2" t="n">
        <v>1</v>
      </c>
      <c r="G91" s="2" t="n">
        <v>577</v>
      </c>
      <c r="H91" s="2" t="n">
        <v>1860</v>
      </c>
      <c r="I91" s="2" t="n">
        <v>41</v>
      </c>
      <c r="J91" s="2" t="n">
        <v>247</v>
      </c>
      <c r="K91" s="2" t="n">
        <v>13</v>
      </c>
      <c r="L91" s="2" t="n">
        <v>72130</v>
      </c>
      <c r="M91" s="2" t="n">
        <v>6920</v>
      </c>
    </row>
    <row r="92" customFormat="false" ht="14.25" hidden="false" customHeight="false" outlineLevel="0" collapsed="false">
      <c r="A92" s="0" t="s">
        <v>68</v>
      </c>
      <c r="B92" s="1" t="n">
        <v>43952</v>
      </c>
      <c r="C92" s="2" t="n">
        <v>2591</v>
      </c>
      <c r="D92" s="2" t="n">
        <v>15</v>
      </c>
      <c r="E92" s="2" t="n">
        <v>140</v>
      </c>
      <c r="F92" s="2" t="n">
        <v>1</v>
      </c>
      <c r="G92" s="2" t="n">
        <v>1374</v>
      </c>
      <c r="H92" s="2" t="n">
        <v>1077</v>
      </c>
      <c r="I92" s="2" t="n">
        <v>38</v>
      </c>
      <c r="J92" s="2" t="n">
        <v>249</v>
      </c>
      <c r="K92" s="2" t="n">
        <v>13</v>
      </c>
      <c r="L92" s="2" t="n">
        <v>75170</v>
      </c>
      <c r="M92" s="2" t="n">
        <v>7212</v>
      </c>
    </row>
    <row r="93" customFormat="false" ht="15.75" hidden="false" customHeight="false" outlineLevel="0" collapsed="false">
      <c r="A93" s="0" t="s">
        <v>68</v>
      </c>
      <c r="B93" s="1" t="n">
        <v>43953</v>
      </c>
      <c r="C93" s="6" t="e">
        <f aca="false">#REF!</f>
        <v>#REF!</v>
      </c>
      <c r="D93" s="6" t="e">
        <f aca="false">#REF!</f>
        <v>#REF!</v>
      </c>
      <c r="E93" s="6" t="e">
        <f aca="false">#REF!</f>
        <v>#REF!</v>
      </c>
      <c r="F93" s="6" t="e">
        <f aca="false">#REF!</f>
        <v>#REF!</v>
      </c>
      <c r="G93" s="6" t="e">
        <f aca="false">#REF!</f>
        <v>#REF!</v>
      </c>
      <c r="H93" s="6" t="e">
        <f aca="false">#REF!</f>
        <v>#REF!</v>
      </c>
      <c r="I93" s="6" t="e">
        <f aca="false">#REF!</f>
        <v>#REF!</v>
      </c>
      <c r="J93" s="6" t="e">
        <f aca="false">#REF!</f>
        <v>#REF!</v>
      </c>
      <c r="K93" s="6" t="e">
        <f aca="false">#REF!</f>
        <v>#REF!</v>
      </c>
      <c r="L93" s="6" t="e">
        <f aca="false">#REF!</f>
        <v>#REF!</v>
      </c>
      <c r="M93" s="6" t="e">
        <f aca="false">#REF!</f>
        <v>#REF!</v>
      </c>
    </row>
    <row r="94" customFormat="false" ht="15.75" hidden="false" customHeight="false" outlineLevel="0" collapsed="false">
      <c r="A94" s="0" t="s">
        <v>68</v>
      </c>
      <c r="B94" s="1" t="n">
        <v>43954</v>
      </c>
      <c r="C94" s="6" t="e">
        <f aca="false">#REF!</f>
        <v>#REF!</v>
      </c>
      <c r="D94" s="6" t="e">
        <f aca="false">#REF!</f>
        <v>#REF!</v>
      </c>
      <c r="E94" s="6" t="e">
        <f aca="false">#REF!</f>
        <v>#REF!</v>
      </c>
      <c r="F94" s="6" t="e">
        <f aca="false">#REF!</f>
        <v>#REF!</v>
      </c>
      <c r="G94" s="6" t="e">
        <f aca="false">#REF!</f>
        <v>#REF!</v>
      </c>
      <c r="H94" s="6" t="e">
        <f aca="false">#REF!</f>
        <v>#REF!</v>
      </c>
      <c r="I94" s="6" t="e">
        <f aca="false">#REF!</f>
        <v>#REF!</v>
      </c>
      <c r="J94" s="6" t="e">
        <f aca="false">#REF!</f>
        <v>#REF!</v>
      </c>
      <c r="K94" s="6" t="e">
        <f aca="false">#REF!</f>
        <v>#REF!</v>
      </c>
      <c r="L94" s="6" t="e">
        <f aca="false">#REF!</f>
        <v>#REF!</v>
      </c>
      <c r="M94" s="6" t="e">
        <f aca="false">#REF!</f>
        <v>#REF!</v>
      </c>
    </row>
    <row r="95" customFormat="false" ht="15.75" hidden="false" customHeight="false" outlineLevel="0" collapsed="false">
      <c r="A95" s="0" t="s">
        <v>68</v>
      </c>
      <c r="B95" s="1" t="n">
        <v>43955</v>
      </c>
      <c r="C95" s="6" t="e">
        <f aca="false">#REF!</f>
        <v>#REF!</v>
      </c>
      <c r="D95" s="6" t="e">
        <f aca="false">#REF!</f>
        <v>#REF!</v>
      </c>
      <c r="E95" s="6" t="e">
        <f aca="false">#REF!</f>
        <v>#REF!</v>
      </c>
      <c r="F95" s="6" t="e">
        <f aca="false">#REF!</f>
        <v>#REF!</v>
      </c>
      <c r="G95" s="6" t="e">
        <f aca="false">#REF!</f>
        <v>#REF!</v>
      </c>
      <c r="H95" s="6" t="e">
        <f aca="false">#REF!</f>
        <v>#REF!</v>
      </c>
      <c r="I95" s="6" t="e">
        <f aca="false">#REF!</f>
        <v>#REF!</v>
      </c>
      <c r="J95" s="6" t="e">
        <f aca="false">#REF!</f>
        <v>#REF!</v>
      </c>
      <c r="K95" s="6" t="e">
        <f aca="false">#REF!</f>
        <v>#REF!</v>
      </c>
      <c r="L95" s="6" t="e">
        <f aca="false">#REF!</f>
        <v>#REF!</v>
      </c>
      <c r="M95" s="6" t="e">
        <f aca="false">#REF!</f>
        <v>#REF!</v>
      </c>
    </row>
    <row r="96" customFormat="false" ht="15.75" hidden="false" customHeight="false" outlineLevel="0" collapsed="false">
      <c r="A96" s="0" t="s">
        <v>68</v>
      </c>
      <c r="B96" s="1" t="n">
        <v>43956</v>
      </c>
      <c r="C96" s="6" t="e">
        <f aca="false">#REF!</f>
        <v>#REF!</v>
      </c>
      <c r="D96" s="6" t="e">
        <f aca="false">#REF!</f>
        <v>#REF!</v>
      </c>
      <c r="E96" s="6" t="e">
        <f aca="false">#REF!</f>
        <v>#REF!</v>
      </c>
      <c r="F96" s="6" t="e">
        <f aca="false">#REF!</f>
        <v>#REF!</v>
      </c>
      <c r="G96" s="6" t="e">
        <f aca="false">#REF!</f>
        <v>#REF!</v>
      </c>
      <c r="H96" s="6" t="e">
        <f aca="false">#REF!</f>
        <v>#REF!</v>
      </c>
      <c r="I96" s="6" t="e">
        <f aca="false">#REF!</f>
        <v>#REF!</v>
      </c>
      <c r="J96" s="6" t="e">
        <f aca="false">#REF!</f>
        <v>#REF!</v>
      </c>
      <c r="K96" s="6" t="e">
        <f aca="false">#REF!</f>
        <v>#REF!</v>
      </c>
      <c r="L96" s="6" t="e">
        <f aca="false">#REF!</f>
        <v>#REF!</v>
      </c>
      <c r="M96" s="6" t="e">
        <f aca="false">#REF!</f>
        <v>#REF!</v>
      </c>
    </row>
    <row r="97" customFormat="false" ht="15.75" hidden="false" customHeight="false" outlineLevel="0" collapsed="false">
      <c r="A97" s="0" t="s">
        <v>68</v>
      </c>
      <c r="B97" s="1" t="n">
        <v>43957</v>
      </c>
      <c r="C97" s="6" t="e">
        <f aca="false">#REF!</f>
        <v>#REF!</v>
      </c>
      <c r="D97" s="6" t="e">
        <f aca="false">#REF!</f>
        <v>#REF!</v>
      </c>
      <c r="E97" s="6" t="e">
        <f aca="false">#REF!</f>
        <v>#REF!</v>
      </c>
      <c r="F97" s="6" t="e">
        <f aca="false">#REF!</f>
        <v>#REF!</v>
      </c>
      <c r="G97" s="6" t="e">
        <f aca="false">#REF!</f>
        <v>#REF!</v>
      </c>
      <c r="H97" s="6" t="e">
        <f aca="false">#REF!</f>
        <v>#REF!</v>
      </c>
      <c r="I97" s="6" t="e">
        <f aca="false">#REF!</f>
        <v>#REF!</v>
      </c>
      <c r="J97" s="6" t="e">
        <f aca="false">#REF!</f>
        <v>#REF!</v>
      </c>
      <c r="K97" s="6" t="e">
        <f aca="false">#REF!</f>
        <v>#REF!</v>
      </c>
      <c r="L97" s="6" t="e">
        <f aca="false">#REF!</f>
        <v>#REF!</v>
      </c>
      <c r="M97" s="6" t="e">
        <f aca="false">#REF!</f>
        <v>#REF!</v>
      </c>
    </row>
    <row r="98" customFormat="false" ht="15.75" hidden="false" customHeight="false" outlineLevel="0" collapsed="false">
      <c r="A98" s="0" t="s">
        <v>68</v>
      </c>
      <c r="B98" s="1" t="n">
        <v>43958</v>
      </c>
      <c r="C98" s="6" t="e">
        <f aca="false">#REF!</f>
        <v>#REF!</v>
      </c>
      <c r="D98" s="6" t="e">
        <f aca="false">#REF!</f>
        <v>#REF!</v>
      </c>
      <c r="E98" s="6" t="e">
        <f aca="false">#REF!</f>
        <v>#REF!</v>
      </c>
      <c r="F98" s="6" t="e">
        <f aca="false">#REF!</f>
        <v>#REF!</v>
      </c>
      <c r="G98" s="6" t="e">
        <f aca="false">#REF!</f>
        <v>#REF!</v>
      </c>
      <c r="H98" s="6" t="e">
        <f aca="false">#REF!</f>
        <v>#REF!</v>
      </c>
      <c r="I98" s="6" t="e">
        <f aca="false">#REF!</f>
        <v>#REF!</v>
      </c>
      <c r="J98" s="6" t="e">
        <f aca="false">#REF!</f>
        <v>#REF!</v>
      </c>
      <c r="K98" s="6" t="e">
        <f aca="false">#REF!</f>
        <v>#REF!</v>
      </c>
      <c r="L98" s="6" t="e">
        <f aca="false">#REF!</f>
        <v>#REF!</v>
      </c>
      <c r="M98" s="6" t="e">
        <f aca="false">#REF!</f>
        <v>#REF!</v>
      </c>
    </row>
    <row r="99" customFormat="false" ht="15.75" hidden="false" customHeight="false" outlineLevel="0" collapsed="false">
      <c r="A99" s="0" t="s">
        <v>68</v>
      </c>
      <c r="B99" s="1" t="n">
        <v>43959</v>
      </c>
      <c r="C99" s="6" t="e">
        <f aca="false">#REF!</f>
        <v>#REF!</v>
      </c>
      <c r="D99" s="6" t="e">
        <f aca="false">#REF!</f>
        <v>#REF!</v>
      </c>
      <c r="E99" s="6" t="e">
        <f aca="false">#REF!</f>
        <v>#REF!</v>
      </c>
      <c r="F99" s="6" t="e">
        <f aca="false">#REF!</f>
        <v>#REF!</v>
      </c>
      <c r="G99" s="6" t="e">
        <f aca="false">#REF!</f>
        <v>#REF!</v>
      </c>
      <c r="H99" s="6" t="e">
        <f aca="false">#REF!</f>
        <v>#REF!</v>
      </c>
      <c r="I99" s="6" t="e">
        <f aca="false">#REF!</f>
        <v>#REF!</v>
      </c>
      <c r="J99" s="6" t="e">
        <f aca="false">#REF!</f>
        <v>#REF!</v>
      </c>
      <c r="K99" s="6" t="e">
        <f aca="false">#REF!</f>
        <v>#REF!</v>
      </c>
      <c r="L99" s="6" t="e">
        <f aca="false">#REF!</f>
        <v>#REF!</v>
      </c>
      <c r="M99" s="6" t="e">
        <f aca="false">#REF!</f>
        <v>#REF!</v>
      </c>
    </row>
    <row r="100" customFormat="false" ht="15.75" hidden="false" customHeight="false" outlineLevel="0" collapsed="false">
      <c r="A100" s="0" t="s">
        <v>68</v>
      </c>
      <c r="B100" s="1" t="n">
        <v>43960</v>
      </c>
      <c r="C100" s="6" t="e">
        <f aca="false">#REF!</f>
        <v>#REF!</v>
      </c>
      <c r="D100" s="6" t="e">
        <f aca="false">#REF!</f>
        <v>#REF!</v>
      </c>
      <c r="E100" s="6" t="e">
        <f aca="false">#REF!</f>
        <v>#REF!</v>
      </c>
      <c r="F100" s="6" t="e">
        <f aca="false">#REF!</f>
        <v>#REF!</v>
      </c>
      <c r="G100" s="6" t="e">
        <f aca="false">#REF!</f>
        <v>#REF!</v>
      </c>
      <c r="H100" s="6" t="e">
        <f aca="false">#REF!</f>
        <v>#REF!</v>
      </c>
      <c r="I100" s="6" t="e">
        <f aca="false">#REF!</f>
        <v>#REF!</v>
      </c>
      <c r="J100" s="6" t="e">
        <f aca="false">#REF!</f>
        <v>#REF!</v>
      </c>
      <c r="K100" s="6" t="e">
        <f aca="false">#REF!</f>
        <v>#REF!</v>
      </c>
      <c r="L100" s="6" t="e">
        <f aca="false">#REF!</f>
        <v>#REF!</v>
      </c>
      <c r="M100" s="6" t="e">
        <f aca="false">#REF!</f>
        <v>#REF!</v>
      </c>
    </row>
    <row r="101" customFormat="false" ht="15.75" hidden="false" customHeight="false" outlineLevel="0" collapsed="false">
      <c r="A101" s="0" t="s">
        <v>68</v>
      </c>
      <c r="B101" s="1" t="n">
        <v>43961</v>
      </c>
      <c r="C101" s="6" t="e">
        <f aca="false">#REF!</f>
        <v>#REF!</v>
      </c>
      <c r="D101" s="6" t="e">
        <f aca="false">#REF!</f>
        <v>#REF!</v>
      </c>
      <c r="E101" s="6" t="e">
        <f aca="false">#REF!</f>
        <v>#REF!</v>
      </c>
      <c r="F101" s="6" t="e">
        <f aca="false">#REF!</f>
        <v>#REF!</v>
      </c>
      <c r="G101" s="6" t="e">
        <f aca="false">#REF!</f>
        <v>#REF!</v>
      </c>
      <c r="H101" s="6" t="e">
        <f aca="false">#REF!</f>
        <v>#REF!</v>
      </c>
      <c r="I101" s="6" t="e">
        <f aca="false">#REF!</f>
        <v>#REF!</v>
      </c>
      <c r="J101" s="6" t="e">
        <f aca="false">#REF!</f>
        <v>#REF!</v>
      </c>
      <c r="K101" s="6" t="e">
        <f aca="false">#REF!</f>
        <v>#REF!</v>
      </c>
      <c r="L101" s="6" t="e">
        <f aca="false">#REF!</f>
        <v>#REF!</v>
      </c>
      <c r="M101" s="6" t="e">
        <f aca="false">#REF!</f>
        <v>#REF!</v>
      </c>
    </row>
    <row r="102" customFormat="false" ht="15.75" hidden="false" customHeight="false" outlineLevel="0" collapsed="false">
      <c r="A102" s="0" t="s">
        <v>68</v>
      </c>
      <c r="B102" s="1" t="n">
        <v>43962</v>
      </c>
      <c r="C102" s="6" t="e">
        <f aca="false">#REF!</f>
        <v>#REF!</v>
      </c>
      <c r="D102" s="6" t="e">
        <f aca="false">#REF!</f>
        <v>#REF!</v>
      </c>
      <c r="E102" s="6" t="e">
        <f aca="false">#REF!</f>
        <v>#REF!</v>
      </c>
      <c r="F102" s="6" t="e">
        <f aca="false">#REF!</f>
        <v>#REF!</v>
      </c>
      <c r="G102" s="6" t="e">
        <f aca="false">#REF!</f>
        <v>#REF!</v>
      </c>
      <c r="H102" s="6" t="e">
        <f aca="false">#REF!</f>
        <v>#REF!</v>
      </c>
      <c r="I102" s="6" t="e">
        <f aca="false">#REF!</f>
        <v>#REF!</v>
      </c>
      <c r="J102" s="6" t="e">
        <f aca="false">#REF!</f>
        <v>#REF!</v>
      </c>
      <c r="K102" s="6" t="e">
        <f aca="false">#REF!</f>
        <v>#REF!</v>
      </c>
      <c r="L102" s="6" t="e">
        <f aca="false">#REF!</f>
        <v>#REF!</v>
      </c>
      <c r="M102" s="6" t="e">
        <f aca="false">#REF!</f>
        <v>#REF!</v>
      </c>
    </row>
    <row r="103" customFormat="false" ht="15.75" hidden="false" customHeight="false" outlineLevel="0" collapsed="false">
      <c r="A103" s="0" t="s">
        <v>68</v>
      </c>
      <c r="B103" s="1" t="n">
        <v>43963</v>
      </c>
      <c r="C103" s="6" t="e">
        <f aca="false">#REF!</f>
        <v>#REF!</v>
      </c>
      <c r="D103" s="6" t="e">
        <f aca="false">#REF!</f>
        <v>#REF!</v>
      </c>
      <c r="E103" s="6" t="e">
        <f aca="false">#REF!</f>
        <v>#REF!</v>
      </c>
      <c r="F103" s="6" t="e">
        <f aca="false">#REF!</f>
        <v>#REF!</v>
      </c>
      <c r="G103" s="6" t="e">
        <f aca="false">#REF!</f>
        <v>#REF!</v>
      </c>
      <c r="H103" s="6" t="e">
        <f aca="false">#REF!</f>
        <v>#REF!</v>
      </c>
      <c r="I103" s="6" t="e">
        <f aca="false">#REF!</f>
        <v>#REF!</v>
      </c>
      <c r="J103" s="6" t="e">
        <f aca="false">#REF!</f>
        <v>#REF!</v>
      </c>
      <c r="K103" s="6" t="e">
        <f aca="false">#REF!</f>
        <v>#REF!</v>
      </c>
      <c r="L103" s="6" t="e">
        <f aca="false">#REF!</f>
        <v>#REF!</v>
      </c>
      <c r="M103" s="6" t="e">
        <f aca="false">#REF!</f>
        <v>#REF!</v>
      </c>
    </row>
    <row r="104" customFormat="false" ht="15.75" hidden="false" customHeight="false" outlineLevel="0" collapsed="false">
      <c r="A104" s="0" t="s">
        <v>68</v>
      </c>
      <c r="B104" s="1" t="n">
        <v>43964</v>
      </c>
      <c r="C104" s="6" t="e">
        <f aca="false">#REF!</f>
        <v>#REF!</v>
      </c>
      <c r="D104" s="6" t="e">
        <f aca="false">#REF!</f>
        <v>#REF!</v>
      </c>
      <c r="E104" s="6" t="e">
        <f aca="false">#REF!</f>
        <v>#REF!</v>
      </c>
      <c r="F104" s="6" t="e">
        <f aca="false">#REF!</f>
        <v>#REF!</v>
      </c>
      <c r="G104" s="6" t="e">
        <f aca="false">#REF!</f>
        <v>#REF!</v>
      </c>
      <c r="H104" s="6" t="e">
        <f aca="false">#REF!</f>
        <v>#REF!</v>
      </c>
      <c r="I104" s="6" t="e">
        <f aca="false">#REF!</f>
        <v>#REF!</v>
      </c>
      <c r="J104" s="6" t="e">
        <f aca="false">#REF!</f>
        <v>#REF!</v>
      </c>
      <c r="K104" s="6" t="e">
        <f aca="false">#REF!</f>
        <v>#REF!</v>
      </c>
      <c r="L104" s="6" t="e">
        <f aca="false">#REF!</f>
        <v>#REF!</v>
      </c>
      <c r="M104" s="6" t="e">
        <f aca="false">#REF!</f>
        <v>#REF!</v>
      </c>
    </row>
    <row r="105" customFormat="false" ht="15.75" hidden="false" customHeight="false" outlineLevel="0" collapsed="false">
      <c r="A105" s="0" t="s">
        <v>68</v>
      </c>
      <c r="B105" s="1" t="n">
        <v>43965</v>
      </c>
      <c r="C105" s="6" t="e">
        <f aca="false">#REF!</f>
        <v>#REF!</v>
      </c>
      <c r="D105" s="6" t="e">
        <f aca="false">#REF!</f>
        <v>#REF!</v>
      </c>
      <c r="E105" s="6" t="e">
        <f aca="false">#REF!</f>
        <v>#REF!</v>
      </c>
      <c r="F105" s="6" t="e">
        <f aca="false">#REF!</f>
        <v>#REF!</v>
      </c>
      <c r="G105" s="6" t="e">
        <f aca="false">#REF!</f>
        <v>#REF!</v>
      </c>
      <c r="H105" s="6" t="e">
        <f aca="false">#REF!</f>
        <v>#REF!</v>
      </c>
      <c r="I105" s="6" t="e">
        <f aca="false">#REF!</f>
        <v>#REF!</v>
      </c>
      <c r="J105" s="6" t="e">
        <f aca="false">#REF!</f>
        <v>#REF!</v>
      </c>
      <c r="K105" s="6" t="e">
        <f aca="false">#REF!</f>
        <v>#REF!</v>
      </c>
      <c r="L105" s="6" t="e">
        <f aca="false">#REF!</f>
        <v>#REF!</v>
      </c>
      <c r="M105" s="6" t="e">
        <f aca="false">#REF!</f>
        <v>#REF!</v>
      </c>
    </row>
    <row r="106" customFormat="false" ht="15.75" hidden="false" customHeight="false" outlineLevel="0" collapsed="false">
      <c r="A106" s="0" t="s">
        <v>68</v>
      </c>
      <c r="B106" s="1" t="n">
        <v>43966</v>
      </c>
      <c r="C106" s="6" t="e">
        <f aca="false">#REF!</f>
        <v>#REF!</v>
      </c>
      <c r="D106" s="6" t="e">
        <f aca="false">#REF!</f>
        <v>#REF!</v>
      </c>
      <c r="E106" s="6" t="e">
        <f aca="false">#REF!</f>
        <v>#REF!</v>
      </c>
      <c r="F106" s="6" t="e">
        <f aca="false">#REF!</f>
        <v>#REF!</v>
      </c>
      <c r="G106" s="6" t="e">
        <f aca="false">#REF!</f>
        <v>#REF!</v>
      </c>
      <c r="H106" s="6" t="e">
        <f aca="false">#REF!</f>
        <v>#REF!</v>
      </c>
      <c r="I106" s="6" t="e">
        <f aca="false">#REF!</f>
        <v>#REF!</v>
      </c>
      <c r="J106" s="6" t="e">
        <f aca="false">#REF!</f>
        <v>#REF!</v>
      </c>
      <c r="K106" s="6" t="e">
        <f aca="false">#REF!</f>
        <v>#REF!</v>
      </c>
      <c r="L106" s="6" t="e">
        <f aca="false">#REF!</f>
        <v>#REF!</v>
      </c>
      <c r="M106" s="6" t="e">
        <f aca="false">#REF!</f>
        <v>#REF!</v>
      </c>
    </row>
    <row r="107" customFormat="false" ht="15.75" hidden="false" customHeight="false" outlineLevel="0" collapsed="false">
      <c r="A107" s="0" t="s">
        <v>68</v>
      </c>
      <c r="B107" s="1" t="n">
        <v>43967</v>
      </c>
      <c r="C107" s="6" t="e">
        <f aca="false">#REF!</f>
        <v>#REF!</v>
      </c>
      <c r="D107" s="6" t="e">
        <f aca="false">#REF!</f>
        <v>#REF!</v>
      </c>
      <c r="E107" s="6" t="e">
        <f aca="false">#REF!</f>
        <v>#REF!</v>
      </c>
      <c r="F107" s="6" t="e">
        <f aca="false">#REF!</f>
        <v>#REF!</v>
      </c>
      <c r="G107" s="6" t="e">
        <f aca="false">#REF!</f>
        <v>#REF!</v>
      </c>
      <c r="H107" s="6" t="e">
        <f aca="false">#REF!</f>
        <v>#REF!</v>
      </c>
      <c r="I107" s="6" t="e">
        <f aca="false">#REF!</f>
        <v>#REF!</v>
      </c>
      <c r="J107" s="6" t="e">
        <f aca="false">#REF!</f>
        <v>#REF!</v>
      </c>
      <c r="K107" s="6" t="e">
        <f aca="false">#REF!</f>
        <v>#REF!</v>
      </c>
      <c r="L107" s="6" t="e">
        <f aca="false">#REF!</f>
        <v>#REF!</v>
      </c>
      <c r="M107" s="6" t="e">
        <f aca="false">#REF!</f>
        <v>#REF!</v>
      </c>
    </row>
    <row r="108" customFormat="false" ht="15.75" hidden="false" customHeight="false" outlineLevel="0" collapsed="false">
      <c r="A108" s="0" t="s">
        <v>68</v>
      </c>
      <c r="B108" s="1" t="n">
        <v>43968</v>
      </c>
      <c r="C108" s="6" t="e">
        <f aca="false">#REF!</f>
        <v>#REF!</v>
      </c>
      <c r="D108" s="6" t="e">
        <f aca="false">#REF!</f>
        <v>#REF!</v>
      </c>
      <c r="E108" s="6" t="e">
        <f aca="false">#REF!</f>
        <v>#REF!</v>
      </c>
      <c r="F108" s="6" t="e">
        <f aca="false">#REF!</f>
        <v>#REF!</v>
      </c>
      <c r="G108" s="6" t="e">
        <f aca="false">#REF!</f>
        <v>#REF!</v>
      </c>
      <c r="H108" s="6" t="e">
        <f aca="false">#REF!</f>
        <v>#REF!</v>
      </c>
      <c r="I108" s="6" t="e">
        <f aca="false">#REF!</f>
        <v>#REF!</v>
      </c>
      <c r="J108" s="6" t="e">
        <f aca="false">#REF!</f>
        <v>#REF!</v>
      </c>
      <c r="K108" s="6" t="e">
        <f aca="false">#REF!</f>
        <v>#REF!</v>
      </c>
      <c r="L108" s="6" t="e">
        <f aca="false">#REF!</f>
        <v>#REF!</v>
      </c>
      <c r="M108" s="6" t="e">
        <f aca="false">#REF!</f>
        <v>#REF!</v>
      </c>
    </row>
    <row r="109" customFormat="false" ht="15.75" hidden="false" customHeight="false" outlineLevel="0" collapsed="false">
      <c r="A109" s="0" t="s">
        <v>68</v>
      </c>
      <c r="B109" s="1" t="n">
        <v>43969</v>
      </c>
      <c r="C109" s="6" t="e">
        <f aca="false">#REF!</f>
        <v>#REF!</v>
      </c>
      <c r="D109" s="6" t="e">
        <f aca="false">#REF!</f>
        <v>#REF!</v>
      </c>
      <c r="E109" s="6" t="e">
        <f aca="false">#REF!</f>
        <v>#REF!</v>
      </c>
      <c r="F109" s="6" t="e">
        <f aca="false">#REF!</f>
        <v>#REF!</v>
      </c>
      <c r="G109" s="6" t="e">
        <f aca="false">#REF!</f>
        <v>#REF!</v>
      </c>
      <c r="H109" s="6" t="e">
        <f aca="false">#REF!</f>
        <v>#REF!</v>
      </c>
      <c r="I109" s="6" t="e">
        <f aca="false">#REF!</f>
        <v>#REF!</v>
      </c>
      <c r="J109" s="6" t="e">
        <f aca="false">#REF!</f>
        <v>#REF!</v>
      </c>
      <c r="K109" s="6" t="e">
        <f aca="false">#REF!</f>
        <v>#REF!</v>
      </c>
      <c r="L109" s="6" t="e">
        <f aca="false">#REF!</f>
        <v>#REF!</v>
      </c>
      <c r="M109" s="6" t="e">
        <f aca="false">#REF!</f>
        <v>#REF!</v>
      </c>
    </row>
    <row r="110" customFormat="false" ht="15.75" hidden="false" customHeight="false" outlineLevel="0" collapsed="false">
      <c r="A110" s="0" t="s">
        <v>68</v>
      </c>
      <c r="B110" s="1" t="n">
        <v>43970</v>
      </c>
      <c r="C110" s="6" t="e">
        <f aca="false">#REF!</f>
        <v>#REF!</v>
      </c>
      <c r="D110" s="6" t="e">
        <f aca="false">#REF!</f>
        <v>#REF!</v>
      </c>
      <c r="E110" s="6" t="e">
        <f aca="false">#REF!</f>
        <v>#REF!</v>
      </c>
      <c r="F110" s="6" t="e">
        <f aca="false">#REF!</f>
        <v>#REF!</v>
      </c>
      <c r="G110" s="6" t="e">
        <f aca="false">#REF!</f>
        <v>#REF!</v>
      </c>
      <c r="H110" s="6" t="e">
        <f aca="false">#REF!</f>
        <v>#REF!</v>
      </c>
      <c r="I110" s="6" t="e">
        <f aca="false">#REF!</f>
        <v>#REF!</v>
      </c>
      <c r="J110" s="6" t="e">
        <f aca="false">#REF!</f>
        <v>#REF!</v>
      </c>
      <c r="K110" s="6" t="e">
        <f aca="false">#REF!</f>
        <v>#REF!</v>
      </c>
      <c r="L110" s="6" t="e">
        <f aca="false">#REF!</f>
        <v>#REF!</v>
      </c>
      <c r="M110" s="6" t="e">
        <f aca="false">#REF!</f>
        <v>#REF!</v>
      </c>
    </row>
    <row r="111" customFormat="false" ht="15.75" hidden="false" customHeight="false" outlineLevel="0" collapsed="false">
      <c r="A111" s="0" t="s">
        <v>68</v>
      </c>
      <c r="B111" s="1" t="n">
        <v>43971</v>
      </c>
      <c r="C111" s="6" t="e">
        <f aca="false">#REF!</f>
        <v>#REF!</v>
      </c>
      <c r="D111" s="6" t="e">
        <f aca="false">#REF!</f>
        <v>#REF!</v>
      </c>
      <c r="E111" s="6" t="e">
        <f aca="false">#REF!</f>
        <v>#REF!</v>
      </c>
      <c r="F111" s="6" t="e">
        <f aca="false">#REF!</f>
        <v>#REF!</v>
      </c>
      <c r="G111" s="6" t="e">
        <f aca="false">#REF!</f>
        <v>#REF!</v>
      </c>
      <c r="H111" s="6" t="e">
        <f aca="false">#REF!</f>
        <v>#REF!</v>
      </c>
      <c r="I111" s="6" t="e">
        <f aca="false">#REF!</f>
        <v>#REF!</v>
      </c>
      <c r="J111" s="6" t="e">
        <f aca="false">#REF!</f>
        <v>#REF!</v>
      </c>
      <c r="K111" s="6" t="e">
        <f aca="false">#REF!</f>
        <v>#REF!</v>
      </c>
      <c r="L111" s="6" t="e">
        <f aca="false">#REF!</f>
        <v>#REF!</v>
      </c>
      <c r="M111" s="6" t="e">
        <f aca="false">#REF!</f>
        <v>#REF!</v>
      </c>
    </row>
    <row r="112" customFormat="false" ht="15.75" hidden="false" customHeight="false" outlineLevel="0" collapsed="false">
      <c r="A112" s="0" t="s">
        <v>68</v>
      </c>
      <c r="B112" s="1" t="n">
        <v>43972</v>
      </c>
      <c r="C112" s="6" t="e">
        <f aca="false">#REF!</f>
        <v>#REF!</v>
      </c>
      <c r="D112" s="6" t="e">
        <f aca="false">#REF!</f>
        <v>#REF!</v>
      </c>
      <c r="E112" s="6" t="e">
        <f aca="false">#REF!</f>
        <v>#REF!</v>
      </c>
      <c r="F112" s="6" t="e">
        <f aca="false">#REF!</f>
        <v>#REF!</v>
      </c>
      <c r="G112" s="6" t="e">
        <f aca="false">#REF!</f>
        <v>#REF!</v>
      </c>
      <c r="H112" s="6" t="e">
        <f aca="false">#REF!</f>
        <v>#REF!</v>
      </c>
      <c r="I112" s="6" t="e">
        <f aca="false">#REF!</f>
        <v>#REF!</v>
      </c>
      <c r="J112" s="6" t="e">
        <f aca="false">#REF!</f>
        <v>#REF!</v>
      </c>
      <c r="K112" s="6" t="e">
        <f aca="false">#REF!</f>
        <v>#REF!</v>
      </c>
      <c r="L112" s="6" t="e">
        <f aca="false">#REF!</f>
        <v>#REF!</v>
      </c>
      <c r="M112" s="6" t="e">
        <f aca="false">#REF!</f>
        <v>#REF!</v>
      </c>
    </row>
    <row r="113" customFormat="false" ht="15.75" hidden="false" customHeight="false" outlineLevel="0" collapsed="false">
      <c r="A113" s="0" t="s">
        <v>68</v>
      </c>
      <c r="B113" s="1" t="n">
        <v>43973</v>
      </c>
      <c r="C113" s="6" t="e">
        <f aca="false">#REF!</f>
        <v>#REF!</v>
      </c>
      <c r="D113" s="6" t="e">
        <f aca="false">#REF!</f>
        <v>#REF!</v>
      </c>
      <c r="E113" s="6" t="e">
        <f aca="false">#REF!</f>
        <v>#REF!</v>
      </c>
      <c r="F113" s="6" t="e">
        <f aca="false">#REF!</f>
        <v>#REF!</v>
      </c>
      <c r="G113" s="6" t="e">
        <f aca="false">#REF!</f>
        <v>#REF!</v>
      </c>
      <c r="H113" s="6" t="e">
        <f aca="false">#REF!</f>
        <v>#REF!</v>
      </c>
      <c r="I113" s="6" t="e">
        <f aca="false">#REF!</f>
        <v>#REF!</v>
      </c>
      <c r="J113" s="6" t="e">
        <f aca="false">#REF!</f>
        <v>#REF!</v>
      </c>
      <c r="K113" s="6" t="e">
        <f aca="false">#REF!</f>
        <v>#REF!</v>
      </c>
      <c r="L113" s="6" t="e">
        <f aca="false">#REF!</f>
        <v>#REF!</v>
      </c>
      <c r="M113" s="6" t="e">
        <f aca="false">#REF!</f>
        <v>#REF!</v>
      </c>
    </row>
    <row r="114" customFormat="false" ht="15.75" hidden="false" customHeight="false" outlineLevel="0" collapsed="false">
      <c r="A114" s="0" t="s">
        <v>68</v>
      </c>
      <c r="B114" s="1" t="n">
        <v>43974</v>
      </c>
      <c r="C114" s="6" t="e">
        <f aca="false">#REF!</f>
        <v>#REF!</v>
      </c>
      <c r="D114" s="6" t="e">
        <f aca="false">#REF!</f>
        <v>#REF!</v>
      </c>
      <c r="E114" s="6" t="e">
        <f aca="false">#REF!</f>
        <v>#REF!</v>
      </c>
      <c r="F114" s="6" t="e">
        <f aca="false">#REF!</f>
        <v>#REF!</v>
      </c>
      <c r="G114" s="6" t="e">
        <f aca="false">#REF!</f>
        <v>#REF!</v>
      </c>
      <c r="H114" s="6" t="e">
        <f aca="false">#REF!</f>
        <v>#REF!</v>
      </c>
      <c r="I114" s="6" t="e">
        <f aca="false">#REF!</f>
        <v>#REF!</v>
      </c>
      <c r="J114" s="6" t="e">
        <f aca="false">#REF!</f>
        <v>#REF!</v>
      </c>
      <c r="K114" s="6" t="e">
        <f aca="false">#REF!</f>
        <v>#REF!</v>
      </c>
      <c r="L114" s="6" t="e">
        <f aca="false">#REF!</f>
        <v>#REF!</v>
      </c>
      <c r="M114" s="6" t="e">
        <f aca="false">#REF!</f>
        <v>#REF!</v>
      </c>
    </row>
    <row r="115" customFormat="false" ht="15.75" hidden="false" customHeight="false" outlineLevel="0" collapsed="false">
      <c r="A115" s="0" t="s">
        <v>68</v>
      </c>
      <c r="B115" s="1" t="n">
        <v>43975</v>
      </c>
      <c r="C115" s="6" t="e">
        <f aca="false">#REF!</f>
        <v>#REF!</v>
      </c>
      <c r="D115" s="6" t="e">
        <f aca="false">#REF!</f>
        <v>#REF!</v>
      </c>
      <c r="E115" s="6" t="e">
        <f aca="false">#REF!</f>
        <v>#REF!</v>
      </c>
      <c r="F115" s="6" t="e">
        <f aca="false">#REF!</f>
        <v>#REF!</v>
      </c>
      <c r="G115" s="6" t="e">
        <f aca="false">#REF!</f>
        <v>#REF!</v>
      </c>
      <c r="H115" s="6" t="e">
        <f aca="false">#REF!</f>
        <v>#REF!</v>
      </c>
      <c r="I115" s="6" t="e">
        <f aca="false">#REF!</f>
        <v>#REF!</v>
      </c>
      <c r="J115" s="6" t="e">
        <f aca="false">#REF!</f>
        <v>#REF!</v>
      </c>
      <c r="K115" s="6" t="e">
        <f aca="false">#REF!</f>
        <v>#REF!</v>
      </c>
      <c r="L115" s="6" t="e">
        <f aca="false">#REF!</f>
        <v>#REF!</v>
      </c>
      <c r="M115" s="6" t="e">
        <f aca="false">#REF!</f>
        <v>#REF!</v>
      </c>
    </row>
    <row r="116" customFormat="false" ht="15.75" hidden="false" customHeight="false" outlineLevel="0" collapsed="false">
      <c r="A116" s="0" t="s">
        <v>68</v>
      </c>
      <c r="B116" s="1" t="n">
        <v>43976</v>
      </c>
      <c r="C116" s="6" t="e">
        <f aca="false">#REF!</f>
        <v>#REF!</v>
      </c>
      <c r="D116" s="6" t="e">
        <f aca="false">#REF!</f>
        <v>#REF!</v>
      </c>
      <c r="E116" s="6" t="e">
        <f aca="false">#REF!</f>
        <v>#REF!</v>
      </c>
      <c r="F116" s="6" t="e">
        <f aca="false">#REF!</f>
        <v>#REF!</v>
      </c>
      <c r="G116" s="6" t="e">
        <f aca="false">#REF!</f>
        <v>#REF!</v>
      </c>
      <c r="H116" s="6" t="e">
        <f aca="false">#REF!</f>
        <v>#REF!</v>
      </c>
      <c r="I116" s="6" t="e">
        <f aca="false">#REF!</f>
        <v>#REF!</v>
      </c>
      <c r="J116" s="6" t="e">
        <f aca="false">#REF!</f>
        <v>#REF!</v>
      </c>
      <c r="K116" s="6" t="e">
        <f aca="false">#REF!</f>
        <v>#REF!</v>
      </c>
      <c r="L116" s="6" t="e">
        <f aca="false">#REF!</f>
        <v>#REF!</v>
      </c>
      <c r="M116" s="6" t="e">
        <f aca="false">#REF!</f>
        <v>#REF!</v>
      </c>
    </row>
    <row r="117" customFormat="false" ht="15.75" hidden="false" customHeight="false" outlineLevel="0" collapsed="false">
      <c r="A117" s="0" t="s">
        <v>68</v>
      </c>
      <c r="B117" s="1" t="n">
        <v>43977</v>
      </c>
      <c r="C117" s="6" t="e">
        <f aca="false">#REF!</f>
        <v>#REF!</v>
      </c>
      <c r="D117" s="6" t="e">
        <f aca="false">#REF!</f>
        <v>#REF!</v>
      </c>
      <c r="E117" s="6" t="e">
        <f aca="false">#REF!</f>
        <v>#REF!</v>
      </c>
      <c r="F117" s="6" t="e">
        <f aca="false">#REF!</f>
        <v>#REF!</v>
      </c>
      <c r="G117" s="6" t="e">
        <f aca="false">#REF!</f>
        <v>#REF!</v>
      </c>
      <c r="H117" s="6" t="e">
        <f aca="false">#REF!</f>
        <v>#REF!</v>
      </c>
      <c r="I117" s="6" t="e">
        <f aca="false">#REF!</f>
        <v>#REF!</v>
      </c>
      <c r="J117" s="6" t="e">
        <f aca="false">#REF!</f>
        <v>#REF!</v>
      </c>
      <c r="K117" s="6" t="e">
        <f aca="false">#REF!</f>
        <v>#REF!</v>
      </c>
      <c r="L117" s="6" t="e">
        <f aca="false">#REF!</f>
        <v>#REF!</v>
      </c>
      <c r="M117" s="6" t="e">
        <f aca="false">#REF!</f>
        <v>#REF!</v>
      </c>
    </row>
    <row r="118" customFormat="false" ht="15.75" hidden="false" customHeight="false" outlineLevel="0" collapsed="false">
      <c r="A118" s="0" t="s">
        <v>68</v>
      </c>
      <c r="B118" s="1" t="n">
        <v>43978</v>
      </c>
      <c r="C118" s="6" t="e">
        <f aca="false">#REF!</f>
        <v>#REF!</v>
      </c>
      <c r="D118" s="6" t="e">
        <f aca="false">#REF!</f>
        <v>#REF!</v>
      </c>
      <c r="E118" s="6" t="e">
        <f aca="false">#REF!</f>
        <v>#REF!</v>
      </c>
      <c r="F118" s="6" t="e">
        <f aca="false">#REF!</f>
        <v>#REF!</v>
      </c>
      <c r="G118" s="6" t="e">
        <f aca="false">#REF!</f>
        <v>#REF!</v>
      </c>
      <c r="H118" s="6" t="e">
        <f aca="false">#REF!</f>
        <v>#REF!</v>
      </c>
      <c r="I118" s="6" t="e">
        <f aca="false">#REF!</f>
        <v>#REF!</v>
      </c>
      <c r="J118" s="6" t="e">
        <f aca="false">#REF!</f>
        <v>#REF!</v>
      </c>
      <c r="K118" s="6" t="e">
        <f aca="false">#REF!</f>
        <v>#REF!</v>
      </c>
      <c r="L118" s="6" t="e">
        <f aca="false">#REF!</f>
        <v>#REF!</v>
      </c>
      <c r="M118" s="6" t="e">
        <f aca="false">#REF!</f>
        <v>#REF!</v>
      </c>
    </row>
    <row r="119" customFormat="false" ht="15.75" hidden="false" customHeight="false" outlineLevel="0" collapsed="false">
      <c r="A119" s="0" t="s">
        <v>68</v>
      </c>
      <c r="B119" s="1" t="n">
        <v>43979</v>
      </c>
      <c r="C119" s="6" t="e">
        <f aca="false">#REF!</f>
        <v>#REF!</v>
      </c>
      <c r="D119" s="6" t="e">
        <f aca="false">#REF!</f>
        <v>#REF!</v>
      </c>
      <c r="E119" s="6" t="e">
        <f aca="false">#REF!</f>
        <v>#REF!</v>
      </c>
      <c r="F119" s="6" t="e">
        <f aca="false">#REF!</f>
        <v>#REF!</v>
      </c>
      <c r="G119" s="6" t="e">
        <f aca="false">#REF!</f>
        <v>#REF!</v>
      </c>
      <c r="H119" s="6" t="e">
        <f aca="false">#REF!</f>
        <v>#REF!</v>
      </c>
      <c r="I119" s="6" t="e">
        <f aca="false">#REF!</f>
        <v>#REF!</v>
      </c>
      <c r="J119" s="6" t="e">
        <f aca="false">#REF!</f>
        <v>#REF!</v>
      </c>
      <c r="K119" s="6" t="e">
        <f aca="false">#REF!</f>
        <v>#REF!</v>
      </c>
      <c r="L119" s="6" t="e">
        <f aca="false">#REF!</f>
        <v>#REF!</v>
      </c>
      <c r="M119" s="6" t="e">
        <f aca="false">#REF!</f>
        <v>#REF!</v>
      </c>
    </row>
    <row r="120" customFormat="false" ht="15.75" hidden="false" customHeight="false" outlineLevel="0" collapsed="false">
      <c r="A120" s="0" t="s">
        <v>68</v>
      </c>
      <c r="B120" s="1" t="n">
        <v>43980</v>
      </c>
      <c r="C120" s="6" t="e">
        <f aca="false">#REF!</f>
        <v>#REF!</v>
      </c>
      <c r="D120" s="6" t="e">
        <f aca="false">#REF!</f>
        <v>#REF!</v>
      </c>
      <c r="E120" s="6" t="e">
        <f aca="false">#REF!</f>
        <v>#REF!</v>
      </c>
      <c r="F120" s="6" t="e">
        <f aca="false">#REF!</f>
        <v>#REF!</v>
      </c>
      <c r="G120" s="6" t="e">
        <f aca="false">#REF!</f>
        <v>#REF!</v>
      </c>
      <c r="H120" s="6" t="e">
        <f aca="false">#REF!</f>
        <v>#REF!</v>
      </c>
      <c r="I120" s="6" t="e">
        <f aca="false">#REF!</f>
        <v>#REF!</v>
      </c>
      <c r="J120" s="6" t="e">
        <f aca="false">#REF!</f>
        <v>#REF!</v>
      </c>
      <c r="K120" s="6" t="e">
        <f aca="false">#REF!</f>
        <v>#REF!</v>
      </c>
      <c r="L120" s="6" t="e">
        <f aca="false">#REF!</f>
        <v>#REF!</v>
      </c>
      <c r="M120" s="6" t="e">
        <f aca="false">#REF!</f>
        <v>#REF!</v>
      </c>
    </row>
    <row r="121" customFormat="false" ht="15.75" hidden="false" customHeight="false" outlineLevel="0" collapsed="false">
      <c r="A121" s="0" t="s">
        <v>68</v>
      </c>
      <c r="B121" s="1" t="n">
        <v>43981</v>
      </c>
      <c r="C121" s="6" t="e">
        <f aca="false">#REF!</f>
        <v>#REF!</v>
      </c>
      <c r="D121" s="6" t="e">
        <f aca="false">#REF!</f>
        <v>#REF!</v>
      </c>
      <c r="E121" s="6" t="e">
        <f aca="false">#REF!</f>
        <v>#REF!</v>
      </c>
      <c r="F121" s="6" t="e">
        <f aca="false">#REF!</f>
        <v>#REF!</v>
      </c>
      <c r="G121" s="6" t="e">
        <f aca="false">#REF!</f>
        <v>#REF!</v>
      </c>
      <c r="H121" s="6" t="e">
        <f aca="false">#REF!</f>
        <v>#REF!</v>
      </c>
      <c r="I121" s="6" t="e">
        <f aca="false">#REF!</f>
        <v>#REF!</v>
      </c>
      <c r="J121" s="6" t="e">
        <f aca="false">#REF!</f>
        <v>#REF!</v>
      </c>
      <c r="K121" s="6" t="e">
        <f aca="false">#REF!</f>
        <v>#REF!</v>
      </c>
      <c r="L121" s="6" t="e">
        <f aca="false">#REF!</f>
        <v>#REF!</v>
      </c>
      <c r="M121" s="6" t="e">
        <f aca="false">#REF!</f>
        <v>#REF!</v>
      </c>
    </row>
    <row r="122" customFormat="false" ht="15.75" hidden="false" customHeight="false" outlineLevel="0" collapsed="false">
      <c r="A122" s="0" t="s">
        <v>68</v>
      </c>
      <c r="B122" s="1" t="n">
        <v>43982</v>
      </c>
      <c r="C122" s="6" t="e">
        <f aca="false">#REF!</f>
        <v>#REF!</v>
      </c>
      <c r="D122" s="6" t="e">
        <f aca="false">#REF!</f>
        <v>#REF!</v>
      </c>
      <c r="E122" s="6" t="e">
        <f aca="false">#REF!</f>
        <v>#REF!</v>
      </c>
      <c r="F122" s="6" t="e">
        <f aca="false">#REF!</f>
        <v>#REF!</v>
      </c>
      <c r="G122" s="6" t="e">
        <f aca="false">#REF!</f>
        <v>#REF!</v>
      </c>
      <c r="H122" s="6" t="e">
        <f aca="false">#REF!</f>
        <v>#REF!</v>
      </c>
      <c r="I122" s="6" t="e">
        <f aca="false">#REF!</f>
        <v>#REF!</v>
      </c>
      <c r="J122" s="6" t="e">
        <f aca="false">#REF!</f>
        <v>#REF!</v>
      </c>
      <c r="K122" s="6" t="e">
        <f aca="false">#REF!</f>
        <v>#REF!</v>
      </c>
      <c r="L122" s="6" t="e">
        <f aca="false">#REF!</f>
        <v>#REF!</v>
      </c>
      <c r="M122" s="6" t="e">
        <f aca="false">#REF!</f>
        <v>#REF!</v>
      </c>
    </row>
    <row r="123" customFormat="false" ht="15.75" hidden="false" customHeight="false" outlineLevel="0" collapsed="false">
      <c r="A123" s="0" t="s">
        <v>68</v>
      </c>
      <c r="B123" s="1" t="n">
        <v>43983</v>
      </c>
      <c r="C123" s="6" t="e">
        <f aca="false">#REF!</f>
        <v>#REF!</v>
      </c>
      <c r="D123" s="6" t="e">
        <f aca="false">#REF!</f>
        <v>#REF!</v>
      </c>
      <c r="E123" s="6" t="e">
        <f aca="false">#REF!</f>
        <v>#REF!</v>
      </c>
      <c r="F123" s="6" t="e">
        <f aca="false">#REF!</f>
        <v>#REF!</v>
      </c>
      <c r="G123" s="6" t="e">
        <f aca="false">#REF!</f>
        <v>#REF!</v>
      </c>
      <c r="H123" s="6" t="e">
        <f aca="false">#REF!</f>
        <v>#REF!</v>
      </c>
      <c r="I123" s="6" t="e">
        <f aca="false">#REF!</f>
        <v>#REF!</v>
      </c>
      <c r="J123" s="6" t="e">
        <f aca="false">#REF!</f>
        <v>#REF!</v>
      </c>
      <c r="K123" s="6" t="e">
        <f aca="false">#REF!</f>
        <v>#REF!</v>
      </c>
      <c r="L123" s="6" t="e">
        <f aca="false">#REF!</f>
        <v>#REF!</v>
      </c>
      <c r="M123" s="6" t="e">
        <f aca="false">#REF!</f>
        <v>#REF!</v>
      </c>
    </row>
    <row r="124" customFormat="false" ht="15.75" hidden="false" customHeight="false" outlineLevel="0" collapsed="false">
      <c r="A124" s="0" t="s">
        <v>68</v>
      </c>
      <c r="B124" s="1" t="n">
        <v>43984</v>
      </c>
      <c r="C124" s="6" t="e">
        <f aca="false">#REF!</f>
        <v>#REF!</v>
      </c>
      <c r="D124" s="6" t="e">
        <f aca="false">#REF!</f>
        <v>#REF!</v>
      </c>
      <c r="E124" s="6" t="e">
        <f aca="false">#REF!</f>
        <v>#REF!</v>
      </c>
      <c r="F124" s="6" t="e">
        <f aca="false">#REF!</f>
        <v>#REF!</v>
      </c>
      <c r="G124" s="6" t="e">
        <f aca="false">#REF!</f>
        <v>#REF!</v>
      </c>
      <c r="H124" s="6" t="e">
        <f aca="false">#REF!</f>
        <v>#REF!</v>
      </c>
      <c r="I124" s="6" t="e">
        <f aca="false">#REF!</f>
        <v>#REF!</v>
      </c>
      <c r="J124" s="6" t="e">
        <f aca="false">#REF!</f>
        <v>#REF!</v>
      </c>
      <c r="K124" s="6" t="e">
        <f aca="false">#REF!</f>
        <v>#REF!</v>
      </c>
      <c r="L124" s="6" t="e">
        <f aca="false">#REF!</f>
        <v>#REF!</v>
      </c>
      <c r="M124" s="6" t="e">
        <f aca="false">#REF!</f>
        <v>#REF!</v>
      </c>
    </row>
    <row r="125" customFormat="false" ht="15.75" hidden="false" customHeight="false" outlineLevel="0" collapsed="false">
      <c r="A125" s="0" t="s">
        <v>68</v>
      </c>
      <c r="B125" s="1" t="n">
        <v>43985</v>
      </c>
      <c r="C125" s="6" t="e">
        <f aca="false">#REF!</f>
        <v>#REF!</v>
      </c>
      <c r="D125" s="6" t="e">
        <f aca="false">#REF!</f>
        <v>#REF!</v>
      </c>
      <c r="E125" s="6" t="e">
        <f aca="false">#REF!</f>
        <v>#REF!</v>
      </c>
      <c r="F125" s="6" t="e">
        <f aca="false">#REF!</f>
        <v>#REF!</v>
      </c>
      <c r="G125" s="6" t="e">
        <f aca="false">#REF!</f>
        <v>#REF!</v>
      </c>
      <c r="H125" s="6" t="e">
        <f aca="false">#REF!</f>
        <v>#REF!</v>
      </c>
      <c r="I125" s="6" t="e">
        <f aca="false">#REF!</f>
        <v>#REF!</v>
      </c>
      <c r="J125" s="6" t="e">
        <f aca="false">#REF!</f>
        <v>#REF!</v>
      </c>
      <c r="K125" s="6" t="e">
        <f aca="false">#REF!</f>
        <v>#REF!</v>
      </c>
      <c r="L125" s="6" t="e">
        <f aca="false">#REF!</f>
        <v>#REF!</v>
      </c>
      <c r="M125" s="6" t="e">
        <f aca="false">#REF!</f>
        <v>#REF!</v>
      </c>
    </row>
    <row r="126" customFormat="false" ht="15.75" hidden="false" customHeight="false" outlineLevel="0" collapsed="false">
      <c r="A126" s="0" t="s">
        <v>68</v>
      </c>
      <c r="B126" s="1" t="n">
        <v>43986</v>
      </c>
      <c r="C126" s="6" t="e">
        <f aca="false">#REF!</f>
        <v>#REF!</v>
      </c>
      <c r="D126" s="6" t="e">
        <f aca="false">#REF!</f>
        <v>#REF!</v>
      </c>
      <c r="E126" s="6" t="e">
        <f aca="false">#REF!</f>
        <v>#REF!</v>
      </c>
      <c r="F126" s="6" t="e">
        <f aca="false">#REF!</f>
        <v>#REF!</v>
      </c>
      <c r="G126" s="6" t="e">
        <f aca="false">#REF!</f>
        <v>#REF!</v>
      </c>
      <c r="H126" s="6" t="e">
        <f aca="false">#REF!</f>
        <v>#REF!</v>
      </c>
      <c r="I126" s="6" t="e">
        <f aca="false">#REF!</f>
        <v>#REF!</v>
      </c>
      <c r="J126" s="6" t="e">
        <f aca="false">#REF!</f>
        <v>#REF!</v>
      </c>
      <c r="K126" s="6" t="e">
        <f aca="false">#REF!</f>
        <v>#REF!</v>
      </c>
      <c r="L126" s="6" t="e">
        <f aca="false">#REF!</f>
        <v>#REF!</v>
      </c>
      <c r="M126" s="6" t="e">
        <f aca="false">#REF!</f>
        <v>#REF!</v>
      </c>
    </row>
    <row r="127" customFormat="false" ht="15.75" hidden="false" customHeight="false" outlineLevel="0" collapsed="false">
      <c r="A127" s="0" t="s">
        <v>68</v>
      </c>
      <c r="B127" s="1" t="n">
        <v>43987</v>
      </c>
      <c r="C127" s="6" t="e">
        <f aca="false">#REF!</f>
        <v>#REF!</v>
      </c>
      <c r="D127" s="6" t="e">
        <f aca="false">#REF!</f>
        <v>#REF!</v>
      </c>
      <c r="E127" s="6" t="e">
        <f aca="false">#REF!</f>
        <v>#REF!</v>
      </c>
      <c r="F127" s="6" t="e">
        <f aca="false">#REF!</f>
        <v>#REF!</v>
      </c>
      <c r="G127" s="6" t="e">
        <f aca="false">#REF!</f>
        <v>#REF!</v>
      </c>
      <c r="H127" s="6" t="e">
        <f aca="false">#REF!</f>
        <v>#REF!</v>
      </c>
      <c r="I127" s="6" t="e">
        <f aca="false">#REF!</f>
        <v>#REF!</v>
      </c>
      <c r="J127" s="6" t="e">
        <f aca="false">#REF!</f>
        <v>#REF!</v>
      </c>
      <c r="K127" s="6" t="e">
        <f aca="false">#REF!</f>
        <v>#REF!</v>
      </c>
      <c r="L127" s="6" t="e">
        <f aca="false">#REF!</f>
        <v>#REF!</v>
      </c>
      <c r="M127" s="6" t="e">
        <f aca="false">#REF!</f>
        <v>#REF!</v>
      </c>
    </row>
    <row r="128" customFormat="false" ht="15.75" hidden="false" customHeight="false" outlineLevel="0" collapsed="false">
      <c r="A128" s="0" t="s">
        <v>68</v>
      </c>
      <c r="B128" s="1" t="n">
        <v>43988</v>
      </c>
      <c r="C128" s="6" t="e">
        <f aca="false">#REF!</f>
        <v>#REF!</v>
      </c>
      <c r="D128" s="6" t="e">
        <f aca="false">#REF!</f>
        <v>#REF!</v>
      </c>
      <c r="E128" s="6" t="e">
        <f aca="false">#REF!</f>
        <v>#REF!</v>
      </c>
      <c r="F128" s="6" t="e">
        <f aca="false">#REF!</f>
        <v>#REF!</v>
      </c>
      <c r="G128" s="6" t="e">
        <f aca="false">#REF!</f>
        <v>#REF!</v>
      </c>
      <c r="H128" s="6" t="e">
        <f aca="false">#REF!</f>
        <v>#REF!</v>
      </c>
      <c r="I128" s="6" t="e">
        <f aca="false">#REF!</f>
        <v>#REF!</v>
      </c>
      <c r="J128" s="6" t="e">
        <f aca="false">#REF!</f>
        <v>#REF!</v>
      </c>
      <c r="K128" s="6" t="e">
        <f aca="false">#REF!</f>
        <v>#REF!</v>
      </c>
      <c r="L128" s="6" t="e">
        <f aca="false">#REF!</f>
        <v>#REF!</v>
      </c>
      <c r="M128" s="6" t="e">
        <f aca="false">#REF!</f>
        <v>#REF!</v>
      </c>
    </row>
    <row r="129" customFormat="false" ht="15.75" hidden="false" customHeight="false" outlineLevel="0" collapsed="false">
      <c r="A129" s="0" t="s">
        <v>68</v>
      </c>
      <c r="B129" s="1" t="n">
        <v>43989</v>
      </c>
      <c r="C129" s="6" t="e">
        <f aca="false">#REF!</f>
        <v>#REF!</v>
      </c>
      <c r="D129" s="6" t="e">
        <f aca="false">#REF!</f>
        <v>#REF!</v>
      </c>
      <c r="E129" s="6" t="e">
        <f aca="false">#REF!</f>
        <v>#REF!</v>
      </c>
      <c r="F129" s="6" t="e">
        <f aca="false">#REF!</f>
        <v>#REF!</v>
      </c>
      <c r="G129" s="6" t="e">
        <f aca="false">#REF!</f>
        <v>#REF!</v>
      </c>
      <c r="H129" s="6" t="e">
        <f aca="false">#REF!</f>
        <v>#REF!</v>
      </c>
      <c r="I129" s="6" t="e">
        <f aca="false">#REF!</f>
        <v>#REF!</v>
      </c>
      <c r="J129" s="6" t="e">
        <f aca="false">#REF!</f>
        <v>#REF!</v>
      </c>
      <c r="K129" s="6" t="e">
        <f aca="false">#REF!</f>
        <v>#REF!</v>
      </c>
      <c r="L129" s="6" t="e">
        <f aca="false">#REF!</f>
        <v>#REF!</v>
      </c>
      <c r="M129" s="6" t="e">
        <f aca="false">#REF!</f>
        <v>#REF!</v>
      </c>
    </row>
    <row r="130" customFormat="false" ht="15.75" hidden="false" customHeight="false" outlineLevel="0" collapsed="false">
      <c r="A130" s="0" t="s">
        <v>68</v>
      </c>
      <c r="B130" s="1" t="n">
        <v>43990</v>
      </c>
      <c r="C130" s="6" t="e">
        <f aca="false">#REF!</f>
        <v>#REF!</v>
      </c>
      <c r="D130" s="6" t="e">
        <f aca="false">#REF!</f>
        <v>#REF!</v>
      </c>
      <c r="E130" s="6" t="e">
        <f aca="false">#REF!</f>
        <v>#REF!</v>
      </c>
      <c r="F130" s="6" t="e">
        <f aca="false">#REF!</f>
        <v>#REF!</v>
      </c>
      <c r="G130" s="6" t="e">
        <f aca="false">#REF!</f>
        <v>#REF!</v>
      </c>
      <c r="H130" s="6" t="e">
        <f aca="false">#REF!</f>
        <v>#REF!</v>
      </c>
      <c r="I130" s="6" t="e">
        <f aca="false">#REF!</f>
        <v>#REF!</v>
      </c>
      <c r="J130" s="6" t="e">
        <f aca="false">#REF!</f>
        <v>#REF!</v>
      </c>
      <c r="K130" s="6" t="e">
        <f aca="false">#REF!</f>
        <v>#REF!</v>
      </c>
      <c r="L130" s="6" t="e">
        <f aca="false">#REF!</f>
        <v>#REF!</v>
      </c>
      <c r="M130" s="6" t="e">
        <f aca="false">#REF!</f>
        <v>#REF!</v>
      </c>
    </row>
    <row r="131" customFormat="false" ht="15.75" hidden="false" customHeight="false" outlineLevel="0" collapsed="false">
      <c r="A131" s="0" t="s">
        <v>68</v>
      </c>
      <c r="B131" s="1" t="n">
        <v>43991</v>
      </c>
      <c r="C131" s="6" t="e">
        <f aca="false">#REF!</f>
        <v>#REF!</v>
      </c>
      <c r="D131" s="6" t="e">
        <f aca="false">#REF!</f>
        <v>#REF!</v>
      </c>
      <c r="E131" s="6" t="e">
        <f aca="false">#REF!</f>
        <v>#REF!</v>
      </c>
      <c r="F131" s="6" t="e">
        <f aca="false">#REF!</f>
        <v>#REF!</v>
      </c>
      <c r="G131" s="6" t="e">
        <f aca="false">#REF!</f>
        <v>#REF!</v>
      </c>
      <c r="H131" s="6" t="e">
        <f aca="false">#REF!</f>
        <v>#REF!</v>
      </c>
      <c r="I131" s="6" t="e">
        <f aca="false">#REF!</f>
        <v>#REF!</v>
      </c>
      <c r="J131" s="6" t="e">
        <f aca="false">#REF!</f>
        <v>#REF!</v>
      </c>
      <c r="K131" s="6" t="e">
        <f aca="false">#REF!</f>
        <v>#REF!</v>
      </c>
      <c r="L131" s="6" t="e">
        <f aca="false">#REF!</f>
        <v>#REF!</v>
      </c>
      <c r="M131" s="6" t="e">
        <f aca="false">#REF!</f>
        <v>#REF!</v>
      </c>
    </row>
    <row r="132" customFormat="false" ht="15.75" hidden="false" customHeight="false" outlineLevel="0" collapsed="false">
      <c r="A132" s="0" t="s">
        <v>68</v>
      </c>
      <c r="B132" s="1" t="n">
        <v>43992</v>
      </c>
      <c r="C132" s="6" t="e">
        <f aca="false">#REF!</f>
        <v>#REF!</v>
      </c>
      <c r="D132" s="6" t="e">
        <f aca="false">#REF!</f>
        <v>#REF!</v>
      </c>
      <c r="E132" s="6" t="e">
        <f aca="false">#REF!</f>
        <v>#REF!</v>
      </c>
      <c r="F132" s="6" t="e">
        <f aca="false">#REF!</f>
        <v>#REF!</v>
      </c>
      <c r="G132" s="6" t="e">
        <f aca="false">#REF!</f>
        <v>#REF!</v>
      </c>
      <c r="H132" s="6" t="e">
        <f aca="false">#REF!</f>
        <v>#REF!</v>
      </c>
      <c r="I132" s="6" t="e">
        <f aca="false">#REF!</f>
        <v>#REF!</v>
      </c>
      <c r="J132" s="6" t="e">
        <f aca="false">#REF!</f>
        <v>#REF!</v>
      </c>
      <c r="K132" s="6" t="e">
        <f aca="false">#REF!</f>
        <v>#REF!</v>
      </c>
      <c r="L132" s="6" t="e">
        <f aca="false">#REF!</f>
        <v>#REF!</v>
      </c>
      <c r="M132" s="6" t="e">
        <f aca="false">#REF!</f>
        <v>#REF!</v>
      </c>
    </row>
    <row r="133" customFormat="false" ht="15.75" hidden="false" customHeight="false" outlineLevel="0" collapsed="false">
      <c r="A133" s="0" t="s">
        <v>68</v>
      </c>
      <c r="B133" s="1" t="n">
        <v>43993</v>
      </c>
      <c r="C133" s="6" t="e">
        <f aca="false">#REF!</f>
        <v>#REF!</v>
      </c>
      <c r="D133" s="6" t="e">
        <f aca="false">#REF!</f>
        <v>#REF!</v>
      </c>
      <c r="E133" s="6" t="e">
        <f aca="false">#REF!</f>
        <v>#REF!</v>
      </c>
      <c r="F133" s="6" t="e">
        <f aca="false">#REF!</f>
        <v>#REF!</v>
      </c>
      <c r="G133" s="6" t="e">
        <f aca="false">#REF!</f>
        <v>#REF!</v>
      </c>
      <c r="H133" s="6" t="e">
        <f aca="false">#REF!</f>
        <v>#REF!</v>
      </c>
      <c r="I133" s="6" t="e">
        <f aca="false">#REF!</f>
        <v>#REF!</v>
      </c>
      <c r="J133" s="6" t="e">
        <f aca="false">#REF!</f>
        <v>#REF!</v>
      </c>
      <c r="K133" s="6" t="e">
        <f aca="false">#REF!</f>
        <v>#REF!</v>
      </c>
      <c r="L133" s="6" t="e">
        <f aca="false">#REF!</f>
        <v>#REF!</v>
      </c>
      <c r="M133" s="6" t="e">
        <f aca="false">#REF!</f>
        <v>#REF!</v>
      </c>
    </row>
    <row r="134" customFormat="false" ht="15.75" hidden="false" customHeight="false" outlineLevel="0" collapsed="false">
      <c r="A134" s="0" t="s">
        <v>68</v>
      </c>
      <c r="B134" s="1" t="n">
        <v>43994</v>
      </c>
      <c r="C134" s="6" t="e">
        <f aca="false">#REF!</f>
        <v>#REF!</v>
      </c>
      <c r="D134" s="6" t="e">
        <f aca="false">#REF!</f>
        <v>#REF!</v>
      </c>
      <c r="E134" s="6" t="e">
        <f aca="false">#REF!</f>
        <v>#REF!</v>
      </c>
      <c r="F134" s="6" t="e">
        <f aca="false">#REF!</f>
        <v>#REF!</v>
      </c>
      <c r="G134" s="6" t="e">
        <f aca="false">#REF!</f>
        <v>#REF!</v>
      </c>
      <c r="H134" s="6" t="e">
        <f aca="false">#REF!</f>
        <v>#REF!</v>
      </c>
      <c r="I134" s="6" t="e">
        <f aca="false">#REF!</f>
        <v>#REF!</v>
      </c>
      <c r="J134" s="6" t="e">
        <f aca="false">#REF!</f>
        <v>#REF!</v>
      </c>
      <c r="K134" s="6" t="e">
        <f aca="false">#REF!</f>
        <v>#REF!</v>
      </c>
      <c r="L134" s="6" t="e">
        <f aca="false">#REF!</f>
        <v>#REF!</v>
      </c>
      <c r="M134" s="6" t="e">
        <f aca="false">#REF!</f>
        <v>#REF!</v>
      </c>
    </row>
    <row r="135" customFormat="false" ht="15.75" hidden="false" customHeight="false" outlineLevel="0" collapsed="false">
      <c r="A135" s="0" t="s">
        <v>68</v>
      </c>
      <c r="B135" s="1" t="n">
        <v>43995</v>
      </c>
      <c r="C135" s="6" t="e">
        <f aca="false">#REF!</f>
        <v>#REF!</v>
      </c>
      <c r="D135" s="6" t="e">
        <f aca="false">#REF!</f>
        <v>#REF!</v>
      </c>
      <c r="E135" s="6" t="e">
        <f aca="false">#REF!</f>
        <v>#REF!</v>
      </c>
      <c r="F135" s="6" t="e">
        <f aca="false">#REF!</f>
        <v>#REF!</v>
      </c>
      <c r="G135" s="6" t="e">
        <f aca="false">#REF!</f>
        <v>#REF!</v>
      </c>
      <c r="H135" s="6" t="e">
        <f aca="false">#REF!</f>
        <v>#REF!</v>
      </c>
      <c r="I135" s="6" t="e">
        <f aca="false">#REF!</f>
        <v>#REF!</v>
      </c>
      <c r="J135" s="6" t="e">
        <f aca="false">#REF!</f>
        <v>#REF!</v>
      </c>
      <c r="K135" s="6" t="e">
        <f aca="false">#REF!</f>
        <v>#REF!</v>
      </c>
      <c r="L135" s="6" t="e">
        <f aca="false">#REF!</f>
        <v>#REF!</v>
      </c>
      <c r="M135" s="6" t="e">
        <f aca="false">#REF!</f>
        <v>#REF!</v>
      </c>
    </row>
    <row r="136" customFormat="false" ht="15.75" hidden="false" customHeight="false" outlineLevel="0" collapsed="false">
      <c r="A136" s="0" t="s">
        <v>68</v>
      </c>
      <c r="B136" s="1" t="n">
        <v>43996</v>
      </c>
      <c r="C136" s="6" t="e">
        <f aca="false">#REF!</f>
        <v>#REF!</v>
      </c>
      <c r="D136" s="6" t="e">
        <f aca="false">#REF!</f>
        <v>#REF!</v>
      </c>
      <c r="E136" s="6" t="e">
        <f aca="false">#REF!</f>
        <v>#REF!</v>
      </c>
      <c r="F136" s="6" t="e">
        <f aca="false">#REF!</f>
        <v>#REF!</v>
      </c>
      <c r="G136" s="6" t="e">
        <f aca="false">#REF!</f>
        <v>#REF!</v>
      </c>
      <c r="H136" s="6" t="e">
        <f aca="false">#REF!</f>
        <v>#REF!</v>
      </c>
      <c r="I136" s="6" t="e">
        <f aca="false">#REF!</f>
        <v>#REF!</v>
      </c>
      <c r="J136" s="6" t="e">
        <f aca="false">#REF!</f>
        <v>#REF!</v>
      </c>
      <c r="K136" s="6" t="e">
        <f aca="false">#REF!</f>
        <v>#REF!</v>
      </c>
      <c r="L136" s="6" t="e">
        <f aca="false">#REF!</f>
        <v>#REF!</v>
      </c>
      <c r="M136" s="6" t="e">
        <f aca="false">#REF!</f>
        <v>#REF!</v>
      </c>
    </row>
    <row r="137" customFormat="false" ht="15.75" hidden="false" customHeight="false" outlineLevel="0" collapsed="false">
      <c r="A137" s="0" t="s">
        <v>68</v>
      </c>
      <c r="B137" s="1" t="n">
        <v>43997</v>
      </c>
      <c r="C137" s="6" t="e">
        <f aca="false">#REF!</f>
        <v>#REF!</v>
      </c>
      <c r="D137" s="6" t="e">
        <f aca="false">#REF!</f>
        <v>#REF!</v>
      </c>
      <c r="E137" s="6" t="e">
        <f aca="false">#REF!</f>
        <v>#REF!</v>
      </c>
      <c r="F137" s="6" t="e">
        <f aca="false">#REF!</f>
        <v>#REF!</v>
      </c>
      <c r="G137" s="6" t="e">
        <f aca="false">#REF!</f>
        <v>#REF!</v>
      </c>
      <c r="H137" s="6" t="e">
        <f aca="false">#REF!</f>
        <v>#REF!</v>
      </c>
      <c r="I137" s="6" t="e">
        <f aca="false">#REF!</f>
        <v>#REF!</v>
      </c>
      <c r="J137" s="6" t="e">
        <f aca="false">#REF!</f>
        <v>#REF!</v>
      </c>
      <c r="K137" s="6" t="e">
        <f aca="false">#REF!</f>
        <v>#REF!</v>
      </c>
      <c r="L137" s="6" t="e">
        <f aca="false">#REF!</f>
        <v>#REF!</v>
      </c>
      <c r="M137" s="6" t="e">
        <f aca="false">#REF!</f>
        <v>#REF!</v>
      </c>
    </row>
    <row r="138" customFormat="false" ht="15.75" hidden="false" customHeight="false" outlineLevel="0" collapsed="false">
      <c r="A138" s="0" t="s">
        <v>68</v>
      </c>
      <c r="B138" s="1" t="n">
        <v>43998</v>
      </c>
      <c r="C138" s="6" t="e">
        <f aca="false">#REF!</f>
        <v>#REF!</v>
      </c>
      <c r="D138" s="6" t="e">
        <f aca="false">#REF!</f>
        <v>#REF!</v>
      </c>
      <c r="E138" s="6" t="e">
        <f aca="false">#REF!</f>
        <v>#REF!</v>
      </c>
      <c r="F138" s="6" t="e">
        <f aca="false">#REF!</f>
        <v>#REF!</v>
      </c>
      <c r="G138" s="6" t="e">
        <f aca="false">#REF!</f>
        <v>#REF!</v>
      </c>
      <c r="H138" s="6" t="e">
        <f aca="false">#REF!</f>
        <v>#REF!</v>
      </c>
      <c r="I138" s="6" t="e">
        <f aca="false">#REF!</f>
        <v>#REF!</v>
      </c>
      <c r="J138" s="6" t="e">
        <f aca="false">#REF!</f>
        <v>#REF!</v>
      </c>
      <c r="K138" s="6" t="e">
        <f aca="false">#REF!</f>
        <v>#REF!</v>
      </c>
      <c r="L138" s="6" t="e">
        <f aca="false">#REF!</f>
        <v>#REF!</v>
      </c>
      <c r="M138" s="6" t="e">
        <f aca="false">#REF!</f>
        <v>#REF!</v>
      </c>
    </row>
    <row r="139" customFormat="false" ht="15.75" hidden="false" customHeight="false" outlineLevel="0" collapsed="false">
      <c r="A139" s="0" t="s">
        <v>68</v>
      </c>
      <c r="B139" s="1" t="n">
        <v>43999</v>
      </c>
      <c r="C139" s="6" t="e">
        <f aca="false">#REF!</f>
        <v>#REF!</v>
      </c>
      <c r="D139" s="6" t="e">
        <f aca="false">#REF!</f>
        <v>#REF!</v>
      </c>
      <c r="E139" s="6" t="e">
        <f aca="false">#REF!</f>
        <v>#REF!</v>
      </c>
      <c r="F139" s="6" t="e">
        <f aca="false">#REF!</f>
        <v>#REF!</v>
      </c>
      <c r="G139" s="6" t="e">
        <f aca="false">#REF!</f>
        <v>#REF!</v>
      </c>
      <c r="H139" s="6" t="e">
        <f aca="false">#REF!</f>
        <v>#REF!</v>
      </c>
      <c r="I139" s="6" t="e">
        <f aca="false">#REF!</f>
        <v>#REF!</v>
      </c>
      <c r="J139" s="6" t="e">
        <f aca="false">#REF!</f>
        <v>#REF!</v>
      </c>
      <c r="K139" s="6" t="e">
        <f aca="false">#REF!</f>
        <v>#REF!</v>
      </c>
      <c r="L139" s="6" t="e">
        <f aca="false">#REF!</f>
        <v>#REF!</v>
      </c>
      <c r="M139" s="6" t="e">
        <f aca="false">#REF!</f>
        <v>#REF!</v>
      </c>
    </row>
    <row r="140" customFormat="false" ht="15.75" hidden="false" customHeight="false" outlineLevel="0" collapsed="false">
      <c r="A140" s="0" t="s">
        <v>68</v>
      </c>
      <c r="B140" s="1" t="n">
        <v>44000</v>
      </c>
      <c r="C140" s="6" t="e">
        <f aca="false">#REF!</f>
        <v>#REF!</v>
      </c>
      <c r="D140" s="6" t="e">
        <f aca="false">#REF!</f>
        <v>#REF!</v>
      </c>
      <c r="E140" s="6" t="e">
        <f aca="false">#REF!</f>
        <v>#REF!</v>
      </c>
      <c r="F140" s="6" t="e">
        <f aca="false">#REF!</f>
        <v>#REF!</v>
      </c>
      <c r="G140" s="6" t="e">
        <f aca="false">#REF!</f>
        <v>#REF!</v>
      </c>
      <c r="H140" s="6" t="e">
        <f aca="false">#REF!</f>
        <v>#REF!</v>
      </c>
      <c r="I140" s="6" t="e">
        <f aca="false">#REF!</f>
        <v>#REF!</v>
      </c>
      <c r="J140" s="6" t="e">
        <f aca="false">#REF!</f>
        <v>#REF!</v>
      </c>
      <c r="K140" s="6" t="e">
        <f aca="false">#REF!</f>
        <v>#REF!</v>
      </c>
      <c r="L140" s="6" t="e">
        <f aca="false">#REF!</f>
        <v>#REF!</v>
      </c>
      <c r="M140" s="6" t="e">
        <f aca="false">#REF!</f>
        <v>#REF!</v>
      </c>
    </row>
    <row r="141" customFormat="false" ht="15.75" hidden="false" customHeight="false" outlineLevel="0" collapsed="false">
      <c r="A141" s="0" t="s">
        <v>68</v>
      </c>
      <c r="B141" s="1" t="n">
        <v>44001</v>
      </c>
      <c r="C141" s="6" t="e">
        <f aca="false">#REF!</f>
        <v>#REF!</v>
      </c>
      <c r="D141" s="6" t="e">
        <f aca="false">#REF!</f>
        <v>#REF!</v>
      </c>
      <c r="E141" s="6" t="e">
        <f aca="false">#REF!</f>
        <v>#REF!</v>
      </c>
      <c r="F141" s="6" t="e">
        <f aca="false">#REF!</f>
        <v>#REF!</v>
      </c>
      <c r="G141" s="6" t="e">
        <f aca="false">#REF!</f>
        <v>#REF!</v>
      </c>
      <c r="H141" s="6" t="e">
        <f aca="false">#REF!</f>
        <v>#REF!</v>
      </c>
      <c r="I141" s="6" t="e">
        <f aca="false">#REF!</f>
        <v>#REF!</v>
      </c>
      <c r="J141" s="6" t="e">
        <f aca="false">#REF!</f>
        <v>#REF!</v>
      </c>
      <c r="K141" s="6" t="e">
        <f aca="false">#REF!</f>
        <v>#REF!</v>
      </c>
      <c r="L141" s="6" t="e">
        <f aca="false">#REF!</f>
        <v>#REF!</v>
      </c>
      <c r="M141" s="6" t="e">
        <f aca="false">#REF!</f>
        <v>#REF!</v>
      </c>
    </row>
    <row r="142" customFormat="false" ht="15.75" hidden="false" customHeight="false" outlineLevel="0" collapsed="false">
      <c r="A142" s="0" t="s">
        <v>68</v>
      </c>
      <c r="B142" s="1" t="n">
        <v>44002</v>
      </c>
      <c r="C142" s="6" t="e">
        <f aca="false">#REF!</f>
        <v>#REF!</v>
      </c>
      <c r="D142" s="6" t="e">
        <f aca="false">#REF!</f>
        <v>#REF!</v>
      </c>
      <c r="E142" s="6" t="e">
        <f aca="false">#REF!</f>
        <v>#REF!</v>
      </c>
      <c r="F142" s="6" t="e">
        <f aca="false">#REF!</f>
        <v>#REF!</v>
      </c>
      <c r="G142" s="6" t="e">
        <f aca="false">#REF!</f>
        <v>#REF!</v>
      </c>
      <c r="H142" s="6" t="e">
        <f aca="false">#REF!</f>
        <v>#REF!</v>
      </c>
      <c r="I142" s="6" t="e">
        <f aca="false">#REF!</f>
        <v>#REF!</v>
      </c>
      <c r="J142" s="6" t="e">
        <f aca="false">#REF!</f>
        <v>#REF!</v>
      </c>
      <c r="K142" s="6" t="e">
        <f aca="false">#REF!</f>
        <v>#REF!</v>
      </c>
      <c r="L142" s="6" t="e">
        <f aca="false">#REF!</f>
        <v>#REF!</v>
      </c>
      <c r="M142" s="6" t="e">
        <f aca="false">#REF!</f>
        <v>#REF!</v>
      </c>
    </row>
    <row r="143" customFormat="false" ht="15.75" hidden="false" customHeight="false" outlineLevel="0" collapsed="false">
      <c r="A143" s="0" t="s">
        <v>68</v>
      </c>
      <c r="B143" s="1" t="n">
        <v>44003</v>
      </c>
      <c r="C143" s="6" t="e">
        <f aca="false">#REF!</f>
        <v>#REF!</v>
      </c>
      <c r="D143" s="6" t="e">
        <f aca="false">#REF!</f>
        <v>#REF!</v>
      </c>
      <c r="E143" s="6" t="e">
        <f aca="false">#REF!</f>
        <v>#REF!</v>
      </c>
      <c r="F143" s="6" t="e">
        <f aca="false">#REF!</f>
        <v>#REF!</v>
      </c>
      <c r="G143" s="6" t="e">
        <f aca="false">#REF!</f>
        <v>#REF!</v>
      </c>
      <c r="H143" s="6" t="e">
        <f aca="false">#REF!</f>
        <v>#REF!</v>
      </c>
      <c r="I143" s="6" t="e">
        <f aca="false">#REF!</f>
        <v>#REF!</v>
      </c>
      <c r="J143" s="6" t="e">
        <f aca="false">#REF!</f>
        <v>#REF!</v>
      </c>
      <c r="K143" s="6" t="e">
        <f aca="false">#REF!</f>
        <v>#REF!</v>
      </c>
      <c r="L143" s="6" t="e">
        <f aca="false">#REF!</f>
        <v>#REF!</v>
      </c>
      <c r="M143" s="6" t="e">
        <f aca="false">#REF!</f>
        <v>#REF!</v>
      </c>
    </row>
    <row r="144" customFormat="false" ht="15.75" hidden="false" customHeight="false" outlineLevel="0" collapsed="false">
      <c r="A144" s="0" t="s">
        <v>68</v>
      </c>
      <c r="B144" s="1" t="n">
        <v>44004</v>
      </c>
      <c r="C144" s="6" t="e">
        <f aca="false">#REF!</f>
        <v>#REF!</v>
      </c>
      <c r="D144" s="6" t="e">
        <f aca="false">#REF!</f>
        <v>#REF!</v>
      </c>
      <c r="E144" s="6" t="e">
        <f aca="false">#REF!</f>
        <v>#REF!</v>
      </c>
      <c r="F144" s="6" t="e">
        <f aca="false">#REF!</f>
        <v>#REF!</v>
      </c>
      <c r="G144" s="6" t="e">
        <f aca="false">#REF!</f>
        <v>#REF!</v>
      </c>
      <c r="H144" s="6" t="e">
        <f aca="false">#REF!</f>
        <v>#REF!</v>
      </c>
      <c r="I144" s="6" t="e">
        <f aca="false">#REF!</f>
        <v>#REF!</v>
      </c>
      <c r="J144" s="6" t="e">
        <f aca="false">#REF!</f>
        <v>#REF!</v>
      </c>
      <c r="K144" s="6" t="e">
        <f aca="false">#REF!</f>
        <v>#REF!</v>
      </c>
      <c r="L144" s="6" t="e">
        <f aca="false">#REF!</f>
        <v>#REF!</v>
      </c>
      <c r="M144" s="6" t="e">
        <f aca="false">#REF!</f>
        <v>#REF!</v>
      </c>
    </row>
    <row r="145" customFormat="false" ht="15.75" hidden="false" customHeight="false" outlineLevel="0" collapsed="false">
      <c r="A145" s="0" t="s">
        <v>68</v>
      </c>
      <c r="B145" s="1" t="n">
        <v>44005</v>
      </c>
      <c r="C145" s="6" t="e">
        <f aca="false">#REF!</f>
        <v>#REF!</v>
      </c>
      <c r="D145" s="6" t="e">
        <f aca="false">#REF!</f>
        <v>#REF!</v>
      </c>
      <c r="E145" s="6" t="e">
        <f aca="false">#REF!</f>
        <v>#REF!</v>
      </c>
      <c r="F145" s="6" t="e">
        <f aca="false">#REF!</f>
        <v>#REF!</v>
      </c>
      <c r="G145" s="6" t="e">
        <f aca="false">#REF!</f>
        <v>#REF!</v>
      </c>
      <c r="H145" s="6" t="e">
        <f aca="false">#REF!</f>
        <v>#REF!</v>
      </c>
      <c r="I145" s="6" t="e">
        <f aca="false">#REF!</f>
        <v>#REF!</v>
      </c>
      <c r="J145" s="6" t="e">
        <f aca="false">#REF!</f>
        <v>#REF!</v>
      </c>
      <c r="K145" s="6" t="e">
        <f aca="false">#REF!</f>
        <v>#REF!</v>
      </c>
      <c r="L145" s="6" t="e">
        <f aca="false">#REF!</f>
        <v>#REF!</v>
      </c>
      <c r="M145" s="6" t="e">
        <f aca="false">#REF!</f>
        <v>#REF!</v>
      </c>
    </row>
    <row r="146" customFormat="false" ht="15.75" hidden="false" customHeight="false" outlineLevel="0" collapsed="false">
      <c r="A146" s="0" t="s">
        <v>68</v>
      </c>
      <c r="B146" s="1" t="n">
        <v>44006</v>
      </c>
      <c r="C146" s="6" t="e">
        <f aca="false">#REF!</f>
        <v>#REF!</v>
      </c>
      <c r="D146" s="6" t="e">
        <f aca="false">#REF!</f>
        <v>#REF!</v>
      </c>
      <c r="E146" s="6" t="e">
        <f aca="false">#REF!</f>
        <v>#REF!</v>
      </c>
      <c r="F146" s="6" t="e">
        <f aca="false">#REF!</f>
        <v>#REF!</v>
      </c>
      <c r="G146" s="6" t="e">
        <f aca="false">#REF!</f>
        <v>#REF!</v>
      </c>
      <c r="H146" s="6" t="e">
        <f aca="false">#REF!</f>
        <v>#REF!</v>
      </c>
      <c r="I146" s="6" t="e">
        <f aca="false">#REF!</f>
        <v>#REF!</v>
      </c>
      <c r="J146" s="6" t="e">
        <f aca="false">#REF!</f>
        <v>#REF!</v>
      </c>
      <c r="K146" s="6" t="e">
        <f aca="false">#REF!</f>
        <v>#REF!</v>
      </c>
      <c r="L146" s="6" t="e">
        <f aca="false">#REF!</f>
        <v>#REF!</v>
      </c>
      <c r="M146" s="6" t="e">
        <f aca="false">#REF!</f>
        <v>#REF!</v>
      </c>
    </row>
    <row r="147" customFormat="false" ht="15.75" hidden="false" customHeight="false" outlineLevel="0" collapsed="false">
      <c r="A147" s="0" t="s">
        <v>68</v>
      </c>
      <c r="B147" s="1" t="n">
        <v>44007</v>
      </c>
      <c r="C147" s="6" t="e">
        <f aca="false">#REF!</f>
        <v>#REF!</v>
      </c>
      <c r="D147" s="6" t="e">
        <f aca="false">#REF!</f>
        <v>#REF!</v>
      </c>
      <c r="E147" s="6" t="e">
        <f aca="false">#REF!</f>
        <v>#REF!</v>
      </c>
      <c r="F147" s="6" t="e">
        <f aca="false">#REF!</f>
        <v>#REF!</v>
      </c>
      <c r="G147" s="6" t="e">
        <f aca="false">#REF!</f>
        <v>#REF!</v>
      </c>
      <c r="H147" s="6" t="e">
        <f aca="false">#REF!</f>
        <v>#REF!</v>
      </c>
      <c r="I147" s="6" t="e">
        <f aca="false">#REF!</f>
        <v>#REF!</v>
      </c>
      <c r="J147" s="6" t="e">
        <f aca="false">#REF!</f>
        <v>#REF!</v>
      </c>
      <c r="K147" s="6" t="e">
        <f aca="false">#REF!</f>
        <v>#REF!</v>
      </c>
      <c r="L147" s="6" t="e">
        <f aca="false">#REF!</f>
        <v>#REF!</v>
      </c>
      <c r="M147" s="6" t="e">
        <f aca="false">#REF!</f>
        <v>#REF!</v>
      </c>
    </row>
    <row r="148" customFormat="false" ht="15.75" hidden="false" customHeight="false" outlineLevel="0" collapsed="false">
      <c r="A148" s="0" t="s">
        <v>68</v>
      </c>
      <c r="B148" s="1" t="n">
        <v>44008</v>
      </c>
      <c r="C148" s="6" t="e">
        <f aca="false">#REF!</f>
        <v>#REF!</v>
      </c>
      <c r="D148" s="6" t="e">
        <f aca="false">#REF!</f>
        <v>#REF!</v>
      </c>
      <c r="E148" s="6" t="e">
        <f aca="false">#REF!</f>
        <v>#REF!</v>
      </c>
      <c r="F148" s="6" t="e">
        <f aca="false">#REF!</f>
        <v>#REF!</v>
      </c>
      <c r="G148" s="6" t="e">
        <f aca="false">#REF!</f>
        <v>#REF!</v>
      </c>
      <c r="H148" s="6" t="e">
        <f aca="false">#REF!</f>
        <v>#REF!</v>
      </c>
      <c r="I148" s="6" t="e">
        <f aca="false">#REF!</f>
        <v>#REF!</v>
      </c>
      <c r="J148" s="6" t="e">
        <f aca="false">#REF!</f>
        <v>#REF!</v>
      </c>
      <c r="K148" s="6" t="e">
        <f aca="false">#REF!</f>
        <v>#REF!</v>
      </c>
      <c r="L148" s="6" t="e">
        <f aca="false">#REF!</f>
        <v>#REF!</v>
      </c>
      <c r="M148" s="6" t="e">
        <f aca="false">#REF!</f>
        <v>#REF!</v>
      </c>
    </row>
    <row r="149" customFormat="false" ht="15.75" hidden="false" customHeight="false" outlineLevel="0" collapsed="false">
      <c r="A149" s="0" t="s">
        <v>68</v>
      </c>
      <c r="B149" s="1" t="n">
        <v>44009</v>
      </c>
      <c r="C149" s="6" t="e">
        <f aca="false">#REF!</f>
        <v>#REF!</v>
      </c>
      <c r="D149" s="6" t="e">
        <f aca="false">#REF!</f>
        <v>#REF!</v>
      </c>
      <c r="E149" s="6" t="e">
        <f aca="false">#REF!</f>
        <v>#REF!</v>
      </c>
      <c r="F149" s="6" t="e">
        <f aca="false">#REF!</f>
        <v>#REF!</v>
      </c>
      <c r="G149" s="6" t="e">
        <f aca="false">#REF!</f>
        <v>#REF!</v>
      </c>
      <c r="H149" s="6" t="e">
        <f aca="false">#REF!</f>
        <v>#REF!</v>
      </c>
      <c r="I149" s="6" t="e">
        <f aca="false">#REF!</f>
        <v>#REF!</v>
      </c>
      <c r="J149" s="6" t="e">
        <f aca="false">#REF!</f>
        <v>#REF!</v>
      </c>
      <c r="K149" s="6" t="e">
        <f aca="false">#REF!</f>
        <v>#REF!</v>
      </c>
      <c r="L149" s="6" t="e">
        <f aca="false">#REF!</f>
        <v>#REF!</v>
      </c>
      <c r="M149" s="6" t="e">
        <f aca="false">#REF!</f>
        <v>#REF!</v>
      </c>
    </row>
    <row r="150" customFormat="false" ht="15.75" hidden="false" customHeight="false" outlineLevel="0" collapsed="false">
      <c r="A150" s="0" t="s">
        <v>68</v>
      </c>
      <c r="B150" s="1" t="n">
        <v>44010</v>
      </c>
      <c r="C150" s="6" t="e">
        <f aca="false">#REF!</f>
        <v>#REF!</v>
      </c>
      <c r="D150" s="6" t="e">
        <f aca="false">#REF!</f>
        <v>#REF!</v>
      </c>
      <c r="E150" s="6" t="e">
        <f aca="false">#REF!</f>
        <v>#REF!</v>
      </c>
      <c r="F150" s="6" t="e">
        <f aca="false">#REF!</f>
        <v>#REF!</v>
      </c>
      <c r="G150" s="6" t="e">
        <f aca="false">#REF!</f>
        <v>#REF!</v>
      </c>
      <c r="H150" s="6" t="e">
        <f aca="false">#REF!</f>
        <v>#REF!</v>
      </c>
      <c r="I150" s="6" t="e">
        <f aca="false">#REF!</f>
        <v>#REF!</v>
      </c>
      <c r="J150" s="6" t="e">
        <f aca="false">#REF!</f>
        <v>#REF!</v>
      </c>
      <c r="K150" s="6" t="e">
        <f aca="false">#REF!</f>
        <v>#REF!</v>
      </c>
      <c r="L150" s="6" t="e">
        <f aca="false">#REF!</f>
        <v>#REF!</v>
      </c>
      <c r="M150" s="6" t="e">
        <f aca="false">#REF!</f>
        <v>#REF!</v>
      </c>
    </row>
    <row r="151" customFormat="false" ht="15.75" hidden="false" customHeight="false" outlineLevel="0" collapsed="false">
      <c r="A151" s="0" t="s">
        <v>68</v>
      </c>
      <c r="B151" s="1" t="n">
        <v>44011</v>
      </c>
      <c r="C151" s="6" t="e">
        <f aca="false">#REF!</f>
        <v>#REF!</v>
      </c>
      <c r="D151" s="6" t="e">
        <f aca="false">#REF!</f>
        <v>#REF!</v>
      </c>
      <c r="E151" s="6" t="e">
        <f aca="false">#REF!</f>
        <v>#REF!</v>
      </c>
      <c r="F151" s="6" t="e">
        <f aca="false">#REF!</f>
        <v>#REF!</v>
      </c>
      <c r="G151" s="6" t="e">
        <f aca="false">#REF!</f>
        <v>#REF!</v>
      </c>
      <c r="H151" s="6" t="e">
        <f aca="false">#REF!</f>
        <v>#REF!</v>
      </c>
      <c r="I151" s="6" t="e">
        <f aca="false">#REF!</f>
        <v>#REF!</v>
      </c>
      <c r="J151" s="6" t="e">
        <f aca="false">#REF!</f>
        <v>#REF!</v>
      </c>
      <c r="K151" s="6" t="e">
        <f aca="false">#REF!</f>
        <v>#REF!</v>
      </c>
      <c r="L151" s="6" t="e">
        <f aca="false">#REF!</f>
        <v>#REF!</v>
      </c>
      <c r="M151" s="6" t="e">
        <f aca="false">#REF!</f>
        <v>#REF!</v>
      </c>
    </row>
    <row r="152" customFormat="false" ht="15.75" hidden="false" customHeight="false" outlineLevel="0" collapsed="false">
      <c r="A152" s="0" t="s">
        <v>68</v>
      </c>
      <c r="B152" s="1" t="n">
        <v>44012</v>
      </c>
      <c r="C152" s="6" t="e">
        <f aca="false">#REF!</f>
        <v>#REF!</v>
      </c>
      <c r="D152" s="6" t="e">
        <f aca="false">#REF!</f>
        <v>#REF!</v>
      </c>
      <c r="E152" s="6" t="e">
        <f aca="false">#REF!</f>
        <v>#REF!</v>
      </c>
      <c r="F152" s="6" t="e">
        <f aca="false">#REF!</f>
        <v>#REF!</v>
      </c>
      <c r="G152" s="6" t="e">
        <f aca="false">#REF!</f>
        <v>#REF!</v>
      </c>
      <c r="H152" s="6" t="e">
        <f aca="false">#REF!</f>
        <v>#REF!</v>
      </c>
      <c r="I152" s="6" t="e">
        <f aca="false">#REF!</f>
        <v>#REF!</v>
      </c>
      <c r="J152" s="6" t="e">
        <f aca="false">#REF!</f>
        <v>#REF!</v>
      </c>
      <c r="K152" s="6" t="e">
        <f aca="false">#REF!</f>
        <v>#REF!</v>
      </c>
      <c r="L152" s="6" t="e">
        <f aca="false">#REF!</f>
        <v>#REF!</v>
      </c>
      <c r="M152" s="6" t="e">
        <f aca="false">#REF!</f>
        <v>#REF!</v>
      </c>
    </row>
    <row r="153" customFormat="false" ht="15.75" hidden="false" customHeight="false" outlineLevel="0" collapsed="false">
      <c r="A153" s="0" t="s">
        <v>68</v>
      </c>
      <c r="B153" s="1" t="n">
        <v>44013</v>
      </c>
      <c r="C153" s="6" t="e">
        <f aca="false">#REF!</f>
        <v>#REF!</v>
      </c>
      <c r="D153" s="6" t="e">
        <f aca="false">#REF!</f>
        <v>#REF!</v>
      </c>
      <c r="E153" s="6" t="e">
        <f aca="false">#REF!</f>
        <v>#REF!</v>
      </c>
      <c r="F153" s="6" t="e">
        <f aca="false">#REF!</f>
        <v>#REF!</v>
      </c>
      <c r="G153" s="6" t="e">
        <f aca="false">#REF!</f>
        <v>#REF!</v>
      </c>
      <c r="H153" s="6" t="e">
        <f aca="false">#REF!</f>
        <v>#REF!</v>
      </c>
      <c r="I153" s="6" t="e">
        <f aca="false">#REF!</f>
        <v>#REF!</v>
      </c>
      <c r="J153" s="6" t="e">
        <f aca="false">#REF!</f>
        <v>#REF!</v>
      </c>
      <c r="K153" s="6" t="e">
        <f aca="false">#REF!</f>
        <v>#REF!</v>
      </c>
      <c r="L153" s="6" t="e">
        <f aca="false">#REF!</f>
        <v>#REF!</v>
      </c>
      <c r="M153" s="6" t="e">
        <f aca="false">#REF!</f>
        <v>#REF!</v>
      </c>
    </row>
    <row r="154" customFormat="false" ht="15.75" hidden="false" customHeight="false" outlineLevel="0" collapsed="false">
      <c r="A154" s="0" t="s">
        <v>68</v>
      </c>
      <c r="B154" s="1" t="n">
        <v>44014</v>
      </c>
      <c r="C154" s="6" t="e">
        <f aca="false">#REF!</f>
        <v>#REF!</v>
      </c>
      <c r="D154" s="6" t="e">
        <f aca="false">#REF!</f>
        <v>#REF!</v>
      </c>
      <c r="E154" s="6" t="e">
        <f aca="false">#REF!</f>
        <v>#REF!</v>
      </c>
      <c r="F154" s="6" t="e">
        <f aca="false">#REF!</f>
        <v>#REF!</v>
      </c>
      <c r="G154" s="6" t="e">
        <f aca="false">#REF!</f>
        <v>#REF!</v>
      </c>
      <c r="H154" s="6" t="e">
        <f aca="false">#REF!</f>
        <v>#REF!</v>
      </c>
      <c r="I154" s="6" t="e">
        <f aca="false">#REF!</f>
        <v>#REF!</v>
      </c>
      <c r="J154" s="6" t="e">
        <f aca="false">#REF!</f>
        <v>#REF!</v>
      </c>
      <c r="K154" s="6" t="e">
        <f aca="false">#REF!</f>
        <v>#REF!</v>
      </c>
      <c r="L154" s="6" t="e">
        <f aca="false">#REF!</f>
        <v>#REF!</v>
      </c>
      <c r="M154" s="6" t="e">
        <f aca="false">#REF!</f>
        <v>#REF!</v>
      </c>
    </row>
    <row r="155" customFormat="false" ht="15.75" hidden="false" customHeight="false" outlineLevel="0" collapsed="false">
      <c r="A155" s="0" t="s">
        <v>68</v>
      </c>
      <c r="B155" s="1" t="n">
        <v>44015</v>
      </c>
      <c r="C155" s="6" t="e">
        <f aca="false">#REF!</f>
        <v>#REF!</v>
      </c>
      <c r="D155" s="6" t="e">
        <f aca="false">#REF!</f>
        <v>#REF!</v>
      </c>
      <c r="E155" s="6" t="e">
        <f aca="false">#REF!</f>
        <v>#REF!</v>
      </c>
      <c r="F155" s="6" t="e">
        <f aca="false">#REF!</f>
        <v>#REF!</v>
      </c>
      <c r="G155" s="6" t="e">
        <f aca="false">#REF!</f>
        <v>#REF!</v>
      </c>
      <c r="H155" s="6" t="e">
        <f aca="false">#REF!</f>
        <v>#REF!</v>
      </c>
      <c r="I155" s="6" t="e">
        <f aca="false">#REF!</f>
        <v>#REF!</v>
      </c>
      <c r="J155" s="6" t="e">
        <f aca="false">#REF!</f>
        <v>#REF!</v>
      </c>
      <c r="K155" s="6" t="e">
        <f aca="false">#REF!</f>
        <v>#REF!</v>
      </c>
      <c r="L155" s="6" t="e">
        <f aca="false">#REF!</f>
        <v>#REF!</v>
      </c>
      <c r="M155" s="6" t="e">
        <f aca="false">#REF!</f>
        <v>#REF!</v>
      </c>
    </row>
    <row r="156" customFormat="false" ht="15.75" hidden="false" customHeight="false" outlineLevel="0" collapsed="false">
      <c r="A156" s="0" t="s">
        <v>68</v>
      </c>
      <c r="B156" s="1" t="n">
        <v>44016</v>
      </c>
      <c r="C156" s="6" t="e">
        <f aca="false">#REF!</f>
        <v>#REF!</v>
      </c>
      <c r="D156" s="6" t="e">
        <f aca="false">#REF!</f>
        <v>#REF!</v>
      </c>
      <c r="E156" s="6" t="e">
        <f aca="false">#REF!</f>
        <v>#REF!</v>
      </c>
      <c r="F156" s="6" t="e">
        <f aca="false">#REF!</f>
        <v>#REF!</v>
      </c>
      <c r="G156" s="6" t="e">
        <f aca="false">#REF!</f>
        <v>#REF!</v>
      </c>
      <c r="H156" s="6" t="e">
        <f aca="false">#REF!</f>
        <v>#REF!</v>
      </c>
      <c r="I156" s="6" t="e">
        <f aca="false">#REF!</f>
        <v>#REF!</v>
      </c>
      <c r="J156" s="6" t="e">
        <f aca="false">#REF!</f>
        <v>#REF!</v>
      </c>
      <c r="K156" s="6" t="e">
        <f aca="false">#REF!</f>
        <v>#REF!</v>
      </c>
      <c r="L156" s="6" t="e">
        <f aca="false">#REF!</f>
        <v>#REF!</v>
      </c>
      <c r="M156" s="6" t="e">
        <f aca="false">#REF!</f>
        <v>#REF!</v>
      </c>
    </row>
    <row r="157" customFormat="false" ht="15.75" hidden="false" customHeight="false" outlineLevel="0" collapsed="false">
      <c r="A157" s="0" t="s">
        <v>68</v>
      </c>
      <c r="B157" s="1" t="n">
        <v>44017</v>
      </c>
      <c r="C157" s="6" t="e">
        <f aca="false">#REF!</f>
        <v>#REF!</v>
      </c>
      <c r="D157" s="6" t="e">
        <f aca="false">#REF!</f>
        <v>#REF!</v>
      </c>
      <c r="E157" s="6" t="e">
        <f aca="false">#REF!</f>
        <v>#REF!</v>
      </c>
      <c r="F157" s="6" t="e">
        <f aca="false">#REF!</f>
        <v>#REF!</v>
      </c>
      <c r="G157" s="6" t="e">
        <f aca="false">#REF!</f>
        <v>#REF!</v>
      </c>
      <c r="H157" s="6" t="e">
        <f aca="false">#REF!</f>
        <v>#REF!</v>
      </c>
      <c r="I157" s="6" t="e">
        <f aca="false">#REF!</f>
        <v>#REF!</v>
      </c>
      <c r="J157" s="6" t="e">
        <f aca="false">#REF!</f>
        <v>#REF!</v>
      </c>
      <c r="K157" s="6" t="e">
        <f aca="false">#REF!</f>
        <v>#REF!</v>
      </c>
      <c r="L157" s="6" t="e">
        <f aca="false">#REF!</f>
        <v>#REF!</v>
      </c>
      <c r="M157" s="6" t="e">
        <f aca="false">#REF!</f>
        <v>#REF!</v>
      </c>
    </row>
    <row r="158" customFormat="false" ht="15.75" hidden="false" customHeight="false" outlineLevel="0" collapsed="false">
      <c r="A158" s="0" t="s">
        <v>68</v>
      </c>
      <c r="B158" s="1" t="n">
        <v>44018</v>
      </c>
      <c r="C158" s="6" t="e">
        <f aca="false">#REF!</f>
        <v>#REF!</v>
      </c>
      <c r="D158" s="6" t="e">
        <f aca="false">#REF!</f>
        <v>#REF!</v>
      </c>
      <c r="E158" s="6" t="e">
        <f aca="false">#REF!</f>
        <v>#REF!</v>
      </c>
      <c r="F158" s="6" t="e">
        <f aca="false">#REF!</f>
        <v>#REF!</v>
      </c>
      <c r="G158" s="6" t="e">
        <f aca="false">#REF!</f>
        <v>#REF!</v>
      </c>
      <c r="H158" s="6" t="e">
        <f aca="false">#REF!</f>
        <v>#REF!</v>
      </c>
      <c r="I158" s="6" t="e">
        <f aca="false">#REF!</f>
        <v>#REF!</v>
      </c>
      <c r="J158" s="6" t="e">
        <f aca="false">#REF!</f>
        <v>#REF!</v>
      </c>
      <c r="K158" s="6" t="e">
        <f aca="false">#REF!</f>
        <v>#REF!</v>
      </c>
      <c r="L158" s="6" t="e">
        <f aca="false">#REF!</f>
        <v>#REF!</v>
      </c>
      <c r="M158" s="6" t="e">
        <f aca="false">#REF!</f>
        <v>#REF!</v>
      </c>
    </row>
    <row r="159" customFormat="false" ht="15.75" hidden="false" customHeight="false" outlineLevel="0" collapsed="false">
      <c r="A159" s="0" t="s">
        <v>68</v>
      </c>
      <c r="B159" s="1" t="n">
        <v>44019</v>
      </c>
      <c r="C159" s="6" t="e">
        <f aca="false">#REF!</f>
        <v>#REF!</v>
      </c>
      <c r="D159" s="6" t="e">
        <f aca="false">#REF!</f>
        <v>#REF!</v>
      </c>
      <c r="E159" s="6" t="e">
        <f aca="false">#REF!</f>
        <v>#REF!</v>
      </c>
      <c r="F159" s="6" t="e">
        <f aca="false">#REF!</f>
        <v>#REF!</v>
      </c>
      <c r="G159" s="6" t="e">
        <f aca="false">#REF!</f>
        <v>#REF!</v>
      </c>
      <c r="H159" s="6" t="e">
        <f aca="false">#REF!</f>
        <v>#REF!</v>
      </c>
      <c r="I159" s="6" t="e">
        <f aca="false">#REF!</f>
        <v>#REF!</v>
      </c>
      <c r="J159" s="6" t="e">
        <f aca="false">#REF!</f>
        <v>#REF!</v>
      </c>
      <c r="K159" s="6" t="e">
        <f aca="false">#REF!</f>
        <v>#REF!</v>
      </c>
      <c r="L159" s="6" t="e">
        <f aca="false">#REF!</f>
        <v>#REF!</v>
      </c>
      <c r="M159" s="6" t="e">
        <f aca="false">#REF!</f>
        <v>#REF!</v>
      </c>
    </row>
    <row r="160" customFormat="false" ht="15.75" hidden="false" customHeight="false" outlineLevel="0" collapsed="false">
      <c r="A160" s="0" t="s">
        <v>68</v>
      </c>
      <c r="B160" s="1" t="n">
        <v>44020</v>
      </c>
      <c r="C160" s="6" t="e">
        <f aca="false">#REF!</f>
        <v>#REF!</v>
      </c>
      <c r="D160" s="6" t="e">
        <f aca="false">#REF!</f>
        <v>#REF!</v>
      </c>
      <c r="E160" s="6" t="e">
        <f aca="false">#REF!</f>
        <v>#REF!</v>
      </c>
      <c r="F160" s="6" t="e">
        <f aca="false">#REF!</f>
        <v>#REF!</v>
      </c>
      <c r="G160" s="6" t="e">
        <f aca="false">#REF!</f>
        <v>#REF!</v>
      </c>
      <c r="H160" s="6" t="e">
        <f aca="false">#REF!</f>
        <v>#REF!</v>
      </c>
      <c r="I160" s="6" t="e">
        <f aca="false">#REF!</f>
        <v>#REF!</v>
      </c>
      <c r="J160" s="6" t="e">
        <f aca="false">#REF!</f>
        <v>#REF!</v>
      </c>
      <c r="K160" s="6" t="e">
        <f aca="false">#REF!</f>
        <v>#REF!</v>
      </c>
      <c r="L160" s="6" t="e">
        <f aca="false">#REF!</f>
        <v>#REF!</v>
      </c>
      <c r="M160" s="6" t="e">
        <f aca="false">#REF!</f>
        <v>#REF!</v>
      </c>
    </row>
    <row r="161" customFormat="false" ht="15.75" hidden="false" customHeight="false" outlineLevel="0" collapsed="false">
      <c r="A161" s="0" t="s">
        <v>68</v>
      </c>
      <c r="B161" s="1" t="n">
        <v>44021</v>
      </c>
      <c r="C161" s="6" t="e">
        <f aca="false">#REF!</f>
        <v>#REF!</v>
      </c>
      <c r="D161" s="6" t="e">
        <f aca="false">#REF!</f>
        <v>#REF!</v>
      </c>
      <c r="E161" s="6" t="e">
        <f aca="false">#REF!</f>
        <v>#REF!</v>
      </c>
      <c r="F161" s="6" t="e">
        <f aca="false">#REF!</f>
        <v>#REF!</v>
      </c>
      <c r="G161" s="6" t="e">
        <f aca="false">#REF!</f>
        <v>#REF!</v>
      </c>
      <c r="H161" s="6" t="e">
        <f aca="false">#REF!</f>
        <v>#REF!</v>
      </c>
      <c r="I161" s="6" t="e">
        <f aca="false">#REF!</f>
        <v>#REF!</v>
      </c>
      <c r="J161" s="6" t="e">
        <f aca="false">#REF!</f>
        <v>#REF!</v>
      </c>
      <c r="K161" s="6" t="e">
        <f aca="false">#REF!</f>
        <v>#REF!</v>
      </c>
      <c r="L161" s="6" t="e">
        <f aca="false">#REF!</f>
        <v>#REF!</v>
      </c>
      <c r="M161" s="6" t="e">
        <f aca="false">#REF!</f>
        <v>#REF!</v>
      </c>
    </row>
    <row r="162" customFormat="false" ht="15.75" hidden="false" customHeight="false" outlineLevel="0" collapsed="false">
      <c r="A162" s="0" t="s">
        <v>68</v>
      </c>
      <c r="B162" s="1" t="n">
        <v>44022</v>
      </c>
      <c r="C162" s="6" t="e">
        <f aca="false">#REF!</f>
        <v>#REF!</v>
      </c>
      <c r="D162" s="6" t="e">
        <f aca="false">#REF!</f>
        <v>#REF!</v>
      </c>
      <c r="E162" s="6" t="e">
        <f aca="false">#REF!</f>
        <v>#REF!</v>
      </c>
      <c r="F162" s="6" t="e">
        <f aca="false">#REF!</f>
        <v>#REF!</v>
      </c>
      <c r="G162" s="6" t="e">
        <f aca="false">#REF!</f>
        <v>#REF!</v>
      </c>
      <c r="H162" s="6" t="e">
        <f aca="false">#REF!</f>
        <v>#REF!</v>
      </c>
      <c r="I162" s="6" t="e">
        <f aca="false">#REF!</f>
        <v>#REF!</v>
      </c>
      <c r="J162" s="6" t="e">
        <f aca="false">#REF!</f>
        <v>#REF!</v>
      </c>
      <c r="K162" s="6" t="e">
        <f aca="false">#REF!</f>
        <v>#REF!</v>
      </c>
      <c r="L162" s="6" t="e">
        <f aca="false">#REF!</f>
        <v>#REF!</v>
      </c>
      <c r="M162" s="6" t="e">
        <f aca="false">#REF!</f>
        <v>#REF!</v>
      </c>
    </row>
    <row r="163" customFormat="false" ht="15.75" hidden="false" customHeight="false" outlineLevel="0" collapsed="false">
      <c r="A163" s="0" t="s">
        <v>68</v>
      </c>
      <c r="B163" s="1" t="n">
        <v>44023</v>
      </c>
      <c r="C163" s="6" t="e">
        <f aca="false">#REF!</f>
        <v>#REF!</v>
      </c>
      <c r="D163" s="6" t="e">
        <f aca="false">#REF!</f>
        <v>#REF!</v>
      </c>
      <c r="E163" s="6" t="e">
        <f aca="false">#REF!</f>
        <v>#REF!</v>
      </c>
      <c r="F163" s="6" t="e">
        <f aca="false">#REF!</f>
        <v>#REF!</v>
      </c>
      <c r="G163" s="6" t="e">
        <f aca="false">#REF!</f>
        <v>#REF!</v>
      </c>
      <c r="H163" s="6" t="e">
        <f aca="false">#REF!</f>
        <v>#REF!</v>
      </c>
      <c r="I163" s="6" t="e">
        <f aca="false">#REF!</f>
        <v>#REF!</v>
      </c>
      <c r="J163" s="6" t="e">
        <f aca="false">#REF!</f>
        <v>#REF!</v>
      </c>
      <c r="K163" s="6" t="e">
        <f aca="false">#REF!</f>
        <v>#REF!</v>
      </c>
      <c r="L163" s="6" t="e">
        <f aca="false">#REF!</f>
        <v>#REF!</v>
      </c>
      <c r="M163" s="6" t="e">
        <f aca="false">#REF!</f>
        <v>#REF!</v>
      </c>
    </row>
    <row r="164" customFormat="false" ht="15.75" hidden="false" customHeight="false" outlineLevel="0" collapsed="false">
      <c r="A164" s="0" t="s">
        <v>68</v>
      </c>
      <c r="B164" s="1" t="n">
        <v>44024</v>
      </c>
      <c r="C164" s="6" t="e">
        <f aca="false">#REF!</f>
        <v>#REF!</v>
      </c>
      <c r="D164" s="6" t="e">
        <f aca="false">#REF!</f>
        <v>#REF!</v>
      </c>
      <c r="E164" s="6" t="e">
        <f aca="false">#REF!</f>
        <v>#REF!</v>
      </c>
      <c r="F164" s="6" t="e">
        <f aca="false">#REF!</f>
        <v>#REF!</v>
      </c>
      <c r="G164" s="6" t="e">
        <f aca="false">#REF!</f>
        <v>#REF!</v>
      </c>
      <c r="H164" s="6" t="e">
        <f aca="false">#REF!</f>
        <v>#REF!</v>
      </c>
      <c r="I164" s="6" t="e">
        <f aca="false">#REF!</f>
        <v>#REF!</v>
      </c>
      <c r="J164" s="6" t="e">
        <f aca="false">#REF!</f>
        <v>#REF!</v>
      </c>
      <c r="K164" s="6" t="e">
        <f aca="false">#REF!</f>
        <v>#REF!</v>
      </c>
      <c r="L164" s="6" t="e">
        <f aca="false">#REF!</f>
        <v>#REF!</v>
      </c>
      <c r="M164" s="6" t="e">
        <f aca="false">#REF!</f>
        <v>#REF!</v>
      </c>
    </row>
    <row r="165" customFormat="false" ht="15.75" hidden="false" customHeight="false" outlineLevel="0" collapsed="false">
      <c r="A165" s="0" t="s">
        <v>68</v>
      </c>
      <c r="B165" s="1" t="n">
        <v>44025</v>
      </c>
      <c r="C165" s="6" t="e">
        <f aca="false">#REF!</f>
        <v>#REF!</v>
      </c>
      <c r="D165" s="6" t="e">
        <f aca="false">#REF!</f>
        <v>#REF!</v>
      </c>
      <c r="E165" s="6" t="e">
        <f aca="false">#REF!</f>
        <v>#REF!</v>
      </c>
      <c r="F165" s="6" t="e">
        <f aca="false">#REF!</f>
        <v>#REF!</v>
      </c>
      <c r="G165" s="6" t="e">
        <f aca="false">#REF!</f>
        <v>#REF!</v>
      </c>
      <c r="H165" s="6" t="e">
        <f aca="false">#REF!</f>
        <v>#REF!</v>
      </c>
      <c r="I165" s="6" t="e">
        <f aca="false">#REF!</f>
        <v>#REF!</v>
      </c>
      <c r="J165" s="6" t="e">
        <f aca="false">#REF!</f>
        <v>#REF!</v>
      </c>
      <c r="K165" s="6" t="e">
        <f aca="false">#REF!</f>
        <v>#REF!</v>
      </c>
      <c r="L165" s="6" t="e">
        <f aca="false">#REF!</f>
        <v>#REF!</v>
      </c>
      <c r="M165" s="6" t="e">
        <f aca="false">#REF!</f>
        <v>#REF!</v>
      </c>
    </row>
    <row r="166" customFormat="false" ht="15.75" hidden="false" customHeight="false" outlineLevel="0" collapsed="false">
      <c r="A166" s="0" t="s">
        <v>68</v>
      </c>
      <c r="B166" s="1" t="n">
        <v>44026</v>
      </c>
      <c r="C166" s="6" t="e">
        <f aca="false">#REF!</f>
        <v>#REF!</v>
      </c>
      <c r="D166" s="6" t="e">
        <f aca="false">#REF!</f>
        <v>#REF!</v>
      </c>
      <c r="E166" s="6" t="e">
        <f aca="false">#REF!</f>
        <v>#REF!</v>
      </c>
      <c r="F166" s="6" t="e">
        <f aca="false">#REF!</f>
        <v>#REF!</v>
      </c>
      <c r="G166" s="6" t="e">
        <f aca="false">#REF!</f>
        <v>#REF!</v>
      </c>
      <c r="H166" s="6" t="e">
        <f aca="false">#REF!</f>
        <v>#REF!</v>
      </c>
      <c r="I166" s="6" t="e">
        <f aca="false">#REF!</f>
        <v>#REF!</v>
      </c>
      <c r="J166" s="6" t="e">
        <f aca="false">#REF!</f>
        <v>#REF!</v>
      </c>
      <c r="K166" s="6" t="e">
        <f aca="false">#REF!</f>
        <v>#REF!</v>
      </c>
      <c r="L166" s="6" t="e">
        <f aca="false">#REF!</f>
        <v>#REF!</v>
      </c>
      <c r="M166" s="6" t="e">
        <f aca="false">#REF!</f>
        <v>#REF!</v>
      </c>
    </row>
    <row r="167" customFormat="false" ht="15.75" hidden="false" customHeight="false" outlineLevel="0" collapsed="false">
      <c r="A167" s="0" t="s">
        <v>68</v>
      </c>
      <c r="B167" s="1" t="n">
        <v>44027</v>
      </c>
      <c r="C167" s="6" t="e">
        <f aca="false">#REF!</f>
        <v>#REF!</v>
      </c>
      <c r="D167" s="6" t="e">
        <f aca="false">#REF!</f>
        <v>#REF!</v>
      </c>
      <c r="E167" s="6" t="e">
        <f aca="false">#REF!</f>
        <v>#REF!</v>
      </c>
      <c r="F167" s="6" t="e">
        <f aca="false">#REF!</f>
        <v>#REF!</v>
      </c>
      <c r="G167" s="6" t="e">
        <f aca="false">#REF!</f>
        <v>#REF!</v>
      </c>
      <c r="H167" s="6" t="e">
        <f aca="false">#REF!</f>
        <v>#REF!</v>
      </c>
      <c r="I167" s="6" t="e">
        <f aca="false">#REF!</f>
        <v>#REF!</v>
      </c>
      <c r="J167" s="6" t="e">
        <f aca="false">#REF!</f>
        <v>#REF!</v>
      </c>
      <c r="K167" s="6" t="e">
        <f aca="false">#REF!</f>
        <v>#REF!</v>
      </c>
      <c r="L167" s="6" t="e">
        <f aca="false">#REF!</f>
        <v>#REF!</v>
      </c>
      <c r="M167" s="6" t="e">
        <f aca="false">#REF!</f>
        <v>#REF!</v>
      </c>
    </row>
    <row r="168" customFormat="false" ht="15.75" hidden="false" customHeight="false" outlineLevel="0" collapsed="false">
      <c r="A168" s="0" t="s">
        <v>68</v>
      </c>
      <c r="B168" s="1" t="n">
        <v>44028</v>
      </c>
      <c r="C168" s="6" t="e">
        <f aca="false">#REF!</f>
        <v>#REF!</v>
      </c>
      <c r="D168" s="6" t="e">
        <f aca="false">#REF!</f>
        <v>#REF!</v>
      </c>
      <c r="E168" s="6" t="e">
        <f aca="false">#REF!</f>
        <v>#REF!</v>
      </c>
      <c r="F168" s="6" t="e">
        <f aca="false">#REF!</f>
        <v>#REF!</v>
      </c>
      <c r="G168" s="6" t="e">
        <f aca="false">#REF!</f>
        <v>#REF!</v>
      </c>
      <c r="H168" s="6" t="e">
        <f aca="false">#REF!</f>
        <v>#REF!</v>
      </c>
      <c r="I168" s="6" t="e">
        <f aca="false">#REF!</f>
        <v>#REF!</v>
      </c>
      <c r="J168" s="6" t="e">
        <f aca="false">#REF!</f>
        <v>#REF!</v>
      </c>
      <c r="K168" s="6" t="e">
        <f aca="false">#REF!</f>
        <v>#REF!</v>
      </c>
      <c r="L168" s="6" t="e">
        <f aca="false">#REF!</f>
        <v>#REF!</v>
      </c>
      <c r="M168" s="6" t="e">
        <f aca="false">#REF!</f>
        <v>#REF!</v>
      </c>
    </row>
    <row r="169" customFormat="false" ht="15.75" hidden="false" customHeight="false" outlineLevel="0" collapsed="false">
      <c r="A169" s="0" t="s">
        <v>68</v>
      </c>
      <c r="B169" s="1" t="n">
        <v>44029</v>
      </c>
      <c r="C169" s="6" t="e">
        <f aca="false">#REF!</f>
        <v>#REF!</v>
      </c>
      <c r="D169" s="6" t="e">
        <f aca="false">#REF!</f>
        <v>#REF!</v>
      </c>
      <c r="E169" s="6" t="e">
        <f aca="false">#REF!</f>
        <v>#REF!</v>
      </c>
      <c r="F169" s="6" t="e">
        <f aca="false">#REF!</f>
        <v>#REF!</v>
      </c>
      <c r="G169" s="6" t="e">
        <f aca="false">#REF!</f>
        <v>#REF!</v>
      </c>
      <c r="H169" s="6" t="e">
        <f aca="false">#REF!</f>
        <v>#REF!</v>
      </c>
      <c r="I169" s="6" t="e">
        <f aca="false">#REF!</f>
        <v>#REF!</v>
      </c>
      <c r="J169" s="6" t="e">
        <f aca="false">#REF!</f>
        <v>#REF!</v>
      </c>
      <c r="K169" s="6" t="e">
        <f aca="false">#REF!</f>
        <v>#REF!</v>
      </c>
      <c r="L169" s="6" t="e">
        <f aca="false">#REF!</f>
        <v>#REF!</v>
      </c>
      <c r="M169" s="6" t="e">
        <f aca="false">#REF!</f>
        <v>#REF!</v>
      </c>
    </row>
    <row r="170" customFormat="false" ht="15.75" hidden="false" customHeight="false" outlineLevel="0" collapsed="false">
      <c r="A170" s="0" t="s">
        <v>68</v>
      </c>
      <c r="B170" s="1" t="n">
        <v>44030</v>
      </c>
      <c r="C170" s="6" t="e">
        <f aca="false">#REF!</f>
        <v>#REF!</v>
      </c>
      <c r="D170" s="6" t="e">
        <f aca="false">#REF!</f>
        <v>#REF!</v>
      </c>
      <c r="E170" s="6" t="e">
        <f aca="false">#REF!</f>
        <v>#REF!</v>
      </c>
      <c r="F170" s="6" t="e">
        <f aca="false">#REF!</f>
        <v>#REF!</v>
      </c>
      <c r="G170" s="6" t="e">
        <f aca="false">#REF!</f>
        <v>#REF!</v>
      </c>
      <c r="H170" s="6" t="e">
        <f aca="false">#REF!</f>
        <v>#REF!</v>
      </c>
      <c r="I170" s="6" t="e">
        <f aca="false">#REF!</f>
        <v>#REF!</v>
      </c>
      <c r="J170" s="6" t="e">
        <f aca="false">#REF!</f>
        <v>#REF!</v>
      </c>
      <c r="K170" s="6" t="e">
        <f aca="false">#REF!</f>
        <v>#REF!</v>
      </c>
      <c r="L170" s="6" t="e">
        <f aca="false">#REF!</f>
        <v>#REF!</v>
      </c>
      <c r="M170" s="6" t="e">
        <f aca="false">#REF!</f>
        <v>#REF!</v>
      </c>
    </row>
    <row r="171" customFormat="false" ht="15.75" hidden="false" customHeight="false" outlineLevel="0" collapsed="false">
      <c r="A171" s="0" t="s">
        <v>68</v>
      </c>
      <c r="B171" s="1" t="n">
        <v>44031</v>
      </c>
      <c r="C171" s="6" t="e">
        <f aca="false">#REF!</f>
        <v>#REF!</v>
      </c>
      <c r="D171" s="6" t="e">
        <f aca="false">#REF!</f>
        <v>#REF!</v>
      </c>
      <c r="E171" s="6" t="e">
        <f aca="false">#REF!</f>
        <v>#REF!</v>
      </c>
      <c r="F171" s="6" t="e">
        <f aca="false">#REF!</f>
        <v>#REF!</v>
      </c>
      <c r="G171" s="6" t="e">
        <f aca="false">#REF!</f>
        <v>#REF!</v>
      </c>
      <c r="H171" s="6" t="e">
        <f aca="false">#REF!</f>
        <v>#REF!</v>
      </c>
      <c r="I171" s="6" t="e">
        <f aca="false">#REF!</f>
        <v>#REF!</v>
      </c>
      <c r="J171" s="6" t="e">
        <f aca="false">#REF!</f>
        <v>#REF!</v>
      </c>
      <c r="K171" s="6" t="e">
        <f aca="false">#REF!</f>
        <v>#REF!</v>
      </c>
      <c r="L171" s="6" t="e">
        <f aca="false">#REF!</f>
        <v>#REF!</v>
      </c>
      <c r="M171" s="6" t="e">
        <f aca="false">#REF!</f>
        <v>#REF!</v>
      </c>
    </row>
    <row r="172" customFormat="false" ht="15.75" hidden="false" customHeight="false" outlineLevel="0" collapsed="false">
      <c r="A172" s="0" t="s">
        <v>68</v>
      </c>
      <c r="B172" s="1" t="n">
        <v>44032</v>
      </c>
      <c r="C172" s="6" t="e">
        <f aca="false">#REF!</f>
        <v>#REF!</v>
      </c>
      <c r="D172" s="6" t="e">
        <f aca="false">#REF!</f>
        <v>#REF!</v>
      </c>
      <c r="E172" s="6" t="e">
        <f aca="false">#REF!</f>
        <v>#REF!</v>
      </c>
      <c r="F172" s="6" t="e">
        <f aca="false">#REF!</f>
        <v>#REF!</v>
      </c>
      <c r="G172" s="6" t="e">
        <f aca="false">#REF!</f>
        <v>#REF!</v>
      </c>
      <c r="H172" s="6" t="e">
        <f aca="false">#REF!</f>
        <v>#REF!</v>
      </c>
      <c r="I172" s="6" t="e">
        <f aca="false">#REF!</f>
        <v>#REF!</v>
      </c>
      <c r="J172" s="6" t="e">
        <f aca="false">#REF!</f>
        <v>#REF!</v>
      </c>
      <c r="K172" s="6" t="e">
        <f aca="false">#REF!</f>
        <v>#REF!</v>
      </c>
      <c r="L172" s="6" t="e">
        <f aca="false">#REF!</f>
        <v>#REF!</v>
      </c>
      <c r="M172" s="6" t="e">
        <f aca="false">#REF!</f>
        <v>#REF!</v>
      </c>
    </row>
    <row r="173" customFormat="false" ht="15.75" hidden="false" customHeight="false" outlineLevel="0" collapsed="false">
      <c r="A173" s="0" t="s">
        <v>68</v>
      </c>
      <c r="B173" s="1" t="n">
        <v>44033</v>
      </c>
      <c r="C173" s="6" t="e">
        <f aca="false">#REF!</f>
        <v>#REF!</v>
      </c>
      <c r="D173" s="6" t="e">
        <f aca="false">#REF!</f>
        <v>#REF!</v>
      </c>
      <c r="E173" s="6" t="e">
        <f aca="false">#REF!</f>
        <v>#REF!</v>
      </c>
      <c r="F173" s="6" t="e">
        <f aca="false">#REF!</f>
        <v>#REF!</v>
      </c>
      <c r="G173" s="6" t="e">
        <f aca="false">#REF!</f>
        <v>#REF!</v>
      </c>
      <c r="H173" s="6" t="e">
        <f aca="false">#REF!</f>
        <v>#REF!</v>
      </c>
      <c r="I173" s="6" t="e">
        <f aca="false">#REF!</f>
        <v>#REF!</v>
      </c>
      <c r="J173" s="6" t="e">
        <f aca="false">#REF!</f>
        <v>#REF!</v>
      </c>
      <c r="K173" s="6" t="e">
        <f aca="false">#REF!</f>
        <v>#REF!</v>
      </c>
      <c r="L173" s="6" t="e">
        <f aca="false">#REF!</f>
        <v>#REF!</v>
      </c>
      <c r="M173" s="6" t="e">
        <f aca="false">#REF!</f>
        <v>#REF!</v>
      </c>
    </row>
    <row r="174" customFormat="false" ht="15.75" hidden="false" customHeight="false" outlineLevel="0" collapsed="false">
      <c r="A174" s="0" t="s">
        <v>68</v>
      </c>
      <c r="B174" s="1" t="n">
        <v>44034</v>
      </c>
      <c r="C174" s="6" t="e">
        <f aca="false">#REF!</f>
        <v>#REF!</v>
      </c>
      <c r="D174" s="6" t="e">
        <f aca="false">#REF!</f>
        <v>#REF!</v>
      </c>
      <c r="E174" s="6" t="e">
        <f aca="false">#REF!</f>
        <v>#REF!</v>
      </c>
      <c r="F174" s="6" t="e">
        <f aca="false">#REF!</f>
        <v>#REF!</v>
      </c>
      <c r="G174" s="6" t="e">
        <f aca="false">#REF!</f>
        <v>#REF!</v>
      </c>
      <c r="H174" s="6" t="e">
        <f aca="false">#REF!</f>
        <v>#REF!</v>
      </c>
      <c r="I174" s="6" t="e">
        <f aca="false">#REF!</f>
        <v>#REF!</v>
      </c>
      <c r="J174" s="6" t="e">
        <f aca="false">#REF!</f>
        <v>#REF!</v>
      </c>
      <c r="K174" s="6" t="e">
        <f aca="false">#REF!</f>
        <v>#REF!</v>
      </c>
      <c r="L174" s="6" t="e">
        <f aca="false">#REF!</f>
        <v>#REF!</v>
      </c>
      <c r="M174" s="6" t="e">
        <f aca="false">#REF!</f>
        <v>#REF!</v>
      </c>
    </row>
    <row r="175" customFormat="false" ht="15.75" hidden="false" customHeight="false" outlineLevel="0" collapsed="false">
      <c r="A175" s="0" t="s">
        <v>68</v>
      </c>
      <c r="B175" s="1" t="n">
        <v>44035</v>
      </c>
      <c r="C175" s="6" t="e">
        <f aca="false">#REF!</f>
        <v>#REF!</v>
      </c>
      <c r="D175" s="6" t="e">
        <f aca="false">#REF!</f>
        <v>#REF!</v>
      </c>
      <c r="E175" s="6" t="e">
        <f aca="false">#REF!</f>
        <v>#REF!</v>
      </c>
      <c r="F175" s="6" t="e">
        <f aca="false">#REF!</f>
        <v>#REF!</v>
      </c>
      <c r="G175" s="6" t="e">
        <f aca="false">#REF!</f>
        <v>#REF!</v>
      </c>
      <c r="H175" s="6" t="e">
        <f aca="false">#REF!</f>
        <v>#REF!</v>
      </c>
      <c r="I175" s="6" t="e">
        <f aca="false">#REF!</f>
        <v>#REF!</v>
      </c>
      <c r="J175" s="6" t="e">
        <f aca="false">#REF!</f>
        <v>#REF!</v>
      </c>
      <c r="K175" s="6" t="e">
        <f aca="false">#REF!</f>
        <v>#REF!</v>
      </c>
      <c r="L175" s="6" t="e">
        <f aca="false">#REF!</f>
        <v>#REF!</v>
      </c>
      <c r="M175" s="6" t="e">
        <f aca="false">#REF!</f>
        <v>#REF!</v>
      </c>
    </row>
    <row r="176" customFormat="false" ht="15.75" hidden="false" customHeight="false" outlineLevel="0" collapsed="false">
      <c r="A176" s="0" t="s">
        <v>68</v>
      </c>
      <c r="B176" s="1" t="n">
        <v>44036</v>
      </c>
      <c r="C176" s="6" t="e">
        <f aca="false">#REF!</f>
        <v>#REF!</v>
      </c>
      <c r="D176" s="6" t="e">
        <f aca="false">#REF!</f>
        <v>#REF!</v>
      </c>
      <c r="E176" s="6" t="e">
        <f aca="false">#REF!</f>
        <v>#REF!</v>
      </c>
      <c r="F176" s="6" t="e">
        <f aca="false">#REF!</f>
        <v>#REF!</v>
      </c>
      <c r="G176" s="6" t="e">
        <f aca="false">#REF!</f>
        <v>#REF!</v>
      </c>
      <c r="H176" s="6" t="e">
        <f aca="false">#REF!</f>
        <v>#REF!</v>
      </c>
      <c r="I176" s="6" t="e">
        <f aca="false">#REF!</f>
        <v>#REF!</v>
      </c>
      <c r="J176" s="6" t="e">
        <f aca="false">#REF!</f>
        <v>#REF!</v>
      </c>
      <c r="K176" s="6" t="e">
        <f aca="false">#REF!</f>
        <v>#REF!</v>
      </c>
      <c r="L176" s="6" t="e">
        <f aca="false">#REF!</f>
        <v>#REF!</v>
      </c>
      <c r="M176" s="6" t="e">
        <f aca="false">#REF!</f>
        <v>#REF!</v>
      </c>
    </row>
    <row r="177" customFormat="false" ht="15.75" hidden="false" customHeight="false" outlineLevel="0" collapsed="false">
      <c r="A177" s="0" t="s">
        <v>68</v>
      </c>
      <c r="B177" s="1" t="n">
        <v>44037</v>
      </c>
      <c r="C177" s="6" t="e">
        <f aca="false">#REF!</f>
        <v>#REF!</v>
      </c>
      <c r="D177" s="6" t="e">
        <f aca="false">#REF!</f>
        <v>#REF!</v>
      </c>
      <c r="E177" s="6" t="e">
        <f aca="false">#REF!</f>
        <v>#REF!</v>
      </c>
      <c r="F177" s="6" t="e">
        <f aca="false">#REF!</f>
        <v>#REF!</v>
      </c>
      <c r="G177" s="6" t="e">
        <f aca="false">#REF!</f>
        <v>#REF!</v>
      </c>
      <c r="H177" s="6" t="e">
        <f aca="false">#REF!</f>
        <v>#REF!</v>
      </c>
      <c r="I177" s="6" t="e">
        <f aca="false">#REF!</f>
        <v>#REF!</v>
      </c>
      <c r="J177" s="6" t="e">
        <f aca="false">#REF!</f>
        <v>#REF!</v>
      </c>
      <c r="K177" s="6" t="e">
        <f aca="false">#REF!</f>
        <v>#REF!</v>
      </c>
      <c r="L177" s="6" t="e">
        <f aca="false">#REF!</f>
        <v>#REF!</v>
      </c>
      <c r="M177" s="6" t="e">
        <f aca="false">#REF!</f>
        <v>#REF!</v>
      </c>
    </row>
    <row r="178" customFormat="false" ht="15.75" hidden="false" customHeight="false" outlineLevel="0" collapsed="false">
      <c r="A178" s="0" t="s">
        <v>68</v>
      </c>
      <c r="B178" s="1" t="n">
        <v>44038</v>
      </c>
      <c r="C178" s="6" t="e">
        <f aca="false">#REF!</f>
        <v>#REF!</v>
      </c>
      <c r="D178" s="6" t="e">
        <f aca="false">#REF!</f>
        <v>#REF!</v>
      </c>
      <c r="E178" s="6" t="e">
        <f aca="false">#REF!</f>
        <v>#REF!</v>
      </c>
      <c r="F178" s="6" t="e">
        <f aca="false">#REF!</f>
        <v>#REF!</v>
      </c>
      <c r="G178" s="6" t="e">
        <f aca="false">#REF!</f>
        <v>#REF!</v>
      </c>
      <c r="H178" s="6" t="e">
        <f aca="false">#REF!</f>
        <v>#REF!</v>
      </c>
      <c r="I178" s="6" t="e">
        <f aca="false">#REF!</f>
        <v>#REF!</v>
      </c>
      <c r="J178" s="6" t="e">
        <f aca="false">#REF!</f>
        <v>#REF!</v>
      </c>
      <c r="K178" s="6" t="e">
        <f aca="false">#REF!</f>
        <v>#REF!</v>
      </c>
      <c r="L178" s="6" t="e">
        <f aca="false">#REF!</f>
        <v>#REF!</v>
      </c>
      <c r="M178" s="6" t="e">
        <f aca="false">#REF!</f>
        <v>#REF!</v>
      </c>
    </row>
    <row r="179" customFormat="false" ht="15.75" hidden="false" customHeight="false" outlineLevel="0" collapsed="false">
      <c r="A179" s="0" t="s">
        <v>68</v>
      </c>
      <c r="B179" s="1" t="n">
        <v>44039</v>
      </c>
      <c r="C179" s="6" t="e">
        <f aca="false">#REF!</f>
        <v>#REF!</v>
      </c>
      <c r="D179" s="6" t="e">
        <f aca="false">#REF!</f>
        <v>#REF!</v>
      </c>
      <c r="E179" s="6" t="e">
        <f aca="false">#REF!</f>
        <v>#REF!</v>
      </c>
      <c r="F179" s="6" t="e">
        <f aca="false">#REF!</f>
        <v>#REF!</v>
      </c>
      <c r="G179" s="6" t="e">
        <f aca="false">#REF!</f>
        <v>#REF!</v>
      </c>
      <c r="H179" s="6" t="e">
        <f aca="false">#REF!</f>
        <v>#REF!</v>
      </c>
      <c r="I179" s="6" t="e">
        <f aca="false">#REF!</f>
        <v>#REF!</v>
      </c>
      <c r="J179" s="6" t="e">
        <f aca="false">#REF!</f>
        <v>#REF!</v>
      </c>
      <c r="K179" s="6" t="e">
        <f aca="false">#REF!</f>
        <v>#REF!</v>
      </c>
      <c r="L179" s="6" t="e">
        <f aca="false">#REF!</f>
        <v>#REF!</v>
      </c>
      <c r="M179" s="6" t="e">
        <f aca="false">#REF!</f>
        <v>#REF!</v>
      </c>
    </row>
    <row r="180" customFormat="false" ht="15.75" hidden="false" customHeight="false" outlineLevel="0" collapsed="false">
      <c r="A180" s="0" t="s">
        <v>68</v>
      </c>
      <c r="B180" s="1" t="n">
        <v>44040</v>
      </c>
      <c r="C180" s="6" t="e">
        <f aca="false">#REF!</f>
        <v>#REF!</v>
      </c>
      <c r="D180" s="6" t="e">
        <f aca="false">#REF!</f>
        <v>#REF!</v>
      </c>
      <c r="E180" s="6" t="e">
        <f aca="false">#REF!</f>
        <v>#REF!</v>
      </c>
      <c r="F180" s="6" t="e">
        <f aca="false">#REF!</f>
        <v>#REF!</v>
      </c>
      <c r="G180" s="6" t="e">
        <f aca="false">#REF!</f>
        <v>#REF!</v>
      </c>
      <c r="H180" s="6" t="e">
        <f aca="false">#REF!</f>
        <v>#REF!</v>
      </c>
      <c r="I180" s="6" t="e">
        <f aca="false">#REF!</f>
        <v>#REF!</v>
      </c>
      <c r="J180" s="6" t="e">
        <f aca="false">#REF!</f>
        <v>#REF!</v>
      </c>
      <c r="K180" s="6" t="e">
        <f aca="false">#REF!</f>
        <v>#REF!</v>
      </c>
      <c r="L180" s="6" t="e">
        <f aca="false">#REF!</f>
        <v>#REF!</v>
      </c>
      <c r="M180" s="6" t="e">
        <f aca="false">#REF!</f>
        <v>#REF!</v>
      </c>
    </row>
    <row r="181" customFormat="false" ht="15.75" hidden="false" customHeight="false" outlineLevel="0" collapsed="false">
      <c r="A181" s="0" t="s">
        <v>68</v>
      </c>
      <c r="B181" s="1" t="n">
        <v>44041</v>
      </c>
      <c r="C181" s="6" t="e">
        <f aca="false">#REF!</f>
        <v>#REF!</v>
      </c>
      <c r="D181" s="6" t="e">
        <f aca="false">#REF!</f>
        <v>#REF!</v>
      </c>
      <c r="E181" s="6" t="e">
        <f aca="false">#REF!</f>
        <v>#REF!</v>
      </c>
      <c r="F181" s="6" t="e">
        <f aca="false">#REF!</f>
        <v>#REF!</v>
      </c>
      <c r="G181" s="6" t="e">
        <f aca="false">#REF!</f>
        <v>#REF!</v>
      </c>
      <c r="H181" s="6" t="e">
        <f aca="false">#REF!</f>
        <v>#REF!</v>
      </c>
      <c r="I181" s="6" t="e">
        <f aca="false">#REF!</f>
        <v>#REF!</v>
      </c>
      <c r="J181" s="6" t="e">
        <f aca="false">#REF!</f>
        <v>#REF!</v>
      </c>
      <c r="K181" s="6" t="e">
        <f aca="false">#REF!</f>
        <v>#REF!</v>
      </c>
      <c r="L181" s="6" t="e">
        <f aca="false">#REF!</f>
        <v>#REF!</v>
      </c>
      <c r="M181" s="6" t="e">
        <f aca="false">#REF!</f>
        <v>#REF!</v>
      </c>
    </row>
    <row r="182" customFormat="false" ht="15.75" hidden="false" customHeight="false" outlineLevel="0" collapsed="false">
      <c r="A182" s="0" t="s">
        <v>68</v>
      </c>
      <c r="B182" s="1" t="n">
        <v>44042</v>
      </c>
      <c r="C182" s="6" t="e">
        <f aca="false">#REF!</f>
        <v>#REF!</v>
      </c>
      <c r="D182" s="6" t="e">
        <f aca="false">#REF!</f>
        <v>#REF!</v>
      </c>
      <c r="E182" s="6" t="e">
        <f aca="false">#REF!</f>
        <v>#REF!</v>
      </c>
      <c r="F182" s="6" t="e">
        <f aca="false">#REF!</f>
        <v>#REF!</v>
      </c>
      <c r="G182" s="6" t="e">
        <f aca="false">#REF!</f>
        <v>#REF!</v>
      </c>
      <c r="H182" s="6" t="e">
        <f aca="false">#REF!</f>
        <v>#REF!</v>
      </c>
      <c r="I182" s="6" t="e">
        <f aca="false">#REF!</f>
        <v>#REF!</v>
      </c>
      <c r="J182" s="6" t="e">
        <f aca="false">#REF!</f>
        <v>#REF!</v>
      </c>
      <c r="K182" s="6" t="e">
        <f aca="false">#REF!</f>
        <v>#REF!</v>
      </c>
      <c r="L182" s="6" t="e">
        <f aca="false">#REF!</f>
        <v>#REF!</v>
      </c>
      <c r="M182" s="6" t="e">
        <f aca="false">#REF!</f>
        <v>#REF!</v>
      </c>
    </row>
    <row r="183" customFormat="false" ht="15.75" hidden="false" customHeight="false" outlineLevel="0" collapsed="false">
      <c r="A183" s="0" t="s">
        <v>68</v>
      </c>
      <c r="B183" s="1" t="n">
        <v>44043</v>
      </c>
      <c r="C183" s="6" t="e">
        <f aca="false">#REF!</f>
        <v>#REF!</v>
      </c>
      <c r="D183" s="6" t="e">
        <f aca="false">#REF!</f>
        <v>#REF!</v>
      </c>
      <c r="E183" s="6" t="e">
        <f aca="false">#REF!</f>
        <v>#REF!</v>
      </c>
      <c r="F183" s="6" t="e">
        <f aca="false">#REF!</f>
        <v>#REF!</v>
      </c>
      <c r="G183" s="6" t="e">
        <f aca="false">#REF!</f>
        <v>#REF!</v>
      </c>
      <c r="H183" s="6" t="e">
        <f aca="false">#REF!</f>
        <v>#REF!</v>
      </c>
      <c r="I183" s="6" t="e">
        <f aca="false">#REF!</f>
        <v>#REF!</v>
      </c>
      <c r="J183" s="6" t="e">
        <f aca="false">#REF!</f>
        <v>#REF!</v>
      </c>
      <c r="K183" s="6" t="e">
        <f aca="false">#REF!</f>
        <v>#REF!</v>
      </c>
      <c r="L183" s="6" t="e">
        <f aca="false">#REF!</f>
        <v>#REF!</v>
      </c>
      <c r="M183" s="6" t="e">
        <f aca="false">#REF!</f>
        <v>#REF!</v>
      </c>
    </row>
    <row r="184" customFormat="false" ht="15.75" hidden="false" customHeight="false" outlineLevel="0" collapsed="false">
      <c r="A184" s="0" t="s">
        <v>68</v>
      </c>
      <c r="B184" s="1" t="n">
        <v>44044</v>
      </c>
      <c r="C184" s="6" t="e">
        <f aca="false">#REF!</f>
        <v>#REF!</v>
      </c>
      <c r="D184" s="6" t="e">
        <f aca="false">#REF!</f>
        <v>#REF!</v>
      </c>
      <c r="E184" s="6" t="e">
        <f aca="false">#REF!</f>
        <v>#REF!</v>
      </c>
      <c r="F184" s="6" t="e">
        <f aca="false">#REF!</f>
        <v>#REF!</v>
      </c>
      <c r="G184" s="6" t="e">
        <f aca="false">#REF!</f>
        <v>#REF!</v>
      </c>
      <c r="H184" s="6" t="e">
        <f aca="false">#REF!</f>
        <v>#REF!</v>
      </c>
      <c r="I184" s="6" t="e">
        <f aca="false">#REF!</f>
        <v>#REF!</v>
      </c>
      <c r="J184" s="6" t="e">
        <f aca="false">#REF!</f>
        <v>#REF!</v>
      </c>
      <c r="K184" s="6" t="e">
        <f aca="false">#REF!</f>
        <v>#REF!</v>
      </c>
      <c r="L184" s="6" t="e">
        <f aca="false">#REF!</f>
        <v>#REF!</v>
      </c>
      <c r="M184" s="6" t="e">
        <f aca="false">#REF!</f>
        <v>#REF!</v>
      </c>
    </row>
    <row r="185" customFormat="false" ht="15.75" hidden="false" customHeight="false" outlineLevel="0" collapsed="false">
      <c r="A185" s="0" t="s">
        <v>68</v>
      </c>
      <c r="B185" s="1" t="n">
        <v>44045</v>
      </c>
      <c r="C185" s="6" t="e">
        <f aca="false">#REF!</f>
        <v>#REF!</v>
      </c>
      <c r="D185" s="6" t="e">
        <f aca="false">#REF!</f>
        <v>#REF!</v>
      </c>
      <c r="E185" s="6" t="e">
        <f aca="false">#REF!</f>
        <v>#REF!</v>
      </c>
      <c r="F185" s="6" t="e">
        <f aca="false">#REF!</f>
        <v>#REF!</v>
      </c>
      <c r="G185" s="6" t="e">
        <f aca="false">#REF!</f>
        <v>#REF!</v>
      </c>
      <c r="H185" s="6" t="e">
        <f aca="false">#REF!</f>
        <v>#REF!</v>
      </c>
      <c r="I185" s="6" t="e">
        <f aca="false">#REF!</f>
        <v>#REF!</v>
      </c>
      <c r="J185" s="6" t="e">
        <f aca="false">#REF!</f>
        <v>#REF!</v>
      </c>
      <c r="K185" s="6" t="e">
        <f aca="false">#REF!</f>
        <v>#REF!</v>
      </c>
      <c r="L185" s="6" t="e">
        <f aca="false">#REF!</f>
        <v>#REF!</v>
      </c>
      <c r="M185" s="6" t="e">
        <f aca="false">#REF!</f>
        <v>#REF!</v>
      </c>
    </row>
    <row r="186" customFormat="false" ht="15.75" hidden="false" customHeight="false" outlineLevel="0" collapsed="false">
      <c r="A186" s="0" t="s">
        <v>68</v>
      </c>
      <c r="B186" s="1" t="n">
        <v>44046</v>
      </c>
      <c r="C186" s="6" t="e">
        <f aca="false">#REF!</f>
        <v>#REF!</v>
      </c>
      <c r="D186" s="6" t="e">
        <f aca="false">#REF!</f>
        <v>#REF!</v>
      </c>
      <c r="E186" s="6" t="e">
        <f aca="false">#REF!</f>
        <v>#REF!</v>
      </c>
      <c r="F186" s="6" t="e">
        <f aca="false">#REF!</f>
        <v>#REF!</v>
      </c>
      <c r="G186" s="6" t="e">
        <f aca="false">#REF!</f>
        <v>#REF!</v>
      </c>
      <c r="H186" s="6" t="e">
        <f aca="false">#REF!</f>
        <v>#REF!</v>
      </c>
      <c r="I186" s="6" t="e">
        <f aca="false">#REF!</f>
        <v>#REF!</v>
      </c>
      <c r="J186" s="6" t="e">
        <f aca="false">#REF!</f>
        <v>#REF!</v>
      </c>
      <c r="K186" s="6" t="e">
        <f aca="false">#REF!</f>
        <v>#REF!</v>
      </c>
      <c r="L186" s="6" t="e">
        <f aca="false">#REF!</f>
        <v>#REF!</v>
      </c>
      <c r="M186" s="6" t="e">
        <f aca="false">#REF!</f>
        <v>#REF!</v>
      </c>
    </row>
    <row r="187" customFormat="false" ht="15.75" hidden="false" customHeight="false" outlineLevel="0" collapsed="false">
      <c r="A187" s="0" t="s">
        <v>68</v>
      </c>
      <c r="B187" s="1" t="n">
        <v>44047</v>
      </c>
      <c r="C187" s="6" t="e">
        <f aca="false">#REF!</f>
        <v>#REF!</v>
      </c>
      <c r="D187" s="6" t="e">
        <f aca="false">#REF!</f>
        <v>#REF!</v>
      </c>
      <c r="E187" s="6" t="e">
        <f aca="false">#REF!</f>
        <v>#REF!</v>
      </c>
      <c r="F187" s="6" t="e">
        <f aca="false">#REF!</f>
        <v>#REF!</v>
      </c>
      <c r="G187" s="6" t="e">
        <f aca="false">#REF!</f>
        <v>#REF!</v>
      </c>
      <c r="H187" s="6" t="e">
        <f aca="false">#REF!</f>
        <v>#REF!</v>
      </c>
      <c r="I187" s="6" t="e">
        <f aca="false">#REF!</f>
        <v>#REF!</v>
      </c>
      <c r="J187" s="6" t="e">
        <f aca="false">#REF!</f>
        <v>#REF!</v>
      </c>
      <c r="K187" s="6" t="e">
        <f aca="false">#REF!</f>
        <v>#REF!</v>
      </c>
      <c r="L187" s="6" t="e">
        <f aca="false">#REF!</f>
        <v>#REF!</v>
      </c>
      <c r="M187" s="6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6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69</v>
      </c>
      <c r="B2" s="1" t="n">
        <v>43862</v>
      </c>
    </row>
    <row r="3" customFormat="false" ht="13.5" hidden="false" customHeight="false" outlineLevel="0" collapsed="false">
      <c r="A3" s="0" t="s">
        <v>69</v>
      </c>
      <c r="B3" s="1" t="n">
        <v>43863</v>
      </c>
    </row>
    <row r="4" customFormat="false" ht="13.5" hidden="false" customHeight="false" outlineLevel="0" collapsed="false">
      <c r="A4" s="0" t="s">
        <v>69</v>
      </c>
      <c r="B4" s="1" t="n">
        <v>43864</v>
      </c>
    </row>
    <row r="5" customFormat="false" ht="13.5" hidden="false" customHeight="false" outlineLevel="0" collapsed="false">
      <c r="A5" s="0" t="s">
        <v>69</v>
      </c>
      <c r="B5" s="1" t="n">
        <v>43865</v>
      </c>
    </row>
    <row r="6" customFormat="false" ht="13.5" hidden="false" customHeight="false" outlineLevel="0" collapsed="false">
      <c r="A6" s="0" t="s">
        <v>69</v>
      </c>
      <c r="B6" s="1" t="n">
        <v>43866</v>
      </c>
    </row>
    <row r="7" customFormat="false" ht="13.5" hidden="false" customHeight="false" outlineLevel="0" collapsed="false">
      <c r="A7" s="0" t="s">
        <v>69</v>
      </c>
      <c r="B7" s="1" t="n">
        <v>43867</v>
      </c>
    </row>
    <row r="8" customFormat="false" ht="13.5" hidden="false" customHeight="false" outlineLevel="0" collapsed="false">
      <c r="A8" s="0" t="s">
        <v>69</v>
      </c>
      <c r="B8" s="1" t="n">
        <v>43868</v>
      </c>
    </row>
    <row r="9" customFormat="false" ht="13.5" hidden="false" customHeight="false" outlineLevel="0" collapsed="false">
      <c r="A9" s="0" t="s">
        <v>69</v>
      </c>
      <c r="B9" s="1" t="n">
        <v>43869</v>
      </c>
    </row>
    <row r="10" customFormat="false" ht="13.5" hidden="false" customHeight="false" outlineLevel="0" collapsed="false">
      <c r="A10" s="0" t="s">
        <v>69</v>
      </c>
      <c r="B10" s="1" t="n">
        <v>43870</v>
      </c>
    </row>
    <row r="11" customFormat="false" ht="13.5" hidden="false" customHeight="false" outlineLevel="0" collapsed="false">
      <c r="A11" s="0" t="s">
        <v>69</v>
      </c>
      <c r="B11" s="1" t="n">
        <v>43871</v>
      </c>
    </row>
    <row r="12" customFormat="false" ht="13.5" hidden="false" customHeight="false" outlineLevel="0" collapsed="false">
      <c r="A12" s="0" t="s">
        <v>69</v>
      </c>
      <c r="B12" s="1" t="n">
        <v>43872</v>
      </c>
    </row>
    <row r="13" customFormat="false" ht="13.5" hidden="false" customHeight="false" outlineLevel="0" collapsed="false">
      <c r="A13" s="0" t="s">
        <v>69</v>
      </c>
      <c r="B13" s="1" t="n">
        <v>43873</v>
      </c>
    </row>
    <row r="14" customFormat="false" ht="13.5" hidden="false" customHeight="false" outlineLevel="0" collapsed="false">
      <c r="A14" s="0" t="s">
        <v>69</v>
      </c>
      <c r="B14" s="1" t="n">
        <v>43874</v>
      </c>
    </row>
    <row r="15" customFormat="false" ht="13.5" hidden="false" customHeight="false" outlineLevel="0" collapsed="false">
      <c r="A15" s="0" t="s">
        <v>69</v>
      </c>
      <c r="B15" s="1" t="n">
        <v>43875</v>
      </c>
    </row>
    <row r="16" customFormat="false" ht="13.5" hidden="false" customHeight="false" outlineLevel="0" collapsed="false">
      <c r="A16" s="0" t="s">
        <v>69</v>
      </c>
      <c r="B16" s="1" t="n">
        <v>43876</v>
      </c>
    </row>
    <row r="17" customFormat="false" ht="13.5" hidden="false" customHeight="false" outlineLevel="0" collapsed="false">
      <c r="A17" s="0" t="s">
        <v>69</v>
      </c>
      <c r="B17" s="1" t="n">
        <v>43877</v>
      </c>
    </row>
    <row r="18" customFormat="false" ht="13.5" hidden="false" customHeight="false" outlineLevel="0" collapsed="false">
      <c r="A18" s="0" t="s">
        <v>69</v>
      </c>
      <c r="B18" s="1" t="n">
        <v>43878</v>
      </c>
    </row>
    <row r="19" customFormat="false" ht="13.5" hidden="false" customHeight="false" outlineLevel="0" collapsed="false">
      <c r="A19" s="0" t="s">
        <v>69</v>
      </c>
      <c r="B19" s="1" t="n">
        <v>43879</v>
      </c>
    </row>
    <row r="20" customFormat="false" ht="13.5" hidden="false" customHeight="false" outlineLevel="0" collapsed="false">
      <c r="A20" s="0" t="s">
        <v>69</v>
      </c>
      <c r="B20" s="1" t="n">
        <v>43880</v>
      </c>
    </row>
    <row r="21" customFormat="false" ht="13.5" hidden="false" customHeight="false" outlineLevel="0" collapsed="false">
      <c r="A21" s="0" t="s">
        <v>69</v>
      </c>
      <c r="B21" s="1" t="n">
        <v>43881</v>
      </c>
    </row>
    <row r="22" customFormat="false" ht="13.5" hidden="false" customHeight="false" outlineLevel="0" collapsed="false">
      <c r="A22" s="0" t="s">
        <v>69</v>
      </c>
      <c r="B22" s="1" t="n">
        <v>43882</v>
      </c>
    </row>
    <row r="23" customFormat="false" ht="13.5" hidden="false" customHeight="false" outlineLevel="0" collapsed="false">
      <c r="A23" s="0" t="s">
        <v>69</v>
      </c>
      <c r="B23" s="1" t="n">
        <v>43883</v>
      </c>
    </row>
    <row r="24" customFormat="false" ht="13.5" hidden="false" customHeight="false" outlineLevel="0" collapsed="false">
      <c r="A24" s="0" t="s">
        <v>69</v>
      </c>
      <c r="B24" s="1" t="n">
        <v>43884</v>
      </c>
    </row>
    <row r="25" customFormat="false" ht="13.5" hidden="false" customHeight="false" outlineLevel="0" collapsed="false">
      <c r="A25" s="0" t="s">
        <v>69</v>
      </c>
      <c r="B25" s="1" t="n">
        <v>43885</v>
      </c>
    </row>
    <row r="26" customFormat="false" ht="13.5" hidden="false" customHeight="false" outlineLevel="0" collapsed="false">
      <c r="A26" s="0" t="s">
        <v>69</v>
      </c>
      <c r="B26" s="1" t="n">
        <v>43886</v>
      </c>
    </row>
    <row r="27" customFormat="false" ht="13.5" hidden="false" customHeight="false" outlineLevel="0" collapsed="false">
      <c r="A27" s="0" t="s">
        <v>69</v>
      </c>
      <c r="B27" s="1" t="n">
        <v>43887</v>
      </c>
    </row>
    <row r="28" customFormat="false" ht="13.5" hidden="false" customHeight="false" outlineLevel="0" collapsed="false">
      <c r="A28" s="0" t="s">
        <v>69</v>
      </c>
      <c r="B28" s="1" t="n">
        <v>43888</v>
      </c>
    </row>
    <row r="29" customFormat="false" ht="13.5" hidden="false" customHeight="false" outlineLevel="0" collapsed="false">
      <c r="A29" s="0" t="s">
        <v>69</v>
      </c>
      <c r="B29" s="1" t="n">
        <v>43889</v>
      </c>
    </row>
    <row r="30" customFormat="false" ht="13.5" hidden="false" customHeight="false" outlineLevel="0" collapsed="false">
      <c r="A30" s="0" t="s">
        <v>69</v>
      </c>
      <c r="B30" s="1" t="n">
        <v>43890</v>
      </c>
    </row>
    <row r="31" customFormat="false" ht="13.5" hidden="false" customHeight="false" outlineLevel="0" collapsed="false">
      <c r="A31" s="0" t="s">
        <v>69</v>
      </c>
      <c r="B31" s="1" t="n">
        <v>43891</v>
      </c>
    </row>
    <row r="32" customFormat="false" ht="13.5" hidden="false" customHeight="false" outlineLevel="0" collapsed="false">
      <c r="A32" s="0" t="s">
        <v>69</v>
      </c>
      <c r="B32" s="1" t="n">
        <v>43892</v>
      </c>
    </row>
    <row r="33" customFormat="false" ht="13.5" hidden="false" customHeight="false" outlineLevel="0" collapsed="false">
      <c r="A33" s="0" t="s">
        <v>69</v>
      </c>
      <c r="B33" s="1" t="n">
        <v>43893</v>
      </c>
    </row>
    <row r="34" customFormat="false" ht="13.5" hidden="false" customHeight="false" outlineLevel="0" collapsed="false">
      <c r="A34" s="0" t="s">
        <v>69</v>
      </c>
      <c r="B34" s="1" t="n">
        <v>43894</v>
      </c>
    </row>
    <row r="35" customFormat="false" ht="13.5" hidden="false" customHeight="false" outlineLevel="0" collapsed="false">
      <c r="A35" s="0" t="s">
        <v>69</v>
      </c>
      <c r="B35" s="1" t="n">
        <v>43895</v>
      </c>
    </row>
    <row r="36" customFormat="false" ht="13.5" hidden="false" customHeight="false" outlineLevel="0" collapsed="false">
      <c r="A36" s="0" t="s">
        <v>69</v>
      </c>
      <c r="B36" s="1" t="n">
        <v>43896</v>
      </c>
    </row>
    <row r="37" customFormat="false" ht="13.5" hidden="false" customHeight="false" outlineLevel="0" collapsed="false">
      <c r="A37" s="0" t="s">
        <v>69</v>
      </c>
      <c r="B37" s="1" t="n">
        <v>43897</v>
      </c>
    </row>
    <row r="38" customFormat="false" ht="13.5" hidden="false" customHeight="false" outlineLevel="0" collapsed="false">
      <c r="A38" s="0" t="s">
        <v>69</v>
      </c>
      <c r="B38" s="1" t="n">
        <v>43898</v>
      </c>
    </row>
    <row r="39" customFormat="false" ht="13.5" hidden="false" customHeight="false" outlineLevel="0" collapsed="false">
      <c r="A39" s="0" t="s">
        <v>69</v>
      </c>
      <c r="B39" s="1" t="n">
        <v>43899</v>
      </c>
      <c r="C39" s="0" t="n">
        <v>3</v>
      </c>
      <c r="D39" s="0" t="n">
        <f aca="false">C39-C38</f>
        <v>3</v>
      </c>
      <c r="H39" s="0" t="n">
        <v>3</v>
      </c>
    </row>
    <row r="40" customFormat="false" ht="13.5" hidden="false" customHeight="false" outlineLevel="0" collapsed="false">
      <c r="A40" s="0" t="s">
        <v>69</v>
      </c>
      <c r="B40" s="1" t="n">
        <v>43900</v>
      </c>
      <c r="C40" s="0" t="n">
        <v>3</v>
      </c>
      <c r="D40" s="0" t="n">
        <f aca="false">C40-C39</f>
        <v>0</v>
      </c>
      <c r="H40" s="0" t="n">
        <v>3</v>
      </c>
    </row>
    <row r="41" customFormat="false" ht="13.5" hidden="false" customHeight="false" outlineLevel="0" collapsed="false">
      <c r="A41" s="0" t="s">
        <v>69</v>
      </c>
      <c r="B41" s="1" t="n">
        <v>43901</v>
      </c>
      <c r="C41" s="0" t="n">
        <v>3</v>
      </c>
      <c r="D41" s="0" t="n">
        <f aca="false">C41-C40</f>
        <v>0</v>
      </c>
      <c r="H41" s="0" t="n">
        <v>3</v>
      </c>
    </row>
    <row r="42" customFormat="false" ht="13.5" hidden="false" customHeight="false" outlineLevel="0" collapsed="false">
      <c r="A42" s="0" t="s">
        <v>69</v>
      </c>
      <c r="B42" s="1" t="n">
        <v>43902</v>
      </c>
      <c r="C42" s="0" t="n">
        <v>3</v>
      </c>
      <c r="D42" s="0" t="n">
        <f aca="false">C42-C41</f>
        <v>0</v>
      </c>
      <c r="H42" s="0" t="n">
        <v>3</v>
      </c>
    </row>
    <row r="43" customFormat="false" ht="13.5" hidden="false" customHeight="false" outlineLevel="0" collapsed="false">
      <c r="A43" s="0" t="s">
        <v>69</v>
      </c>
      <c r="B43" s="1" t="n">
        <v>43903</v>
      </c>
      <c r="C43" s="0" t="n">
        <v>3</v>
      </c>
      <c r="D43" s="0" t="n">
        <f aca="false">C43-C42</f>
        <v>0</v>
      </c>
      <c r="H43" s="0" t="n">
        <v>3</v>
      </c>
    </row>
    <row r="44" customFormat="false" ht="13.5" hidden="false" customHeight="false" outlineLevel="0" collapsed="false">
      <c r="A44" s="0" t="s">
        <v>69</v>
      </c>
      <c r="B44" s="1" t="n">
        <v>43904</v>
      </c>
      <c r="C44" s="0" t="n">
        <v>3</v>
      </c>
      <c r="D44" s="0" t="n">
        <f aca="false">C44-C43</f>
        <v>0</v>
      </c>
      <c r="G44" s="0" t="n">
        <v>1</v>
      </c>
      <c r="H44" s="0" t="n">
        <v>2</v>
      </c>
    </row>
    <row r="45" customFormat="false" ht="13.5" hidden="false" customHeight="false" outlineLevel="0" collapsed="false">
      <c r="A45" s="0" t="s">
        <v>69</v>
      </c>
      <c r="B45" s="1" t="n">
        <v>43905</v>
      </c>
      <c r="C45" s="0" t="n">
        <v>5</v>
      </c>
      <c r="D45" s="0" t="n">
        <f aca="false">C45-C44</f>
        <v>2</v>
      </c>
      <c r="G45" s="0" t="n">
        <v>2</v>
      </c>
      <c r="H45" s="0" t="n">
        <v>3</v>
      </c>
    </row>
    <row r="46" customFormat="false" ht="13.5" hidden="false" customHeight="false" outlineLevel="0" collapsed="false">
      <c r="A46" s="0" t="s">
        <v>69</v>
      </c>
      <c r="B46" s="1" t="n">
        <v>43906</v>
      </c>
      <c r="C46" s="0" t="n">
        <v>5</v>
      </c>
      <c r="D46" s="0" t="n">
        <f aca="false">C46-C45</f>
        <v>0</v>
      </c>
      <c r="G46" s="0" t="n">
        <v>2</v>
      </c>
      <c r="H46" s="0" t="n">
        <v>3</v>
      </c>
    </row>
    <row r="47" customFormat="false" ht="13.5" hidden="false" customHeight="false" outlineLevel="0" collapsed="false">
      <c r="A47" s="0" t="s">
        <v>69</v>
      </c>
      <c r="B47" s="1" t="n">
        <v>43907</v>
      </c>
      <c r="C47" s="0" t="n">
        <v>8</v>
      </c>
      <c r="D47" s="0" t="n">
        <f aca="false">C47-C46</f>
        <v>3</v>
      </c>
      <c r="G47" s="0" t="n">
        <v>3</v>
      </c>
      <c r="H47" s="0" t="n">
        <v>5</v>
      </c>
    </row>
    <row r="48" customFormat="false" ht="13.5" hidden="false" customHeight="false" outlineLevel="0" collapsed="false">
      <c r="A48" s="0" t="s">
        <v>69</v>
      </c>
      <c r="B48" s="1" t="n">
        <v>43908</v>
      </c>
      <c r="C48" s="0" t="n">
        <v>10</v>
      </c>
      <c r="D48" s="0" t="n">
        <f aca="false">C48-C47</f>
        <v>2</v>
      </c>
      <c r="G48" s="0" t="n">
        <v>3</v>
      </c>
      <c r="H48" s="0" t="n">
        <v>7</v>
      </c>
      <c r="J48" s="0" t="n">
        <v>0.1</v>
      </c>
    </row>
    <row r="49" customFormat="false" ht="13.5" hidden="false" customHeight="false" outlineLevel="0" collapsed="false">
      <c r="A49" s="0" t="s">
        <v>69</v>
      </c>
      <c r="B49" s="1" t="n">
        <v>43909</v>
      </c>
      <c r="C49" s="0" t="n">
        <v>14</v>
      </c>
      <c r="D49" s="0" t="n">
        <f aca="false">C49-C48</f>
        <v>4</v>
      </c>
      <c r="E49" s="0" t="n">
        <v>1</v>
      </c>
      <c r="F49" s="0" t="n">
        <v>1</v>
      </c>
      <c r="G49" s="0" t="n">
        <v>3</v>
      </c>
      <c r="H49" s="0" t="n">
        <v>10</v>
      </c>
      <c r="J49" s="0" t="n">
        <v>0.09</v>
      </c>
    </row>
    <row r="50" customFormat="false" ht="13.5" hidden="false" customHeight="false" outlineLevel="0" collapsed="false">
      <c r="A50" s="0" t="s">
        <v>69</v>
      </c>
      <c r="B50" s="1" t="n">
        <v>43910</v>
      </c>
      <c r="C50" s="0" t="n">
        <v>18</v>
      </c>
      <c r="D50" s="0" t="n">
        <f aca="false">C50-C49</f>
        <v>4</v>
      </c>
      <c r="E50" s="0" t="n">
        <f aca="false">E49</f>
        <v>1</v>
      </c>
      <c r="F50" s="0" t="n">
        <f aca="false">E50-E49</f>
        <v>0</v>
      </c>
      <c r="G50" s="0" t="n">
        <v>3</v>
      </c>
      <c r="H50" s="0" t="n">
        <v>14</v>
      </c>
      <c r="J50" s="0" t="n">
        <v>0.1</v>
      </c>
    </row>
    <row r="51" customFormat="false" ht="13.5" hidden="false" customHeight="false" outlineLevel="0" collapsed="false">
      <c r="A51" s="0" t="s">
        <v>69</v>
      </c>
      <c r="B51" s="1" t="n">
        <v>43911</v>
      </c>
      <c r="C51" s="0" t="n">
        <v>24</v>
      </c>
      <c r="D51" s="0" t="n">
        <f aca="false">C51-C50</f>
        <v>6</v>
      </c>
      <c r="E51" s="0" t="n">
        <v>2</v>
      </c>
      <c r="F51" s="0" t="n">
        <f aca="false">E51-E50</f>
        <v>1</v>
      </c>
      <c r="G51" s="0" t="n">
        <v>3</v>
      </c>
      <c r="H51" s="0" t="n">
        <v>19</v>
      </c>
      <c r="J51" s="0" t="n">
        <v>0.1</v>
      </c>
    </row>
    <row r="52" customFormat="false" ht="13.5" hidden="false" customHeight="false" outlineLevel="0" collapsed="false">
      <c r="A52" s="0" t="s">
        <v>69</v>
      </c>
      <c r="B52" s="1" t="n">
        <v>43912</v>
      </c>
      <c r="C52" s="0" t="n">
        <v>24</v>
      </c>
      <c r="D52" s="0" t="n">
        <f aca="false">C52-C51</f>
        <v>0</v>
      </c>
      <c r="E52" s="0" t="n">
        <v>2</v>
      </c>
      <c r="F52" s="0" t="n">
        <f aca="false">E52-E51</f>
        <v>0</v>
      </c>
      <c r="G52" s="0" t="n">
        <v>3</v>
      </c>
      <c r="H52" s="0" t="n">
        <v>19</v>
      </c>
      <c r="J52" s="0" t="n">
        <v>0.1</v>
      </c>
    </row>
    <row r="53" customFormat="false" ht="13.5" hidden="false" customHeight="false" outlineLevel="0" collapsed="false">
      <c r="A53" s="0" t="s">
        <v>69</v>
      </c>
      <c r="B53" s="1" t="n">
        <v>43913</v>
      </c>
      <c r="C53" s="0" t="n">
        <v>27</v>
      </c>
      <c r="D53" s="0" t="n">
        <f aca="false">C53-C52</f>
        <v>3</v>
      </c>
      <c r="E53" s="0" t="n">
        <v>2</v>
      </c>
      <c r="F53" s="0" t="n">
        <f aca="false">E53-E52</f>
        <v>0</v>
      </c>
      <c r="G53" s="0" t="n">
        <v>3</v>
      </c>
      <c r="H53" s="0" t="n">
        <v>22</v>
      </c>
      <c r="J53" s="0" t="n">
        <v>0.2</v>
      </c>
    </row>
    <row r="54" customFormat="false" ht="13.5" hidden="false" customHeight="false" outlineLevel="0" collapsed="false">
      <c r="A54" s="0" t="s">
        <v>69</v>
      </c>
      <c r="B54" s="1" t="n">
        <v>43914</v>
      </c>
      <c r="C54" s="0" t="n">
        <v>33</v>
      </c>
      <c r="D54" s="0" t="n">
        <f aca="false">C54-C53</f>
        <v>6</v>
      </c>
      <c r="E54" s="0" t="n">
        <v>3</v>
      </c>
      <c r="F54" s="0" t="n">
        <f aca="false">E54-E53</f>
        <v>1</v>
      </c>
      <c r="G54" s="0" t="n">
        <v>5</v>
      </c>
      <c r="H54" s="0" t="n">
        <v>25</v>
      </c>
      <c r="J54" s="0" t="n">
        <v>0.2</v>
      </c>
    </row>
    <row r="55" customFormat="false" ht="13.5" hidden="false" customHeight="false" outlineLevel="0" collapsed="false">
      <c r="A55" s="0" t="s">
        <v>69</v>
      </c>
      <c r="B55" s="1" t="n">
        <v>43915</v>
      </c>
      <c r="C55" s="0" t="n">
        <v>39</v>
      </c>
      <c r="D55" s="0" t="n">
        <f aca="false">C55-C54</f>
        <v>6</v>
      </c>
      <c r="E55" s="0" t="n">
        <v>4</v>
      </c>
      <c r="F55" s="0" t="n">
        <f aca="false">E55-E54</f>
        <v>1</v>
      </c>
      <c r="G55" s="0" t="n">
        <v>5</v>
      </c>
      <c r="H55" s="0" t="n">
        <v>30</v>
      </c>
      <c r="J55" s="0" t="n">
        <v>0.2</v>
      </c>
      <c r="K55" s="0" t="n">
        <v>0.02</v>
      </c>
    </row>
    <row r="56" customFormat="false" ht="13.5" hidden="false" customHeight="false" outlineLevel="0" collapsed="false">
      <c r="A56" s="0" t="s">
        <v>69</v>
      </c>
      <c r="B56" s="1" t="n">
        <v>43916</v>
      </c>
      <c r="C56" s="0" t="n">
        <v>39</v>
      </c>
      <c r="D56" s="0" t="n">
        <f aca="false">C56-C55</f>
        <v>0</v>
      </c>
      <c r="E56" s="0" t="n">
        <v>5</v>
      </c>
      <c r="F56" s="0" t="n">
        <f aca="false">E56-E55</f>
        <v>1</v>
      </c>
      <c r="G56" s="0" t="n">
        <v>7</v>
      </c>
      <c r="H56" s="0" t="n">
        <v>27</v>
      </c>
      <c r="J56" s="0" t="n">
        <v>0.2</v>
      </c>
      <c r="K56" s="0" t="n">
        <v>0.03</v>
      </c>
    </row>
    <row r="57" customFormat="false" ht="13.5" hidden="false" customHeight="false" outlineLevel="0" collapsed="false">
      <c r="A57" s="0" t="s">
        <v>69</v>
      </c>
      <c r="B57" s="1" t="n">
        <v>43917</v>
      </c>
      <c r="C57" s="0" t="n">
        <v>44</v>
      </c>
      <c r="D57" s="0" t="n">
        <f aca="false">C57-C56</f>
        <v>5</v>
      </c>
      <c r="E57" s="0" t="n">
        <v>5</v>
      </c>
      <c r="F57" s="0" t="n">
        <f aca="false">E57-E56</f>
        <v>0</v>
      </c>
      <c r="G57" s="0" t="n">
        <v>11</v>
      </c>
      <c r="H57" s="0" t="n">
        <v>28</v>
      </c>
      <c r="I57" s="0" t="n">
        <v>1</v>
      </c>
      <c r="J57" s="0" t="n">
        <v>0.3</v>
      </c>
      <c r="K57" s="0" t="n">
        <v>0.03</v>
      </c>
    </row>
    <row r="58" customFormat="false" ht="13.5" hidden="false" customHeight="false" outlineLevel="0" collapsed="false">
      <c r="A58" s="0" t="s">
        <v>69</v>
      </c>
      <c r="B58" s="1" t="n">
        <v>43918</v>
      </c>
      <c r="C58" s="0" t="n">
        <v>48</v>
      </c>
      <c r="D58" s="0" t="n">
        <f aca="false">C58-C57</f>
        <v>4</v>
      </c>
      <c r="E58" s="0" t="n">
        <v>5</v>
      </c>
      <c r="F58" s="0" t="n">
        <f aca="false">E58-E57</f>
        <v>0</v>
      </c>
      <c r="G58" s="0" t="n">
        <v>11</v>
      </c>
      <c r="H58" s="0" t="n">
        <v>32</v>
      </c>
      <c r="I58" s="0" t="n">
        <v>1</v>
      </c>
      <c r="J58" s="0" t="n">
        <v>0.3</v>
      </c>
      <c r="K58" s="0" t="n">
        <v>0.03</v>
      </c>
    </row>
    <row r="59" customFormat="false" ht="13.5" hidden="false" customHeight="false" outlineLevel="0" collapsed="false">
      <c r="A59" s="0" t="s">
        <v>69</v>
      </c>
      <c r="B59" s="1" t="n">
        <v>43919</v>
      </c>
      <c r="C59" s="0" t="n">
        <v>48</v>
      </c>
      <c r="D59" s="0" t="n">
        <f aca="false">C59-C58</f>
        <v>0</v>
      </c>
      <c r="E59" s="0" t="n">
        <v>5</v>
      </c>
      <c r="F59" s="0" t="n">
        <f aca="false">E59-E58</f>
        <v>0</v>
      </c>
      <c r="G59" s="0" t="n">
        <v>15</v>
      </c>
      <c r="H59" s="0" t="n">
        <v>28</v>
      </c>
      <c r="I59" s="0" t="n">
        <v>1</v>
      </c>
      <c r="J59" s="0" t="n">
        <v>0.3</v>
      </c>
      <c r="K59" s="0" t="n">
        <v>0.03</v>
      </c>
    </row>
    <row r="60" customFormat="false" ht="13.5" hidden="false" customHeight="false" outlineLevel="0" collapsed="false">
      <c r="A60" s="0" t="s">
        <v>69</v>
      </c>
      <c r="B60" s="1" t="n">
        <v>43920</v>
      </c>
      <c r="C60" s="0" t="n">
        <v>48</v>
      </c>
      <c r="D60" s="0" t="n">
        <f aca="false">C60-C59</f>
        <v>0</v>
      </c>
      <c r="E60" s="0" t="n">
        <v>5</v>
      </c>
      <c r="F60" s="0" t="n">
        <f aca="false">E60-E59</f>
        <v>0</v>
      </c>
      <c r="G60" s="0" t="n">
        <v>15</v>
      </c>
      <c r="H60" s="0" t="n">
        <v>28</v>
      </c>
      <c r="I60" s="0" t="n">
        <v>1</v>
      </c>
      <c r="J60" s="0" t="n">
        <v>0.3</v>
      </c>
      <c r="K60" s="0" t="n">
        <v>0.03</v>
      </c>
    </row>
    <row r="61" customFormat="false" ht="13.5" hidden="false" customHeight="false" outlineLevel="0" collapsed="false">
      <c r="A61" s="0" t="s">
        <v>69</v>
      </c>
      <c r="B61" s="1" t="n">
        <v>43921</v>
      </c>
      <c r="C61" s="0" t="n">
        <v>49</v>
      </c>
      <c r="D61" s="0" t="n">
        <f aca="false">C61-C60</f>
        <v>1</v>
      </c>
      <c r="E61" s="0" t="n">
        <v>5</v>
      </c>
      <c r="F61" s="0" t="n">
        <f aca="false">E61-E60</f>
        <v>0</v>
      </c>
      <c r="G61" s="0" t="n">
        <v>19</v>
      </c>
      <c r="H61" s="0" t="n">
        <v>25</v>
      </c>
      <c r="I61" s="0" t="n">
        <v>1</v>
      </c>
      <c r="J61" s="0" t="n">
        <v>0.3</v>
      </c>
      <c r="K61" s="0" t="n">
        <v>0.03</v>
      </c>
    </row>
    <row r="62" customFormat="false" ht="13.5" hidden="false" customHeight="false" outlineLevel="0" collapsed="false">
      <c r="A62" s="0" t="s">
        <v>69</v>
      </c>
      <c r="B62" s="1" t="n">
        <v>43922</v>
      </c>
      <c r="C62" s="0" t="n">
        <v>51</v>
      </c>
      <c r="D62" s="0" t="n">
        <f aca="false">C62-C61</f>
        <v>2</v>
      </c>
      <c r="E62" s="0" t="n">
        <v>5</v>
      </c>
      <c r="F62" s="0" t="n">
        <f aca="false">E62-E61</f>
        <v>0</v>
      </c>
      <c r="G62" s="0" t="n">
        <v>25</v>
      </c>
      <c r="H62" s="0" t="n">
        <v>21</v>
      </c>
      <c r="I62" s="0" t="n">
        <v>1</v>
      </c>
      <c r="J62" s="0" t="n">
        <v>0.3</v>
      </c>
      <c r="K62" s="0" t="n">
        <v>0.03</v>
      </c>
    </row>
    <row r="63" customFormat="false" ht="13.5" hidden="false" customHeight="false" outlineLevel="0" collapsed="false">
      <c r="A63" s="0" t="s">
        <v>69</v>
      </c>
      <c r="B63" s="1" t="n">
        <v>43923</v>
      </c>
      <c r="C63" s="0" t="n">
        <v>54</v>
      </c>
      <c r="D63" s="0" t="n">
        <f aca="false">C63-C62</f>
        <v>3</v>
      </c>
      <c r="E63" s="0" t="n">
        <v>6</v>
      </c>
      <c r="F63" s="0" t="n">
        <f aca="false">E63-E62</f>
        <v>1</v>
      </c>
      <c r="G63" s="0" t="n">
        <v>25</v>
      </c>
      <c r="H63" s="0" t="n">
        <v>23</v>
      </c>
      <c r="I63" s="0" t="n">
        <v>1</v>
      </c>
      <c r="J63" s="0" t="n">
        <v>0.3</v>
      </c>
      <c r="K63" s="0" t="n">
        <v>0.04</v>
      </c>
    </row>
    <row r="64" customFormat="false" ht="13.5" hidden="false" customHeight="false" outlineLevel="0" collapsed="false">
      <c r="A64" s="0" t="s">
        <v>69</v>
      </c>
      <c r="B64" s="1" t="n">
        <v>43924</v>
      </c>
      <c r="C64" s="0" t="n">
        <v>56</v>
      </c>
      <c r="D64" s="0" t="n">
        <f aca="false">C64-C63</f>
        <v>2</v>
      </c>
      <c r="E64" s="0" t="n">
        <v>6</v>
      </c>
      <c r="F64" s="0" t="n">
        <f aca="false">E64-E63</f>
        <v>0</v>
      </c>
      <c r="G64" s="0" t="n">
        <v>25</v>
      </c>
      <c r="H64" s="0" t="n">
        <v>25</v>
      </c>
      <c r="I64" s="0" t="n">
        <v>1</v>
      </c>
      <c r="J64" s="0" t="n">
        <v>0.3</v>
      </c>
      <c r="K64" s="0" t="n">
        <v>0.04</v>
      </c>
    </row>
    <row r="65" customFormat="false" ht="13.5" hidden="false" customHeight="false" outlineLevel="0" collapsed="false">
      <c r="A65" s="0" t="s">
        <v>69</v>
      </c>
      <c r="B65" s="1" t="n">
        <v>43925</v>
      </c>
      <c r="C65" s="0" t="n">
        <v>61</v>
      </c>
      <c r="D65" s="0" t="n">
        <f aca="false">C65-C64</f>
        <v>5</v>
      </c>
      <c r="E65" s="0" t="n">
        <v>6</v>
      </c>
      <c r="F65" s="0" t="n">
        <f aca="false">E65-E64</f>
        <v>0</v>
      </c>
      <c r="G65" s="0" t="n">
        <v>26</v>
      </c>
      <c r="H65" s="0" t="n">
        <v>29</v>
      </c>
      <c r="I65" s="0" t="n">
        <v>1</v>
      </c>
      <c r="J65" s="0" t="n">
        <v>0.4</v>
      </c>
      <c r="K65" s="0" t="n">
        <v>0.04</v>
      </c>
    </row>
    <row r="66" customFormat="false" ht="13.5" hidden="false" customHeight="false" outlineLevel="0" collapsed="false">
      <c r="A66" s="0" t="s">
        <v>69</v>
      </c>
      <c r="B66" s="1" t="n">
        <v>43926</v>
      </c>
      <c r="C66" s="0" t="n">
        <v>70</v>
      </c>
      <c r="D66" s="0" t="n">
        <f aca="false">C66-C65</f>
        <v>9</v>
      </c>
      <c r="E66" s="0" t="n">
        <v>8</v>
      </c>
      <c r="F66" s="0" t="n">
        <f aca="false">E66-E65</f>
        <v>2</v>
      </c>
      <c r="G66" s="0" t="n">
        <v>30</v>
      </c>
      <c r="H66" s="0" t="n">
        <v>32</v>
      </c>
      <c r="I66" s="0" t="n">
        <v>1</v>
      </c>
      <c r="J66" s="0" t="n">
        <v>0.4</v>
      </c>
      <c r="K66" s="0" t="n">
        <v>0.05</v>
      </c>
      <c r="L66" s="0" t="n">
        <v>2086</v>
      </c>
      <c r="M66" s="0" t="n">
        <v>13</v>
      </c>
    </row>
    <row r="67" customFormat="false" ht="13.5" hidden="false" customHeight="false" outlineLevel="0" collapsed="false">
      <c r="A67" s="0" t="s">
        <v>69</v>
      </c>
      <c r="B67" s="1" t="n">
        <v>43927</v>
      </c>
      <c r="C67" s="0" t="n">
        <v>88</v>
      </c>
      <c r="D67" s="0" t="n">
        <f aca="false">C67-C66</f>
        <v>18</v>
      </c>
      <c r="E67" s="0" t="n">
        <v>9</v>
      </c>
      <c r="F67" s="0" t="n">
        <f aca="false">E67-E66</f>
        <v>1</v>
      </c>
      <c r="G67" s="0" t="n">
        <v>33</v>
      </c>
      <c r="H67" s="0" t="n">
        <v>46</v>
      </c>
      <c r="I67" s="0" t="n">
        <v>1</v>
      </c>
      <c r="J67" s="0" t="n">
        <v>0.5</v>
      </c>
      <c r="K67" s="0" t="n">
        <v>0.05</v>
      </c>
      <c r="L67" s="0" t="n">
        <v>2086</v>
      </c>
      <c r="M67" s="0" t="n">
        <v>13</v>
      </c>
    </row>
    <row r="68" customFormat="false" ht="13.5" hidden="false" customHeight="false" outlineLevel="0" collapsed="false">
      <c r="A68" s="0" t="s">
        <v>69</v>
      </c>
      <c r="B68" s="1" t="n">
        <v>43928</v>
      </c>
      <c r="C68" s="0" t="n">
        <v>123</v>
      </c>
      <c r="D68" s="0" t="n">
        <f aca="false">C68-C67</f>
        <v>35</v>
      </c>
      <c r="E68" s="0" t="n">
        <v>12</v>
      </c>
      <c r="F68" s="0" t="n">
        <f aca="false">E68-E67</f>
        <v>3</v>
      </c>
      <c r="G68" s="0" t="n">
        <v>33</v>
      </c>
      <c r="H68" s="0" t="n">
        <v>78</v>
      </c>
      <c r="I68" s="0" t="n">
        <v>1</v>
      </c>
      <c r="J68" s="0" t="n">
        <v>0.7</v>
      </c>
      <c r="K68" s="0" t="n">
        <v>0.07</v>
      </c>
      <c r="L68" s="0" t="n">
        <v>3610</v>
      </c>
      <c r="M68" s="0" t="n">
        <v>22</v>
      </c>
    </row>
    <row r="69" customFormat="false" ht="13.5" hidden="false" customHeight="false" outlineLevel="0" collapsed="false">
      <c r="A69" s="0" t="s">
        <v>69</v>
      </c>
      <c r="B69" s="1" t="n">
        <v>43929</v>
      </c>
      <c r="C69" s="0" t="n">
        <v>164</v>
      </c>
      <c r="D69" s="0" t="n">
        <f aca="false">C69-C68</f>
        <v>41</v>
      </c>
      <c r="E69" s="0" t="n">
        <v>17</v>
      </c>
      <c r="F69" s="0" t="n">
        <f aca="false">E69-E68</f>
        <v>5</v>
      </c>
      <c r="G69" s="0" t="n">
        <v>33</v>
      </c>
      <c r="H69" s="0" t="n">
        <v>114</v>
      </c>
      <c r="I69" s="0" t="n">
        <v>1</v>
      </c>
      <c r="J69" s="0" t="n">
        <v>1</v>
      </c>
      <c r="K69" s="0" t="n">
        <v>0.1</v>
      </c>
      <c r="L69" s="0" t="n">
        <v>4289</v>
      </c>
      <c r="M69" s="0" t="n">
        <v>26</v>
      </c>
    </row>
    <row r="70" customFormat="false" ht="13.5" hidden="false" customHeight="false" outlineLevel="0" collapsed="false">
      <c r="A70" s="0" t="s">
        <v>69</v>
      </c>
      <c r="B70" s="1" t="n">
        <v>43930</v>
      </c>
      <c r="C70" s="0" t="n">
        <v>218</v>
      </c>
      <c r="D70" s="0" t="n">
        <f aca="false">C70-C69</f>
        <v>54</v>
      </c>
      <c r="E70" s="0" t="n">
        <v>20</v>
      </c>
      <c r="F70" s="0" t="n">
        <f aca="false">E70-E69</f>
        <v>3</v>
      </c>
      <c r="G70" s="0" t="n">
        <v>33</v>
      </c>
      <c r="H70" s="0" t="n">
        <v>165</v>
      </c>
      <c r="I70" s="0" t="n">
        <v>1</v>
      </c>
      <c r="J70" s="0" t="n">
        <v>1</v>
      </c>
      <c r="K70" s="0" t="n">
        <v>0.1</v>
      </c>
      <c r="L70" s="0" t="n">
        <v>5164</v>
      </c>
      <c r="M70" s="0" t="n">
        <v>31</v>
      </c>
    </row>
    <row r="71" customFormat="false" ht="13.5" hidden="false" customHeight="false" outlineLevel="0" collapsed="false">
      <c r="A71" s="0" t="s">
        <v>69</v>
      </c>
      <c r="B71" s="1" t="n">
        <v>43931</v>
      </c>
      <c r="C71" s="0" t="n">
        <v>330</v>
      </c>
      <c r="D71" s="0" t="n">
        <f aca="false">C71-C70</f>
        <v>112</v>
      </c>
      <c r="E71" s="0" t="n">
        <v>21</v>
      </c>
      <c r="F71" s="0" t="n">
        <f aca="false">E71-E70</f>
        <v>1</v>
      </c>
      <c r="G71" s="0" t="n">
        <v>33</v>
      </c>
      <c r="H71" s="0" t="n">
        <v>276</v>
      </c>
      <c r="I71" s="0" t="n">
        <v>1</v>
      </c>
      <c r="J71" s="0" t="n">
        <v>2</v>
      </c>
      <c r="K71" s="0" t="n">
        <v>0.1</v>
      </c>
      <c r="L71" s="0" t="n">
        <v>6175</v>
      </c>
      <c r="M71" s="0" t="n">
        <v>37</v>
      </c>
    </row>
    <row r="72" customFormat="false" ht="13.5" hidden="false" customHeight="false" outlineLevel="0" collapsed="false">
      <c r="A72" s="0" t="s">
        <v>69</v>
      </c>
      <c r="B72" s="1" t="n">
        <v>43932</v>
      </c>
      <c r="C72" s="0" t="n">
        <v>424</v>
      </c>
      <c r="D72" s="0" t="n">
        <f aca="false">C72-C71</f>
        <v>94</v>
      </c>
      <c r="E72" s="0" t="n">
        <v>27</v>
      </c>
      <c r="F72" s="0" t="n">
        <f aca="false">E72-E71</f>
        <v>6</v>
      </c>
      <c r="G72" s="0" t="n">
        <v>33</v>
      </c>
      <c r="H72" s="0" t="n">
        <v>364</v>
      </c>
      <c r="I72" s="0" t="n">
        <v>1</v>
      </c>
      <c r="J72" s="0" t="n">
        <v>3</v>
      </c>
      <c r="K72" s="0" t="n">
        <v>0.2</v>
      </c>
      <c r="L72" s="0" t="n">
        <v>7359</v>
      </c>
      <c r="M72" s="0" t="n">
        <v>45</v>
      </c>
    </row>
    <row r="73" customFormat="false" ht="13.5" hidden="false" customHeight="false" outlineLevel="0" collapsed="false">
      <c r="A73" s="0" t="s">
        <v>69</v>
      </c>
      <c r="B73" s="1" t="n">
        <v>43933</v>
      </c>
      <c r="C73" s="0" t="n">
        <v>482</v>
      </c>
      <c r="D73" s="0" t="n">
        <f aca="false">C73-C72</f>
        <v>58</v>
      </c>
      <c r="E73" s="0" t="n">
        <v>30</v>
      </c>
      <c r="F73" s="0" t="n">
        <f aca="false">E73-E72</f>
        <v>3</v>
      </c>
      <c r="G73" s="0" t="n">
        <v>36</v>
      </c>
      <c r="H73" s="0" t="n">
        <v>416</v>
      </c>
      <c r="I73" s="0" t="n">
        <v>1</v>
      </c>
      <c r="J73" s="0" t="n">
        <v>3</v>
      </c>
      <c r="K73" s="0" t="n">
        <v>0.2</v>
      </c>
      <c r="L73" s="0" t="n">
        <v>8313</v>
      </c>
      <c r="M73" s="0" t="n">
        <v>50</v>
      </c>
    </row>
    <row r="74" customFormat="false" ht="13.5" hidden="false" customHeight="false" outlineLevel="0" collapsed="false">
      <c r="A74" s="0" t="s">
        <v>69</v>
      </c>
      <c r="B74" s="1" t="n">
        <v>43934</v>
      </c>
      <c r="C74" s="0" t="n">
        <v>621</v>
      </c>
      <c r="D74" s="0" t="n">
        <f aca="false">C74-C73</f>
        <v>139</v>
      </c>
      <c r="E74" s="0" t="n">
        <v>34</v>
      </c>
      <c r="F74" s="0" t="n">
        <f aca="false">E74-E73</f>
        <v>4</v>
      </c>
      <c r="G74" s="0" t="n">
        <v>39</v>
      </c>
      <c r="H74" s="0" t="n">
        <v>548</v>
      </c>
      <c r="I74" s="0" t="n">
        <v>1</v>
      </c>
      <c r="J74" s="0" t="n">
        <v>4</v>
      </c>
      <c r="K74" s="0" t="n">
        <v>0.2</v>
      </c>
      <c r="L74" s="0" t="n">
        <v>9653</v>
      </c>
      <c r="M74" s="0" t="n">
        <v>59</v>
      </c>
    </row>
    <row r="75" customFormat="false" ht="13.5" hidden="false" customHeight="false" outlineLevel="0" collapsed="false">
      <c r="A75" s="0" t="s">
        <v>69</v>
      </c>
      <c r="B75" s="1" t="n">
        <v>43935</v>
      </c>
      <c r="C75" s="0" t="n">
        <v>803</v>
      </c>
      <c r="D75" s="0" t="n">
        <f aca="false">C75-C74</f>
        <v>182</v>
      </c>
      <c r="E75" s="0" t="n">
        <v>39</v>
      </c>
      <c r="F75" s="0" t="n">
        <f aca="false">E75-E74</f>
        <v>5</v>
      </c>
      <c r="G75" s="0" t="n">
        <v>42</v>
      </c>
      <c r="H75" s="0" t="n">
        <v>722</v>
      </c>
      <c r="I75" s="0" t="n">
        <v>1</v>
      </c>
      <c r="J75" s="0" t="n">
        <v>5</v>
      </c>
      <c r="K75" s="0" t="n">
        <v>0.2</v>
      </c>
      <c r="L75" s="0" t="n">
        <v>11223</v>
      </c>
      <c r="M75" s="0" t="n">
        <v>68</v>
      </c>
    </row>
    <row r="76" customFormat="false" ht="13.5" hidden="false" customHeight="false" outlineLevel="0" collapsed="false">
      <c r="A76" s="0" t="s">
        <v>69</v>
      </c>
      <c r="B76" s="1" t="n">
        <v>43936</v>
      </c>
      <c r="C76" s="0" t="n">
        <v>1012</v>
      </c>
      <c r="D76" s="0" t="n">
        <f aca="false">C76-C75</f>
        <v>209</v>
      </c>
      <c r="E76" s="0" t="n">
        <v>46</v>
      </c>
      <c r="F76" s="0" t="n">
        <f aca="false">E76-E75</f>
        <v>7</v>
      </c>
      <c r="G76" s="0" t="n">
        <v>42</v>
      </c>
      <c r="H76" s="0" t="n">
        <v>924</v>
      </c>
      <c r="I76" s="0" t="n">
        <v>1</v>
      </c>
      <c r="J76" s="0" t="n">
        <v>6</v>
      </c>
      <c r="K76" s="0" t="n">
        <v>0.3</v>
      </c>
      <c r="L76" s="0" t="n">
        <v>13128</v>
      </c>
      <c r="M76" s="0" t="n">
        <v>80</v>
      </c>
    </row>
    <row r="77" customFormat="false" ht="13.5" hidden="false" customHeight="false" outlineLevel="0" collapsed="false">
      <c r="A77" s="0" t="s">
        <v>69</v>
      </c>
      <c r="B77" s="1" t="n">
        <v>43937</v>
      </c>
      <c r="C77" s="0" t="n">
        <v>1231</v>
      </c>
      <c r="D77" s="0" t="n">
        <f aca="false">C77-C76</f>
        <v>219</v>
      </c>
      <c r="E77" s="0" t="n">
        <v>50</v>
      </c>
      <c r="F77" s="0" t="n">
        <f aca="false">E77-E76</f>
        <v>4</v>
      </c>
      <c r="G77" s="0" t="n">
        <v>49</v>
      </c>
      <c r="H77" s="0" t="n">
        <v>1132</v>
      </c>
      <c r="I77" s="0" t="n">
        <v>1</v>
      </c>
      <c r="J77" s="0" t="n">
        <v>7</v>
      </c>
      <c r="K77" s="0" t="n">
        <v>0.3</v>
      </c>
      <c r="L77" s="0" t="n">
        <v>14868</v>
      </c>
      <c r="M77" s="0" t="n">
        <v>90</v>
      </c>
    </row>
    <row r="78" customFormat="false" ht="13.5" hidden="false" customHeight="false" outlineLevel="0" collapsed="false">
      <c r="A78" s="0" t="s">
        <v>69</v>
      </c>
      <c r="B78" s="1" t="n">
        <v>43938</v>
      </c>
      <c r="C78" s="0" t="n">
        <v>1572</v>
      </c>
      <c r="D78" s="0" t="n">
        <f aca="false">C78-C77</f>
        <v>341</v>
      </c>
      <c r="E78" s="0" t="n">
        <v>60</v>
      </c>
      <c r="F78" s="0" t="n">
        <f aca="false">E78-E77</f>
        <v>10</v>
      </c>
      <c r="G78" s="0" t="n">
        <v>49</v>
      </c>
      <c r="H78" s="0" t="n">
        <v>1463</v>
      </c>
      <c r="I78" s="0" t="n">
        <v>1</v>
      </c>
      <c r="J78" s="0" t="n">
        <v>10</v>
      </c>
      <c r="K78" s="0" t="n">
        <v>0.4</v>
      </c>
      <c r="L78" s="0" t="n">
        <v>17003</v>
      </c>
      <c r="M78" s="0" t="n">
        <v>103</v>
      </c>
    </row>
    <row r="79" customFormat="false" ht="13.5" hidden="false" customHeight="false" outlineLevel="0" collapsed="false">
      <c r="A79" s="0" t="s">
        <v>69</v>
      </c>
      <c r="B79" s="1" t="n">
        <v>43939</v>
      </c>
      <c r="C79" s="0" t="n">
        <v>1838</v>
      </c>
      <c r="D79" s="0" t="n">
        <f aca="false">C79-C78</f>
        <v>266</v>
      </c>
      <c r="E79" s="0" t="n">
        <v>75</v>
      </c>
      <c r="F79" s="0" t="n">
        <f aca="false">E79-E78</f>
        <v>15</v>
      </c>
      <c r="G79" s="0" t="n">
        <v>58</v>
      </c>
      <c r="H79" s="0" t="n">
        <v>1705</v>
      </c>
      <c r="I79" s="0" t="n">
        <v>1</v>
      </c>
      <c r="J79" s="0" t="n">
        <v>11</v>
      </c>
      <c r="K79" s="0" t="n">
        <v>0.5</v>
      </c>
      <c r="L79" s="0" t="n">
        <v>19193</v>
      </c>
      <c r="M79" s="0" t="n">
        <v>117</v>
      </c>
    </row>
    <row r="80" customFormat="false" ht="13.5" hidden="false" customHeight="false" outlineLevel="0" collapsed="false">
      <c r="A80" s="0" t="s">
        <v>69</v>
      </c>
      <c r="B80" s="1" t="n">
        <v>43940</v>
      </c>
      <c r="C80" s="0" t="n">
        <v>2144</v>
      </c>
      <c r="D80" s="0" t="n">
        <f aca="false">C80-C79</f>
        <v>306</v>
      </c>
      <c r="E80" s="0" t="n">
        <v>84</v>
      </c>
      <c r="F80" s="0" t="n">
        <f aca="false">E80-E79</f>
        <v>9</v>
      </c>
      <c r="G80" s="0" t="n">
        <v>66</v>
      </c>
      <c r="H80" s="0" t="n">
        <v>1994</v>
      </c>
      <c r="I80" s="0" t="n">
        <v>1</v>
      </c>
      <c r="J80" s="0" t="n">
        <v>13</v>
      </c>
      <c r="K80" s="0" t="n">
        <v>0.5</v>
      </c>
      <c r="L80" s="0" t="n">
        <v>21307</v>
      </c>
      <c r="M80" s="0" t="n">
        <v>129</v>
      </c>
    </row>
    <row r="81" customFormat="false" ht="13.5" hidden="false" customHeight="false" outlineLevel="0" collapsed="false">
      <c r="A81" s="0" t="s">
        <v>69</v>
      </c>
      <c r="B81" s="1" t="n">
        <v>43941</v>
      </c>
      <c r="C81" s="0" t="n">
        <v>2456</v>
      </c>
      <c r="D81" s="0" t="n">
        <f aca="false">C81-C80</f>
        <v>312</v>
      </c>
      <c r="E81" s="0" t="n">
        <v>91</v>
      </c>
      <c r="F81" s="0" t="n">
        <f aca="false">E81-E80</f>
        <v>7</v>
      </c>
      <c r="G81" s="0" t="n">
        <v>75</v>
      </c>
      <c r="H81" s="0" t="n">
        <v>2290</v>
      </c>
      <c r="I81" s="0" t="n">
        <v>1</v>
      </c>
      <c r="J81" s="0" t="n">
        <v>15</v>
      </c>
      <c r="K81" s="0" t="n">
        <v>0.6</v>
      </c>
      <c r="L81" s="0" t="n">
        <v>23941</v>
      </c>
      <c r="M81" s="0" t="n">
        <v>145</v>
      </c>
    </row>
    <row r="82" customFormat="false" ht="13.5" hidden="false" customHeight="false" outlineLevel="0" collapsed="false">
      <c r="A82" s="0" t="s">
        <v>69</v>
      </c>
      <c r="B82" s="1" t="n">
        <v>43942</v>
      </c>
      <c r="C82" s="0" t="n">
        <v>2948</v>
      </c>
      <c r="D82" s="0" t="n">
        <f aca="false">C82-C81</f>
        <v>492</v>
      </c>
      <c r="E82" s="0" t="n">
        <v>101</v>
      </c>
      <c r="F82" s="0" t="n">
        <f aca="false">E82-E81</f>
        <v>10</v>
      </c>
      <c r="G82" s="0" t="n">
        <v>85</v>
      </c>
      <c r="H82" s="0" t="n">
        <v>2762</v>
      </c>
      <c r="I82" s="0" t="n">
        <v>1</v>
      </c>
      <c r="J82" s="0" t="n">
        <v>18</v>
      </c>
      <c r="K82" s="0" t="n">
        <v>0.6</v>
      </c>
      <c r="L82" s="0" t="n">
        <v>26604</v>
      </c>
      <c r="M82" s="0" t="n">
        <v>162</v>
      </c>
    </row>
    <row r="83" customFormat="false" ht="13.5" hidden="false" customHeight="false" outlineLevel="0" collapsed="false">
      <c r="A83" s="0" t="s">
        <v>69</v>
      </c>
      <c r="B83" s="1" t="n">
        <v>43943</v>
      </c>
      <c r="C83" s="0" t="n">
        <v>3382</v>
      </c>
      <c r="D83" s="0" t="n">
        <f aca="false">C83-C82</f>
        <v>434</v>
      </c>
      <c r="E83" s="0" t="n">
        <v>110</v>
      </c>
      <c r="F83" s="0" t="n">
        <f aca="false">E83-E82</f>
        <v>9</v>
      </c>
      <c r="G83" s="0" t="n">
        <v>87</v>
      </c>
      <c r="H83" s="0" t="n">
        <v>3185</v>
      </c>
      <c r="I83" s="0" t="n">
        <v>1</v>
      </c>
      <c r="J83" s="0" t="n">
        <v>21</v>
      </c>
      <c r="K83" s="0" t="n">
        <v>0.7</v>
      </c>
      <c r="L83" s="0" t="n">
        <v>29578</v>
      </c>
      <c r="M83" s="0" t="n">
        <v>180</v>
      </c>
    </row>
    <row r="84" customFormat="false" ht="13.5" hidden="false" customHeight="false" outlineLevel="0" collapsed="false">
      <c r="A84" s="0" t="s">
        <v>69</v>
      </c>
      <c r="B84" s="1" t="n">
        <v>43944</v>
      </c>
      <c r="C84" s="0" t="n">
        <v>3772</v>
      </c>
      <c r="D84" s="0" t="n">
        <f aca="false">C84-C83</f>
        <v>390</v>
      </c>
      <c r="E84" s="0" t="n">
        <v>120</v>
      </c>
      <c r="F84" s="0" t="n">
        <f aca="false">E84-E83</f>
        <v>10</v>
      </c>
      <c r="G84" s="0" t="n">
        <v>92</v>
      </c>
      <c r="H84" s="0" t="n">
        <v>3560</v>
      </c>
      <c r="I84" s="0" t="n">
        <v>1</v>
      </c>
      <c r="J84" s="0" t="n">
        <v>23</v>
      </c>
      <c r="K84" s="0" t="n">
        <v>0.7</v>
      </c>
      <c r="L84" s="0" t="n">
        <v>32630</v>
      </c>
      <c r="M84" s="0" t="n">
        <v>198</v>
      </c>
    </row>
    <row r="85" customFormat="false" ht="13.5" hidden="false" customHeight="false" outlineLevel="0" collapsed="false">
      <c r="A85" s="0" t="s">
        <v>69</v>
      </c>
      <c r="B85" s="1" t="n">
        <v>43945</v>
      </c>
      <c r="C85" s="0" t="n">
        <v>4186</v>
      </c>
      <c r="D85" s="0" t="n">
        <v>414</v>
      </c>
      <c r="E85" s="0" t="n">
        <v>127</v>
      </c>
      <c r="F85" s="0" t="n">
        <v>7</v>
      </c>
      <c r="G85" s="0" t="n">
        <v>108</v>
      </c>
      <c r="H85" s="0" t="n">
        <v>3951</v>
      </c>
      <c r="I85" s="0" t="n">
        <v>1</v>
      </c>
      <c r="J85" s="0" t="n">
        <v>25</v>
      </c>
      <c r="K85" s="0" t="n">
        <v>0.8</v>
      </c>
      <c r="L85" s="0" t="n">
        <v>36090</v>
      </c>
      <c r="M85" s="0" t="n">
        <v>219</v>
      </c>
    </row>
    <row r="86" customFormat="false" ht="13.5" hidden="false" customHeight="false" outlineLevel="0" collapsed="false">
      <c r="A86" s="0" t="s">
        <v>69</v>
      </c>
      <c r="B86" s="1" t="n">
        <v>43946</v>
      </c>
      <c r="C86" s="0" t="n">
        <v>4689</v>
      </c>
      <c r="D86" s="0" t="n">
        <v>503</v>
      </c>
      <c r="E86" s="0" t="n">
        <v>131</v>
      </c>
      <c r="F86" s="0" t="n">
        <v>4</v>
      </c>
      <c r="G86" s="0" t="n">
        <v>112</v>
      </c>
      <c r="H86" s="0" t="n">
        <v>4446</v>
      </c>
      <c r="I86" s="0" t="n">
        <v>1</v>
      </c>
      <c r="J86" s="0" t="n">
        <v>28</v>
      </c>
      <c r="K86" s="0" t="n">
        <v>0.8</v>
      </c>
      <c r="L86" s="0" t="n">
        <v>39476</v>
      </c>
      <c r="M86" s="0" t="n">
        <v>240</v>
      </c>
    </row>
    <row r="87" customFormat="false" ht="13.5" hidden="false" customHeight="false" outlineLevel="0" collapsed="false">
      <c r="A87" s="0" t="s">
        <v>69</v>
      </c>
      <c r="B87" s="1" t="n">
        <v>43947</v>
      </c>
      <c r="C87" s="0" t="n">
        <v>4998</v>
      </c>
      <c r="D87" s="0" t="n">
        <v>309</v>
      </c>
      <c r="E87" s="0" t="n">
        <v>140</v>
      </c>
      <c r="F87" s="0" t="n">
        <v>9</v>
      </c>
      <c r="G87" s="0" t="n">
        <v>113</v>
      </c>
      <c r="H87" s="0" t="n">
        <v>4745</v>
      </c>
      <c r="I87" s="0" t="n">
        <v>1</v>
      </c>
      <c r="J87" s="0" t="n">
        <v>30</v>
      </c>
      <c r="K87" s="0" t="n">
        <v>0.9</v>
      </c>
      <c r="L87" s="0" t="n">
        <v>43113</v>
      </c>
      <c r="M87" s="0" t="n">
        <v>262</v>
      </c>
    </row>
    <row r="88" customFormat="false" ht="13.5" hidden="false" customHeight="false" outlineLevel="0" collapsed="false">
      <c r="A88" s="0" t="s">
        <v>69</v>
      </c>
      <c r="B88" s="1" t="n">
        <v>43948</v>
      </c>
      <c r="C88" s="0" t="n">
        <v>5416</v>
      </c>
      <c r="D88" s="0" t="n">
        <v>418</v>
      </c>
      <c r="E88" s="0" t="n">
        <v>145</v>
      </c>
      <c r="F88" s="0" t="n">
        <v>5</v>
      </c>
      <c r="G88" s="0" t="n">
        <v>122</v>
      </c>
      <c r="H88" s="0" t="n">
        <v>5149</v>
      </c>
      <c r="I88" s="0" t="n">
        <v>1</v>
      </c>
      <c r="J88" s="0" t="n">
        <v>33</v>
      </c>
      <c r="K88" s="0" t="n">
        <v>0.9</v>
      </c>
      <c r="L88" s="0" t="n">
        <v>46589</v>
      </c>
      <c r="M88" s="0" t="n">
        <v>283</v>
      </c>
    </row>
    <row r="89" customFormat="false" ht="13.5" hidden="false" customHeight="false" outlineLevel="0" collapsed="false">
      <c r="A89" s="0" t="s">
        <v>69</v>
      </c>
      <c r="B89" s="1" t="n">
        <v>43949</v>
      </c>
      <c r="C89" s="2" t="n">
        <v>5913</v>
      </c>
      <c r="D89" s="2" t="n">
        <v>497</v>
      </c>
      <c r="E89" s="2" t="n">
        <v>152</v>
      </c>
      <c r="F89" s="2" t="n">
        <v>7</v>
      </c>
      <c r="G89" s="2" t="n">
        <v>131</v>
      </c>
      <c r="H89" s="2" t="n">
        <v>5630</v>
      </c>
      <c r="I89" s="2" t="n">
        <v>1</v>
      </c>
      <c r="J89" s="2" t="n">
        <v>36</v>
      </c>
      <c r="K89" s="2" t="n">
        <v>0.9</v>
      </c>
      <c r="L89" s="2" t="n">
        <v>50401</v>
      </c>
      <c r="M89" s="2" t="n">
        <v>306</v>
      </c>
    </row>
    <row r="90" customFormat="false" ht="13.5" hidden="false" customHeight="false" outlineLevel="0" collapsed="false">
      <c r="A90" s="0" t="s">
        <v>69</v>
      </c>
      <c r="B90" s="1" t="n">
        <v>43950</v>
      </c>
      <c r="C90" s="2" t="n">
        <v>6462</v>
      </c>
      <c r="D90" s="2" t="n">
        <v>549</v>
      </c>
      <c r="E90" s="2" t="n">
        <v>155</v>
      </c>
      <c r="F90" s="2" t="n">
        <v>3</v>
      </c>
      <c r="G90" s="2" t="n">
        <v>139</v>
      </c>
      <c r="H90" s="2" t="n">
        <v>6168</v>
      </c>
      <c r="I90" s="2" t="n">
        <v>1</v>
      </c>
      <c r="J90" s="2" t="n">
        <v>39</v>
      </c>
      <c r="K90" s="2" t="n">
        <v>0.9</v>
      </c>
      <c r="L90" s="2" t="n">
        <v>54733</v>
      </c>
      <c r="M90" s="2" t="n">
        <v>332</v>
      </c>
    </row>
    <row r="91" customFormat="false" ht="13.5" hidden="false" customHeight="false" outlineLevel="0" collapsed="false">
      <c r="A91" s="0" t="s">
        <v>69</v>
      </c>
      <c r="B91" s="1" t="n">
        <v>43951</v>
      </c>
      <c r="C91" s="2" t="n">
        <v>7103</v>
      </c>
      <c r="D91" s="2" t="n">
        <v>641</v>
      </c>
      <c r="E91" s="2" t="n">
        <v>163</v>
      </c>
      <c r="F91" s="2" t="n">
        <v>8</v>
      </c>
      <c r="G91" s="2" t="n">
        <v>150</v>
      </c>
      <c r="H91" s="2" t="n">
        <v>6790</v>
      </c>
      <c r="I91" s="2" t="n">
        <v>1</v>
      </c>
      <c r="J91" s="2" t="n">
        <v>43</v>
      </c>
      <c r="K91" s="2" t="n">
        <v>1</v>
      </c>
      <c r="L91" s="2" t="n">
        <v>59701</v>
      </c>
      <c r="M91" s="2" t="n">
        <v>363</v>
      </c>
    </row>
    <row r="92" customFormat="false" ht="13.5" hidden="false" customHeight="false" outlineLevel="0" collapsed="false">
      <c r="A92" s="0" t="s">
        <v>69</v>
      </c>
      <c r="B92" s="1" t="n">
        <v>43952</v>
      </c>
      <c r="C92" s="2" t="n">
        <v>7667</v>
      </c>
      <c r="D92" s="2" t="n">
        <v>564</v>
      </c>
      <c r="E92" s="2" t="n">
        <v>168</v>
      </c>
      <c r="F92" s="2" t="n">
        <v>5</v>
      </c>
      <c r="G92" s="2" t="n">
        <v>160</v>
      </c>
      <c r="H92" s="2" t="n">
        <v>7339</v>
      </c>
      <c r="I92" s="2" t="n">
        <v>1</v>
      </c>
      <c r="J92" s="2" t="n">
        <v>47</v>
      </c>
      <c r="K92" s="2" t="n">
        <v>1</v>
      </c>
      <c r="L92" s="2" t="n">
        <v>64666</v>
      </c>
      <c r="M92" s="2" t="n">
        <v>393</v>
      </c>
    </row>
    <row r="93" customFormat="false" ht="13.5" hidden="false" customHeight="false" outlineLevel="0" collapsed="false">
      <c r="A93" s="0" t="s">
        <v>69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69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69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69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69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69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69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69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69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69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69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69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69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69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69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69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69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69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69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69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69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69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69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69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69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69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69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69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69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69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69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69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69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69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69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69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69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69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69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69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69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69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69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69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69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69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69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69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69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69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69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69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69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69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69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69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69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69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69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69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69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69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69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69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69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69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69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69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69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69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69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69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69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69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69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69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69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69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69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69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69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69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69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69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69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69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69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69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69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69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69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69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69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69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69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70</v>
      </c>
      <c r="B2" s="1" t="n">
        <v>43862</v>
      </c>
    </row>
    <row r="3" customFormat="false" ht="13.5" hidden="false" customHeight="false" outlineLevel="0" collapsed="false">
      <c r="A3" s="0" t="s">
        <v>70</v>
      </c>
      <c r="B3" s="1" t="n">
        <v>43863</v>
      </c>
    </row>
    <row r="4" customFormat="false" ht="13.5" hidden="false" customHeight="false" outlineLevel="0" collapsed="false">
      <c r="A4" s="0" t="s">
        <v>70</v>
      </c>
      <c r="B4" s="1" t="n">
        <v>43864</v>
      </c>
    </row>
    <row r="5" customFormat="false" ht="13.5" hidden="false" customHeight="false" outlineLevel="0" collapsed="false">
      <c r="A5" s="0" t="s">
        <v>70</v>
      </c>
      <c r="B5" s="1" t="n">
        <v>43865</v>
      </c>
    </row>
    <row r="6" customFormat="false" ht="13.5" hidden="false" customHeight="false" outlineLevel="0" collapsed="false">
      <c r="A6" s="0" t="s">
        <v>70</v>
      </c>
      <c r="B6" s="1" t="n">
        <v>43866</v>
      </c>
    </row>
    <row r="7" customFormat="false" ht="13.5" hidden="false" customHeight="false" outlineLevel="0" collapsed="false">
      <c r="A7" s="0" t="s">
        <v>70</v>
      </c>
      <c r="B7" s="1" t="n">
        <v>43867</v>
      </c>
    </row>
    <row r="8" customFormat="false" ht="13.5" hidden="false" customHeight="false" outlineLevel="0" collapsed="false">
      <c r="A8" s="0" t="s">
        <v>70</v>
      </c>
      <c r="B8" s="1" t="n">
        <v>43868</v>
      </c>
    </row>
    <row r="9" customFormat="false" ht="13.5" hidden="false" customHeight="false" outlineLevel="0" collapsed="false">
      <c r="A9" s="0" t="s">
        <v>70</v>
      </c>
      <c r="B9" s="1" t="n">
        <v>43869</v>
      </c>
    </row>
    <row r="10" customFormat="false" ht="13.5" hidden="false" customHeight="false" outlineLevel="0" collapsed="false">
      <c r="A10" s="0" t="s">
        <v>70</v>
      </c>
      <c r="B10" s="1" t="n">
        <v>43870</v>
      </c>
    </row>
    <row r="11" customFormat="false" ht="13.5" hidden="false" customHeight="false" outlineLevel="0" collapsed="false">
      <c r="A11" s="0" t="s">
        <v>70</v>
      </c>
      <c r="B11" s="1" t="n">
        <v>43871</v>
      </c>
    </row>
    <row r="12" customFormat="false" ht="13.5" hidden="false" customHeight="false" outlineLevel="0" collapsed="false">
      <c r="A12" s="0" t="s">
        <v>70</v>
      </c>
      <c r="B12" s="1" t="n">
        <v>43872</v>
      </c>
    </row>
    <row r="13" customFormat="false" ht="13.5" hidden="false" customHeight="false" outlineLevel="0" collapsed="false">
      <c r="A13" s="0" t="s">
        <v>70</v>
      </c>
      <c r="B13" s="1" t="n">
        <v>43873</v>
      </c>
    </row>
    <row r="14" customFormat="false" ht="13.5" hidden="false" customHeight="false" outlineLevel="0" collapsed="false">
      <c r="A14" s="0" t="s">
        <v>70</v>
      </c>
      <c r="B14" s="1" t="n">
        <v>43874</v>
      </c>
    </row>
    <row r="15" customFormat="false" ht="13.5" hidden="false" customHeight="false" outlineLevel="0" collapsed="false">
      <c r="A15" s="0" t="s">
        <v>70</v>
      </c>
      <c r="B15" s="1" t="n">
        <v>43875</v>
      </c>
    </row>
    <row r="16" customFormat="false" ht="13.5" hidden="false" customHeight="false" outlineLevel="0" collapsed="false">
      <c r="A16" s="0" t="s">
        <v>70</v>
      </c>
      <c r="B16" s="1" t="n">
        <v>43876</v>
      </c>
    </row>
    <row r="17" customFormat="false" ht="13.5" hidden="false" customHeight="false" outlineLevel="0" collapsed="false">
      <c r="A17" s="0" t="s">
        <v>70</v>
      </c>
      <c r="B17" s="1" t="n">
        <v>43877</v>
      </c>
    </row>
    <row r="18" customFormat="false" ht="13.5" hidden="false" customHeight="false" outlineLevel="0" collapsed="false">
      <c r="A18" s="0" t="s">
        <v>70</v>
      </c>
      <c r="B18" s="1" t="n">
        <v>43878</v>
      </c>
    </row>
    <row r="19" customFormat="false" ht="13.5" hidden="false" customHeight="false" outlineLevel="0" collapsed="false">
      <c r="A19" s="0" t="s">
        <v>70</v>
      </c>
      <c r="B19" s="1" t="n">
        <v>43879</v>
      </c>
    </row>
    <row r="20" customFormat="false" ht="13.5" hidden="false" customHeight="false" outlineLevel="0" collapsed="false">
      <c r="A20" s="0" t="s">
        <v>70</v>
      </c>
      <c r="B20" s="1" t="n">
        <v>43880</v>
      </c>
    </row>
    <row r="21" customFormat="false" ht="13.5" hidden="false" customHeight="false" outlineLevel="0" collapsed="false">
      <c r="A21" s="0" t="s">
        <v>70</v>
      </c>
      <c r="B21" s="1" t="n">
        <v>43881</v>
      </c>
    </row>
    <row r="22" customFormat="false" ht="13.5" hidden="false" customHeight="false" outlineLevel="0" collapsed="false">
      <c r="A22" s="0" t="s">
        <v>70</v>
      </c>
      <c r="B22" s="1" t="n">
        <v>43882</v>
      </c>
    </row>
    <row r="23" customFormat="false" ht="13.5" hidden="false" customHeight="false" outlineLevel="0" collapsed="false">
      <c r="A23" s="0" t="s">
        <v>70</v>
      </c>
      <c r="B23" s="1" t="n">
        <v>43883</v>
      </c>
    </row>
    <row r="24" customFormat="false" ht="13.5" hidden="false" customHeight="false" outlineLevel="0" collapsed="false">
      <c r="A24" s="0" t="s">
        <v>70</v>
      </c>
      <c r="B24" s="1" t="n">
        <v>43884</v>
      </c>
    </row>
    <row r="25" customFormat="false" ht="13.5" hidden="false" customHeight="false" outlineLevel="0" collapsed="false">
      <c r="A25" s="0" t="s">
        <v>70</v>
      </c>
      <c r="B25" s="1" t="n">
        <v>43885</v>
      </c>
    </row>
    <row r="26" customFormat="false" ht="13.5" hidden="false" customHeight="false" outlineLevel="0" collapsed="false">
      <c r="A26" s="0" t="s">
        <v>70</v>
      </c>
      <c r="B26" s="1" t="n">
        <v>43886</v>
      </c>
    </row>
    <row r="27" customFormat="false" ht="13.5" hidden="false" customHeight="false" outlineLevel="0" collapsed="false">
      <c r="A27" s="0" t="s">
        <v>70</v>
      </c>
      <c r="B27" s="1" t="n">
        <v>43887</v>
      </c>
    </row>
    <row r="28" customFormat="false" ht="13.5" hidden="false" customHeight="false" outlineLevel="0" collapsed="false">
      <c r="A28" s="0" t="s">
        <v>70</v>
      </c>
      <c r="B28" s="1" t="n">
        <v>43888</v>
      </c>
    </row>
    <row r="29" customFormat="false" ht="13.5" hidden="false" customHeight="false" outlineLevel="0" collapsed="false">
      <c r="A29" s="0" t="s">
        <v>70</v>
      </c>
      <c r="B29" s="1" t="n">
        <v>43889</v>
      </c>
    </row>
    <row r="30" customFormat="false" ht="13.5" hidden="false" customHeight="false" outlineLevel="0" collapsed="false">
      <c r="A30" s="0" t="s">
        <v>70</v>
      </c>
      <c r="B30" s="1" t="n">
        <v>43890</v>
      </c>
    </row>
    <row r="31" customFormat="false" ht="13.5" hidden="false" customHeight="false" outlineLevel="0" collapsed="false">
      <c r="A31" s="0" t="s">
        <v>70</v>
      </c>
      <c r="B31" s="1" t="n">
        <v>43891</v>
      </c>
    </row>
    <row r="32" customFormat="false" ht="13.5" hidden="false" customHeight="false" outlineLevel="0" collapsed="false">
      <c r="A32" s="0" t="s">
        <v>70</v>
      </c>
      <c r="B32" s="1" t="n">
        <v>43892</v>
      </c>
    </row>
    <row r="33" customFormat="false" ht="13.5" hidden="false" customHeight="false" outlineLevel="0" collapsed="false">
      <c r="A33" s="0" t="s">
        <v>70</v>
      </c>
      <c r="B33" s="1" t="n">
        <v>43893</v>
      </c>
    </row>
    <row r="34" customFormat="false" ht="13.5" hidden="false" customHeight="false" outlineLevel="0" collapsed="false">
      <c r="A34" s="0" t="s">
        <v>70</v>
      </c>
      <c r="B34" s="1" t="n">
        <v>43894</v>
      </c>
    </row>
    <row r="35" customFormat="false" ht="13.5" hidden="false" customHeight="false" outlineLevel="0" collapsed="false">
      <c r="A35" s="0" t="s">
        <v>70</v>
      </c>
      <c r="B35" s="1" t="n">
        <v>43895</v>
      </c>
    </row>
    <row r="36" customFormat="false" ht="13.5" hidden="false" customHeight="false" outlineLevel="0" collapsed="false">
      <c r="A36" s="0" t="s">
        <v>70</v>
      </c>
      <c r="B36" s="1" t="n">
        <v>43896</v>
      </c>
    </row>
    <row r="37" customFormat="false" ht="13.5" hidden="false" customHeight="false" outlineLevel="0" collapsed="false">
      <c r="A37" s="0" t="s">
        <v>70</v>
      </c>
      <c r="B37" s="1" t="n">
        <v>43897</v>
      </c>
      <c r="C37" s="0" t="n">
        <v>2</v>
      </c>
      <c r="H37" s="0" t="n">
        <v>2</v>
      </c>
      <c r="I37" s="0" t="n">
        <v>1</v>
      </c>
    </row>
    <row r="38" customFormat="false" ht="13.5" hidden="false" customHeight="false" outlineLevel="0" collapsed="false">
      <c r="A38" s="0" t="s">
        <v>70</v>
      </c>
      <c r="B38" s="1" t="n">
        <v>43898</v>
      </c>
      <c r="C38" s="0" t="n">
        <v>2</v>
      </c>
      <c r="D38" s="0" t="n">
        <v>0</v>
      </c>
      <c r="H38" s="0" t="n">
        <v>2</v>
      </c>
      <c r="I38" s="0" t="n">
        <v>1</v>
      </c>
    </row>
    <row r="39" customFormat="false" ht="13.5" hidden="false" customHeight="false" outlineLevel="0" collapsed="false">
      <c r="A39" s="0" t="s">
        <v>70</v>
      </c>
      <c r="B39" s="1" t="n">
        <v>43899</v>
      </c>
      <c r="C39" s="0" t="n">
        <v>2</v>
      </c>
      <c r="D39" s="0" t="n">
        <v>0</v>
      </c>
      <c r="H39" s="0" t="n">
        <v>2</v>
      </c>
      <c r="I39" s="0" t="n">
        <v>1</v>
      </c>
      <c r="J39" s="0" t="n">
        <v>0.1</v>
      </c>
    </row>
    <row r="40" customFormat="false" ht="13.5" hidden="false" customHeight="false" outlineLevel="0" collapsed="false">
      <c r="A40" s="0" t="s">
        <v>70</v>
      </c>
      <c r="B40" s="1" t="n">
        <v>43900</v>
      </c>
      <c r="C40" s="0" t="n">
        <v>2</v>
      </c>
      <c r="D40" s="0" t="n">
        <v>0</v>
      </c>
      <c r="H40" s="0" t="n">
        <v>2</v>
      </c>
      <c r="I40" s="0" t="n">
        <v>1</v>
      </c>
      <c r="J40" s="0" t="n">
        <v>0.1</v>
      </c>
    </row>
    <row r="41" customFormat="false" ht="13.5" hidden="false" customHeight="false" outlineLevel="0" collapsed="false">
      <c r="A41" s="0" t="s">
        <v>70</v>
      </c>
      <c r="B41" s="1" t="n">
        <v>43901</v>
      </c>
      <c r="C41" s="0" t="n">
        <v>3</v>
      </c>
      <c r="D41" s="0" t="n">
        <v>1</v>
      </c>
      <c r="E41" s="0" t="n">
        <v>1</v>
      </c>
      <c r="F41" s="0" t="n">
        <v>1</v>
      </c>
      <c r="H41" s="0" t="n">
        <v>2</v>
      </c>
      <c r="I41" s="0" t="n">
        <v>1</v>
      </c>
      <c r="J41" s="0" t="n">
        <v>0.1</v>
      </c>
    </row>
    <row r="42" customFormat="false" ht="13.5" hidden="false" customHeight="false" outlineLevel="0" collapsed="false">
      <c r="A42" s="0" t="s">
        <v>70</v>
      </c>
      <c r="B42" s="1" t="n">
        <v>43902</v>
      </c>
      <c r="C42" s="0" t="n">
        <v>6</v>
      </c>
      <c r="D42" s="0" t="n">
        <v>3</v>
      </c>
      <c r="E42" s="0" t="n">
        <v>1</v>
      </c>
      <c r="F42" s="0" t="n">
        <v>0</v>
      </c>
      <c r="H42" s="0" t="n">
        <v>5</v>
      </c>
      <c r="I42" s="0" t="n">
        <v>1</v>
      </c>
      <c r="J42" s="0" t="n">
        <v>0.2</v>
      </c>
    </row>
    <row r="43" customFormat="false" ht="13.5" hidden="false" customHeight="false" outlineLevel="0" collapsed="false">
      <c r="A43" s="0" t="s">
        <v>70</v>
      </c>
      <c r="B43" s="1" t="n">
        <v>43903</v>
      </c>
      <c r="C43" s="0" t="n">
        <v>6</v>
      </c>
      <c r="D43" s="0" t="n">
        <v>0</v>
      </c>
      <c r="E43" s="0" t="n">
        <v>1</v>
      </c>
      <c r="F43" s="0" t="n">
        <v>0</v>
      </c>
      <c r="H43" s="0" t="n">
        <v>5</v>
      </c>
      <c r="I43" s="0" t="n">
        <v>1</v>
      </c>
      <c r="J43" s="0" t="n">
        <v>0.2</v>
      </c>
    </row>
    <row r="44" customFormat="false" ht="13.5" hidden="false" customHeight="false" outlineLevel="0" collapsed="false">
      <c r="A44" s="0" t="s">
        <v>70</v>
      </c>
      <c r="B44" s="1" t="n">
        <v>43904</v>
      </c>
      <c r="C44" s="0" t="n">
        <v>7</v>
      </c>
      <c r="D44" s="0" t="n">
        <v>1</v>
      </c>
      <c r="E44" s="0" t="n">
        <v>1</v>
      </c>
      <c r="F44" s="0" t="n">
        <v>0</v>
      </c>
      <c r="G44" s="0" t="n">
        <v>1</v>
      </c>
      <c r="H44" s="0" t="n">
        <v>5</v>
      </c>
      <c r="I44" s="0" t="n">
        <v>1</v>
      </c>
      <c r="J44" s="0" t="n">
        <v>0.2</v>
      </c>
    </row>
    <row r="45" customFormat="false" ht="13.5" hidden="false" customHeight="false" outlineLevel="0" collapsed="false">
      <c r="A45" s="0" t="s">
        <v>70</v>
      </c>
      <c r="B45" s="1" t="n">
        <v>43905</v>
      </c>
      <c r="C45" s="0" t="n">
        <v>18</v>
      </c>
      <c r="D45" s="0" t="n">
        <v>11</v>
      </c>
      <c r="E45" s="0" t="n">
        <v>1</v>
      </c>
      <c r="F45" s="0" t="n">
        <v>0</v>
      </c>
      <c r="G45" s="0" t="n">
        <v>1</v>
      </c>
      <c r="H45" s="0" t="n">
        <v>16</v>
      </c>
      <c r="I45" s="0" t="n">
        <v>1</v>
      </c>
      <c r="J45" s="0" t="n">
        <v>0.5</v>
      </c>
    </row>
    <row r="46" customFormat="false" ht="13.5" hidden="false" customHeight="false" outlineLevel="0" collapsed="false">
      <c r="A46" s="0" t="s">
        <v>70</v>
      </c>
      <c r="B46" s="1" t="n">
        <v>43906</v>
      </c>
      <c r="C46" s="0" t="n">
        <v>28</v>
      </c>
      <c r="D46" s="0" t="n">
        <v>10</v>
      </c>
      <c r="E46" s="0" t="n">
        <v>1</v>
      </c>
      <c r="F46" s="0" t="n">
        <v>0</v>
      </c>
      <c r="G46" s="0" t="n">
        <v>1</v>
      </c>
      <c r="H46" s="0" t="n">
        <v>26</v>
      </c>
      <c r="I46" s="0" t="n">
        <v>1</v>
      </c>
      <c r="J46" s="0" t="n">
        <v>0.8</v>
      </c>
    </row>
    <row r="47" customFormat="false" ht="13.5" hidden="false" customHeight="false" outlineLevel="0" collapsed="false">
      <c r="A47" s="0" t="s">
        <v>70</v>
      </c>
      <c r="B47" s="1" t="n">
        <v>43907</v>
      </c>
      <c r="C47" s="0" t="n">
        <v>29</v>
      </c>
      <c r="D47" s="0" t="n">
        <v>1</v>
      </c>
      <c r="E47" s="0" t="n">
        <v>1</v>
      </c>
      <c r="F47" s="0" t="n">
        <v>0</v>
      </c>
      <c r="G47" s="0" t="n">
        <v>1</v>
      </c>
      <c r="H47" s="0" t="n">
        <v>27</v>
      </c>
      <c r="I47" s="0" t="n">
        <v>1</v>
      </c>
      <c r="J47" s="0" t="n">
        <v>0.8</v>
      </c>
    </row>
    <row r="48" customFormat="false" ht="13.5" hidden="false" customHeight="false" outlineLevel="0" collapsed="false">
      <c r="A48" s="0" t="s">
        <v>70</v>
      </c>
      <c r="B48" s="1" t="n">
        <v>43908</v>
      </c>
      <c r="C48" s="0" t="n">
        <v>44</v>
      </c>
      <c r="D48" s="0" t="n">
        <v>15</v>
      </c>
      <c r="E48" s="0" t="n">
        <v>2</v>
      </c>
      <c r="F48" s="0" t="n">
        <v>1</v>
      </c>
      <c r="G48" s="0" t="n">
        <v>1</v>
      </c>
      <c r="H48" s="0" t="n">
        <v>41</v>
      </c>
      <c r="I48" s="0" t="n">
        <v>1</v>
      </c>
      <c r="J48" s="0" t="n">
        <v>1.2</v>
      </c>
    </row>
    <row r="49" customFormat="false" ht="13.5" hidden="false" customHeight="false" outlineLevel="0" collapsed="false">
      <c r="A49" s="0" t="s">
        <v>70</v>
      </c>
      <c r="B49" s="1" t="n">
        <v>43909</v>
      </c>
      <c r="C49" s="0" t="n">
        <v>54</v>
      </c>
      <c r="D49" s="0" t="n">
        <v>10</v>
      </c>
      <c r="E49" s="0" t="n">
        <v>2</v>
      </c>
      <c r="F49" s="0" t="n">
        <v>0</v>
      </c>
      <c r="G49" s="0" t="n">
        <v>1</v>
      </c>
      <c r="H49" s="0" t="n">
        <v>51</v>
      </c>
      <c r="I49" s="0" t="n">
        <v>1</v>
      </c>
      <c r="J49" s="0" t="n">
        <v>1</v>
      </c>
    </row>
    <row r="50" customFormat="false" ht="13.5" hidden="false" customHeight="false" outlineLevel="0" collapsed="false">
      <c r="A50" s="0" t="s">
        <v>70</v>
      </c>
      <c r="B50" s="1" t="n">
        <v>43910</v>
      </c>
      <c r="C50" s="0" t="n">
        <v>63</v>
      </c>
      <c r="D50" s="0" t="n">
        <v>9</v>
      </c>
      <c r="E50" s="0" t="n">
        <v>2</v>
      </c>
      <c r="F50" s="0" t="n">
        <v>0</v>
      </c>
      <c r="G50" s="0" t="n">
        <v>2</v>
      </c>
      <c r="H50" s="0" t="n">
        <v>59</v>
      </c>
      <c r="I50" s="0" t="n">
        <v>1</v>
      </c>
      <c r="J50" s="0" t="n">
        <v>2</v>
      </c>
    </row>
    <row r="51" customFormat="false" ht="13.5" hidden="false" customHeight="false" outlineLevel="0" collapsed="false">
      <c r="A51" s="0" t="s">
        <v>70</v>
      </c>
      <c r="B51" s="1" t="n">
        <v>43911</v>
      </c>
      <c r="C51" s="0" t="n">
        <v>86</v>
      </c>
      <c r="D51" s="0" t="n">
        <v>23</v>
      </c>
      <c r="E51" s="0" t="n">
        <v>3</v>
      </c>
      <c r="F51" s="0" t="n">
        <v>1</v>
      </c>
      <c r="G51" s="0" t="n">
        <v>2</v>
      </c>
      <c r="H51" s="0" t="n">
        <v>81</v>
      </c>
      <c r="I51" s="0" t="n">
        <v>1</v>
      </c>
      <c r="J51" s="0" t="n">
        <v>2</v>
      </c>
    </row>
    <row r="52" customFormat="false" ht="13.5" hidden="false" customHeight="false" outlineLevel="0" collapsed="false">
      <c r="A52" s="0" t="s">
        <v>70</v>
      </c>
      <c r="B52" s="1" t="n">
        <v>43912</v>
      </c>
      <c r="C52" s="0" t="n">
        <v>96</v>
      </c>
      <c r="D52" s="0" t="n">
        <v>10</v>
      </c>
      <c r="E52" s="0" t="n">
        <v>3</v>
      </c>
      <c r="F52" s="0" t="n">
        <v>0</v>
      </c>
      <c r="G52" s="0" t="n">
        <v>3</v>
      </c>
      <c r="H52" s="0" t="n">
        <v>90</v>
      </c>
      <c r="I52" s="0" t="n">
        <v>1</v>
      </c>
      <c r="J52" s="0" t="n">
        <v>3</v>
      </c>
    </row>
    <row r="53" customFormat="false" ht="13.5" hidden="false" customHeight="false" outlineLevel="0" collapsed="false">
      <c r="A53" s="0" t="s">
        <v>70</v>
      </c>
      <c r="B53" s="1" t="n">
        <v>43913</v>
      </c>
      <c r="C53" s="0" t="n">
        <v>115</v>
      </c>
      <c r="D53" s="0" t="n">
        <v>19</v>
      </c>
      <c r="E53" s="0" t="n">
        <v>4</v>
      </c>
      <c r="F53" s="0" t="n">
        <v>1</v>
      </c>
      <c r="G53" s="0" t="n">
        <v>3</v>
      </c>
      <c r="H53" s="0" t="n">
        <v>108</v>
      </c>
      <c r="I53" s="0" t="n">
        <v>1</v>
      </c>
      <c r="J53" s="0" t="n">
        <v>3</v>
      </c>
    </row>
    <row r="54" customFormat="false" ht="13.5" hidden="false" customHeight="false" outlineLevel="0" collapsed="false">
      <c r="A54" s="0" t="s">
        <v>70</v>
      </c>
      <c r="B54" s="1" t="n">
        <v>43914</v>
      </c>
      <c r="C54" s="0" t="n">
        <v>143</v>
      </c>
      <c r="D54" s="0" t="n">
        <v>28</v>
      </c>
      <c r="E54" s="0" t="n">
        <v>4</v>
      </c>
      <c r="F54" s="0" t="n">
        <v>0</v>
      </c>
      <c r="G54" s="0" t="n">
        <v>5</v>
      </c>
      <c r="H54" s="0" t="n">
        <v>134</v>
      </c>
      <c r="I54" s="0" t="n">
        <v>1</v>
      </c>
      <c r="J54" s="0" t="n">
        <v>4</v>
      </c>
    </row>
    <row r="55" customFormat="false" ht="13.5" hidden="false" customHeight="false" outlineLevel="0" collapsed="false">
      <c r="A55" s="0" t="s">
        <v>70</v>
      </c>
      <c r="B55" s="1" t="n">
        <v>43915</v>
      </c>
      <c r="C55" s="0" t="n">
        <v>170</v>
      </c>
      <c r="D55" s="0" t="n">
        <v>27</v>
      </c>
      <c r="E55" s="0" t="n">
        <v>5</v>
      </c>
      <c r="F55" s="0" t="n">
        <v>1</v>
      </c>
      <c r="G55" s="0" t="n">
        <v>6</v>
      </c>
      <c r="H55" s="0" t="n">
        <v>159</v>
      </c>
      <c r="I55" s="0" t="n">
        <v>1</v>
      </c>
      <c r="J55" s="0" t="n">
        <v>5</v>
      </c>
      <c r="K55" s="0" t="n">
        <v>0.1</v>
      </c>
    </row>
    <row r="56" customFormat="false" ht="13.5" hidden="false" customHeight="false" outlineLevel="0" collapsed="false">
      <c r="A56" s="0" t="s">
        <v>70</v>
      </c>
      <c r="B56" s="1" t="n">
        <v>43916</v>
      </c>
      <c r="C56" s="0" t="n">
        <v>225</v>
      </c>
      <c r="D56" s="0" t="n">
        <v>55</v>
      </c>
      <c r="E56" s="0" t="n">
        <v>6</v>
      </c>
      <c r="F56" s="0" t="n">
        <v>1</v>
      </c>
      <c r="G56" s="0" t="n">
        <v>7</v>
      </c>
      <c r="H56" s="0" t="n">
        <v>212</v>
      </c>
      <c r="I56" s="0" t="n">
        <v>1</v>
      </c>
      <c r="J56" s="0" t="n">
        <v>6</v>
      </c>
      <c r="K56" s="0" t="n">
        <v>0.2</v>
      </c>
    </row>
    <row r="57" customFormat="false" ht="13.5" hidden="false" customHeight="false" outlineLevel="0" collapsed="false">
      <c r="A57" s="0" t="s">
        <v>70</v>
      </c>
      <c r="B57" s="1" t="n">
        <v>43917</v>
      </c>
      <c r="C57" s="0" t="n">
        <v>275</v>
      </c>
      <c r="D57" s="0" t="n">
        <v>50</v>
      </c>
      <c r="E57" s="0" t="n">
        <v>10</v>
      </c>
      <c r="F57" s="0" t="n">
        <v>4</v>
      </c>
      <c r="G57" s="0" t="n">
        <v>8</v>
      </c>
      <c r="H57" s="0" t="n">
        <v>257</v>
      </c>
      <c r="I57" s="0" t="n">
        <v>1</v>
      </c>
      <c r="J57" s="0" t="n">
        <v>7</v>
      </c>
      <c r="K57" s="0" t="n">
        <v>0.3</v>
      </c>
    </row>
    <row r="58" customFormat="false" ht="13.5" hidden="false" customHeight="false" outlineLevel="0" collapsed="false">
      <c r="A58" s="0" t="s">
        <v>70</v>
      </c>
      <c r="B58" s="1" t="n">
        <v>43918</v>
      </c>
      <c r="C58" s="0" t="n">
        <v>345</v>
      </c>
      <c r="D58" s="0" t="n">
        <v>70</v>
      </c>
      <c r="E58" s="0" t="n">
        <v>23</v>
      </c>
      <c r="F58" s="0" t="n">
        <v>13</v>
      </c>
      <c r="G58" s="0" t="n">
        <v>11</v>
      </c>
      <c r="H58" s="0" t="n">
        <v>311</v>
      </c>
      <c r="I58" s="0" t="n">
        <v>1</v>
      </c>
      <c r="J58" s="0" t="n">
        <v>9</v>
      </c>
      <c r="K58" s="0" t="n">
        <v>0.6</v>
      </c>
    </row>
    <row r="59" customFormat="false" ht="13.5" hidden="false" customHeight="false" outlineLevel="0" collapsed="false">
      <c r="A59" s="0" t="s">
        <v>70</v>
      </c>
      <c r="B59" s="1" t="n">
        <v>43919</v>
      </c>
      <c r="C59" s="0" t="n">
        <v>390</v>
      </c>
      <c r="D59" s="0" t="n">
        <v>45</v>
      </c>
      <c r="E59" s="0" t="n">
        <v>25</v>
      </c>
      <c r="F59" s="0" t="n">
        <v>2</v>
      </c>
      <c r="G59" s="0" t="n">
        <v>11</v>
      </c>
      <c r="H59" s="0" t="n">
        <v>354</v>
      </c>
      <c r="I59" s="0" t="n">
        <v>1</v>
      </c>
      <c r="J59" s="0" t="n">
        <v>11</v>
      </c>
      <c r="K59" s="0" t="n">
        <v>0.7</v>
      </c>
    </row>
    <row r="60" customFormat="false" ht="13.5" hidden="false" customHeight="false" outlineLevel="0" collapsed="false">
      <c r="A60" s="0" t="s">
        <v>70</v>
      </c>
      <c r="B60" s="1" t="n">
        <v>43920</v>
      </c>
      <c r="C60" s="0" t="n">
        <v>479</v>
      </c>
      <c r="D60" s="0" t="n">
        <v>89</v>
      </c>
      <c r="E60" s="0" t="n">
        <v>26</v>
      </c>
      <c r="F60" s="0" t="n">
        <v>1</v>
      </c>
      <c r="G60" s="0" t="n">
        <v>13</v>
      </c>
      <c r="H60" s="0" t="n">
        <v>440</v>
      </c>
      <c r="I60" s="0" t="n">
        <v>1</v>
      </c>
      <c r="J60" s="0" t="n">
        <v>13</v>
      </c>
      <c r="K60" s="0" t="n">
        <v>0.7</v>
      </c>
    </row>
    <row r="61" customFormat="false" ht="13.5" hidden="false" customHeight="false" outlineLevel="0" collapsed="false">
      <c r="A61" s="0" t="s">
        <v>70</v>
      </c>
      <c r="B61" s="1" t="n">
        <v>43921</v>
      </c>
      <c r="C61" s="0" t="n">
        <v>556</v>
      </c>
      <c r="D61" s="0" t="n">
        <v>77</v>
      </c>
      <c r="E61" s="0" t="n">
        <v>33</v>
      </c>
      <c r="F61" s="0" t="n">
        <v>7</v>
      </c>
      <c r="G61" s="0" t="n">
        <v>15</v>
      </c>
      <c r="H61" s="0" t="n">
        <v>508</v>
      </c>
      <c r="I61" s="0" t="n">
        <v>1</v>
      </c>
      <c r="J61" s="0" t="n">
        <v>15</v>
      </c>
      <c r="K61" s="0" t="n">
        <v>0.9</v>
      </c>
    </row>
    <row r="62" customFormat="false" ht="13.5" hidden="false" customHeight="false" outlineLevel="0" collapsed="false">
      <c r="A62" s="0" t="s">
        <v>70</v>
      </c>
      <c r="B62" s="1" t="n">
        <v>43922</v>
      </c>
      <c r="C62" s="0" t="n">
        <v>617</v>
      </c>
      <c r="D62" s="0" t="n">
        <v>61</v>
      </c>
      <c r="E62" s="0" t="n">
        <v>36</v>
      </c>
      <c r="F62" s="0" t="n">
        <v>3</v>
      </c>
      <c r="G62" s="0" t="n">
        <v>24</v>
      </c>
      <c r="H62" s="0" t="n">
        <v>557</v>
      </c>
      <c r="I62" s="0" t="n">
        <v>1</v>
      </c>
      <c r="J62" s="0" t="n">
        <v>17</v>
      </c>
      <c r="K62" s="0" t="n">
        <v>1</v>
      </c>
    </row>
    <row r="63" customFormat="false" ht="13.5" hidden="false" customHeight="false" outlineLevel="0" collapsed="false">
      <c r="A63" s="0" t="s">
        <v>70</v>
      </c>
      <c r="B63" s="1" t="n">
        <v>43923</v>
      </c>
      <c r="C63" s="0" t="n">
        <v>654</v>
      </c>
      <c r="D63" s="0" t="n">
        <v>37</v>
      </c>
      <c r="E63" s="0" t="n">
        <v>39</v>
      </c>
      <c r="F63" s="0" t="n">
        <v>3</v>
      </c>
      <c r="G63" s="0" t="n">
        <v>29</v>
      </c>
      <c r="H63" s="0" t="n">
        <v>586</v>
      </c>
      <c r="I63" s="0" t="n">
        <v>1</v>
      </c>
      <c r="J63" s="0" t="n">
        <v>18</v>
      </c>
      <c r="K63" s="0" t="n">
        <v>1</v>
      </c>
    </row>
    <row r="64" customFormat="false" ht="13.5" hidden="false" customHeight="false" outlineLevel="0" collapsed="false">
      <c r="A64" s="0" t="s">
        <v>70</v>
      </c>
      <c r="B64" s="1" t="n">
        <v>43924</v>
      </c>
      <c r="C64" s="0" t="n">
        <v>708</v>
      </c>
      <c r="D64" s="0" t="n">
        <v>54</v>
      </c>
      <c r="E64" s="0" t="n">
        <v>44</v>
      </c>
      <c r="F64" s="0" t="n">
        <v>5</v>
      </c>
      <c r="G64" s="0" t="n">
        <v>31</v>
      </c>
      <c r="H64" s="0" t="n">
        <v>633</v>
      </c>
      <c r="I64" s="0" t="n">
        <v>1</v>
      </c>
      <c r="J64" s="0" t="n">
        <v>19</v>
      </c>
      <c r="K64" s="0" t="n">
        <v>1</v>
      </c>
    </row>
    <row r="65" customFormat="false" ht="13.5" hidden="false" customHeight="false" outlineLevel="0" collapsed="false">
      <c r="A65" s="0" t="s">
        <v>70</v>
      </c>
      <c r="B65" s="1" t="n">
        <v>43925</v>
      </c>
      <c r="C65" s="0" t="n">
        <v>791</v>
      </c>
      <c r="D65" s="0" t="n">
        <v>83</v>
      </c>
      <c r="E65" s="0" t="n">
        <v>48</v>
      </c>
      <c r="F65" s="0" t="n">
        <v>4</v>
      </c>
      <c r="G65" s="0" t="n">
        <v>57</v>
      </c>
      <c r="H65" s="0" t="n">
        <v>686</v>
      </c>
      <c r="I65" s="0" t="n">
        <v>1</v>
      </c>
      <c r="J65" s="0" t="n">
        <v>21</v>
      </c>
      <c r="K65" s="0" t="n">
        <v>1</v>
      </c>
    </row>
    <row r="66" customFormat="false" ht="13.5" hidden="false" customHeight="false" outlineLevel="0" collapsed="false">
      <c r="A66" s="0" t="s">
        <v>70</v>
      </c>
      <c r="B66" s="1" t="n">
        <v>43926</v>
      </c>
      <c r="C66" s="0" t="n">
        <v>919</v>
      </c>
      <c r="D66" s="0" t="n">
        <v>128</v>
      </c>
      <c r="E66" s="0" t="n">
        <v>59</v>
      </c>
      <c r="F66" s="0" t="n">
        <v>11</v>
      </c>
      <c r="G66" s="0" t="n">
        <v>66</v>
      </c>
      <c r="H66" s="0" t="n">
        <v>794</v>
      </c>
      <c r="I66" s="0" t="n">
        <v>1</v>
      </c>
      <c r="J66" s="0" t="n">
        <v>25</v>
      </c>
      <c r="K66" s="0" t="n">
        <v>2</v>
      </c>
      <c r="L66" s="0" t="n">
        <v>4321</v>
      </c>
      <c r="M66" s="0" t="n">
        <v>117</v>
      </c>
    </row>
    <row r="67" customFormat="false" ht="13.5" hidden="false" customHeight="false" outlineLevel="0" collapsed="false">
      <c r="A67" s="0" t="s">
        <v>70</v>
      </c>
      <c r="B67" s="1" t="n">
        <v>43927</v>
      </c>
      <c r="C67" s="0" t="n">
        <v>1021</v>
      </c>
      <c r="D67" s="0" t="n">
        <v>102</v>
      </c>
      <c r="E67" s="0" t="n">
        <v>70</v>
      </c>
      <c r="F67" s="0" t="n">
        <v>11</v>
      </c>
      <c r="G67" s="0" t="n">
        <v>76</v>
      </c>
      <c r="H67" s="0" t="n">
        <v>875</v>
      </c>
      <c r="I67" s="0" t="n">
        <v>1</v>
      </c>
      <c r="J67" s="0" t="n">
        <v>28</v>
      </c>
      <c r="K67" s="0" t="n">
        <v>2</v>
      </c>
      <c r="L67" s="0" t="n">
        <v>4848</v>
      </c>
      <c r="M67" s="0" t="n">
        <v>131</v>
      </c>
    </row>
    <row r="68" customFormat="false" ht="13.5" hidden="false" customHeight="false" outlineLevel="0" collapsed="false">
      <c r="A68" s="0" t="s">
        <v>70</v>
      </c>
      <c r="B68" s="1" t="n">
        <v>43928</v>
      </c>
      <c r="C68" s="0" t="n">
        <v>1120</v>
      </c>
      <c r="D68" s="0" t="n">
        <v>99</v>
      </c>
      <c r="E68" s="0" t="n">
        <v>80</v>
      </c>
      <c r="F68" s="0" t="n">
        <v>10</v>
      </c>
      <c r="G68" s="0" t="n">
        <v>81</v>
      </c>
      <c r="H68" s="0" t="n">
        <v>959</v>
      </c>
      <c r="I68" s="0" t="n">
        <v>1</v>
      </c>
      <c r="J68" s="0" t="n">
        <v>30</v>
      </c>
      <c r="K68" s="0" t="n">
        <v>2</v>
      </c>
      <c r="L68" s="0" t="n">
        <v>5104</v>
      </c>
      <c r="M68" s="0" t="n">
        <v>138</v>
      </c>
    </row>
    <row r="69" customFormat="false" ht="13.5" hidden="false" customHeight="false" outlineLevel="0" collapsed="false">
      <c r="A69" s="0" t="s">
        <v>70</v>
      </c>
      <c r="B69" s="1" t="n">
        <v>43929</v>
      </c>
      <c r="C69" s="0" t="n">
        <v>1184</v>
      </c>
      <c r="D69" s="0" t="n">
        <v>64</v>
      </c>
      <c r="E69" s="0" t="n">
        <v>90</v>
      </c>
      <c r="F69" s="0" t="n">
        <v>10</v>
      </c>
      <c r="G69" s="0" t="n">
        <v>93</v>
      </c>
      <c r="H69" s="0" t="n">
        <v>1001</v>
      </c>
      <c r="I69" s="0" t="n">
        <v>1</v>
      </c>
      <c r="J69" s="0" t="n">
        <v>32</v>
      </c>
      <c r="K69" s="0" t="n">
        <v>2</v>
      </c>
      <c r="L69" s="0" t="n">
        <v>5437</v>
      </c>
      <c r="M69" s="0" t="n">
        <v>147</v>
      </c>
    </row>
    <row r="70" customFormat="false" ht="13.5" hidden="false" customHeight="false" outlineLevel="0" collapsed="false">
      <c r="A70" s="0" t="s">
        <v>70</v>
      </c>
      <c r="B70" s="1" t="n">
        <v>43930</v>
      </c>
      <c r="C70" s="0" t="n">
        <v>1275</v>
      </c>
      <c r="D70" s="0" t="n">
        <v>91</v>
      </c>
      <c r="E70" s="0" t="n">
        <v>93</v>
      </c>
      <c r="F70" s="0" t="n">
        <v>3</v>
      </c>
      <c r="G70" s="0" t="n">
        <v>97</v>
      </c>
      <c r="H70" s="0" t="n">
        <v>1085</v>
      </c>
      <c r="I70" s="0" t="n">
        <v>1</v>
      </c>
      <c r="J70" s="0" t="n">
        <v>35</v>
      </c>
      <c r="K70" s="0" t="n">
        <v>3</v>
      </c>
      <c r="L70" s="0" t="n">
        <v>5752</v>
      </c>
      <c r="M70" s="0" t="n">
        <v>156</v>
      </c>
    </row>
    <row r="71" customFormat="false" ht="13.5" hidden="false" customHeight="false" outlineLevel="0" collapsed="false">
      <c r="A71" s="0" t="s">
        <v>70</v>
      </c>
      <c r="B71" s="1" t="n">
        <v>43931</v>
      </c>
      <c r="C71" s="0" t="n">
        <v>1374</v>
      </c>
      <c r="D71" s="0" t="n">
        <v>99</v>
      </c>
      <c r="E71" s="0" t="n">
        <v>97</v>
      </c>
      <c r="F71" s="0" t="n">
        <v>4</v>
      </c>
      <c r="G71" s="0" t="n">
        <v>109</v>
      </c>
      <c r="H71" s="0" t="n">
        <v>1168</v>
      </c>
      <c r="I71" s="0" t="n">
        <v>1</v>
      </c>
      <c r="J71" s="0" t="n">
        <v>37</v>
      </c>
      <c r="K71" s="0" t="n">
        <v>3</v>
      </c>
      <c r="L71" s="0" t="n">
        <v>6116</v>
      </c>
      <c r="M71" s="0" t="n">
        <v>166</v>
      </c>
    </row>
    <row r="72" customFormat="false" ht="13.5" hidden="false" customHeight="false" outlineLevel="0" collapsed="false">
      <c r="A72" s="0" t="s">
        <v>70</v>
      </c>
      <c r="B72" s="1" t="n">
        <v>43932</v>
      </c>
      <c r="C72" s="0" t="n">
        <v>1448</v>
      </c>
      <c r="D72" s="0" t="n">
        <v>74</v>
      </c>
      <c r="E72" s="0" t="n">
        <v>107</v>
      </c>
      <c r="F72" s="0" t="n">
        <v>10</v>
      </c>
      <c r="G72" s="0" t="n">
        <v>122</v>
      </c>
      <c r="H72" s="0" t="n">
        <v>1219</v>
      </c>
      <c r="I72" s="0" t="n">
        <v>1</v>
      </c>
      <c r="J72" s="0" t="n">
        <v>39</v>
      </c>
      <c r="K72" s="0" t="n">
        <v>3</v>
      </c>
      <c r="L72" s="0" t="n">
        <v>7239</v>
      </c>
      <c r="M72" s="0" t="n">
        <v>196</v>
      </c>
    </row>
    <row r="73" customFormat="false" ht="13.5" hidden="false" customHeight="false" outlineLevel="0" collapsed="false">
      <c r="A73" s="0" t="s">
        <v>70</v>
      </c>
      <c r="B73" s="1" t="n">
        <v>43933</v>
      </c>
      <c r="C73" s="0" t="n">
        <v>1545</v>
      </c>
      <c r="D73" s="0" t="n">
        <v>97</v>
      </c>
      <c r="E73" s="0" t="n">
        <v>111</v>
      </c>
      <c r="F73" s="0" t="n">
        <v>4</v>
      </c>
      <c r="G73" s="0" t="n">
        <v>146</v>
      </c>
      <c r="H73" s="0" t="n">
        <v>1288</v>
      </c>
      <c r="I73" s="0" t="n">
        <v>1</v>
      </c>
      <c r="J73" s="0" t="n">
        <v>42</v>
      </c>
      <c r="K73" s="0" t="n">
        <v>3</v>
      </c>
      <c r="L73" s="0" t="n">
        <v>7734</v>
      </c>
      <c r="M73" s="0" t="n">
        <v>210</v>
      </c>
    </row>
    <row r="74" customFormat="false" ht="13.5" hidden="false" customHeight="false" outlineLevel="0" collapsed="false">
      <c r="A74" s="0" t="s">
        <v>70</v>
      </c>
      <c r="B74" s="1" t="n">
        <v>43934</v>
      </c>
      <c r="C74" s="0" t="n">
        <v>1661</v>
      </c>
      <c r="D74" s="0" t="n">
        <v>116</v>
      </c>
      <c r="E74" s="0" t="n">
        <v>118</v>
      </c>
      <c r="F74" s="0" t="n">
        <v>7</v>
      </c>
      <c r="G74" s="0" t="n">
        <v>177</v>
      </c>
      <c r="H74" s="0" t="n">
        <v>1366</v>
      </c>
      <c r="I74" s="0" t="n">
        <v>1</v>
      </c>
      <c r="J74" s="0" t="n">
        <v>45</v>
      </c>
      <c r="K74" s="0" t="n">
        <v>3</v>
      </c>
      <c r="L74" s="0" t="n">
        <v>8473</v>
      </c>
      <c r="M74" s="0" t="n">
        <v>230</v>
      </c>
    </row>
    <row r="75" customFormat="false" ht="13.5" hidden="false" customHeight="false" outlineLevel="0" collapsed="false">
      <c r="A75" s="0" t="s">
        <v>70</v>
      </c>
      <c r="B75" s="1" t="n">
        <v>43935</v>
      </c>
      <c r="C75" s="0" t="n">
        <v>1763</v>
      </c>
      <c r="D75" s="0" t="n">
        <v>102</v>
      </c>
      <c r="E75" s="0" t="n">
        <v>126</v>
      </c>
      <c r="F75" s="0" t="n">
        <v>8</v>
      </c>
      <c r="G75" s="0" t="n">
        <v>203</v>
      </c>
      <c r="H75" s="0" t="n">
        <v>1434</v>
      </c>
      <c r="I75" s="0" t="n">
        <v>1</v>
      </c>
      <c r="J75" s="0" t="n">
        <v>48</v>
      </c>
      <c r="K75" s="0" t="n">
        <v>3</v>
      </c>
      <c r="L75" s="0" t="n">
        <v>8952</v>
      </c>
      <c r="M75" s="0" t="n">
        <v>243</v>
      </c>
    </row>
    <row r="76" customFormat="false" ht="13.5" hidden="false" customHeight="false" outlineLevel="0" collapsed="false">
      <c r="A76" s="0" t="s">
        <v>70</v>
      </c>
      <c r="B76" s="1" t="n">
        <v>43936</v>
      </c>
      <c r="C76" s="0" t="n">
        <v>1888</v>
      </c>
      <c r="D76" s="0" t="n">
        <v>125</v>
      </c>
      <c r="E76" s="0" t="n">
        <v>126</v>
      </c>
      <c r="F76" s="0" t="n">
        <v>0</v>
      </c>
      <c r="G76" s="0" t="n">
        <v>217</v>
      </c>
      <c r="H76" s="0" t="n">
        <v>1545</v>
      </c>
      <c r="I76" s="0" t="n">
        <v>1</v>
      </c>
      <c r="J76" s="0" t="n">
        <v>51</v>
      </c>
      <c r="K76" s="0" t="n">
        <v>3</v>
      </c>
      <c r="L76" s="0" t="n">
        <v>9609</v>
      </c>
      <c r="M76" s="0" t="n">
        <v>260</v>
      </c>
    </row>
    <row r="77" customFormat="false" ht="13.5" hidden="false" customHeight="false" outlineLevel="0" collapsed="false">
      <c r="A77" s="0" t="s">
        <v>70</v>
      </c>
      <c r="B77" s="1" t="n">
        <v>43937</v>
      </c>
      <c r="C77" s="0" t="n">
        <v>2024</v>
      </c>
      <c r="D77" s="0" t="n">
        <v>136</v>
      </c>
      <c r="E77" s="0" t="n">
        <v>127</v>
      </c>
      <c r="F77" s="0" t="n">
        <v>1</v>
      </c>
      <c r="G77" s="0" t="n">
        <v>229</v>
      </c>
      <c r="H77" s="0" t="n">
        <v>1668</v>
      </c>
      <c r="I77" s="0" t="n">
        <v>1</v>
      </c>
      <c r="J77" s="0" t="n">
        <v>55</v>
      </c>
      <c r="K77" s="0" t="n">
        <v>3</v>
      </c>
      <c r="L77" s="0" t="n">
        <v>10392</v>
      </c>
      <c r="M77" s="0" t="n">
        <v>282</v>
      </c>
    </row>
    <row r="78" customFormat="false" ht="13.5" hidden="false" customHeight="false" outlineLevel="0" collapsed="false">
      <c r="A78" s="0" t="s">
        <v>70</v>
      </c>
      <c r="B78" s="1" t="n">
        <v>43938</v>
      </c>
      <c r="C78" s="0" t="n">
        <v>2283</v>
      </c>
      <c r="D78" s="0" t="n">
        <v>259</v>
      </c>
      <c r="E78" s="0" t="n">
        <v>130</v>
      </c>
      <c r="F78" s="0" t="n">
        <v>3</v>
      </c>
      <c r="G78" s="0" t="n">
        <v>249</v>
      </c>
      <c r="H78" s="0" t="n">
        <v>1904</v>
      </c>
      <c r="I78" s="0" t="n">
        <v>1</v>
      </c>
      <c r="J78" s="0" t="n">
        <v>62</v>
      </c>
      <c r="K78" s="0" t="n">
        <v>4</v>
      </c>
      <c r="L78" s="0" t="n">
        <v>11996</v>
      </c>
      <c r="M78" s="0" t="n">
        <v>325</v>
      </c>
    </row>
    <row r="79" customFormat="false" ht="13.5" hidden="false" customHeight="false" outlineLevel="0" collapsed="false">
      <c r="A79" s="0" t="s">
        <v>70</v>
      </c>
      <c r="B79" s="1" t="n">
        <v>43939</v>
      </c>
      <c r="C79" s="0" t="n">
        <v>2564</v>
      </c>
      <c r="D79" s="0" t="n">
        <v>281</v>
      </c>
      <c r="E79" s="0" t="n">
        <v>135</v>
      </c>
      <c r="F79" s="0" t="n">
        <v>5</v>
      </c>
      <c r="G79" s="0" t="n">
        <v>281</v>
      </c>
      <c r="H79" s="0" t="n">
        <v>2148</v>
      </c>
      <c r="I79" s="0" t="n">
        <v>1</v>
      </c>
      <c r="J79" s="0" t="n">
        <v>69</v>
      </c>
      <c r="K79" s="0" t="n">
        <v>4</v>
      </c>
      <c r="L79" s="0" t="n">
        <v>12952</v>
      </c>
      <c r="M79" s="0" t="n">
        <v>351</v>
      </c>
    </row>
    <row r="80" customFormat="false" ht="13.5" hidden="false" customHeight="false" outlineLevel="0" collapsed="false">
      <c r="A80" s="0" t="s">
        <v>70</v>
      </c>
      <c r="B80" s="1" t="n">
        <v>43940</v>
      </c>
      <c r="C80" s="0" t="n">
        <v>2685</v>
      </c>
      <c r="D80" s="0" t="n">
        <v>121</v>
      </c>
      <c r="E80" s="0" t="n">
        <v>137</v>
      </c>
      <c r="F80" s="0" t="n">
        <v>2</v>
      </c>
      <c r="G80" s="0" t="n">
        <v>314</v>
      </c>
      <c r="H80" s="0" t="n">
        <v>2234</v>
      </c>
      <c r="I80" s="0" t="n">
        <v>1</v>
      </c>
      <c r="J80" s="0" t="n">
        <v>73</v>
      </c>
      <c r="K80" s="0" t="n">
        <v>4</v>
      </c>
      <c r="L80" s="0" t="n">
        <v>13689</v>
      </c>
      <c r="M80" s="0" t="n">
        <v>371</v>
      </c>
    </row>
    <row r="81" customFormat="false" ht="13.5" hidden="false" customHeight="false" outlineLevel="0" collapsed="false">
      <c r="A81" s="0" t="s">
        <v>70</v>
      </c>
      <c r="B81" s="1" t="n">
        <v>43941</v>
      </c>
      <c r="C81" s="0" t="n">
        <v>2855</v>
      </c>
      <c r="D81" s="0" t="n">
        <v>170</v>
      </c>
      <c r="E81" s="0" t="n">
        <v>141</v>
      </c>
      <c r="F81" s="0" t="n">
        <v>4</v>
      </c>
      <c r="G81" s="0" t="n">
        <v>327</v>
      </c>
      <c r="H81" s="0" t="n">
        <v>2387</v>
      </c>
      <c r="I81" s="0" t="n">
        <v>1</v>
      </c>
      <c r="J81" s="0" t="n">
        <v>77</v>
      </c>
      <c r="K81" s="0" t="n">
        <v>4</v>
      </c>
      <c r="L81" s="0" t="n">
        <v>15123</v>
      </c>
      <c r="M81" s="0" t="n">
        <v>410</v>
      </c>
    </row>
    <row r="82" customFormat="false" ht="13.5" hidden="false" customHeight="false" outlineLevel="0" collapsed="false">
      <c r="A82" s="0" t="s">
        <v>70</v>
      </c>
      <c r="B82" s="1" t="n">
        <v>43942</v>
      </c>
      <c r="C82" s="0" t="n">
        <v>3046</v>
      </c>
      <c r="D82" s="0" t="n">
        <v>191</v>
      </c>
      <c r="E82" s="0" t="n">
        <v>143</v>
      </c>
      <c r="F82" s="0" t="n">
        <v>2</v>
      </c>
      <c r="G82" s="0" t="n">
        <v>350</v>
      </c>
      <c r="H82" s="0" t="n">
        <v>2553</v>
      </c>
      <c r="I82" s="0" t="n">
        <v>1</v>
      </c>
      <c r="J82" s="0" t="n">
        <v>83</v>
      </c>
      <c r="K82" s="0" t="n">
        <v>4</v>
      </c>
      <c r="L82" s="0" t="n">
        <v>16386</v>
      </c>
      <c r="M82" s="0" t="n">
        <v>444</v>
      </c>
    </row>
    <row r="83" customFormat="false" ht="13.5" hidden="false" customHeight="false" outlineLevel="0" collapsed="false">
      <c r="A83" s="0" t="s">
        <v>70</v>
      </c>
      <c r="B83" s="1" t="n">
        <v>43943</v>
      </c>
      <c r="C83" s="0" t="n">
        <v>3209</v>
      </c>
      <c r="D83" s="0" t="n">
        <v>163</v>
      </c>
      <c r="E83" s="0" t="n">
        <v>145</v>
      </c>
      <c r="F83" s="0" t="n">
        <v>2</v>
      </c>
      <c r="G83" s="0" t="n">
        <v>393</v>
      </c>
      <c r="H83" s="0" t="n">
        <v>2671</v>
      </c>
      <c r="I83" s="0" t="n">
        <v>1</v>
      </c>
      <c r="J83" s="0" t="n">
        <v>87</v>
      </c>
      <c r="K83" s="0" t="n">
        <v>4</v>
      </c>
      <c r="L83" s="0" t="n">
        <v>18100</v>
      </c>
      <c r="M83" s="0" t="n">
        <v>490</v>
      </c>
    </row>
    <row r="84" customFormat="false" ht="13.5" hidden="false" customHeight="false" outlineLevel="0" collapsed="false">
      <c r="A84" s="0" t="s">
        <v>70</v>
      </c>
      <c r="B84" s="1" t="n">
        <v>43944</v>
      </c>
      <c r="C84" s="0" t="n">
        <v>3446</v>
      </c>
      <c r="D84" s="0" t="n">
        <v>237</v>
      </c>
      <c r="E84" s="0" t="n">
        <v>149</v>
      </c>
      <c r="F84" s="0" t="n">
        <v>4</v>
      </c>
      <c r="G84" s="0" t="n">
        <v>417</v>
      </c>
      <c r="H84" s="0" t="n">
        <v>2880</v>
      </c>
      <c r="I84" s="0" t="n">
        <v>1</v>
      </c>
      <c r="J84" s="0" t="n">
        <v>93</v>
      </c>
      <c r="K84" s="0" t="n">
        <v>4</v>
      </c>
      <c r="L84" s="0" t="n">
        <v>19885</v>
      </c>
      <c r="M84" s="0" t="n">
        <v>539</v>
      </c>
    </row>
    <row r="85" customFormat="false" ht="13.5" hidden="false" customHeight="false" outlineLevel="0" collapsed="false">
      <c r="A85" s="0" t="s">
        <v>70</v>
      </c>
      <c r="B85" s="1" t="n">
        <v>43945</v>
      </c>
      <c r="C85" s="0" t="n">
        <v>3568</v>
      </c>
      <c r="D85" s="0" t="n">
        <v>122</v>
      </c>
      <c r="E85" s="0" t="n">
        <v>155</v>
      </c>
      <c r="F85" s="0" t="n">
        <v>6</v>
      </c>
      <c r="G85" s="0" t="n">
        <v>456</v>
      </c>
      <c r="H85" s="0" t="n">
        <v>2957</v>
      </c>
      <c r="I85" s="0" t="n">
        <v>1</v>
      </c>
      <c r="J85" s="0" t="n">
        <v>97</v>
      </c>
      <c r="K85" s="0" t="n">
        <v>4</v>
      </c>
      <c r="L85" s="0" t="n">
        <v>21947</v>
      </c>
      <c r="M85" s="0" t="n">
        <v>595</v>
      </c>
    </row>
    <row r="86" customFormat="false" ht="13.5" hidden="false" customHeight="false" outlineLevel="0" collapsed="false">
      <c r="A86" s="0" t="s">
        <v>70</v>
      </c>
      <c r="B86" s="1" t="n">
        <v>43946</v>
      </c>
      <c r="C86" s="0" t="n">
        <v>3758</v>
      </c>
      <c r="D86" s="0" t="n">
        <v>190</v>
      </c>
      <c r="E86" s="0" t="n">
        <v>158</v>
      </c>
      <c r="F86" s="0" t="n">
        <v>3</v>
      </c>
      <c r="G86" s="0" t="n">
        <v>486</v>
      </c>
      <c r="H86" s="0" t="n">
        <v>3114</v>
      </c>
      <c r="I86" s="0" t="n">
        <v>1</v>
      </c>
      <c r="J86" s="0" t="n">
        <v>102</v>
      </c>
      <c r="K86" s="0" t="n">
        <v>4</v>
      </c>
      <c r="L86" s="0" t="n">
        <v>23933</v>
      </c>
      <c r="M86" s="0" t="n">
        <v>648</v>
      </c>
    </row>
    <row r="87" customFormat="false" ht="13.5" hidden="false" customHeight="false" outlineLevel="0" collapsed="false">
      <c r="A87" s="0" t="s">
        <v>70</v>
      </c>
      <c r="B87" s="1" t="n">
        <v>43947</v>
      </c>
      <c r="C87" s="0" t="n">
        <v>3897</v>
      </c>
      <c r="D87" s="0" t="n">
        <v>139</v>
      </c>
      <c r="E87" s="0" t="n">
        <v>159</v>
      </c>
      <c r="F87" s="0" t="n">
        <v>1</v>
      </c>
      <c r="G87" s="0" t="n">
        <v>537</v>
      </c>
      <c r="H87" s="0" t="n">
        <v>3201</v>
      </c>
      <c r="I87" s="0" t="n">
        <v>1</v>
      </c>
      <c r="J87" s="0" t="n">
        <v>106</v>
      </c>
      <c r="K87" s="0" t="n">
        <v>4</v>
      </c>
      <c r="L87" s="0" t="n">
        <v>25443</v>
      </c>
      <c r="M87" s="0" t="n">
        <v>689</v>
      </c>
    </row>
    <row r="88" customFormat="false" ht="13.5" hidden="false" customHeight="false" outlineLevel="0" collapsed="false">
      <c r="A88" s="0" t="s">
        <v>70</v>
      </c>
      <c r="B88" s="1" t="n">
        <v>43948</v>
      </c>
      <c r="C88" s="0" t="n">
        <v>4065</v>
      </c>
      <c r="D88" s="0" t="n">
        <v>168</v>
      </c>
      <c r="E88" s="0" t="n">
        <v>161</v>
      </c>
      <c r="F88" s="0" t="n">
        <v>2</v>
      </c>
      <c r="G88" s="0" t="n">
        <v>593</v>
      </c>
      <c r="H88" s="0" t="n">
        <v>3311</v>
      </c>
      <c r="I88" s="0" t="n">
        <v>1</v>
      </c>
      <c r="J88" s="0" t="n">
        <v>110</v>
      </c>
      <c r="K88" s="0" t="n">
        <v>4</v>
      </c>
      <c r="L88" s="0" t="n">
        <v>27399</v>
      </c>
      <c r="M88" s="0" t="n">
        <v>742</v>
      </c>
    </row>
    <row r="89" customFormat="false" ht="13.5" hidden="false" customHeight="false" outlineLevel="0" collapsed="false">
      <c r="A89" s="0" t="s">
        <v>70</v>
      </c>
      <c r="B89" s="1" t="n">
        <v>43949</v>
      </c>
      <c r="C89" s="2" t="n">
        <v>4120</v>
      </c>
      <c r="D89" s="2" t="n">
        <v>55</v>
      </c>
      <c r="E89" s="2" t="n">
        <v>162</v>
      </c>
      <c r="F89" s="2" t="n">
        <v>1</v>
      </c>
      <c r="G89" s="2" t="n">
        <v>695</v>
      </c>
      <c r="H89" s="2" t="n">
        <v>3263</v>
      </c>
      <c r="I89" s="2" t="n">
        <v>1</v>
      </c>
      <c r="J89" s="2" t="n">
        <v>112</v>
      </c>
      <c r="K89" s="2" t="n">
        <v>4</v>
      </c>
      <c r="L89" s="2" t="n">
        <v>29254</v>
      </c>
      <c r="M89" s="2" t="n">
        <v>793</v>
      </c>
    </row>
    <row r="90" customFormat="false" ht="13.5" hidden="false" customHeight="false" outlineLevel="0" collapsed="false">
      <c r="A90" s="0" t="s">
        <v>70</v>
      </c>
      <c r="B90" s="1" t="n">
        <v>43950</v>
      </c>
      <c r="C90" s="2" t="n">
        <v>4252</v>
      </c>
      <c r="D90" s="2" t="n">
        <v>132</v>
      </c>
      <c r="E90" s="2" t="n">
        <v>165</v>
      </c>
      <c r="F90" s="2" t="n">
        <v>3</v>
      </c>
      <c r="G90" s="2" t="n">
        <v>778</v>
      </c>
      <c r="H90" s="2" t="n">
        <v>3309</v>
      </c>
      <c r="I90" s="2" t="n">
        <v>1</v>
      </c>
      <c r="J90" s="2" t="n">
        <v>115</v>
      </c>
      <c r="K90" s="2" t="n">
        <v>4</v>
      </c>
      <c r="L90" s="2" t="n">
        <v>32250</v>
      </c>
      <c r="M90" s="2" t="n">
        <v>874</v>
      </c>
    </row>
    <row r="91" customFormat="false" ht="13.5" hidden="false" customHeight="false" outlineLevel="0" collapsed="false">
      <c r="A91" s="0" t="s">
        <v>70</v>
      </c>
      <c r="B91" s="1" t="n">
        <v>43951</v>
      </c>
      <c r="C91" s="2" t="n">
        <v>4321</v>
      </c>
      <c r="D91" s="2" t="n">
        <v>69</v>
      </c>
      <c r="E91" s="2" t="n">
        <v>168</v>
      </c>
      <c r="F91" s="2" t="n">
        <v>3</v>
      </c>
      <c r="G91" s="2" t="n">
        <v>928</v>
      </c>
      <c r="H91" s="2" t="n">
        <v>3225</v>
      </c>
      <c r="I91" s="2" t="n">
        <v>1</v>
      </c>
      <c r="J91" s="2" t="n">
        <v>117</v>
      </c>
      <c r="K91" s="2" t="n">
        <v>5</v>
      </c>
      <c r="L91" s="2" t="n">
        <v>32930</v>
      </c>
      <c r="M91" s="2" t="n">
        <v>892</v>
      </c>
    </row>
    <row r="92" customFormat="false" ht="13.5" hidden="false" customHeight="false" outlineLevel="0" collapsed="false">
      <c r="A92" s="0" t="s">
        <v>70</v>
      </c>
      <c r="B92" s="1" t="n">
        <v>43952</v>
      </c>
      <c r="C92" s="2" t="n">
        <v>4423</v>
      </c>
      <c r="D92" s="2" t="n">
        <v>102</v>
      </c>
      <c r="E92" s="2" t="n">
        <v>170</v>
      </c>
      <c r="F92" s="2" t="n">
        <v>2</v>
      </c>
      <c r="G92" s="2" t="n">
        <v>984</v>
      </c>
      <c r="H92" s="2" t="n">
        <v>3269</v>
      </c>
      <c r="I92" s="2" t="n">
        <v>1</v>
      </c>
      <c r="J92" s="2" t="n">
        <v>120</v>
      </c>
      <c r="K92" s="2" t="n">
        <v>5</v>
      </c>
      <c r="L92" s="2" t="n">
        <v>34841</v>
      </c>
      <c r="M92" s="2" t="n">
        <v>944</v>
      </c>
    </row>
    <row r="93" customFormat="false" ht="13.5" hidden="false" customHeight="false" outlineLevel="0" collapsed="false">
      <c r="A93" s="0" t="s">
        <v>70</v>
      </c>
      <c r="B93" s="1" t="n">
        <v>43953</v>
      </c>
      <c r="C93" s="0" t="e">
        <f aca="false">sheet1!apm94</f>
        <v>#NAME?</v>
      </c>
      <c r="D93" s="0" t="e">
        <f aca="false">sheet1!apn94</f>
        <v>#NAME?</v>
      </c>
      <c r="E93" s="0" t="e">
        <f aca="false">sheet1!apo94</f>
        <v>#NAME?</v>
      </c>
      <c r="F93" s="0" t="e">
        <f aca="false">sheet1!app94</f>
        <v>#NAME?</v>
      </c>
      <c r="G93" s="0" t="e">
        <f aca="false">sheet1!apq94</f>
        <v>#NAME?</v>
      </c>
      <c r="H93" s="0" t="e">
        <f aca="false">sheet1!apr94</f>
        <v>#NAME?</v>
      </c>
      <c r="I93" s="0" t="e">
        <f aca="false">sheet1!aps94</f>
        <v>#NAME?</v>
      </c>
      <c r="J93" s="0" t="e">
        <f aca="false">sheet1!apt94</f>
        <v>#NAME?</v>
      </c>
      <c r="K93" s="0" t="e">
        <f aca="false">sheet1!apu94</f>
        <v>#NAME?</v>
      </c>
      <c r="L93" s="0" t="e">
        <f aca="false">sheet1!apv94</f>
        <v>#NAME?</v>
      </c>
      <c r="M93" s="0" t="e">
        <f aca="false">sheet1!apw94</f>
        <v>#NAME?</v>
      </c>
    </row>
    <row r="94" customFormat="false" ht="13.5" hidden="false" customHeight="false" outlineLevel="0" collapsed="false">
      <c r="A94" s="0" t="s">
        <v>70</v>
      </c>
      <c r="B94" s="1" t="n">
        <v>43954</v>
      </c>
      <c r="C94" s="0" t="e">
        <f aca="false">sheet1!apm95</f>
        <v>#NAME?</v>
      </c>
      <c r="D94" s="0" t="e">
        <f aca="false">sheet1!apn95</f>
        <v>#NAME?</v>
      </c>
      <c r="E94" s="0" t="e">
        <f aca="false">sheet1!apo95</f>
        <v>#NAME?</v>
      </c>
      <c r="F94" s="0" t="e">
        <f aca="false">sheet1!app95</f>
        <v>#NAME?</v>
      </c>
      <c r="G94" s="0" t="e">
        <f aca="false">sheet1!apq95</f>
        <v>#NAME?</v>
      </c>
      <c r="H94" s="0" t="e">
        <f aca="false">sheet1!apr95</f>
        <v>#NAME?</v>
      </c>
      <c r="I94" s="0" t="e">
        <f aca="false">sheet1!aps95</f>
        <v>#NAME?</v>
      </c>
      <c r="J94" s="0" t="e">
        <f aca="false">sheet1!apt95</f>
        <v>#NAME?</v>
      </c>
      <c r="K94" s="0" t="e">
        <f aca="false">sheet1!apu95</f>
        <v>#NAME?</v>
      </c>
      <c r="L94" s="0" t="e">
        <f aca="false">sheet1!apv95</f>
        <v>#NAME?</v>
      </c>
      <c r="M94" s="0" t="e">
        <f aca="false">sheet1!apw95</f>
        <v>#NAME?</v>
      </c>
    </row>
    <row r="95" customFormat="false" ht="13.5" hidden="false" customHeight="false" outlineLevel="0" collapsed="false">
      <c r="A95" s="0" t="s">
        <v>70</v>
      </c>
      <c r="B95" s="1" t="n">
        <v>43955</v>
      </c>
      <c r="C95" s="0" t="e">
        <f aca="false">sheet1!apm96</f>
        <v>#NAME?</v>
      </c>
      <c r="D95" s="0" t="e">
        <f aca="false">sheet1!apn96</f>
        <v>#NAME?</v>
      </c>
      <c r="E95" s="0" t="e">
        <f aca="false">sheet1!apo96</f>
        <v>#NAME?</v>
      </c>
      <c r="F95" s="0" t="e">
        <f aca="false">sheet1!app96</f>
        <v>#NAME?</v>
      </c>
      <c r="G95" s="0" t="e">
        <f aca="false">sheet1!apq96</f>
        <v>#NAME?</v>
      </c>
      <c r="H95" s="0" t="e">
        <f aca="false">sheet1!apr96</f>
        <v>#NAME?</v>
      </c>
      <c r="I95" s="0" t="e">
        <f aca="false">sheet1!aps96</f>
        <v>#NAME?</v>
      </c>
      <c r="J95" s="0" t="e">
        <f aca="false">sheet1!apt96</f>
        <v>#NAME?</v>
      </c>
      <c r="K95" s="0" t="e">
        <f aca="false">sheet1!apu96</f>
        <v>#NAME?</v>
      </c>
      <c r="L95" s="0" t="e">
        <f aca="false">sheet1!apv96</f>
        <v>#NAME?</v>
      </c>
      <c r="M95" s="0" t="e">
        <f aca="false">sheet1!apw96</f>
        <v>#NAME?</v>
      </c>
    </row>
    <row r="96" customFormat="false" ht="13.5" hidden="false" customHeight="false" outlineLevel="0" collapsed="false">
      <c r="A96" s="0" t="s">
        <v>70</v>
      </c>
      <c r="B96" s="1" t="n">
        <v>43956</v>
      </c>
      <c r="C96" s="0" t="e">
        <f aca="false">sheet1!apm97</f>
        <v>#NAME?</v>
      </c>
      <c r="D96" s="0" t="e">
        <f aca="false">sheet1!apn97</f>
        <v>#NAME?</v>
      </c>
      <c r="E96" s="0" t="e">
        <f aca="false">sheet1!apo97</f>
        <v>#NAME?</v>
      </c>
      <c r="F96" s="0" t="e">
        <f aca="false">sheet1!app97</f>
        <v>#NAME?</v>
      </c>
      <c r="G96" s="0" t="e">
        <f aca="false">sheet1!apq97</f>
        <v>#NAME?</v>
      </c>
      <c r="H96" s="0" t="e">
        <f aca="false">sheet1!apr97</f>
        <v>#NAME?</v>
      </c>
      <c r="I96" s="0" t="e">
        <f aca="false">sheet1!aps97</f>
        <v>#NAME?</v>
      </c>
      <c r="J96" s="0" t="e">
        <f aca="false">sheet1!apt97</f>
        <v>#NAME?</v>
      </c>
      <c r="K96" s="0" t="e">
        <f aca="false">sheet1!apu97</f>
        <v>#NAME?</v>
      </c>
      <c r="L96" s="0" t="e">
        <f aca="false">sheet1!apv97</f>
        <v>#NAME?</v>
      </c>
      <c r="M96" s="0" t="e">
        <f aca="false">sheet1!apw97</f>
        <v>#NAME?</v>
      </c>
    </row>
    <row r="97" customFormat="false" ht="13.5" hidden="false" customHeight="false" outlineLevel="0" collapsed="false">
      <c r="A97" s="0" t="s">
        <v>70</v>
      </c>
      <c r="B97" s="1" t="n">
        <v>43957</v>
      </c>
      <c r="C97" s="0" t="e">
        <f aca="false">sheet1!apm98</f>
        <v>#NAME?</v>
      </c>
      <c r="D97" s="0" t="e">
        <f aca="false">sheet1!apn98</f>
        <v>#NAME?</v>
      </c>
      <c r="E97" s="0" t="e">
        <f aca="false">sheet1!apo98</f>
        <v>#NAME?</v>
      </c>
      <c r="F97" s="0" t="e">
        <f aca="false">sheet1!app98</f>
        <v>#NAME?</v>
      </c>
      <c r="G97" s="0" t="e">
        <f aca="false">sheet1!apq98</f>
        <v>#NAME?</v>
      </c>
      <c r="H97" s="0" t="e">
        <f aca="false">sheet1!apr98</f>
        <v>#NAME?</v>
      </c>
      <c r="I97" s="0" t="e">
        <f aca="false">sheet1!aps98</f>
        <v>#NAME?</v>
      </c>
      <c r="J97" s="0" t="e">
        <f aca="false">sheet1!apt98</f>
        <v>#NAME?</v>
      </c>
      <c r="K97" s="0" t="e">
        <f aca="false">sheet1!apu98</f>
        <v>#NAME?</v>
      </c>
      <c r="L97" s="0" t="e">
        <f aca="false">sheet1!apv98</f>
        <v>#NAME?</v>
      </c>
      <c r="M97" s="0" t="e">
        <f aca="false">sheet1!apw98</f>
        <v>#NAME?</v>
      </c>
    </row>
    <row r="98" customFormat="false" ht="13.5" hidden="false" customHeight="false" outlineLevel="0" collapsed="false">
      <c r="A98" s="0" t="s">
        <v>70</v>
      </c>
      <c r="B98" s="1" t="n">
        <v>43958</v>
      </c>
      <c r="C98" s="0" t="e">
        <f aca="false">sheet1!apm99</f>
        <v>#NAME?</v>
      </c>
      <c r="D98" s="0" t="e">
        <f aca="false">sheet1!apn99</f>
        <v>#NAME?</v>
      </c>
      <c r="E98" s="0" t="e">
        <f aca="false">sheet1!apo99</f>
        <v>#NAME?</v>
      </c>
      <c r="F98" s="0" t="e">
        <f aca="false">sheet1!app99</f>
        <v>#NAME?</v>
      </c>
      <c r="G98" s="0" t="e">
        <f aca="false">sheet1!apq99</f>
        <v>#NAME?</v>
      </c>
      <c r="H98" s="0" t="e">
        <f aca="false">sheet1!apr99</f>
        <v>#NAME?</v>
      </c>
      <c r="I98" s="0" t="e">
        <f aca="false">sheet1!aps99</f>
        <v>#NAME?</v>
      </c>
      <c r="J98" s="0" t="e">
        <f aca="false">sheet1!apt99</f>
        <v>#NAME?</v>
      </c>
      <c r="K98" s="0" t="e">
        <f aca="false">sheet1!apu99</f>
        <v>#NAME?</v>
      </c>
      <c r="L98" s="0" t="e">
        <f aca="false">sheet1!apv99</f>
        <v>#NAME?</v>
      </c>
      <c r="M98" s="0" t="e">
        <f aca="false">sheet1!apw99</f>
        <v>#NAME?</v>
      </c>
    </row>
    <row r="99" customFormat="false" ht="13.5" hidden="false" customHeight="false" outlineLevel="0" collapsed="false">
      <c r="A99" s="0" t="s">
        <v>70</v>
      </c>
      <c r="B99" s="1" t="n">
        <v>43959</v>
      </c>
      <c r="C99" s="0" t="e">
        <f aca="false">sheet1!apm100</f>
        <v>#NAME?</v>
      </c>
      <c r="D99" s="0" t="e">
        <f aca="false">sheet1!apn100</f>
        <v>#NAME?</v>
      </c>
      <c r="E99" s="0" t="e">
        <f aca="false">sheet1!apo100</f>
        <v>#NAME?</v>
      </c>
      <c r="F99" s="0" t="e">
        <f aca="false">sheet1!app100</f>
        <v>#NAME?</v>
      </c>
      <c r="G99" s="0" t="e">
        <f aca="false">sheet1!apq100</f>
        <v>#NAME?</v>
      </c>
      <c r="H99" s="0" t="e">
        <f aca="false">sheet1!apr100</f>
        <v>#NAME?</v>
      </c>
      <c r="I99" s="0" t="e">
        <f aca="false">sheet1!aps100</f>
        <v>#NAME?</v>
      </c>
      <c r="J99" s="0" t="e">
        <f aca="false">sheet1!apt100</f>
        <v>#NAME?</v>
      </c>
      <c r="K99" s="0" t="e">
        <f aca="false">sheet1!apu100</f>
        <v>#NAME?</v>
      </c>
      <c r="L99" s="0" t="e">
        <f aca="false">sheet1!apv100</f>
        <v>#NAME?</v>
      </c>
      <c r="M99" s="0" t="e">
        <f aca="false">sheet1!apw100</f>
        <v>#NAME?</v>
      </c>
    </row>
    <row r="100" customFormat="false" ht="13.5" hidden="false" customHeight="false" outlineLevel="0" collapsed="false">
      <c r="A100" s="0" t="s">
        <v>70</v>
      </c>
      <c r="B100" s="1" t="n">
        <v>43960</v>
      </c>
      <c r="C100" s="0" t="e">
        <f aca="false">sheet1!apm101</f>
        <v>#NAME?</v>
      </c>
      <c r="D100" s="0" t="e">
        <f aca="false">sheet1!apn101</f>
        <v>#NAME?</v>
      </c>
      <c r="E100" s="0" t="e">
        <f aca="false">sheet1!apo101</f>
        <v>#NAME?</v>
      </c>
      <c r="F100" s="0" t="e">
        <f aca="false">sheet1!app101</f>
        <v>#NAME?</v>
      </c>
      <c r="G100" s="0" t="e">
        <f aca="false">sheet1!apq101</f>
        <v>#NAME?</v>
      </c>
      <c r="H100" s="0" t="e">
        <f aca="false">sheet1!apr101</f>
        <v>#NAME?</v>
      </c>
      <c r="I100" s="0" t="e">
        <f aca="false">sheet1!aps101</f>
        <v>#NAME?</v>
      </c>
      <c r="J100" s="0" t="e">
        <f aca="false">sheet1!apt101</f>
        <v>#NAME?</v>
      </c>
      <c r="K100" s="0" t="e">
        <f aca="false">sheet1!apu101</f>
        <v>#NAME?</v>
      </c>
      <c r="L100" s="0" t="e">
        <f aca="false">sheet1!apv101</f>
        <v>#NAME?</v>
      </c>
      <c r="M100" s="0" t="e">
        <f aca="false">sheet1!apw101</f>
        <v>#NAME?</v>
      </c>
    </row>
    <row r="101" customFormat="false" ht="13.5" hidden="false" customHeight="false" outlineLevel="0" collapsed="false">
      <c r="A101" s="0" t="s">
        <v>70</v>
      </c>
      <c r="B101" s="1" t="n">
        <v>43961</v>
      </c>
      <c r="C101" s="0" t="e">
        <f aca="false">sheet1!apm102</f>
        <v>#NAME?</v>
      </c>
      <c r="D101" s="0" t="e">
        <f aca="false">sheet1!apn102</f>
        <v>#NAME?</v>
      </c>
      <c r="E101" s="0" t="e">
        <f aca="false">sheet1!apo102</f>
        <v>#NAME?</v>
      </c>
      <c r="F101" s="0" t="e">
        <f aca="false">sheet1!app102</f>
        <v>#NAME?</v>
      </c>
      <c r="G101" s="0" t="e">
        <f aca="false">sheet1!apq102</f>
        <v>#NAME?</v>
      </c>
      <c r="H101" s="0" t="e">
        <f aca="false">sheet1!apr102</f>
        <v>#NAME?</v>
      </c>
      <c r="I101" s="0" t="e">
        <f aca="false">sheet1!aps102</f>
        <v>#NAME?</v>
      </c>
      <c r="J101" s="0" t="e">
        <f aca="false">sheet1!apt102</f>
        <v>#NAME?</v>
      </c>
      <c r="K101" s="0" t="e">
        <f aca="false">sheet1!apu102</f>
        <v>#NAME?</v>
      </c>
      <c r="L101" s="0" t="e">
        <f aca="false">sheet1!apv102</f>
        <v>#NAME?</v>
      </c>
      <c r="M101" s="0" t="e">
        <f aca="false">sheet1!apw102</f>
        <v>#NAME?</v>
      </c>
    </row>
    <row r="102" customFormat="false" ht="13.5" hidden="false" customHeight="false" outlineLevel="0" collapsed="false">
      <c r="A102" s="0" t="s">
        <v>70</v>
      </c>
      <c r="B102" s="1" t="n">
        <v>43962</v>
      </c>
      <c r="C102" s="0" t="e">
        <f aca="false">sheet1!apm103</f>
        <v>#NAME?</v>
      </c>
      <c r="D102" s="0" t="e">
        <f aca="false">sheet1!apn103</f>
        <v>#NAME?</v>
      </c>
      <c r="E102" s="0" t="e">
        <f aca="false">sheet1!apo103</f>
        <v>#NAME?</v>
      </c>
      <c r="F102" s="0" t="e">
        <f aca="false">sheet1!app103</f>
        <v>#NAME?</v>
      </c>
      <c r="G102" s="0" t="e">
        <f aca="false">sheet1!apq103</f>
        <v>#NAME?</v>
      </c>
      <c r="H102" s="0" t="e">
        <f aca="false">sheet1!apr103</f>
        <v>#NAME?</v>
      </c>
      <c r="I102" s="0" t="e">
        <f aca="false">sheet1!aps103</f>
        <v>#NAME?</v>
      </c>
      <c r="J102" s="0" t="e">
        <f aca="false">sheet1!apt103</f>
        <v>#NAME?</v>
      </c>
      <c r="K102" s="0" t="e">
        <f aca="false">sheet1!apu103</f>
        <v>#NAME?</v>
      </c>
      <c r="L102" s="0" t="e">
        <f aca="false">sheet1!apv103</f>
        <v>#NAME?</v>
      </c>
      <c r="M102" s="0" t="e">
        <f aca="false">sheet1!apw103</f>
        <v>#NAME?</v>
      </c>
    </row>
    <row r="103" customFormat="false" ht="13.5" hidden="false" customHeight="false" outlineLevel="0" collapsed="false">
      <c r="A103" s="0" t="s">
        <v>70</v>
      </c>
      <c r="B103" s="1" t="n">
        <v>43963</v>
      </c>
      <c r="C103" s="0" t="e">
        <f aca="false">sheet1!apm104</f>
        <v>#NAME?</v>
      </c>
      <c r="D103" s="0" t="e">
        <f aca="false">sheet1!apn104</f>
        <v>#NAME?</v>
      </c>
      <c r="E103" s="0" t="e">
        <f aca="false">sheet1!apo104</f>
        <v>#NAME?</v>
      </c>
      <c r="F103" s="0" t="e">
        <f aca="false">sheet1!app104</f>
        <v>#NAME?</v>
      </c>
      <c r="G103" s="0" t="e">
        <f aca="false">sheet1!apq104</f>
        <v>#NAME?</v>
      </c>
      <c r="H103" s="0" t="e">
        <f aca="false">sheet1!apr104</f>
        <v>#NAME?</v>
      </c>
      <c r="I103" s="0" t="e">
        <f aca="false">sheet1!aps104</f>
        <v>#NAME?</v>
      </c>
      <c r="J103" s="0" t="e">
        <f aca="false">sheet1!apt104</f>
        <v>#NAME?</v>
      </c>
      <c r="K103" s="0" t="e">
        <f aca="false">sheet1!apu104</f>
        <v>#NAME?</v>
      </c>
      <c r="L103" s="0" t="e">
        <f aca="false">sheet1!apv104</f>
        <v>#NAME?</v>
      </c>
      <c r="M103" s="0" t="e">
        <f aca="false">sheet1!apw104</f>
        <v>#NAME?</v>
      </c>
    </row>
    <row r="104" customFormat="false" ht="13.5" hidden="false" customHeight="false" outlineLevel="0" collapsed="false">
      <c r="A104" s="0" t="s">
        <v>70</v>
      </c>
      <c r="B104" s="1" t="n">
        <v>43964</v>
      </c>
      <c r="C104" s="0" t="e">
        <f aca="false">sheet1!apm105</f>
        <v>#NAME?</v>
      </c>
      <c r="D104" s="0" t="e">
        <f aca="false">sheet1!apn105</f>
        <v>#NAME?</v>
      </c>
      <c r="E104" s="0" t="e">
        <f aca="false">sheet1!apo105</f>
        <v>#NAME?</v>
      </c>
      <c r="F104" s="0" t="e">
        <f aca="false">sheet1!app105</f>
        <v>#NAME?</v>
      </c>
      <c r="G104" s="0" t="e">
        <f aca="false">sheet1!apq105</f>
        <v>#NAME?</v>
      </c>
      <c r="H104" s="0" t="e">
        <f aca="false">sheet1!apr105</f>
        <v>#NAME?</v>
      </c>
      <c r="I104" s="0" t="e">
        <f aca="false">sheet1!aps105</f>
        <v>#NAME?</v>
      </c>
      <c r="J104" s="0" t="e">
        <f aca="false">sheet1!apt105</f>
        <v>#NAME?</v>
      </c>
      <c r="K104" s="0" t="e">
        <f aca="false">sheet1!apu105</f>
        <v>#NAME?</v>
      </c>
      <c r="L104" s="0" t="e">
        <f aca="false">sheet1!apv105</f>
        <v>#NAME?</v>
      </c>
      <c r="M104" s="0" t="e">
        <f aca="false">sheet1!apw105</f>
        <v>#NAME?</v>
      </c>
    </row>
    <row r="105" customFormat="false" ht="13.5" hidden="false" customHeight="false" outlineLevel="0" collapsed="false">
      <c r="A105" s="0" t="s">
        <v>70</v>
      </c>
      <c r="B105" s="1" t="n">
        <v>43965</v>
      </c>
      <c r="C105" s="0" t="e">
        <f aca="false">sheet1!apm106</f>
        <v>#NAME?</v>
      </c>
      <c r="D105" s="0" t="e">
        <f aca="false">sheet1!apn106</f>
        <v>#NAME?</v>
      </c>
      <c r="E105" s="0" t="e">
        <f aca="false">sheet1!apo106</f>
        <v>#NAME?</v>
      </c>
      <c r="F105" s="0" t="e">
        <f aca="false">sheet1!app106</f>
        <v>#NAME?</v>
      </c>
      <c r="G105" s="0" t="e">
        <f aca="false">sheet1!apq106</f>
        <v>#NAME?</v>
      </c>
      <c r="H105" s="0" t="e">
        <f aca="false">sheet1!apr106</f>
        <v>#NAME?</v>
      </c>
      <c r="I105" s="0" t="e">
        <f aca="false">sheet1!aps106</f>
        <v>#NAME?</v>
      </c>
      <c r="J105" s="0" t="e">
        <f aca="false">sheet1!apt106</f>
        <v>#NAME?</v>
      </c>
      <c r="K105" s="0" t="e">
        <f aca="false">sheet1!apu106</f>
        <v>#NAME?</v>
      </c>
      <c r="L105" s="0" t="e">
        <f aca="false">sheet1!apv106</f>
        <v>#NAME?</v>
      </c>
      <c r="M105" s="0" t="e">
        <f aca="false">sheet1!apw106</f>
        <v>#NAME?</v>
      </c>
    </row>
    <row r="106" customFormat="false" ht="13.5" hidden="false" customHeight="false" outlineLevel="0" collapsed="false">
      <c r="A106" s="0" t="s">
        <v>70</v>
      </c>
      <c r="B106" s="1" t="n">
        <v>43966</v>
      </c>
      <c r="C106" s="0" t="e">
        <f aca="false">sheet1!apm107</f>
        <v>#NAME?</v>
      </c>
      <c r="D106" s="0" t="e">
        <f aca="false">sheet1!apn107</f>
        <v>#NAME?</v>
      </c>
      <c r="E106" s="0" t="e">
        <f aca="false">sheet1!apo107</f>
        <v>#NAME?</v>
      </c>
      <c r="F106" s="0" t="e">
        <f aca="false">sheet1!app107</f>
        <v>#NAME?</v>
      </c>
      <c r="G106" s="0" t="e">
        <f aca="false">sheet1!apq107</f>
        <v>#NAME?</v>
      </c>
      <c r="H106" s="0" t="e">
        <f aca="false">sheet1!apr107</f>
        <v>#NAME?</v>
      </c>
      <c r="I106" s="0" t="e">
        <f aca="false">sheet1!aps107</f>
        <v>#NAME?</v>
      </c>
      <c r="J106" s="0" t="e">
        <f aca="false">sheet1!apt107</f>
        <v>#NAME?</v>
      </c>
      <c r="K106" s="0" t="e">
        <f aca="false">sheet1!apu107</f>
        <v>#NAME?</v>
      </c>
      <c r="L106" s="0" t="e">
        <f aca="false">sheet1!apv107</f>
        <v>#NAME?</v>
      </c>
      <c r="M106" s="0" t="e">
        <f aca="false">sheet1!apw107</f>
        <v>#NAME?</v>
      </c>
    </row>
    <row r="107" customFormat="false" ht="13.5" hidden="false" customHeight="false" outlineLevel="0" collapsed="false">
      <c r="A107" s="0" t="s">
        <v>70</v>
      </c>
      <c r="B107" s="1" t="n">
        <v>43967</v>
      </c>
      <c r="C107" s="0" t="e">
        <f aca="false">sheet1!apm108</f>
        <v>#NAME?</v>
      </c>
      <c r="D107" s="0" t="e">
        <f aca="false">sheet1!apn108</f>
        <v>#NAME?</v>
      </c>
      <c r="E107" s="0" t="e">
        <f aca="false">sheet1!apo108</f>
        <v>#NAME?</v>
      </c>
      <c r="F107" s="0" t="e">
        <f aca="false">sheet1!app108</f>
        <v>#NAME?</v>
      </c>
      <c r="G107" s="0" t="e">
        <f aca="false">sheet1!apq108</f>
        <v>#NAME?</v>
      </c>
      <c r="H107" s="0" t="e">
        <f aca="false">sheet1!apr108</f>
        <v>#NAME?</v>
      </c>
      <c r="I107" s="0" t="e">
        <f aca="false">sheet1!aps108</f>
        <v>#NAME?</v>
      </c>
      <c r="J107" s="0" t="e">
        <f aca="false">sheet1!apt108</f>
        <v>#NAME?</v>
      </c>
      <c r="K107" s="0" t="e">
        <f aca="false">sheet1!apu108</f>
        <v>#NAME?</v>
      </c>
      <c r="L107" s="0" t="e">
        <f aca="false">sheet1!apv108</f>
        <v>#NAME?</v>
      </c>
      <c r="M107" s="0" t="e">
        <f aca="false">sheet1!apw108</f>
        <v>#NAME?</v>
      </c>
    </row>
    <row r="108" customFormat="false" ht="13.5" hidden="false" customHeight="false" outlineLevel="0" collapsed="false">
      <c r="A108" s="0" t="s">
        <v>70</v>
      </c>
      <c r="B108" s="1" t="n">
        <v>43968</v>
      </c>
      <c r="C108" s="0" t="e">
        <f aca="false">sheet1!apm109</f>
        <v>#NAME?</v>
      </c>
      <c r="D108" s="0" t="e">
        <f aca="false">sheet1!apn109</f>
        <v>#NAME?</v>
      </c>
      <c r="E108" s="0" t="e">
        <f aca="false">sheet1!apo109</f>
        <v>#NAME?</v>
      </c>
      <c r="F108" s="0" t="e">
        <f aca="false">sheet1!app109</f>
        <v>#NAME?</v>
      </c>
      <c r="G108" s="0" t="e">
        <f aca="false">sheet1!apq109</f>
        <v>#NAME?</v>
      </c>
      <c r="H108" s="0" t="e">
        <f aca="false">sheet1!apr109</f>
        <v>#NAME?</v>
      </c>
      <c r="I108" s="0" t="e">
        <f aca="false">sheet1!aps109</f>
        <v>#NAME?</v>
      </c>
      <c r="J108" s="0" t="e">
        <f aca="false">sheet1!apt109</f>
        <v>#NAME?</v>
      </c>
      <c r="K108" s="0" t="e">
        <f aca="false">sheet1!apu109</f>
        <v>#NAME?</v>
      </c>
      <c r="L108" s="0" t="e">
        <f aca="false">sheet1!apv109</f>
        <v>#NAME?</v>
      </c>
      <c r="M108" s="0" t="e">
        <f aca="false">sheet1!apw109</f>
        <v>#NAME?</v>
      </c>
    </row>
    <row r="109" customFormat="false" ht="13.5" hidden="false" customHeight="false" outlineLevel="0" collapsed="false">
      <c r="A109" s="0" t="s">
        <v>70</v>
      </c>
      <c r="B109" s="1" t="n">
        <v>43969</v>
      </c>
      <c r="C109" s="0" t="e">
        <f aca="false">sheet1!apm110</f>
        <v>#NAME?</v>
      </c>
      <c r="D109" s="0" t="e">
        <f aca="false">sheet1!apn110</f>
        <v>#NAME?</v>
      </c>
      <c r="E109" s="0" t="e">
        <f aca="false">sheet1!apo110</f>
        <v>#NAME?</v>
      </c>
      <c r="F109" s="0" t="e">
        <f aca="false">sheet1!app110</f>
        <v>#NAME?</v>
      </c>
      <c r="G109" s="0" t="e">
        <f aca="false">sheet1!apq110</f>
        <v>#NAME?</v>
      </c>
      <c r="H109" s="0" t="e">
        <f aca="false">sheet1!apr110</f>
        <v>#NAME?</v>
      </c>
      <c r="I109" s="0" t="e">
        <f aca="false">sheet1!aps110</f>
        <v>#NAME?</v>
      </c>
      <c r="J109" s="0" t="e">
        <f aca="false">sheet1!apt110</f>
        <v>#NAME?</v>
      </c>
      <c r="K109" s="0" t="e">
        <f aca="false">sheet1!apu110</f>
        <v>#NAME?</v>
      </c>
      <c r="L109" s="0" t="e">
        <f aca="false">sheet1!apv110</f>
        <v>#NAME?</v>
      </c>
      <c r="M109" s="0" t="e">
        <f aca="false">sheet1!apw110</f>
        <v>#NAME?</v>
      </c>
    </row>
    <row r="110" customFormat="false" ht="13.5" hidden="false" customHeight="false" outlineLevel="0" collapsed="false">
      <c r="A110" s="0" t="s">
        <v>70</v>
      </c>
      <c r="B110" s="1" t="n">
        <v>43970</v>
      </c>
      <c r="C110" s="0" t="e">
        <f aca="false">sheet1!apm111</f>
        <v>#NAME?</v>
      </c>
      <c r="D110" s="0" t="e">
        <f aca="false">sheet1!apn111</f>
        <v>#NAME?</v>
      </c>
      <c r="E110" s="0" t="e">
        <f aca="false">sheet1!apo111</f>
        <v>#NAME?</v>
      </c>
      <c r="F110" s="0" t="e">
        <f aca="false">sheet1!app111</f>
        <v>#NAME?</v>
      </c>
      <c r="G110" s="0" t="e">
        <f aca="false">sheet1!apq111</f>
        <v>#NAME?</v>
      </c>
      <c r="H110" s="0" t="e">
        <f aca="false">sheet1!apr111</f>
        <v>#NAME?</v>
      </c>
      <c r="I110" s="0" t="e">
        <f aca="false">sheet1!aps111</f>
        <v>#NAME?</v>
      </c>
      <c r="J110" s="0" t="e">
        <f aca="false">sheet1!apt111</f>
        <v>#NAME?</v>
      </c>
      <c r="K110" s="0" t="e">
        <f aca="false">sheet1!apu111</f>
        <v>#NAME?</v>
      </c>
      <c r="L110" s="0" t="e">
        <f aca="false">sheet1!apv111</f>
        <v>#NAME?</v>
      </c>
      <c r="M110" s="0" t="e">
        <f aca="false">sheet1!apw111</f>
        <v>#NAME?</v>
      </c>
    </row>
    <row r="111" customFormat="false" ht="13.5" hidden="false" customHeight="false" outlineLevel="0" collapsed="false">
      <c r="A111" s="0" t="s">
        <v>70</v>
      </c>
      <c r="B111" s="1" t="n">
        <v>43971</v>
      </c>
      <c r="C111" s="0" t="e">
        <f aca="false">sheet1!apm112</f>
        <v>#NAME?</v>
      </c>
      <c r="D111" s="0" t="e">
        <f aca="false">sheet1!apn112</f>
        <v>#NAME?</v>
      </c>
      <c r="E111" s="0" t="e">
        <f aca="false">sheet1!apo112</f>
        <v>#NAME?</v>
      </c>
      <c r="F111" s="0" t="e">
        <f aca="false">sheet1!app112</f>
        <v>#NAME?</v>
      </c>
      <c r="G111" s="0" t="e">
        <f aca="false">sheet1!apq112</f>
        <v>#NAME?</v>
      </c>
      <c r="H111" s="0" t="e">
        <f aca="false">sheet1!apr112</f>
        <v>#NAME?</v>
      </c>
      <c r="I111" s="0" t="e">
        <f aca="false">sheet1!aps112</f>
        <v>#NAME?</v>
      </c>
      <c r="J111" s="0" t="e">
        <f aca="false">sheet1!apt112</f>
        <v>#NAME?</v>
      </c>
      <c r="K111" s="0" t="e">
        <f aca="false">sheet1!apu112</f>
        <v>#NAME?</v>
      </c>
      <c r="L111" s="0" t="e">
        <f aca="false">sheet1!apv112</f>
        <v>#NAME?</v>
      </c>
      <c r="M111" s="0" t="e">
        <f aca="false">sheet1!apw112</f>
        <v>#NAME?</v>
      </c>
    </row>
    <row r="112" customFormat="false" ht="13.5" hidden="false" customHeight="false" outlineLevel="0" collapsed="false">
      <c r="A112" s="0" t="s">
        <v>70</v>
      </c>
      <c r="B112" s="1" t="n">
        <v>43972</v>
      </c>
      <c r="C112" s="0" t="e">
        <f aca="false">sheet1!apm113</f>
        <v>#NAME?</v>
      </c>
      <c r="D112" s="0" t="e">
        <f aca="false">sheet1!apn113</f>
        <v>#NAME?</v>
      </c>
      <c r="E112" s="0" t="e">
        <f aca="false">sheet1!apo113</f>
        <v>#NAME?</v>
      </c>
      <c r="F112" s="0" t="e">
        <f aca="false">sheet1!app113</f>
        <v>#NAME?</v>
      </c>
      <c r="G112" s="0" t="e">
        <f aca="false">sheet1!apq113</f>
        <v>#NAME?</v>
      </c>
      <c r="H112" s="0" t="e">
        <f aca="false">sheet1!apr113</f>
        <v>#NAME?</v>
      </c>
      <c r="I112" s="0" t="e">
        <f aca="false">sheet1!aps113</f>
        <v>#NAME?</v>
      </c>
      <c r="J112" s="0" t="e">
        <f aca="false">sheet1!apt113</f>
        <v>#NAME?</v>
      </c>
      <c r="K112" s="0" t="e">
        <f aca="false">sheet1!apu113</f>
        <v>#NAME?</v>
      </c>
      <c r="L112" s="0" t="e">
        <f aca="false">sheet1!apv113</f>
        <v>#NAME?</v>
      </c>
      <c r="M112" s="0" t="e">
        <f aca="false">sheet1!apw113</f>
        <v>#NAME?</v>
      </c>
    </row>
    <row r="113" customFormat="false" ht="13.5" hidden="false" customHeight="false" outlineLevel="0" collapsed="false">
      <c r="A113" s="0" t="s">
        <v>70</v>
      </c>
      <c r="B113" s="1" t="n">
        <v>43973</v>
      </c>
      <c r="C113" s="0" t="e">
        <f aca="false">sheet1!apm114</f>
        <v>#NAME?</v>
      </c>
      <c r="D113" s="0" t="e">
        <f aca="false">sheet1!apn114</f>
        <v>#NAME?</v>
      </c>
      <c r="E113" s="0" t="e">
        <f aca="false">sheet1!apo114</f>
        <v>#NAME?</v>
      </c>
      <c r="F113" s="0" t="e">
        <f aca="false">sheet1!app114</f>
        <v>#NAME?</v>
      </c>
      <c r="G113" s="0" t="e">
        <f aca="false">sheet1!apq114</f>
        <v>#NAME?</v>
      </c>
      <c r="H113" s="0" t="e">
        <f aca="false">sheet1!apr114</f>
        <v>#NAME?</v>
      </c>
      <c r="I113" s="0" t="e">
        <f aca="false">sheet1!aps114</f>
        <v>#NAME?</v>
      </c>
      <c r="J113" s="0" t="e">
        <f aca="false">sheet1!apt114</f>
        <v>#NAME?</v>
      </c>
      <c r="K113" s="0" t="e">
        <f aca="false">sheet1!apu114</f>
        <v>#NAME?</v>
      </c>
      <c r="L113" s="0" t="e">
        <f aca="false">sheet1!apv114</f>
        <v>#NAME?</v>
      </c>
      <c r="M113" s="0" t="e">
        <f aca="false">sheet1!apw114</f>
        <v>#NAME?</v>
      </c>
    </row>
    <row r="114" customFormat="false" ht="13.5" hidden="false" customHeight="false" outlineLevel="0" collapsed="false">
      <c r="A114" s="0" t="s">
        <v>70</v>
      </c>
      <c r="B114" s="1" t="n">
        <v>43974</v>
      </c>
      <c r="C114" s="0" t="e">
        <f aca="false">sheet1!apm115</f>
        <v>#NAME?</v>
      </c>
      <c r="D114" s="0" t="e">
        <f aca="false">sheet1!apn115</f>
        <v>#NAME?</v>
      </c>
      <c r="E114" s="0" t="e">
        <f aca="false">sheet1!apo115</f>
        <v>#NAME?</v>
      </c>
      <c r="F114" s="0" t="e">
        <f aca="false">sheet1!app115</f>
        <v>#NAME?</v>
      </c>
      <c r="G114" s="0" t="e">
        <f aca="false">sheet1!apq115</f>
        <v>#NAME?</v>
      </c>
      <c r="H114" s="0" t="e">
        <f aca="false">sheet1!apr115</f>
        <v>#NAME?</v>
      </c>
      <c r="I114" s="0" t="e">
        <f aca="false">sheet1!aps115</f>
        <v>#NAME?</v>
      </c>
      <c r="J114" s="0" t="e">
        <f aca="false">sheet1!apt115</f>
        <v>#NAME?</v>
      </c>
      <c r="K114" s="0" t="e">
        <f aca="false">sheet1!apu115</f>
        <v>#NAME?</v>
      </c>
      <c r="L114" s="0" t="e">
        <f aca="false">sheet1!apv115</f>
        <v>#NAME?</v>
      </c>
      <c r="M114" s="0" t="e">
        <f aca="false">sheet1!apw115</f>
        <v>#NAME?</v>
      </c>
    </row>
    <row r="115" customFormat="false" ht="13.5" hidden="false" customHeight="false" outlineLevel="0" collapsed="false">
      <c r="A115" s="0" t="s">
        <v>70</v>
      </c>
      <c r="B115" s="1" t="n">
        <v>43975</v>
      </c>
      <c r="C115" s="0" t="e">
        <f aca="false">sheet1!apm116</f>
        <v>#NAME?</v>
      </c>
      <c r="D115" s="0" t="e">
        <f aca="false">sheet1!apn116</f>
        <v>#NAME?</v>
      </c>
      <c r="E115" s="0" t="e">
        <f aca="false">sheet1!apo116</f>
        <v>#NAME?</v>
      </c>
      <c r="F115" s="0" t="e">
        <f aca="false">sheet1!app116</f>
        <v>#NAME?</v>
      </c>
      <c r="G115" s="0" t="e">
        <f aca="false">sheet1!apq116</f>
        <v>#NAME?</v>
      </c>
      <c r="H115" s="0" t="e">
        <f aca="false">sheet1!apr116</f>
        <v>#NAME?</v>
      </c>
      <c r="I115" s="0" t="e">
        <f aca="false">sheet1!aps116</f>
        <v>#NAME?</v>
      </c>
      <c r="J115" s="0" t="e">
        <f aca="false">sheet1!apt116</f>
        <v>#NAME?</v>
      </c>
      <c r="K115" s="0" t="e">
        <f aca="false">sheet1!apu116</f>
        <v>#NAME?</v>
      </c>
      <c r="L115" s="0" t="e">
        <f aca="false">sheet1!apv116</f>
        <v>#NAME?</v>
      </c>
      <c r="M115" s="0" t="e">
        <f aca="false">sheet1!apw116</f>
        <v>#NAME?</v>
      </c>
    </row>
    <row r="116" customFormat="false" ht="13.5" hidden="false" customHeight="false" outlineLevel="0" collapsed="false">
      <c r="A116" s="0" t="s">
        <v>70</v>
      </c>
      <c r="B116" s="1" t="n">
        <v>43976</v>
      </c>
      <c r="C116" s="0" t="e">
        <f aca="false">sheet1!apm117</f>
        <v>#NAME?</v>
      </c>
      <c r="D116" s="0" t="e">
        <f aca="false">sheet1!apn117</f>
        <v>#NAME?</v>
      </c>
      <c r="E116" s="0" t="e">
        <f aca="false">sheet1!apo117</f>
        <v>#NAME?</v>
      </c>
      <c r="F116" s="0" t="e">
        <f aca="false">sheet1!app117</f>
        <v>#NAME?</v>
      </c>
      <c r="G116" s="0" t="e">
        <f aca="false">sheet1!apq117</f>
        <v>#NAME?</v>
      </c>
      <c r="H116" s="0" t="e">
        <f aca="false">sheet1!apr117</f>
        <v>#NAME?</v>
      </c>
      <c r="I116" s="0" t="e">
        <f aca="false">sheet1!aps117</f>
        <v>#NAME?</v>
      </c>
      <c r="J116" s="0" t="e">
        <f aca="false">sheet1!apt117</f>
        <v>#NAME?</v>
      </c>
      <c r="K116" s="0" t="e">
        <f aca="false">sheet1!apu117</f>
        <v>#NAME?</v>
      </c>
      <c r="L116" s="0" t="e">
        <f aca="false">sheet1!apv117</f>
        <v>#NAME?</v>
      </c>
      <c r="M116" s="0" t="e">
        <f aca="false">sheet1!apw117</f>
        <v>#NAME?</v>
      </c>
    </row>
    <row r="117" customFormat="false" ht="13.5" hidden="false" customHeight="false" outlineLevel="0" collapsed="false">
      <c r="A117" s="0" t="s">
        <v>70</v>
      </c>
      <c r="B117" s="1" t="n">
        <v>43977</v>
      </c>
      <c r="C117" s="0" t="e">
        <f aca="false">sheet1!apm118</f>
        <v>#NAME?</v>
      </c>
      <c r="D117" s="0" t="e">
        <f aca="false">sheet1!apn118</f>
        <v>#NAME?</v>
      </c>
      <c r="E117" s="0" t="e">
        <f aca="false">sheet1!apo118</f>
        <v>#NAME?</v>
      </c>
      <c r="F117" s="0" t="e">
        <f aca="false">sheet1!app118</f>
        <v>#NAME?</v>
      </c>
      <c r="G117" s="0" t="e">
        <f aca="false">sheet1!apq118</f>
        <v>#NAME?</v>
      </c>
      <c r="H117" s="0" t="e">
        <f aca="false">sheet1!apr118</f>
        <v>#NAME?</v>
      </c>
      <c r="I117" s="0" t="e">
        <f aca="false">sheet1!aps118</f>
        <v>#NAME?</v>
      </c>
      <c r="J117" s="0" t="e">
        <f aca="false">sheet1!apt118</f>
        <v>#NAME?</v>
      </c>
      <c r="K117" s="0" t="e">
        <f aca="false">sheet1!apu118</f>
        <v>#NAME?</v>
      </c>
      <c r="L117" s="0" t="e">
        <f aca="false">sheet1!apv118</f>
        <v>#NAME?</v>
      </c>
      <c r="M117" s="0" t="e">
        <f aca="false">sheet1!apw118</f>
        <v>#NAME?</v>
      </c>
    </row>
    <row r="118" customFormat="false" ht="13.5" hidden="false" customHeight="false" outlineLevel="0" collapsed="false">
      <c r="A118" s="0" t="s">
        <v>70</v>
      </c>
      <c r="B118" s="1" t="n">
        <v>43978</v>
      </c>
      <c r="C118" s="0" t="e">
        <f aca="false">sheet1!apm119</f>
        <v>#NAME?</v>
      </c>
      <c r="D118" s="0" t="e">
        <f aca="false">sheet1!apn119</f>
        <v>#NAME?</v>
      </c>
      <c r="E118" s="0" t="e">
        <f aca="false">sheet1!apo119</f>
        <v>#NAME?</v>
      </c>
      <c r="F118" s="0" t="e">
        <f aca="false">sheet1!app119</f>
        <v>#NAME?</v>
      </c>
      <c r="G118" s="0" t="e">
        <f aca="false">sheet1!apq119</f>
        <v>#NAME?</v>
      </c>
      <c r="H118" s="0" t="e">
        <f aca="false">sheet1!apr119</f>
        <v>#NAME?</v>
      </c>
      <c r="I118" s="0" t="e">
        <f aca="false">sheet1!aps119</f>
        <v>#NAME?</v>
      </c>
      <c r="J118" s="0" t="e">
        <f aca="false">sheet1!apt119</f>
        <v>#NAME?</v>
      </c>
      <c r="K118" s="0" t="e">
        <f aca="false">sheet1!apu119</f>
        <v>#NAME?</v>
      </c>
      <c r="L118" s="0" t="e">
        <f aca="false">sheet1!apv119</f>
        <v>#NAME?</v>
      </c>
      <c r="M118" s="0" t="e">
        <f aca="false">sheet1!apw119</f>
        <v>#NAME?</v>
      </c>
    </row>
    <row r="119" customFormat="false" ht="13.5" hidden="false" customHeight="false" outlineLevel="0" collapsed="false">
      <c r="A119" s="0" t="s">
        <v>70</v>
      </c>
      <c r="B119" s="1" t="n">
        <v>43979</v>
      </c>
      <c r="C119" s="0" t="e">
        <f aca="false">sheet1!apm120</f>
        <v>#NAME?</v>
      </c>
      <c r="D119" s="0" t="e">
        <f aca="false">sheet1!apn120</f>
        <v>#NAME?</v>
      </c>
      <c r="E119" s="0" t="e">
        <f aca="false">sheet1!apo120</f>
        <v>#NAME?</v>
      </c>
      <c r="F119" s="0" t="e">
        <f aca="false">sheet1!app120</f>
        <v>#NAME?</v>
      </c>
      <c r="G119" s="0" t="e">
        <f aca="false">sheet1!apq120</f>
        <v>#NAME?</v>
      </c>
      <c r="H119" s="0" t="e">
        <f aca="false">sheet1!apr120</f>
        <v>#NAME?</v>
      </c>
      <c r="I119" s="0" t="e">
        <f aca="false">sheet1!aps120</f>
        <v>#NAME?</v>
      </c>
      <c r="J119" s="0" t="e">
        <f aca="false">sheet1!apt120</f>
        <v>#NAME?</v>
      </c>
      <c r="K119" s="0" t="e">
        <f aca="false">sheet1!apu120</f>
        <v>#NAME?</v>
      </c>
      <c r="L119" s="0" t="e">
        <f aca="false">sheet1!apv120</f>
        <v>#NAME?</v>
      </c>
      <c r="M119" s="0" t="e">
        <f aca="false">sheet1!apw120</f>
        <v>#NAME?</v>
      </c>
    </row>
    <row r="120" customFormat="false" ht="13.5" hidden="false" customHeight="false" outlineLevel="0" collapsed="false">
      <c r="A120" s="0" t="s">
        <v>70</v>
      </c>
      <c r="B120" s="1" t="n">
        <v>43980</v>
      </c>
      <c r="C120" s="0" t="e">
        <f aca="false">sheet1!apm121</f>
        <v>#NAME?</v>
      </c>
      <c r="D120" s="0" t="e">
        <f aca="false">sheet1!apn121</f>
        <v>#NAME?</v>
      </c>
      <c r="E120" s="0" t="e">
        <f aca="false">sheet1!apo121</f>
        <v>#NAME?</v>
      </c>
      <c r="F120" s="0" t="e">
        <f aca="false">sheet1!app121</f>
        <v>#NAME?</v>
      </c>
      <c r="G120" s="0" t="e">
        <f aca="false">sheet1!apq121</f>
        <v>#NAME?</v>
      </c>
      <c r="H120" s="0" t="e">
        <f aca="false">sheet1!apr121</f>
        <v>#NAME?</v>
      </c>
      <c r="I120" s="0" t="e">
        <f aca="false">sheet1!aps121</f>
        <v>#NAME?</v>
      </c>
      <c r="J120" s="0" t="e">
        <f aca="false">sheet1!apt121</f>
        <v>#NAME?</v>
      </c>
      <c r="K120" s="0" t="e">
        <f aca="false">sheet1!apu121</f>
        <v>#NAME?</v>
      </c>
      <c r="L120" s="0" t="e">
        <f aca="false">sheet1!apv121</f>
        <v>#NAME?</v>
      </c>
      <c r="M120" s="0" t="e">
        <f aca="false">sheet1!apw121</f>
        <v>#NAME?</v>
      </c>
    </row>
    <row r="121" customFormat="false" ht="13.5" hidden="false" customHeight="false" outlineLevel="0" collapsed="false">
      <c r="A121" s="0" t="s">
        <v>70</v>
      </c>
      <c r="B121" s="1" t="n">
        <v>43981</v>
      </c>
      <c r="C121" s="0" t="e">
        <f aca="false">sheet1!apm122</f>
        <v>#NAME?</v>
      </c>
      <c r="D121" s="0" t="e">
        <f aca="false">sheet1!apn122</f>
        <v>#NAME?</v>
      </c>
      <c r="E121" s="0" t="e">
        <f aca="false">sheet1!apo122</f>
        <v>#NAME?</v>
      </c>
      <c r="F121" s="0" t="e">
        <f aca="false">sheet1!app122</f>
        <v>#NAME?</v>
      </c>
      <c r="G121" s="0" t="e">
        <f aca="false">sheet1!apq122</f>
        <v>#NAME?</v>
      </c>
      <c r="H121" s="0" t="e">
        <f aca="false">sheet1!apr122</f>
        <v>#NAME?</v>
      </c>
      <c r="I121" s="0" t="e">
        <f aca="false">sheet1!aps122</f>
        <v>#NAME?</v>
      </c>
      <c r="J121" s="0" t="e">
        <f aca="false">sheet1!apt122</f>
        <v>#NAME?</v>
      </c>
      <c r="K121" s="0" t="e">
        <f aca="false">sheet1!apu122</f>
        <v>#NAME?</v>
      </c>
      <c r="L121" s="0" t="e">
        <f aca="false">sheet1!apv122</f>
        <v>#NAME?</v>
      </c>
      <c r="M121" s="0" t="e">
        <f aca="false">sheet1!apw122</f>
        <v>#NAME?</v>
      </c>
    </row>
    <row r="122" customFormat="false" ht="13.5" hidden="false" customHeight="false" outlineLevel="0" collapsed="false">
      <c r="A122" s="0" t="s">
        <v>70</v>
      </c>
      <c r="B122" s="1" t="n">
        <v>43982</v>
      </c>
      <c r="C122" s="0" t="e">
        <f aca="false">sheet1!apm123</f>
        <v>#NAME?</v>
      </c>
      <c r="D122" s="0" t="e">
        <f aca="false">sheet1!apn123</f>
        <v>#NAME?</v>
      </c>
      <c r="E122" s="0" t="e">
        <f aca="false">sheet1!apo123</f>
        <v>#NAME?</v>
      </c>
      <c r="F122" s="0" t="e">
        <f aca="false">sheet1!app123</f>
        <v>#NAME?</v>
      </c>
      <c r="G122" s="0" t="e">
        <f aca="false">sheet1!apq123</f>
        <v>#NAME?</v>
      </c>
      <c r="H122" s="0" t="e">
        <f aca="false">sheet1!apr123</f>
        <v>#NAME?</v>
      </c>
      <c r="I122" s="0" t="e">
        <f aca="false">sheet1!aps123</f>
        <v>#NAME?</v>
      </c>
      <c r="J122" s="0" t="e">
        <f aca="false">sheet1!apt123</f>
        <v>#NAME?</v>
      </c>
      <c r="K122" s="0" t="e">
        <f aca="false">sheet1!apu123</f>
        <v>#NAME?</v>
      </c>
      <c r="L122" s="0" t="e">
        <f aca="false">sheet1!apv123</f>
        <v>#NAME?</v>
      </c>
      <c r="M122" s="0" t="e">
        <f aca="false">sheet1!apw123</f>
        <v>#NAME?</v>
      </c>
    </row>
    <row r="123" customFormat="false" ht="13.5" hidden="false" customHeight="false" outlineLevel="0" collapsed="false">
      <c r="A123" s="0" t="s">
        <v>70</v>
      </c>
      <c r="B123" s="1" t="n">
        <v>43983</v>
      </c>
      <c r="C123" s="0" t="e">
        <f aca="false">sheet1!apm124</f>
        <v>#NAME?</v>
      </c>
      <c r="D123" s="0" t="e">
        <f aca="false">sheet1!apn124</f>
        <v>#NAME?</v>
      </c>
      <c r="E123" s="0" t="e">
        <f aca="false">sheet1!apo124</f>
        <v>#NAME?</v>
      </c>
      <c r="F123" s="0" t="e">
        <f aca="false">sheet1!app124</f>
        <v>#NAME?</v>
      </c>
      <c r="G123" s="0" t="e">
        <f aca="false">sheet1!apq124</f>
        <v>#NAME?</v>
      </c>
      <c r="H123" s="0" t="e">
        <f aca="false">sheet1!apr124</f>
        <v>#NAME?</v>
      </c>
      <c r="I123" s="0" t="e">
        <f aca="false">sheet1!aps124</f>
        <v>#NAME?</v>
      </c>
      <c r="J123" s="0" t="e">
        <f aca="false">sheet1!apt124</f>
        <v>#NAME?</v>
      </c>
      <c r="K123" s="0" t="e">
        <f aca="false">sheet1!apu124</f>
        <v>#NAME?</v>
      </c>
      <c r="L123" s="0" t="e">
        <f aca="false">sheet1!apv124</f>
        <v>#NAME?</v>
      </c>
      <c r="M123" s="0" t="e">
        <f aca="false">sheet1!apw124</f>
        <v>#NAME?</v>
      </c>
    </row>
    <row r="124" customFormat="false" ht="13.5" hidden="false" customHeight="false" outlineLevel="0" collapsed="false">
      <c r="A124" s="0" t="s">
        <v>70</v>
      </c>
      <c r="B124" s="1" t="n">
        <v>43984</v>
      </c>
      <c r="C124" s="0" t="e">
        <f aca="false">sheet1!apm125</f>
        <v>#NAME?</v>
      </c>
      <c r="D124" s="0" t="e">
        <f aca="false">sheet1!apn125</f>
        <v>#NAME?</v>
      </c>
      <c r="E124" s="0" t="e">
        <f aca="false">sheet1!apo125</f>
        <v>#NAME?</v>
      </c>
      <c r="F124" s="0" t="e">
        <f aca="false">sheet1!app125</f>
        <v>#NAME?</v>
      </c>
      <c r="G124" s="0" t="e">
        <f aca="false">sheet1!apq125</f>
        <v>#NAME?</v>
      </c>
      <c r="H124" s="0" t="e">
        <f aca="false">sheet1!apr125</f>
        <v>#NAME?</v>
      </c>
      <c r="I124" s="0" t="e">
        <f aca="false">sheet1!aps125</f>
        <v>#NAME?</v>
      </c>
      <c r="J124" s="0" t="e">
        <f aca="false">sheet1!apt125</f>
        <v>#NAME?</v>
      </c>
      <c r="K124" s="0" t="e">
        <f aca="false">sheet1!apu125</f>
        <v>#NAME?</v>
      </c>
      <c r="L124" s="0" t="e">
        <f aca="false">sheet1!apv125</f>
        <v>#NAME?</v>
      </c>
      <c r="M124" s="0" t="e">
        <f aca="false">sheet1!apw125</f>
        <v>#NAME?</v>
      </c>
    </row>
    <row r="125" customFormat="false" ht="13.5" hidden="false" customHeight="false" outlineLevel="0" collapsed="false">
      <c r="A125" s="0" t="s">
        <v>70</v>
      </c>
      <c r="B125" s="1" t="n">
        <v>43985</v>
      </c>
      <c r="C125" s="0" t="e">
        <f aca="false">sheet1!apm126</f>
        <v>#NAME?</v>
      </c>
      <c r="D125" s="0" t="e">
        <f aca="false">sheet1!apn126</f>
        <v>#NAME?</v>
      </c>
      <c r="E125" s="0" t="e">
        <f aca="false">sheet1!apo126</f>
        <v>#NAME?</v>
      </c>
      <c r="F125" s="0" t="e">
        <f aca="false">sheet1!app126</f>
        <v>#NAME?</v>
      </c>
      <c r="G125" s="0" t="e">
        <f aca="false">sheet1!apq126</f>
        <v>#NAME?</v>
      </c>
      <c r="H125" s="0" t="e">
        <f aca="false">sheet1!apr126</f>
        <v>#NAME?</v>
      </c>
      <c r="I125" s="0" t="e">
        <f aca="false">sheet1!aps126</f>
        <v>#NAME?</v>
      </c>
      <c r="J125" s="0" t="e">
        <f aca="false">sheet1!apt126</f>
        <v>#NAME?</v>
      </c>
      <c r="K125" s="0" t="e">
        <f aca="false">sheet1!apu126</f>
        <v>#NAME?</v>
      </c>
      <c r="L125" s="0" t="e">
        <f aca="false">sheet1!apv126</f>
        <v>#NAME?</v>
      </c>
      <c r="M125" s="0" t="e">
        <f aca="false">sheet1!apw126</f>
        <v>#NAME?</v>
      </c>
    </row>
    <row r="126" customFormat="false" ht="13.5" hidden="false" customHeight="false" outlineLevel="0" collapsed="false">
      <c r="A126" s="0" t="s">
        <v>70</v>
      </c>
      <c r="B126" s="1" t="n">
        <v>43986</v>
      </c>
      <c r="C126" s="0" t="e">
        <f aca="false">sheet1!apm127</f>
        <v>#NAME?</v>
      </c>
      <c r="D126" s="0" t="e">
        <f aca="false">sheet1!apn127</f>
        <v>#NAME?</v>
      </c>
      <c r="E126" s="0" t="e">
        <f aca="false">sheet1!apo127</f>
        <v>#NAME?</v>
      </c>
      <c r="F126" s="0" t="e">
        <f aca="false">sheet1!app127</f>
        <v>#NAME?</v>
      </c>
      <c r="G126" s="0" t="e">
        <f aca="false">sheet1!apq127</f>
        <v>#NAME?</v>
      </c>
      <c r="H126" s="0" t="e">
        <f aca="false">sheet1!apr127</f>
        <v>#NAME?</v>
      </c>
      <c r="I126" s="0" t="e">
        <f aca="false">sheet1!aps127</f>
        <v>#NAME?</v>
      </c>
      <c r="J126" s="0" t="e">
        <f aca="false">sheet1!apt127</f>
        <v>#NAME?</v>
      </c>
      <c r="K126" s="0" t="e">
        <f aca="false">sheet1!apu127</f>
        <v>#NAME?</v>
      </c>
      <c r="L126" s="0" t="e">
        <f aca="false">sheet1!apv127</f>
        <v>#NAME?</v>
      </c>
      <c r="M126" s="0" t="e">
        <f aca="false">sheet1!apw127</f>
        <v>#NAME?</v>
      </c>
    </row>
    <row r="127" customFormat="false" ht="13.5" hidden="false" customHeight="false" outlineLevel="0" collapsed="false">
      <c r="A127" s="0" t="s">
        <v>70</v>
      </c>
      <c r="B127" s="1" t="n">
        <v>43987</v>
      </c>
      <c r="C127" s="0" t="e">
        <f aca="false">sheet1!apm128</f>
        <v>#NAME?</v>
      </c>
      <c r="D127" s="0" t="e">
        <f aca="false">sheet1!apn128</f>
        <v>#NAME?</v>
      </c>
      <c r="E127" s="0" t="e">
        <f aca="false">sheet1!apo128</f>
        <v>#NAME?</v>
      </c>
      <c r="F127" s="0" t="e">
        <f aca="false">sheet1!app128</f>
        <v>#NAME?</v>
      </c>
      <c r="G127" s="0" t="e">
        <f aca="false">sheet1!apq128</f>
        <v>#NAME?</v>
      </c>
      <c r="H127" s="0" t="e">
        <f aca="false">sheet1!apr128</f>
        <v>#NAME?</v>
      </c>
      <c r="I127" s="0" t="e">
        <f aca="false">sheet1!aps128</f>
        <v>#NAME?</v>
      </c>
      <c r="J127" s="0" t="e">
        <f aca="false">sheet1!apt128</f>
        <v>#NAME?</v>
      </c>
      <c r="K127" s="0" t="e">
        <f aca="false">sheet1!apu128</f>
        <v>#NAME?</v>
      </c>
      <c r="L127" s="0" t="e">
        <f aca="false">sheet1!apv128</f>
        <v>#NAME?</v>
      </c>
      <c r="M127" s="0" t="e">
        <f aca="false">sheet1!apw128</f>
        <v>#NAME?</v>
      </c>
    </row>
    <row r="128" customFormat="false" ht="13.5" hidden="false" customHeight="false" outlineLevel="0" collapsed="false">
      <c r="A128" s="0" t="s">
        <v>70</v>
      </c>
      <c r="B128" s="1" t="n">
        <v>43988</v>
      </c>
      <c r="C128" s="0" t="e">
        <f aca="false">sheet1!apm129</f>
        <v>#NAME?</v>
      </c>
      <c r="D128" s="0" t="e">
        <f aca="false">sheet1!apn129</f>
        <v>#NAME?</v>
      </c>
      <c r="E128" s="0" t="e">
        <f aca="false">sheet1!apo129</f>
        <v>#NAME?</v>
      </c>
      <c r="F128" s="0" t="e">
        <f aca="false">sheet1!app129</f>
        <v>#NAME?</v>
      </c>
      <c r="G128" s="0" t="e">
        <f aca="false">sheet1!apq129</f>
        <v>#NAME?</v>
      </c>
      <c r="H128" s="0" t="e">
        <f aca="false">sheet1!apr129</f>
        <v>#NAME?</v>
      </c>
      <c r="I128" s="0" t="e">
        <f aca="false">sheet1!aps129</f>
        <v>#NAME?</v>
      </c>
      <c r="J128" s="0" t="e">
        <f aca="false">sheet1!apt129</f>
        <v>#NAME?</v>
      </c>
      <c r="K128" s="0" t="e">
        <f aca="false">sheet1!apu129</f>
        <v>#NAME?</v>
      </c>
      <c r="L128" s="0" t="e">
        <f aca="false">sheet1!apv129</f>
        <v>#NAME?</v>
      </c>
      <c r="M128" s="0" t="e">
        <f aca="false">sheet1!apw129</f>
        <v>#NAME?</v>
      </c>
    </row>
    <row r="129" customFormat="false" ht="13.5" hidden="false" customHeight="false" outlineLevel="0" collapsed="false">
      <c r="A129" s="0" t="s">
        <v>70</v>
      </c>
      <c r="B129" s="1" t="n">
        <v>43989</v>
      </c>
      <c r="C129" s="0" t="e">
        <f aca="false">sheet1!apm130</f>
        <v>#NAME?</v>
      </c>
      <c r="D129" s="0" t="e">
        <f aca="false">sheet1!apn130</f>
        <v>#NAME?</v>
      </c>
      <c r="E129" s="0" t="e">
        <f aca="false">sheet1!apo130</f>
        <v>#NAME?</v>
      </c>
      <c r="F129" s="0" t="e">
        <f aca="false">sheet1!app130</f>
        <v>#NAME?</v>
      </c>
      <c r="G129" s="0" t="e">
        <f aca="false">sheet1!apq130</f>
        <v>#NAME?</v>
      </c>
      <c r="H129" s="0" t="e">
        <f aca="false">sheet1!apr130</f>
        <v>#NAME?</v>
      </c>
      <c r="I129" s="0" t="e">
        <f aca="false">sheet1!aps130</f>
        <v>#NAME?</v>
      </c>
      <c r="J129" s="0" t="e">
        <f aca="false">sheet1!apt130</f>
        <v>#NAME?</v>
      </c>
      <c r="K129" s="0" t="e">
        <f aca="false">sheet1!apu130</f>
        <v>#NAME?</v>
      </c>
      <c r="L129" s="0" t="e">
        <f aca="false">sheet1!apv130</f>
        <v>#NAME?</v>
      </c>
      <c r="M129" s="0" t="e">
        <f aca="false">sheet1!apw130</f>
        <v>#NAME?</v>
      </c>
    </row>
    <row r="130" customFormat="false" ht="13.5" hidden="false" customHeight="false" outlineLevel="0" collapsed="false">
      <c r="A130" s="0" t="s">
        <v>70</v>
      </c>
      <c r="B130" s="1" t="n">
        <v>43990</v>
      </c>
      <c r="C130" s="0" t="e">
        <f aca="false">sheet1!apm131</f>
        <v>#NAME?</v>
      </c>
      <c r="D130" s="0" t="e">
        <f aca="false">sheet1!apn131</f>
        <v>#NAME?</v>
      </c>
      <c r="E130" s="0" t="e">
        <f aca="false">sheet1!apo131</f>
        <v>#NAME?</v>
      </c>
      <c r="F130" s="0" t="e">
        <f aca="false">sheet1!app131</f>
        <v>#NAME?</v>
      </c>
      <c r="G130" s="0" t="e">
        <f aca="false">sheet1!apq131</f>
        <v>#NAME?</v>
      </c>
      <c r="H130" s="0" t="e">
        <f aca="false">sheet1!apr131</f>
        <v>#NAME?</v>
      </c>
      <c r="I130" s="0" t="e">
        <f aca="false">sheet1!aps131</f>
        <v>#NAME?</v>
      </c>
      <c r="J130" s="0" t="e">
        <f aca="false">sheet1!apt131</f>
        <v>#NAME?</v>
      </c>
      <c r="K130" s="0" t="e">
        <f aca="false">sheet1!apu131</f>
        <v>#NAME?</v>
      </c>
      <c r="L130" s="0" t="e">
        <f aca="false">sheet1!apv131</f>
        <v>#NAME?</v>
      </c>
      <c r="M130" s="0" t="e">
        <f aca="false">sheet1!apw131</f>
        <v>#NAME?</v>
      </c>
    </row>
    <row r="131" customFormat="false" ht="13.5" hidden="false" customHeight="false" outlineLevel="0" collapsed="false">
      <c r="A131" s="0" t="s">
        <v>70</v>
      </c>
      <c r="B131" s="1" t="n">
        <v>43991</v>
      </c>
      <c r="C131" s="0" t="e">
        <f aca="false">sheet1!apm132</f>
        <v>#NAME?</v>
      </c>
      <c r="D131" s="0" t="e">
        <f aca="false">sheet1!apn132</f>
        <v>#NAME?</v>
      </c>
      <c r="E131" s="0" t="e">
        <f aca="false">sheet1!apo132</f>
        <v>#NAME?</v>
      </c>
      <c r="F131" s="0" t="e">
        <f aca="false">sheet1!app132</f>
        <v>#NAME?</v>
      </c>
      <c r="G131" s="0" t="e">
        <f aca="false">sheet1!apq132</f>
        <v>#NAME?</v>
      </c>
      <c r="H131" s="0" t="e">
        <f aca="false">sheet1!apr132</f>
        <v>#NAME?</v>
      </c>
      <c r="I131" s="0" t="e">
        <f aca="false">sheet1!aps132</f>
        <v>#NAME?</v>
      </c>
      <c r="J131" s="0" t="e">
        <f aca="false">sheet1!apt132</f>
        <v>#NAME?</v>
      </c>
      <c r="K131" s="0" t="e">
        <f aca="false">sheet1!apu132</f>
        <v>#NAME?</v>
      </c>
      <c r="L131" s="0" t="e">
        <f aca="false">sheet1!apv132</f>
        <v>#NAME?</v>
      </c>
      <c r="M131" s="0" t="e">
        <f aca="false">sheet1!apw132</f>
        <v>#NAME?</v>
      </c>
    </row>
    <row r="132" customFormat="false" ht="13.5" hidden="false" customHeight="false" outlineLevel="0" collapsed="false">
      <c r="A132" s="0" t="s">
        <v>70</v>
      </c>
      <c r="B132" s="1" t="n">
        <v>43992</v>
      </c>
      <c r="C132" s="0" t="e">
        <f aca="false">sheet1!apm133</f>
        <v>#NAME?</v>
      </c>
      <c r="D132" s="0" t="e">
        <f aca="false">sheet1!apn133</f>
        <v>#NAME?</v>
      </c>
      <c r="E132" s="0" t="e">
        <f aca="false">sheet1!apo133</f>
        <v>#NAME?</v>
      </c>
      <c r="F132" s="0" t="e">
        <f aca="false">sheet1!app133</f>
        <v>#NAME?</v>
      </c>
      <c r="G132" s="0" t="e">
        <f aca="false">sheet1!apq133</f>
        <v>#NAME?</v>
      </c>
      <c r="H132" s="0" t="e">
        <f aca="false">sheet1!apr133</f>
        <v>#NAME?</v>
      </c>
      <c r="I132" s="0" t="e">
        <f aca="false">sheet1!aps133</f>
        <v>#NAME?</v>
      </c>
      <c r="J132" s="0" t="e">
        <f aca="false">sheet1!apt133</f>
        <v>#NAME?</v>
      </c>
      <c r="K132" s="0" t="e">
        <f aca="false">sheet1!apu133</f>
        <v>#NAME?</v>
      </c>
      <c r="L132" s="0" t="e">
        <f aca="false">sheet1!apv133</f>
        <v>#NAME?</v>
      </c>
      <c r="M132" s="0" t="e">
        <f aca="false">sheet1!apw133</f>
        <v>#NAME?</v>
      </c>
    </row>
    <row r="133" customFormat="false" ht="13.5" hidden="false" customHeight="false" outlineLevel="0" collapsed="false">
      <c r="A133" s="0" t="s">
        <v>70</v>
      </c>
      <c r="B133" s="1" t="n">
        <v>43993</v>
      </c>
      <c r="C133" s="0" t="e">
        <f aca="false">sheet1!apm134</f>
        <v>#NAME?</v>
      </c>
      <c r="D133" s="0" t="e">
        <f aca="false">sheet1!apn134</f>
        <v>#NAME?</v>
      </c>
      <c r="E133" s="0" t="e">
        <f aca="false">sheet1!apo134</f>
        <v>#NAME?</v>
      </c>
      <c r="F133" s="0" t="e">
        <f aca="false">sheet1!app134</f>
        <v>#NAME?</v>
      </c>
      <c r="G133" s="0" t="e">
        <f aca="false">sheet1!apq134</f>
        <v>#NAME?</v>
      </c>
      <c r="H133" s="0" t="e">
        <f aca="false">sheet1!apr134</f>
        <v>#NAME?</v>
      </c>
      <c r="I133" s="0" t="e">
        <f aca="false">sheet1!aps134</f>
        <v>#NAME?</v>
      </c>
      <c r="J133" s="0" t="e">
        <f aca="false">sheet1!apt134</f>
        <v>#NAME?</v>
      </c>
      <c r="K133" s="0" t="e">
        <f aca="false">sheet1!apu134</f>
        <v>#NAME?</v>
      </c>
      <c r="L133" s="0" t="e">
        <f aca="false">sheet1!apv134</f>
        <v>#NAME?</v>
      </c>
      <c r="M133" s="0" t="e">
        <f aca="false">sheet1!apw134</f>
        <v>#NAME?</v>
      </c>
    </row>
    <row r="134" customFormat="false" ht="13.5" hidden="false" customHeight="false" outlineLevel="0" collapsed="false">
      <c r="A134" s="0" t="s">
        <v>70</v>
      </c>
      <c r="B134" s="1" t="n">
        <v>43994</v>
      </c>
      <c r="C134" s="0" t="e">
        <f aca="false">sheet1!apm135</f>
        <v>#NAME?</v>
      </c>
      <c r="D134" s="0" t="e">
        <f aca="false">sheet1!apn135</f>
        <v>#NAME?</v>
      </c>
      <c r="E134" s="0" t="e">
        <f aca="false">sheet1!apo135</f>
        <v>#NAME?</v>
      </c>
      <c r="F134" s="0" t="e">
        <f aca="false">sheet1!app135</f>
        <v>#NAME?</v>
      </c>
      <c r="G134" s="0" t="e">
        <f aca="false">sheet1!apq135</f>
        <v>#NAME?</v>
      </c>
      <c r="H134" s="0" t="e">
        <f aca="false">sheet1!apr135</f>
        <v>#NAME?</v>
      </c>
      <c r="I134" s="0" t="e">
        <f aca="false">sheet1!aps135</f>
        <v>#NAME?</v>
      </c>
      <c r="J134" s="0" t="e">
        <f aca="false">sheet1!apt135</f>
        <v>#NAME?</v>
      </c>
      <c r="K134" s="0" t="e">
        <f aca="false">sheet1!apu135</f>
        <v>#NAME?</v>
      </c>
      <c r="L134" s="0" t="e">
        <f aca="false">sheet1!apv135</f>
        <v>#NAME?</v>
      </c>
      <c r="M134" s="0" t="e">
        <f aca="false">sheet1!apw135</f>
        <v>#NAME?</v>
      </c>
    </row>
    <row r="135" customFormat="false" ht="13.5" hidden="false" customHeight="false" outlineLevel="0" collapsed="false">
      <c r="A135" s="0" t="s">
        <v>70</v>
      </c>
      <c r="B135" s="1" t="n">
        <v>43995</v>
      </c>
      <c r="C135" s="0" t="e">
        <f aca="false">sheet1!apm136</f>
        <v>#NAME?</v>
      </c>
      <c r="D135" s="0" t="e">
        <f aca="false">sheet1!apn136</f>
        <v>#NAME?</v>
      </c>
      <c r="E135" s="0" t="e">
        <f aca="false">sheet1!apo136</f>
        <v>#NAME?</v>
      </c>
      <c r="F135" s="0" t="e">
        <f aca="false">sheet1!app136</f>
        <v>#NAME?</v>
      </c>
      <c r="G135" s="0" t="e">
        <f aca="false">sheet1!apq136</f>
        <v>#NAME?</v>
      </c>
      <c r="H135" s="0" t="e">
        <f aca="false">sheet1!apr136</f>
        <v>#NAME?</v>
      </c>
      <c r="I135" s="0" t="e">
        <f aca="false">sheet1!aps136</f>
        <v>#NAME?</v>
      </c>
      <c r="J135" s="0" t="e">
        <f aca="false">sheet1!apt136</f>
        <v>#NAME?</v>
      </c>
      <c r="K135" s="0" t="e">
        <f aca="false">sheet1!apu136</f>
        <v>#NAME?</v>
      </c>
      <c r="L135" s="0" t="e">
        <f aca="false">sheet1!apv136</f>
        <v>#NAME?</v>
      </c>
      <c r="M135" s="0" t="e">
        <f aca="false">sheet1!apw136</f>
        <v>#NAME?</v>
      </c>
    </row>
    <row r="136" customFormat="false" ht="13.5" hidden="false" customHeight="false" outlineLevel="0" collapsed="false">
      <c r="A136" s="0" t="s">
        <v>70</v>
      </c>
      <c r="B136" s="1" t="n">
        <v>43996</v>
      </c>
      <c r="C136" s="0" t="e">
        <f aca="false">sheet1!apm137</f>
        <v>#NAME?</v>
      </c>
      <c r="D136" s="0" t="e">
        <f aca="false">sheet1!apn137</f>
        <v>#NAME?</v>
      </c>
      <c r="E136" s="0" t="e">
        <f aca="false">sheet1!apo137</f>
        <v>#NAME?</v>
      </c>
      <c r="F136" s="0" t="e">
        <f aca="false">sheet1!app137</f>
        <v>#NAME?</v>
      </c>
      <c r="G136" s="0" t="e">
        <f aca="false">sheet1!apq137</f>
        <v>#NAME?</v>
      </c>
      <c r="H136" s="0" t="e">
        <f aca="false">sheet1!apr137</f>
        <v>#NAME?</v>
      </c>
      <c r="I136" s="0" t="e">
        <f aca="false">sheet1!aps137</f>
        <v>#NAME?</v>
      </c>
      <c r="J136" s="0" t="e">
        <f aca="false">sheet1!apt137</f>
        <v>#NAME?</v>
      </c>
      <c r="K136" s="0" t="e">
        <f aca="false">sheet1!apu137</f>
        <v>#NAME?</v>
      </c>
      <c r="L136" s="0" t="e">
        <f aca="false">sheet1!apv137</f>
        <v>#NAME?</v>
      </c>
      <c r="M136" s="0" t="e">
        <f aca="false">sheet1!apw137</f>
        <v>#NAME?</v>
      </c>
    </row>
    <row r="137" customFormat="false" ht="13.5" hidden="false" customHeight="false" outlineLevel="0" collapsed="false">
      <c r="A137" s="0" t="s">
        <v>70</v>
      </c>
      <c r="B137" s="1" t="n">
        <v>43997</v>
      </c>
      <c r="C137" s="0" t="e">
        <f aca="false">sheet1!apm138</f>
        <v>#NAME?</v>
      </c>
      <c r="D137" s="0" t="e">
        <f aca="false">sheet1!apn138</f>
        <v>#NAME?</v>
      </c>
      <c r="E137" s="0" t="e">
        <f aca="false">sheet1!apo138</f>
        <v>#NAME?</v>
      </c>
      <c r="F137" s="0" t="e">
        <f aca="false">sheet1!app138</f>
        <v>#NAME?</v>
      </c>
      <c r="G137" s="0" t="e">
        <f aca="false">sheet1!apq138</f>
        <v>#NAME?</v>
      </c>
      <c r="H137" s="0" t="e">
        <f aca="false">sheet1!apr138</f>
        <v>#NAME?</v>
      </c>
      <c r="I137" s="0" t="e">
        <f aca="false">sheet1!aps138</f>
        <v>#NAME?</v>
      </c>
      <c r="J137" s="0" t="e">
        <f aca="false">sheet1!apt138</f>
        <v>#NAME?</v>
      </c>
      <c r="K137" s="0" t="e">
        <f aca="false">sheet1!apu138</f>
        <v>#NAME?</v>
      </c>
      <c r="L137" s="0" t="e">
        <f aca="false">sheet1!apv138</f>
        <v>#NAME?</v>
      </c>
      <c r="M137" s="0" t="e">
        <f aca="false">sheet1!apw138</f>
        <v>#NAME?</v>
      </c>
    </row>
    <row r="138" customFormat="false" ht="13.5" hidden="false" customHeight="false" outlineLevel="0" collapsed="false">
      <c r="A138" s="0" t="s">
        <v>70</v>
      </c>
      <c r="B138" s="1" t="n">
        <v>43998</v>
      </c>
      <c r="C138" s="0" t="e">
        <f aca="false">sheet1!apm139</f>
        <v>#NAME?</v>
      </c>
      <c r="D138" s="0" t="e">
        <f aca="false">sheet1!apn139</f>
        <v>#NAME?</v>
      </c>
      <c r="E138" s="0" t="e">
        <f aca="false">sheet1!apo139</f>
        <v>#NAME?</v>
      </c>
      <c r="F138" s="0" t="e">
        <f aca="false">sheet1!app139</f>
        <v>#NAME?</v>
      </c>
      <c r="G138" s="0" t="e">
        <f aca="false">sheet1!apq139</f>
        <v>#NAME?</v>
      </c>
      <c r="H138" s="0" t="e">
        <f aca="false">sheet1!apr139</f>
        <v>#NAME?</v>
      </c>
      <c r="I138" s="0" t="e">
        <f aca="false">sheet1!aps139</f>
        <v>#NAME?</v>
      </c>
      <c r="J138" s="0" t="e">
        <f aca="false">sheet1!apt139</f>
        <v>#NAME?</v>
      </c>
      <c r="K138" s="0" t="e">
        <f aca="false">sheet1!apu139</f>
        <v>#NAME?</v>
      </c>
      <c r="L138" s="0" t="e">
        <f aca="false">sheet1!apv139</f>
        <v>#NAME?</v>
      </c>
      <c r="M138" s="0" t="e">
        <f aca="false">sheet1!apw139</f>
        <v>#NAME?</v>
      </c>
    </row>
    <row r="139" customFormat="false" ht="13.5" hidden="false" customHeight="false" outlineLevel="0" collapsed="false">
      <c r="A139" s="0" t="s">
        <v>70</v>
      </c>
      <c r="B139" s="1" t="n">
        <v>43999</v>
      </c>
      <c r="C139" s="0" t="e">
        <f aca="false">sheet1!apm140</f>
        <v>#NAME?</v>
      </c>
      <c r="D139" s="0" t="e">
        <f aca="false">sheet1!apn140</f>
        <v>#NAME?</v>
      </c>
      <c r="E139" s="0" t="e">
        <f aca="false">sheet1!apo140</f>
        <v>#NAME?</v>
      </c>
      <c r="F139" s="0" t="e">
        <f aca="false">sheet1!app140</f>
        <v>#NAME?</v>
      </c>
      <c r="G139" s="0" t="e">
        <f aca="false">sheet1!apq140</f>
        <v>#NAME?</v>
      </c>
      <c r="H139" s="0" t="e">
        <f aca="false">sheet1!apr140</f>
        <v>#NAME?</v>
      </c>
      <c r="I139" s="0" t="e">
        <f aca="false">sheet1!aps140</f>
        <v>#NAME?</v>
      </c>
      <c r="J139" s="0" t="e">
        <f aca="false">sheet1!apt140</f>
        <v>#NAME?</v>
      </c>
      <c r="K139" s="0" t="e">
        <f aca="false">sheet1!apu140</f>
        <v>#NAME?</v>
      </c>
      <c r="L139" s="0" t="e">
        <f aca="false">sheet1!apv140</f>
        <v>#NAME?</v>
      </c>
      <c r="M139" s="0" t="e">
        <f aca="false">sheet1!apw140</f>
        <v>#NAME?</v>
      </c>
    </row>
    <row r="140" customFormat="false" ht="13.5" hidden="false" customHeight="false" outlineLevel="0" collapsed="false">
      <c r="A140" s="0" t="s">
        <v>70</v>
      </c>
      <c r="B140" s="1" t="n">
        <v>44000</v>
      </c>
      <c r="C140" s="0" t="e">
        <f aca="false">sheet1!apm141</f>
        <v>#NAME?</v>
      </c>
      <c r="D140" s="0" t="e">
        <f aca="false">sheet1!apn141</f>
        <v>#NAME?</v>
      </c>
      <c r="E140" s="0" t="e">
        <f aca="false">sheet1!apo141</f>
        <v>#NAME?</v>
      </c>
      <c r="F140" s="0" t="e">
        <f aca="false">sheet1!app141</f>
        <v>#NAME?</v>
      </c>
      <c r="G140" s="0" t="e">
        <f aca="false">sheet1!apq141</f>
        <v>#NAME?</v>
      </c>
      <c r="H140" s="0" t="e">
        <f aca="false">sheet1!apr141</f>
        <v>#NAME?</v>
      </c>
      <c r="I140" s="0" t="e">
        <f aca="false">sheet1!aps141</f>
        <v>#NAME?</v>
      </c>
      <c r="J140" s="0" t="e">
        <f aca="false">sheet1!apt141</f>
        <v>#NAME?</v>
      </c>
      <c r="K140" s="0" t="e">
        <f aca="false">sheet1!apu141</f>
        <v>#NAME?</v>
      </c>
      <c r="L140" s="0" t="e">
        <f aca="false">sheet1!apv141</f>
        <v>#NAME?</v>
      </c>
      <c r="M140" s="0" t="e">
        <f aca="false">sheet1!apw141</f>
        <v>#NAME?</v>
      </c>
    </row>
    <row r="141" customFormat="false" ht="13.5" hidden="false" customHeight="false" outlineLevel="0" collapsed="false">
      <c r="A141" s="0" t="s">
        <v>70</v>
      </c>
      <c r="B141" s="1" t="n">
        <v>44001</v>
      </c>
      <c r="C141" s="0" t="e">
        <f aca="false">sheet1!apm142</f>
        <v>#NAME?</v>
      </c>
      <c r="D141" s="0" t="e">
        <f aca="false">sheet1!apn142</f>
        <v>#NAME?</v>
      </c>
      <c r="E141" s="0" t="e">
        <f aca="false">sheet1!apo142</f>
        <v>#NAME?</v>
      </c>
      <c r="F141" s="0" t="e">
        <f aca="false">sheet1!app142</f>
        <v>#NAME?</v>
      </c>
      <c r="G141" s="0" t="e">
        <f aca="false">sheet1!apq142</f>
        <v>#NAME?</v>
      </c>
      <c r="H141" s="0" t="e">
        <f aca="false">sheet1!apr142</f>
        <v>#NAME?</v>
      </c>
      <c r="I141" s="0" t="e">
        <f aca="false">sheet1!aps142</f>
        <v>#NAME?</v>
      </c>
      <c r="J141" s="0" t="e">
        <f aca="false">sheet1!apt142</f>
        <v>#NAME?</v>
      </c>
      <c r="K141" s="0" t="e">
        <f aca="false">sheet1!apu142</f>
        <v>#NAME?</v>
      </c>
      <c r="L141" s="0" t="e">
        <f aca="false">sheet1!apv142</f>
        <v>#NAME?</v>
      </c>
      <c r="M141" s="0" t="e">
        <f aca="false">sheet1!apw142</f>
        <v>#NAME?</v>
      </c>
    </row>
    <row r="142" customFormat="false" ht="13.5" hidden="false" customHeight="false" outlineLevel="0" collapsed="false">
      <c r="A142" s="0" t="s">
        <v>70</v>
      </c>
      <c r="B142" s="1" t="n">
        <v>44002</v>
      </c>
      <c r="C142" s="0" t="e">
        <f aca="false">sheet1!apm143</f>
        <v>#NAME?</v>
      </c>
      <c r="D142" s="0" t="e">
        <f aca="false">sheet1!apn143</f>
        <v>#NAME?</v>
      </c>
      <c r="E142" s="0" t="e">
        <f aca="false">sheet1!apo143</f>
        <v>#NAME?</v>
      </c>
      <c r="F142" s="0" t="e">
        <f aca="false">sheet1!app143</f>
        <v>#NAME?</v>
      </c>
      <c r="G142" s="0" t="e">
        <f aca="false">sheet1!apq143</f>
        <v>#NAME?</v>
      </c>
      <c r="H142" s="0" t="e">
        <f aca="false">sheet1!apr143</f>
        <v>#NAME?</v>
      </c>
      <c r="I142" s="0" t="e">
        <f aca="false">sheet1!aps143</f>
        <v>#NAME?</v>
      </c>
      <c r="J142" s="0" t="e">
        <f aca="false">sheet1!apt143</f>
        <v>#NAME?</v>
      </c>
      <c r="K142" s="0" t="e">
        <f aca="false">sheet1!apu143</f>
        <v>#NAME?</v>
      </c>
      <c r="L142" s="0" t="e">
        <f aca="false">sheet1!apv143</f>
        <v>#NAME?</v>
      </c>
      <c r="M142" s="0" t="e">
        <f aca="false">sheet1!apw143</f>
        <v>#NAME?</v>
      </c>
    </row>
    <row r="143" customFormat="false" ht="13.5" hidden="false" customHeight="false" outlineLevel="0" collapsed="false">
      <c r="A143" s="0" t="s">
        <v>70</v>
      </c>
      <c r="B143" s="1" t="n">
        <v>44003</v>
      </c>
      <c r="C143" s="0" t="e">
        <f aca="false">sheet1!apm144</f>
        <v>#NAME?</v>
      </c>
      <c r="D143" s="0" t="e">
        <f aca="false">sheet1!apn144</f>
        <v>#NAME?</v>
      </c>
      <c r="E143" s="0" t="e">
        <f aca="false">sheet1!apo144</f>
        <v>#NAME?</v>
      </c>
      <c r="F143" s="0" t="e">
        <f aca="false">sheet1!app144</f>
        <v>#NAME?</v>
      </c>
      <c r="G143" s="0" t="e">
        <f aca="false">sheet1!apq144</f>
        <v>#NAME?</v>
      </c>
      <c r="H143" s="0" t="e">
        <f aca="false">sheet1!apr144</f>
        <v>#NAME?</v>
      </c>
      <c r="I143" s="0" t="e">
        <f aca="false">sheet1!aps144</f>
        <v>#NAME?</v>
      </c>
      <c r="J143" s="0" t="e">
        <f aca="false">sheet1!apt144</f>
        <v>#NAME?</v>
      </c>
      <c r="K143" s="0" t="e">
        <f aca="false">sheet1!apu144</f>
        <v>#NAME?</v>
      </c>
      <c r="L143" s="0" t="e">
        <f aca="false">sheet1!apv144</f>
        <v>#NAME?</v>
      </c>
      <c r="M143" s="0" t="e">
        <f aca="false">sheet1!apw144</f>
        <v>#NAME?</v>
      </c>
    </row>
    <row r="144" customFormat="false" ht="13.5" hidden="false" customHeight="false" outlineLevel="0" collapsed="false">
      <c r="A144" s="0" t="s">
        <v>70</v>
      </c>
      <c r="B144" s="1" t="n">
        <v>44004</v>
      </c>
      <c r="C144" s="0" t="e">
        <f aca="false">sheet1!apm145</f>
        <v>#NAME?</v>
      </c>
      <c r="D144" s="0" t="e">
        <f aca="false">sheet1!apn145</f>
        <v>#NAME?</v>
      </c>
      <c r="E144" s="0" t="e">
        <f aca="false">sheet1!apo145</f>
        <v>#NAME?</v>
      </c>
      <c r="F144" s="0" t="e">
        <f aca="false">sheet1!app145</f>
        <v>#NAME?</v>
      </c>
      <c r="G144" s="0" t="e">
        <f aca="false">sheet1!apq145</f>
        <v>#NAME?</v>
      </c>
      <c r="H144" s="0" t="e">
        <f aca="false">sheet1!apr145</f>
        <v>#NAME?</v>
      </c>
      <c r="I144" s="0" t="e">
        <f aca="false">sheet1!aps145</f>
        <v>#NAME?</v>
      </c>
      <c r="J144" s="0" t="e">
        <f aca="false">sheet1!apt145</f>
        <v>#NAME?</v>
      </c>
      <c r="K144" s="0" t="e">
        <f aca="false">sheet1!apu145</f>
        <v>#NAME?</v>
      </c>
      <c r="L144" s="0" t="e">
        <f aca="false">sheet1!apv145</f>
        <v>#NAME?</v>
      </c>
      <c r="M144" s="0" t="e">
        <f aca="false">sheet1!apw145</f>
        <v>#NAME?</v>
      </c>
    </row>
    <row r="145" customFormat="false" ht="13.5" hidden="false" customHeight="false" outlineLevel="0" collapsed="false">
      <c r="A145" s="0" t="s">
        <v>70</v>
      </c>
      <c r="B145" s="1" t="n">
        <v>44005</v>
      </c>
      <c r="C145" s="0" t="e">
        <f aca="false">sheet1!apm146</f>
        <v>#NAME?</v>
      </c>
      <c r="D145" s="0" t="e">
        <f aca="false">sheet1!apn146</f>
        <v>#NAME?</v>
      </c>
      <c r="E145" s="0" t="e">
        <f aca="false">sheet1!apo146</f>
        <v>#NAME?</v>
      </c>
      <c r="F145" s="0" t="e">
        <f aca="false">sheet1!app146</f>
        <v>#NAME?</v>
      </c>
      <c r="G145" s="0" t="e">
        <f aca="false">sheet1!apq146</f>
        <v>#NAME?</v>
      </c>
      <c r="H145" s="0" t="e">
        <f aca="false">sheet1!apr146</f>
        <v>#NAME?</v>
      </c>
      <c r="I145" s="0" t="e">
        <f aca="false">sheet1!aps146</f>
        <v>#NAME?</v>
      </c>
      <c r="J145" s="0" t="e">
        <f aca="false">sheet1!apt146</f>
        <v>#NAME?</v>
      </c>
      <c r="K145" s="0" t="e">
        <f aca="false">sheet1!apu146</f>
        <v>#NAME?</v>
      </c>
      <c r="L145" s="0" t="e">
        <f aca="false">sheet1!apv146</f>
        <v>#NAME?</v>
      </c>
      <c r="M145" s="0" t="e">
        <f aca="false">sheet1!apw146</f>
        <v>#NAME?</v>
      </c>
    </row>
    <row r="146" customFormat="false" ht="13.5" hidden="false" customHeight="false" outlineLevel="0" collapsed="false">
      <c r="A146" s="0" t="s">
        <v>70</v>
      </c>
      <c r="B146" s="1" t="n">
        <v>44006</v>
      </c>
      <c r="C146" s="0" t="e">
        <f aca="false">sheet1!apm147</f>
        <v>#NAME?</v>
      </c>
      <c r="D146" s="0" t="e">
        <f aca="false">sheet1!apn147</f>
        <v>#NAME?</v>
      </c>
      <c r="E146" s="0" t="e">
        <f aca="false">sheet1!apo147</f>
        <v>#NAME?</v>
      </c>
      <c r="F146" s="0" t="e">
        <f aca="false">sheet1!app147</f>
        <v>#NAME?</v>
      </c>
      <c r="G146" s="0" t="e">
        <f aca="false">sheet1!apq147</f>
        <v>#NAME?</v>
      </c>
      <c r="H146" s="0" t="e">
        <f aca="false">sheet1!apr147</f>
        <v>#NAME?</v>
      </c>
      <c r="I146" s="0" t="e">
        <f aca="false">sheet1!aps147</f>
        <v>#NAME?</v>
      </c>
      <c r="J146" s="0" t="e">
        <f aca="false">sheet1!apt147</f>
        <v>#NAME?</v>
      </c>
      <c r="K146" s="0" t="e">
        <f aca="false">sheet1!apu147</f>
        <v>#NAME?</v>
      </c>
      <c r="L146" s="0" t="e">
        <f aca="false">sheet1!apv147</f>
        <v>#NAME?</v>
      </c>
      <c r="M146" s="0" t="e">
        <f aca="false">sheet1!apw147</f>
        <v>#NAME?</v>
      </c>
    </row>
    <row r="147" customFormat="false" ht="13.5" hidden="false" customHeight="false" outlineLevel="0" collapsed="false">
      <c r="A147" s="0" t="s">
        <v>70</v>
      </c>
      <c r="B147" s="1" t="n">
        <v>44007</v>
      </c>
      <c r="C147" s="0" t="e">
        <f aca="false">sheet1!apm148</f>
        <v>#NAME?</v>
      </c>
      <c r="D147" s="0" t="e">
        <f aca="false">sheet1!apn148</f>
        <v>#NAME?</v>
      </c>
      <c r="E147" s="0" t="e">
        <f aca="false">sheet1!apo148</f>
        <v>#NAME?</v>
      </c>
      <c r="F147" s="0" t="e">
        <f aca="false">sheet1!app148</f>
        <v>#NAME?</v>
      </c>
      <c r="G147" s="0" t="e">
        <f aca="false">sheet1!apq148</f>
        <v>#NAME?</v>
      </c>
      <c r="H147" s="0" t="e">
        <f aca="false">sheet1!apr148</f>
        <v>#NAME?</v>
      </c>
      <c r="I147" s="0" t="e">
        <f aca="false">sheet1!aps148</f>
        <v>#NAME?</v>
      </c>
      <c r="J147" s="0" t="e">
        <f aca="false">sheet1!apt148</f>
        <v>#NAME?</v>
      </c>
      <c r="K147" s="0" t="e">
        <f aca="false">sheet1!apu148</f>
        <v>#NAME?</v>
      </c>
      <c r="L147" s="0" t="e">
        <f aca="false">sheet1!apv148</f>
        <v>#NAME?</v>
      </c>
      <c r="M147" s="0" t="e">
        <f aca="false">sheet1!apw148</f>
        <v>#NAME?</v>
      </c>
    </row>
    <row r="148" customFormat="false" ht="13.5" hidden="false" customHeight="false" outlineLevel="0" collapsed="false">
      <c r="A148" s="0" t="s">
        <v>70</v>
      </c>
      <c r="B148" s="1" t="n">
        <v>44008</v>
      </c>
      <c r="C148" s="0" t="e">
        <f aca="false">sheet1!apm149</f>
        <v>#NAME?</v>
      </c>
      <c r="D148" s="0" t="e">
        <f aca="false">sheet1!apn149</f>
        <v>#NAME?</v>
      </c>
      <c r="E148" s="0" t="e">
        <f aca="false">sheet1!apo149</f>
        <v>#NAME?</v>
      </c>
      <c r="F148" s="0" t="e">
        <f aca="false">sheet1!app149</f>
        <v>#NAME?</v>
      </c>
      <c r="G148" s="0" t="e">
        <f aca="false">sheet1!apq149</f>
        <v>#NAME?</v>
      </c>
      <c r="H148" s="0" t="e">
        <f aca="false">sheet1!apr149</f>
        <v>#NAME?</v>
      </c>
      <c r="I148" s="0" t="e">
        <f aca="false">sheet1!aps149</f>
        <v>#NAME?</v>
      </c>
      <c r="J148" s="0" t="e">
        <f aca="false">sheet1!apt149</f>
        <v>#NAME?</v>
      </c>
      <c r="K148" s="0" t="e">
        <f aca="false">sheet1!apu149</f>
        <v>#NAME?</v>
      </c>
      <c r="L148" s="0" t="e">
        <f aca="false">sheet1!apv149</f>
        <v>#NAME?</v>
      </c>
      <c r="M148" s="0" t="e">
        <f aca="false">sheet1!apw149</f>
        <v>#NAME?</v>
      </c>
    </row>
    <row r="149" customFormat="false" ht="13.5" hidden="false" customHeight="false" outlineLevel="0" collapsed="false">
      <c r="A149" s="0" t="s">
        <v>70</v>
      </c>
      <c r="B149" s="1" t="n">
        <v>44009</v>
      </c>
      <c r="C149" s="0" t="e">
        <f aca="false">sheet1!apm150</f>
        <v>#NAME?</v>
      </c>
      <c r="D149" s="0" t="e">
        <f aca="false">sheet1!apn150</f>
        <v>#NAME?</v>
      </c>
      <c r="E149" s="0" t="e">
        <f aca="false">sheet1!apo150</f>
        <v>#NAME?</v>
      </c>
      <c r="F149" s="0" t="e">
        <f aca="false">sheet1!app150</f>
        <v>#NAME?</v>
      </c>
      <c r="G149" s="0" t="e">
        <f aca="false">sheet1!apq150</f>
        <v>#NAME?</v>
      </c>
      <c r="H149" s="0" t="e">
        <f aca="false">sheet1!apr150</f>
        <v>#NAME?</v>
      </c>
      <c r="I149" s="0" t="e">
        <f aca="false">sheet1!aps150</f>
        <v>#NAME?</v>
      </c>
      <c r="J149" s="0" t="e">
        <f aca="false">sheet1!apt150</f>
        <v>#NAME?</v>
      </c>
      <c r="K149" s="0" t="e">
        <f aca="false">sheet1!apu150</f>
        <v>#NAME?</v>
      </c>
      <c r="L149" s="0" t="e">
        <f aca="false">sheet1!apv150</f>
        <v>#NAME?</v>
      </c>
      <c r="M149" s="0" t="e">
        <f aca="false">sheet1!apw150</f>
        <v>#NAME?</v>
      </c>
    </row>
    <row r="150" customFormat="false" ht="13.5" hidden="false" customHeight="false" outlineLevel="0" collapsed="false">
      <c r="A150" s="0" t="s">
        <v>70</v>
      </c>
      <c r="B150" s="1" t="n">
        <v>44010</v>
      </c>
      <c r="C150" s="0" t="e">
        <f aca="false">sheet1!apm151</f>
        <v>#NAME?</v>
      </c>
      <c r="D150" s="0" t="e">
        <f aca="false">sheet1!apn151</f>
        <v>#NAME?</v>
      </c>
      <c r="E150" s="0" t="e">
        <f aca="false">sheet1!apo151</f>
        <v>#NAME?</v>
      </c>
      <c r="F150" s="0" t="e">
        <f aca="false">sheet1!app151</f>
        <v>#NAME?</v>
      </c>
      <c r="G150" s="0" t="e">
        <f aca="false">sheet1!apq151</f>
        <v>#NAME?</v>
      </c>
      <c r="H150" s="0" t="e">
        <f aca="false">sheet1!apr151</f>
        <v>#NAME?</v>
      </c>
      <c r="I150" s="0" t="e">
        <f aca="false">sheet1!aps151</f>
        <v>#NAME?</v>
      </c>
      <c r="J150" s="0" t="e">
        <f aca="false">sheet1!apt151</f>
        <v>#NAME?</v>
      </c>
      <c r="K150" s="0" t="e">
        <f aca="false">sheet1!apu151</f>
        <v>#NAME?</v>
      </c>
      <c r="L150" s="0" t="e">
        <f aca="false">sheet1!apv151</f>
        <v>#NAME?</v>
      </c>
      <c r="M150" s="0" t="e">
        <f aca="false">sheet1!apw151</f>
        <v>#NAME?</v>
      </c>
    </row>
    <row r="151" customFormat="false" ht="13.5" hidden="false" customHeight="false" outlineLevel="0" collapsed="false">
      <c r="A151" s="0" t="s">
        <v>70</v>
      </c>
      <c r="B151" s="1" t="n">
        <v>44011</v>
      </c>
      <c r="C151" s="0" t="e">
        <f aca="false">sheet1!apm152</f>
        <v>#NAME?</v>
      </c>
      <c r="D151" s="0" t="e">
        <f aca="false">sheet1!apn152</f>
        <v>#NAME?</v>
      </c>
      <c r="E151" s="0" t="e">
        <f aca="false">sheet1!apo152</f>
        <v>#NAME?</v>
      </c>
      <c r="F151" s="0" t="e">
        <f aca="false">sheet1!app152</f>
        <v>#NAME?</v>
      </c>
      <c r="G151" s="0" t="e">
        <f aca="false">sheet1!apq152</f>
        <v>#NAME?</v>
      </c>
      <c r="H151" s="0" t="e">
        <f aca="false">sheet1!apr152</f>
        <v>#NAME?</v>
      </c>
      <c r="I151" s="0" t="e">
        <f aca="false">sheet1!aps152</f>
        <v>#NAME?</v>
      </c>
      <c r="J151" s="0" t="e">
        <f aca="false">sheet1!apt152</f>
        <v>#NAME?</v>
      </c>
      <c r="K151" s="0" t="e">
        <f aca="false">sheet1!apu152</f>
        <v>#NAME?</v>
      </c>
      <c r="L151" s="0" t="e">
        <f aca="false">sheet1!apv152</f>
        <v>#NAME?</v>
      </c>
      <c r="M151" s="0" t="e">
        <f aca="false">sheet1!apw152</f>
        <v>#NAME?</v>
      </c>
    </row>
    <row r="152" customFormat="false" ht="13.5" hidden="false" customHeight="false" outlineLevel="0" collapsed="false">
      <c r="A152" s="0" t="s">
        <v>70</v>
      </c>
      <c r="B152" s="1" t="n">
        <v>44012</v>
      </c>
      <c r="C152" s="0" t="e">
        <f aca="false">sheet1!apm153</f>
        <v>#NAME?</v>
      </c>
      <c r="D152" s="0" t="e">
        <f aca="false">sheet1!apn153</f>
        <v>#NAME?</v>
      </c>
      <c r="E152" s="0" t="e">
        <f aca="false">sheet1!apo153</f>
        <v>#NAME?</v>
      </c>
      <c r="F152" s="0" t="e">
        <f aca="false">sheet1!app153</f>
        <v>#NAME?</v>
      </c>
      <c r="G152" s="0" t="e">
        <f aca="false">sheet1!apq153</f>
        <v>#NAME?</v>
      </c>
      <c r="H152" s="0" t="e">
        <f aca="false">sheet1!apr153</f>
        <v>#NAME?</v>
      </c>
      <c r="I152" s="0" t="e">
        <f aca="false">sheet1!aps153</f>
        <v>#NAME?</v>
      </c>
      <c r="J152" s="0" t="e">
        <f aca="false">sheet1!apt153</f>
        <v>#NAME?</v>
      </c>
      <c r="K152" s="0" t="e">
        <f aca="false">sheet1!apu153</f>
        <v>#NAME?</v>
      </c>
      <c r="L152" s="0" t="e">
        <f aca="false">sheet1!apv153</f>
        <v>#NAME?</v>
      </c>
      <c r="M152" s="0" t="e">
        <f aca="false">sheet1!apw153</f>
        <v>#NAME?</v>
      </c>
    </row>
    <row r="153" customFormat="false" ht="13.5" hidden="false" customHeight="false" outlineLevel="0" collapsed="false">
      <c r="A153" s="0" t="s">
        <v>70</v>
      </c>
      <c r="B153" s="1" t="n">
        <v>44013</v>
      </c>
      <c r="C153" s="0" t="e">
        <f aca="false">sheet1!apm154</f>
        <v>#NAME?</v>
      </c>
      <c r="D153" s="0" t="e">
        <f aca="false">sheet1!apn154</f>
        <v>#NAME?</v>
      </c>
      <c r="E153" s="0" t="e">
        <f aca="false">sheet1!apo154</f>
        <v>#NAME?</v>
      </c>
      <c r="F153" s="0" t="e">
        <f aca="false">sheet1!app154</f>
        <v>#NAME?</v>
      </c>
      <c r="G153" s="0" t="e">
        <f aca="false">sheet1!apq154</f>
        <v>#NAME?</v>
      </c>
      <c r="H153" s="0" t="e">
        <f aca="false">sheet1!apr154</f>
        <v>#NAME?</v>
      </c>
      <c r="I153" s="0" t="e">
        <f aca="false">sheet1!aps154</f>
        <v>#NAME?</v>
      </c>
      <c r="J153" s="0" t="e">
        <f aca="false">sheet1!apt154</f>
        <v>#NAME?</v>
      </c>
      <c r="K153" s="0" t="e">
        <f aca="false">sheet1!apu154</f>
        <v>#NAME?</v>
      </c>
      <c r="L153" s="0" t="e">
        <f aca="false">sheet1!apv154</f>
        <v>#NAME?</v>
      </c>
      <c r="M153" s="0" t="e">
        <f aca="false">sheet1!apw154</f>
        <v>#NAME?</v>
      </c>
    </row>
    <row r="154" customFormat="false" ht="13.5" hidden="false" customHeight="false" outlineLevel="0" collapsed="false">
      <c r="A154" s="0" t="s">
        <v>70</v>
      </c>
      <c r="B154" s="1" t="n">
        <v>44014</v>
      </c>
      <c r="C154" s="0" t="e">
        <f aca="false">sheet1!apm155</f>
        <v>#NAME?</v>
      </c>
      <c r="D154" s="0" t="e">
        <f aca="false">sheet1!apn155</f>
        <v>#NAME?</v>
      </c>
      <c r="E154" s="0" t="e">
        <f aca="false">sheet1!apo155</f>
        <v>#NAME?</v>
      </c>
      <c r="F154" s="0" t="e">
        <f aca="false">sheet1!app155</f>
        <v>#NAME?</v>
      </c>
      <c r="G154" s="0" t="e">
        <f aca="false">sheet1!apq155</f>
        <v>#NAME?</v>
      </c>
      <c r="H154" s="0" t="e">
        <f aca="false">sheet1!apr155</f>
        <v>#NAME?</v>
      </c>
      <c r="I154" s="0" t="e">
        <f aca="false">sheet1!aps155</f>
        <v>#NAME?</v>
      </c>
      <c r="J154" s="0" t="e">
        <f aca="false">sheet1!apt155</f>
        <v>#NAME?</v>
      </c>
      <c r="K154" s="0" t="e">
        <f aca="false">sheet1!apu155</f>
        <v>#NAME?</v>
      </c>
      <c r="L154" s="0" t="e">
        <f aca="false">sheet1!apv155</f>
        <v>#NAME?</v>
      </c>
      <c r="M154" s="0" t="e">
        <f aca="false">sheet1!apw155</f>
        <v>#NAME?</v>
      </c>
    </row>
    <row r="155" customFormat="false" ht="13.5" hidden="false" customHeight="false" outlineLevel="0" collapsed="false">
      <c r="A155" s="0" t="s">
        <v>70</v>
      </c>
      <c r="B155" s="1" t="n">
        <v>44015</v>
      </c>
      <c r="C155" s="0" t="e">
        <f aca="false">sheet1!apm156</f>
        <v>#NAME?</v>
      </c>
      <c r="D155" s="0" t="e">
        <f aca="false">sheet1!apn156</f>
        <v>#NAME?</v>
      </c>
      <c r="E155" s="0" t="e">
        <f aca="false">sheet1!apo156</f>
        <v>#NAME?</v>
      </c>
      <c r="F155" s="0" t="e">
        <f aca="false">sheet1!app156</f>
        <v>#NAME?</v>
      </c>
      <c r="G155" s="0" t="e">
        <f aca="false">sheet1!apq156</f>
        <v>#NAME?</v>
      </c>
      <c r="H155" s="0" t="e">
        <f aca="false">sheet1!apr156</f>
        <v>#NAME?</v>
      </c>
      <c r="I155" s="0" t="e">
        <f aca="false">sheet1!aps156</f>
        <v>#NAME?</v>
      </c>
      <c r="J155" s="0" t="e">
        <f aca="false">sheet1!apt156</f>
        <v>#NAME?</v>
      </c>
      <c r="K155" s="0" t="e">
        <f aca="false">sheet1!apu156</f>
        <v>#NAME?</v>
      </c>
      <c r="L155" s="0" t="e">
        <f aca="false">sheet1!apv156</f>
        <v>#NAME?</v>
      </c>
      <c r="M155" s="0" t="e">
        <f aca="false">sheet1!apw156</f>
        <v>#NAME?</v>
      </c>
    </row>
    <row r="156" customFormat="false" ht="13.5" hidden="false" customHeight="false" outlineLevel="0" collapsed="false">
      <c r="A156" s="0" t="s">
        <v>70</v>
      </c>
      <c r="B156" s="1" t="n">
        <v>44016</v>
      </c>
      <c r="C156" s="0" t="e">
        <f aca="false">sheet1!apm157</f>
        <v>#NAME?</v>
      </c>
      <c r="D156" s="0" t="e">
        <f aca="false">sheet1!apn157</f>
        <v>#NAME?</v>
      </c>
      <c r="E156" s="0" t="e">
        <f aca="false">sheet1!apo157</f>
        <v>#NAME?</v>
      </c>
      <c r="F156" s="0" t="e">
        <f aca="false">sheet1!app157</f>
        <v>#NAME?</v>
      </c>
      <c r="G156" s="0" t="e">
        <f aca="false">sheet1!apq157</f>
        <v>#NAME?</v>
      </c>
      <c r="H156" s="0" t="e">
        <f aca="false">sheet1!apr157</f>
        <v>#NAME?</v>
      </c>
      <c r="I156" s="0" t="e">
        <f aca="false">sheet1!aps157</f>
        <v>#NAME?</v>
      </c>
      <c r="J156" s="0" t="e">
        <f aca="false">sheet1!apt157</f>
        <v>#NAME?</v>
      </c>
      <c r="K156" s="0" t="e">
        <f aca="false">sheet1!apu157</f>
        <v>#NAME?</v>
      </c>
      <c r="L156" s="0" t="e">
        <f aca="false">sheet1!apv157</f>
        <v>#NAME?</v>
      </c>
      <c r="M156" s="0" t="e">
        <f aca="false">sheet1!apw157</f>
        <v>#NAME?</v>
      </c>
    </row>
    <row r="157" customFormat="false" ht="13.5" hidden="false" customHeight="false" outlineLevel="0" collapsed="false">
      <c r="A157" s="0" t="s">
        <v>70</v>
      </c>
      <c r="B157" s="1" t="n">
        <v>44017</v>
      </c>
      <c r="C157" s="0" t="e">
        <f aca="false">sheet1!apm158</f>
        <v>#NAME?</v>
      </c>
      <c r="D157" s="0" t="e">
        <f aca="false">sheet1!apn158</f>
        <v>#NAME?</v>
      </c>
      <c r="E157" s="0" t="e">
        <f aca="false">sheet1!apo158</f>
        <v>#NAME?</v>
      </c>
      <c r="F157" s="0" t="e">
        <f aca="false">sheet1!app158</f>
        <v>#NAME?</v>
      </c>
      <c r="G157" s="0" t="e">
        <f aca="false">sheet1!apq158</f>
        <v>#NAME?</v>
      </c>
      <c r="H157" s="0" t="e">
        <f aca="false">sheet1!apr158</f>
        <v>#NAME?</v>
      </c>
      <c r="I157" s="0" t="e">
        <f aca="false">sheet1!aps158</f>
        <v>#NAME?</v>
      </c>
      <c r="J157" s="0" t="e">
        <f aca="false">sheet1!apt158</f>
        <v>#NAME?</v>
      </c>
      <c r="K157" s="0" t="e">
        <f aca="false">sheet1!apu158</f>
        <v>#NAME?</v>
      </c>
      <c r="L157" s="0" t="e">
        <f aca="false">sheet1!apv158</f>
        <v>#NAME?</v>
      </c>
      <c r="M157" s="0" t="e">
        <f aca="false">sheet1!apw158</f>
        <v>#NAME?</v>
      </c>
    </row>
    <row r="158" customFormat="false" ht="13.5" hidden="false" customHeight="false" outlineLevel="0" collapsed="false">
      <c r="A158" s="0" t="s">
        <v>70</v>
      </c>
      <c r="B158" s="1" t="n">
        <v>44018</v>
      </c>
      <c r="C158" s="0" t="e">
        <f aca="false">sheet1!apm159</f>
        <v>#NAME?</v>
      </c>
      <c r="D158" s="0" t="e">
        <f aca="false">sheet1!apn159</f>
        <v>#NAME?</v>
      </c>
      <c r="E158" s="0" t="e">
        <f aca="false">sheet1!apo159</f>
        <v>#NAME?</v>
      </c>
      <c r="F158" s="0" t="e">
        <f aca="false">sheet1!app159</f>
        <v>#NAME?</v>
      </c>
      <c r="G158" s="0" t="e">
        <f aca="false">sheet1!apq159</f>
        <v>#NAME?</v>
      </c>
      <c r="H158" s="0" t="e">
        <f aca="false">sheet1!apr159</f>
        <v>#NAME?</v>
      </c>
      <c r="I158" s="0" t="e">
        <f aca="false">sheet1!aps159</f>
        <v>#NAME?</v>
      </c>
      <c r="J158" s="0" t="e">
        <f aca="false">sheet1!apt159</f>
        <v>#NAME?</v>
      </c>
      <c r="K158" s="0" t="e">
        <f aca="false">sheet1!apu159</f>
        <v>#NAME?</v>
      </c>
      <c r="L158" s="0" t="e">
        <f aca="false">sheet1!apv159</f>
        <v>#NAME?</v>
      </c>
      <c r="M158" s="0" t="e">
        <f aca="false">sheet1!apw159</f>
        <v>#NAME?</v>
      </c>
    </row>
    <row r="159" customFormat="false" ht="13.5" hidden="false" customHeight="false" outlineLevel="0" collapsed="false">
      <c r="A159" s="0" t="s">
        <v>70</v>
      </c>
      <c r="B159" s="1" t="n">
        <v>44019</v>
      </c>
      <c r="C159" s="0" t="e">
        <f aca="false">sheet1!apm160</f>
        <v>#NAME?</v>
      </c>
      <c r="D159" s="0" t="e">
        <f aca="false">sheet1!apn160</f>
        <v>#NAME?</v>
      </c>
      <c r="E159" s="0" t="e">
        <f aca="false">sheet1!apo160</f>
        <v>#NAME?</v>
      </c>
      <c r="F159" s="0" t="e">
        <f aca="false">sheet1!app160</f>
        <v>#NAME?</v>
      </c>
      <c r="G159" s="0" t="e">
        <f aca="false">sheet1!apq160</f>
        <v>#NAME?</v>
      </c>
      <c r="H159" s="0" t="e">
        <f aca="false">sheet1!apr160</f>
        <v>#NAME?</v>
      </c>
      <c r="I159" s="0" t="e">
        <f aca="false">sheet1!aps160</f>
        <v>#NAME?</v>
      </c>
      <c r="J159" s="0" t="e">
        <f aca="false">sheet1!apt160</f>
        <v>#NAME?</v>
      </c>
      <c r="K159" s="0" t="e">
        <f aca="false">sheet1!apu160</f>
        <v>#NAME?</v>
      </c>
      <c r="L159" s="0" t="e">
        <f aca="false">sheet1!apv160</f>
        <v>#NAME?</v>
      </c>
      <c r="M159" s="0" t="e">
        <f aca="false">sheet1!apw160</f>
        <v>#NAME?</v>
      </c>
    </row>
    <row r="160" customFormat="false" ht="13.5" hidden="false" customHeight="false" outlineLevel="0" collapsed="false">
      <c r="A160" s="0" t="s">
        <v>70</v>
      </c>
      <c r="B160" s="1" t="n">
        <v>44020</v>
      </c>
      <c r="C160" s="0" t="e">
        <f aca="false">sheet1!apm161</f>
        <v>#NAME?</v>
      </c>
      <c r="D160" s="0" t="e">
        <f aca="false">sheet1!apn161</f>
        <v>#NAME?</v>
      </c>
      <c r="E160" s="0" t="e">
        <f aca="false">sheet1!apo161</f>
        <v>#NAME?</v>
      </c>
      <c r="F160" s="0" t="e">
        <f aca="false">sheet1!app161</f>
        <v>#NAME?</v>
      </c>
      <c r="G160" s="0" t="e">
        <f aca="false">sheet1!apq161</f>
        <v>#NAME?</v>
      </c>
      <c r="H160" s="0" t="e">
        <f aca="false">sheet1!apr161</f>
        <v>#NAME?</v>
      </c>
      <c r="I160" s="0" t="e">
        <f aca="false">sheet1!aps161</f>
        <v>#NAME?</v>
      </c>
      <c r="J160" s="0" t="e">
        <f aca="false">sheet1!apt161</f>
        <v>#NAME?</v>
      </c>
      <c r="K160" s="0" t="e">
        <f aca="false">sheet1!apu161</f>
        <v>#NAME?</v>
      </c>
      <c r="L160" s="0" t="e">
        <f aca="false">sheet1!apv161</f>
        <v>#NAME?</v>
      </c>
      <c r="M160" s="0" t="e">
        <f aca="false">sheet1!apw161</f>
        <v>#NAME?</v>
      </c>
    </row>
    <row r="161" customFormat="false" ht="13.5" hidden="false" customHeight="false" outlineLevel="0" collapsed="false">
      <c r="A161" s="0" t="s">
        <v>70</v>
      </c>
      <c r="B161" s="1" t="n">
        <v>44021</v>
      </c>
      <c r="C161" s="0" t="e">
        <f aca="false">sheet1!apm162</f>
        <v>#NAME?</v>
      </c>
      <c r="D161" s="0" t="e">
        <f aca="false">sheet1!apn162</f>
        <v>#NAME?</v>
      </c>
      <c r="E161" s="0" t="e">
        <f aca="false">sheet1!apo162</f>
        <v>#NAME?</v>
      </c>
      <c r="F161" s="0" t="e">
        <f aca="false">sheet1!app162</f>
        <v>#NAME?</v>
      </c>
      <c r="G161" s="0" t="e">
        <f aca="false">sheet1!apq162</f>
        <v>#NAME?</v>
      </c>
      <c r="H161" s="0" t="e">
        <f aca="false">sheet1!apr162</f>
        <v>#NAME?</v>
      </c>
      <c r="I161" s="0" t="e">
        <f aca="false">sheet1!aps162</f>
        <v>#NAME?</v>
      </c>
      <c r="J161" s="0" t="e">
        <f aca="false">sheet1!apt162</f>
        <v>#NAME?</v>
      </c>
      <c r="K161" s="0" t="e">
        <f aca="false">sheet1!apu162</f>
        <v>#NAME?</v>
      </c>
      <c r="L161" s="0" t="e">
        <f aca="false">sheet1!apv162</f>
        <v>#NAME?</v>
      </c>
      <c r="M161" s="0" t="e">
        <f aca="false">sheet1!apw162</f>
        <v>#NAME?</v>
      </c>
    </row>
    <row r="162" customFormat="false" ht="13.5" hidden="false" customHeight="false" outlineLevel="0" collapsed="false">
      <c r="A162" s="0" t="s">
        <v>70</v>
      </c>
      <c r="B162" s="1" t="n">
        <v>44022</v>
      </c>
      <c r="C162" s="0" t="e">
        <f aca="false">sheet1!apm163</f>
        <v>#NAME?</v>
      </c>
      <c r="D162" s="0" t="e">
        <f aca="false">sheet1!apn163</f>
        <v>#NAME?</v>
      </c>
      <c r="E162" s="0" t="e">
        <f aca="false">sheet1!apo163</f>
        <v>#NAME?</v>
      </c>
      <c r="F162" s="0" t="e">
        <f aca="false">sheet1!app163</f>
        <v>#NAME?</v>
      </c>
      <c r="G162" s="0" t="e">
        <f aca="false">sheet1!apq163</f>
        <v>#NAME?</v>
      </c>
      <c r="H162" s="0" t="e">
        <f aca="false">sheet1!apr163</f>
        <v>#NAME?</v>
      </c>
      <c r="I162" s="0" t="e">
        <f aca="false">sheet1!aps163</f>
        <v>#NAME?</v>
      </c>
      <c r="J162" s="0" t="e">
        <f aca="false">sheet1!apt163</f>
        <v>#NAME?</v>
      </c>
      <c r="K162" s="0" t="e">
        <f aca="false">sheet1!apu163</f>
        <v>#NAME?</v>
      </c>
      <c r="L162" s="0" t="e">
        <f aca="false">sheet1!apv163</f>
        <v>#NAME?</v>
      </c>
      <c r="M162" s="0" t="e">
        <f aca="false">sheet1!apw163</f>
        <v>#NAME?</v>
      </c>
    </row>
    <row r="163" customFormat="false" ht="13.5" hidden="false" customHeight="false" outlineLevel="0" collapsed="false">
      <c r="A163" s="0" t="s">
        <v>70</v>
      </c>
      <c r="B163" s="1" t="n">
        <v>44023</v>
      </c>
      <c r="C163" s="0" t="e">
        <f aca="false">sheet1!apm164</f>
        <v>#NAME?</v>
      </c>
      <c r="D163" s="0" t="e">
        <f aca="false">sheet1!apn164</f>
        <v>#NAME?</v>
      </c>
      <c r="E163" s="0" t="e">
        <f aca="false">sheet1!apo164</f>
        <v>#NAME?</v>
      </c>
      <c r="F163" s="0" t="e">
        <f aca="false">sheet1!app164</f>
        <v>#NAME?</v>
      </c>
      <c r="G163" s="0" t="e">
        <f aca="false">sheet1!apq164</f>
        <v>#NAME?</v>
      </c>
      <c r="H163" s="0" t="e">
        <f aca="false">sheet1!apr164</f>
        <v>#NAME?</v>
      </c>
      <c r="I163" s="0" t="e">
        <f aca="false">sheet1!aps164</f>
        <v>#NAME?</v>
      </c>
      <c r="J163" s="0" t="e">
        <f aca="false">sheet1!apt164</f>
        <v>#NAME?</v>
      </c>
      <c r="K163" s="0" t="e">
        <f aca="false">sheet1!apu164</f>
        <v>#NAME?</v>
      </c>
      <c r="L163" s="0" t="e">
        <f aca="false">sheet1!apv164</f>
        <v>#NAME?</v>
      </c>
      <c r="M163" s="0" t="e">
        <f aca="false">sheet1!apw164</f>
        <v>#NAME?</v>
      </c>
    </row>
    <row r="164" customFormat="false" ht="13.5" hidden="false" customHeight="false" outlineLevel="0" collapsed="false">
      <c r="A164" s="0" t="s">
        <v>70</v>
      </c>
      <c r="B164" s="1" t="n">
        <v>44024</v>
      </c>
      <c r="C164" s="0" t="e">
        <f aca="false">sheet1!apm165</f>
        <v>#NAME?</v>
      </c>
      <c r="D164" s="0" t="e">
        <f aca="false">sheet1!apn165</f>
        <v>#NAME?</v>
      </c>
      <c r="E164" s="0" t="e">
        <f aca="false">sheet1!apo165</f>
        <v>#NAME?</v>
      </c>
      <c r="F164" s="0" t="e">
        <f aca="false">sheet1!app165</f>
        <v>#NAME?</v>
      </c>
      <c r="G164" s="0" t="e">
        <f aca="false">sheet1!apq165</f>
        <v>#NAME?</v>
      </c>
      <c r="H164" s="0" t="e">
        <f aca="false">sheet1!apr165</f>
        <v>#NAME?</v>
      </c>
      <c r="I164" s="0" t="e">
        <f aca="false">sheet1!aps165</f>
        <v>#NAME?</v>
      </c>
      <c r="J164" s="0" t="e">
        <f aca="false">sheet1!apt165</f>
        <v>#NAME?</v>
      </c>
      <c r="K164" s="0" t="e">
        <f aca="false">sheet1!apu165</f>
        <v>#NAME?</v>
      </c>
      <c r="L164" s="0" t="e">
        <f aca="false">sheet1!apv165</f>
        <v>#NAME?</v>
      </c>
      <c r="M164" s="0" t="e">
        <f aca="false">sheet1!apw165</f>
        <v>#NAME?</v>
      </c>
    </row>
    <row r="165" customFormat="false" ht="13.5" hidden="false" customHeight="false" outlineLevel="0" collapsed="false">
      <c r="A165" s="0" t="s">
        <v>70</v>
      </c>
      <c r="B165" s="1" t="n">
        <v>44025</v>
      </c>
      <c r="C165" s="0" t="e">
        <f aca="false">sheet1!apm166</f>
        <v>#NAME?</v>
      </c>
      <c r="D165" s="0" t="e">
        <f aca="false">sheet1!apn166</f>
        <v>#NAME?</v>
      </c>
      <c r="E165" s="0" t="e">
        <f aca="false">sheet1!apo166</f>
        <v>#NAME?</v>
      </c>
      <c r="F165" s="0" t="e">
        <f aca="false">sheet1!app166</f>
        <v>#NAME?</v>
      </c>
      <c r="G165" s="0" t="e">
        <f aca="false">sheet1!apq166</f>
        <v>#NAME?</v>
      </c>
      <c r="H165" s="0" t="e">
        <f aca="false">sheet1!apr166</f>
        <v>#NAME?</v>
      </c>
      <c r="I165" s="0" t="e">
        <f aca="false">sheet1!aps166</f>
        <v>#NAME?</v>
      </c>
      <c r="J165" s="0" t="e">
        <f aca="false">sheet1!apt166</f>
        <v>#NAME?</v>
      </c>
      <c r="K165" s="0" t="e">
        <f aca="false">sheet1!apu166</f>
        <v>#NAME?</v>
      </c>
      <c r="L165" s="0" t="e">
        <f aca="false">sheet1!apv166</f>
        <v>#NAME?</v>
      </c>
      <c r="M165" s="0" t="e">
        <f aca="false">sheet1!apw166</f>
        <v>#NAME?</v>
      </c>
    </row>
    <row r="166" customFormat="false" ht="13.5" hidden="false" customHeight="false" outlineLevel="0" collapsed="false">
      <c r="A166" s="0" t="s">
        <v>70</v>
      </c>
      <c r="B166" s="1" t="n">
        <v>44026</v>
      </c>
      <c r="C166" s="0" t="e">
        <f aca="false">sheet1!apm167</f>
        <v>#NAME?</v>
      </c>
      <c r="D166" s="0" t="e">
        <f aca="false">sheet1!apn167</f>
        <v>#NAME?</v>
      </c>
      <c r="E166" s="0" t="e">
        <f aca="false">sheet1!apo167</f>
        <v>#NAME?</v>
      </c>
      <c r="F166" s="0" t="e">
        <f aca="false">sheet1!app167</f>
        <v>#NAME?</v>
      </c>
      <c r="G166" s="0" t="e">
        <f aca="false">sheet1!apq167</f>
        <v>#NAME?</v>
      </c>
      <c r="H166" s="0" t="e">
        <f aca="false">sheet1!apr167</f>
        <v>#NAME?</v>
      </c>
      <c r="I166" s="0" t="e">
        <f aca="false">sheet1!aps167</f>
        <v>#NAME?</v>
      </c>
      <c r="J166" s="0" t="e">
        <f aca="false">sheet1!apt167</f>
        <v>#NAME?</v>
      </c>
      <c r="K166" s="0" t="e">
        <f aca="false">sheet1!apu167</f>
        <v>#NAME?</v>
      </c>
      <c r="L166" s="0" t="e">
        <f aca="false">sheet1!apv167</f>
        <v>#NAME?</v>
      </c>
      <c r="M166" s="0" t="e">
        <f aca="false">sheet1!apw167</f>
        <v>#NAME?</v>
      </c>
    </row>
    <row r="167" customFormat="false" ht="13.5" hidden="false" customHeight="false" outlineLevel="0" collapsed="false">
      <c r="A167" s="0" t="s">
        <v>70</v>
      </c>
      <c r="B167" s="1" t="n">
        <v>44027</v>
      </c>
      <c r="C167" s="0" t="e">
        <f aca="false">sheet1!apm168</f>
        <v>#NAME?</v>
      </c>
      <c r="D167" s="0" t="e">
        <f aca="false">sheet1!apn168</f>
        <v>#NAME?</v>
      </c>
      <c r="E167" s="0" t="e">
        <f aca="false">sheet1!apo168</f>
        <v>#NAME?</v>
      </c>
      <c r="F167" s="0" t="e">
        <f aca="false">sheet1!app168</f>
        <v>#NAME?</v>
      </c>
      <c r="G167" s="0" t="e">
        <f aca="false">sheet1!apq168</f>
        <v>#NAME?</v>
      </c>
      <c r="H167" s="0" t="e">
        <f aca="false">sheet1!apr168</f>
        <v>#NAME?</v>
      </c>
      <c r="I167" s="0" t="e">
        <f aca="false">sheet1!aps168</f>
        <v>#NAME?</v>
      </c>
      <c r="J167" s="0" t="e">
        <f aca="false">sheet1!apt168</f>
        <v>#NAME?</v>
      </c>
      <c r="K167" s="0" t="e">
        <f aca="false">sheet1!apu168</f>
        <v>#NAME?</v>
      </c>
      <c r="L167" s="0" t="e">
        <f aca="false">sheet1!apv168</f>
        <v>#NAME?</v>
      </c>
      <c r="M167" s="0" t="e">
        <f aca="false">sheet1!apw168</f>
        <v>#NAME?</v>
      </c>
    </row>
    <row r="168" customFormat="false" ht="13.5" hidden="false" customHeight="false" outlineLevel="0" collapsed="false">
      <c r="A168" s="0" t="s">
        <v>70</v>
      </c>
      <c r="B168" s="1" t="n">
        <v>44028</v>
      </c>
      <c r="C168" s="0" t="e">
        <f aca="false">sheet1!apm169</f>
        <v>#NAME?</v>
      </c>
      <c r="D168" s="0" t="e">
        <f aca="false">sheet1!apn169</f>
        <v>#NAME?</v>
      </c>
      <c r="E168" s="0" t="e">
        <f aca="false">sheet1!apo169</f>
        <v>#NAME?</v>
      </c>
      <c r="F168" s="0" t="e">
        <f aca="false">sheet1!app169</f>
        <v>#NAME?</v>
      </c>
      <c r="G168" s="0" t="e">
        <f aca="false">sheet1!apq169</f>
        <v>#NAME?</v>
      </c>
      <c r="H168" s="0" t="e">
        <f aca="false">sheet1!apr169</f>
        <v>#NAME?</v>
      </c>
      <c r="I168" s="0" t="e">
        <f aca="false">sheet1!aps169</f>
        <v>#NAME?</v>
      </c>
      <c r="J168" s="0" t="e">
        <f aca="false">sheet1!apt169</f>
        <v>#NAME?</v>
      </c>
      <c r="K168" s="0" t="e">
        <f aca="false">sheet1!apu169</f>
        <v>#NAME?</v>
      </c>
      <c r="L168" s="0" t="e">
        <f aca="false">sheet1!apv169</f>
        <v>#NAME?</v>
      </c>
      <c r="M168" s="0" t="e">
        <f aca="false">sheet1!apw169</f>
        <v>#NAME?</v>
      </c>
    </row>
    <row r="169" customFormat="false" ht="13.5" hidden="false" customHeight="false" outlineLevel="0" collapsed="false">
      <c r="A169" s="0" t="s">
        <v>70</v>
      </c>
      <c r="B169" s="1" t="n">
        <v>44029</v>
      </c>
      <c r="C169" s="0" t="e">
        <f aca="false">sheet1!apm170</f>
        <v>#NAME?</v>
      </c>
      <c r="D169" s="0" t="e">
        <f aca="false">sheet1!apn170</f>
        <v>#NAME?</v>
      </c>
      <c r="E169" s="0" t="e">
        <f aca="false">sheet1!apo170</f>
        <v>#NAME?</v>
      </c>
      <c r="F169" s="0" t="e">
        <f aca="false">sheet1!app170</f>
        <v>#NAME?</v>
      </c>
      <c r="G169" s="0" t="e">
        <f aca="false">sheet1!apq170</f>
        <v>#NAME?</v>
      </c>
      <c r="H169" s="0" t="e">
        <f aca="false">sheet1!apr170</f>
        <v>#NAME?</v>
      </c>
      <c r="I169" s="0" t="e">
        <f aca="false">sheet1!aps170</f>
        <v>#NAME?</v>
      </c>
      <c r="J169" s="0" t="e">
        <f aca="false">sheet1!apt170</f>
        <v>#NAME?</v>
      </c>
      <c r="K169" s="0" t="e">
        <f aca="false">sheet1!apu170</f>
        <v>#NAME?</v>
      </c>
      <c r="L169" s="0" t="e">
        <f aca="false">sheet1!apv170</f>
        <v>#NAME?</v>
      </c>
      <c r="M169" s="0" t="e">
        <f aca="false">sheet1!apw170</f>
        <v>#NAME?</v>
      </c>
    </row>
    <row r="170" customFormat="false" ht="13.5" hidden="false" customHeight="false" outlineLevel="0" collapsed="false">
      <c r="A170" s="0" t="s">
        <v>70</v>
      </c>
      <c r="B170" s="1" t="n">
        <v>44030</v>
      </c>
      <c r="C170" s="0" t="e">
        <f aca="false">sheet1!apm171</f>
        <v>#NAME?</v>
      </c>
      <c r="D170" s="0" t="e">
        <f aca="false">sheet1!apn171</f>
        <v>#NAME?</v>
      </c>
      <c r="E170" s="0" t="e">
        <f aca="false">sheet1!apo171</f>
        <v>#NAME?</v>
      </c>
      <c r="F170" s="0" t="e">
        <f aca="false">sheet1!app171</f>
        <v>#NAME?</v>
      </c>
      <c r="G170" s="0" t="e">
        <f aca="false">sheet1!apq171</f>
        <v>#NAME?</v>
      </c>
      <c r="H170" s="0" t="e">
        <f aca="false">sheet1!apr171</f>
        <v>#NAME?</v>
      </c>
      <c r="I170" s="0" t="e">
        <f aca="false">sheet1!aps171</f>
        <v>#NAME?</v>
      </c>
      <c r="J170" s="0" t="e">
        <f aca="false">sheet1!apt171</f>
        <v>#NAME?</v>
      </c>
      <c r="K170" s="0" t="e">
        <f aca="false">sheet1!apu171</f>
        <v>#NAME?</v>
      </c>
      <c r="L170" s="0" t="e">
        <f aca="false">sheet1!apv171</f>
        <v>#NAME?</v>
      </c>
      <c r="M170" s="0" t="e">
        <f aca="false">sheet1!apw171</f>
        <v>#NAME?</v>
      </c>
    </row>
    <row r="171" customFormat="false" ht="13.5" hidden="false" customHeight="false" outlineLevel="0" collapsed="false">
      <c r="A171" s="0" t="s">
        <v>70</v>
      </c>
      <c r="B171" s="1" t="n">
        <v>44031</v>
      </c>
      <c r="C171" s="0" t="e">
        <f aca="false">sheet1!apm172</f>
        <v>#NAME?</v>
      </c>
      <c r="D171" s="0" t="e">
        <f aca="false">sheet1!apn172</f>
        <v>#NAME?</v>
      </c>
      <c r="E171" s="0" t="e">
        <f aca="false">sheet1!apo172</f>
        <v>#NAME?</v>
      </c>
      <c r="F171" s="0" t="e">
        <f aca="false">sheet1!app172</f>
        <v>#NAME?</v>
      </c>
      <c r="G171" s="0" t="e">
        <f aca="false">sheet1!apq172</f>
        <v>#NAME?</v>
      </c>
      <c r="H171" s="0" t="e">
        <f aca="false">sheet1!apr172</f>
        <v>#NAME?</v>
      </c>
      <c r="I171" s="0" t="e">
        <f aca="false">sheet1!aps172</f>
        <v>#NAME?</v>
      </c>
      <c r="J171" s="0" t="e">
        <f aca="false">sheet1!apt172</f>
        <v>#NAME?</v>
      </c>
      <c r="K171" s="0" t="e">
        <f aca="false">sheet1!apu172</f>
        <v>#NAME?</v>
      </c>
      <c r="L171" s="0" t="e">
        <f aca="false">sheet1!apv172</f>
        <v>#NAME?</v>
      </c>
      <c r="M171" s="0" t="e">
        <f aca="false">sheet1!apw172</f>
        <v>#NAME?</v>
      </c>
    </row>
    <row r="172" customFormat="false" ht="13.5" hidden="false" customHeight="false" outlineLevel="0" collapsed="false">
      <c r="A172" s="0" t="s">
        <v>70</v>
      </c>
      <c r="B172" s="1" t="n">
        <v>44032</v>
      </c>
      <c r="C172" s="0" t="e">
        <f aca="false">sheet1!apm173</f>
        <v>#NAME?</v>
      </c>
      <c r="D172" s="0" t="e">
        <f aca="false">sheet1!apn173</f>
        <v>#NAME?</v>
      </c>
      <c r="E172" s="0" t="e">
        <f aca="false">sheet1!apo173</f>
        <v>#NAME?</v>
      </c>
      <c r="F172" s="0" t="e">
        <f aca="false">sheet1!app173</f>
        <v>#NAME?</v>
      </c>
      <c r="G172" s="0" t="e">
        <f aca="false">sheet1!apq173</f>
        <v>#NAME?</v>
      </c>
      <c r="H172" s="0" t="e">
        <f aca="false">sheet1!apr173</f>
        <v>#NAME?</v>
      </c>
      <c r="I172" s="0" t="e">
        <f aca="false">sheet1!aps173</f>
        <v>#NAME?</v>
      </c>
      <c r="J172" s="0" t="e">
        <f aca="false">sheet1!apt173</f>
        <v>#NAME?</v>
      </c>
      <c r="K172" s="0" t="e">
        <f aca="false">sheet1!apu173</f>
        <v>#NAME?</v>
      </c>
      <c r="L172" s="0" t="e">
        <f aca="false">sheet1!apv173</f>
        <v>#NAME?</v>
      </c>
      <c r="M172" s="0" t="e">
        <f aca="false">sheet1!apw173</f>
        <v>#NAME?</v>
      </c>
    </row>
    <row r="173" customFormat="false" ht="13.5" hidden="false" customHeight="false" outlineLevel="0" collapsed="false">
      <c r="A173" s="0" t="s">
        <v>70</v>
      </c>
      <c r="B173" s="1" t="n">
        <v>44033</v>
      </c>
      <c r="C173" s="0" t="e">
        <f aca="false">sheet1!apm174</f>
        <v>#NAME?</v>
      </c>
      <c r="D173" s="0" t="e">
        <f aca="false">sheet1!apn174</f>
        <v>#NAME?</v>
      </c>
      <c r="E173" s="0" t="e">
        <f aca="false">sheet1!apo174</f>
        <v>#NAME?</v>
      </c>
      <c r="F173" s="0" t="e">
        <f aca="false">sheet1!app174</f>
        <v>#NAME?</v>
      </c>
      <c r="G173" s="0" t="e">
        <f aca="false">sheet1!apq174</f>
        <v>#NAME?</v>
      </c>
      <c r="H173" s="0" t="e">
        <f aca="false">sheet1!apr174</f>
        <v>#NAME?</v>
      </c>
      <c r="I173" s="0" t="e">
        <f aca="false">sheet1!aps174</f>
        <v>#NAME?</v>
      </c>
      <c r="J173" s="0" t="e">
        <f aca="false">sheet1!apt174</f>
        <v>#NAME?</v>
      </c>
      <c r="K173" s="0" t="e">
        <f aca="false">sheet1!apu174</f>
        <v>#NAME?</v>
      </c>
      <c r="L173" s="0" t="e">
        <f aca="false">sheet1!apv174</f>
        <v>#NAME?</v>
      </c>
      <c r="M173" s="0" t="e">
        <f aca="false">sheet1!apw174</f>
        <v>#NAME?</v>
      </c>
    </row>
    <row r="174" customFormat="false" ht="13.5" hidden="false" customHeight="false" outlineLevel="0" collapsed="false">
      <c r="A174" s="0" t="s">
        <v>70</v>
      </c>
      <c r="B174" s="1" t="n">
        <v>44034</v>
      </c>
      <c r="C174" s="0" t="e">
        <f aca="false">sheet1!apm175</f>
        <v>#NAME?</v>
      </c>
      <c r="D174" s="0" t="e">
        <f aca="false">sheet1!apn175</f>
        <v>#NAME?</v>
      </c>
      <c r="E174" s="0" t="e">
        <f aca="false">sheet1!apo175</f>
        <v>#NAME?</v>
      </c>
      <c r="F174" s="0" t="e">
        <f aca="false">sheet1!app175</f>
        <v>#NAME?</v>
      </c>
      <c r="G174" s="0" t="e">
        <f aca="false">sheet1!apq175</f>
        <v>#NAME?</v>
      </c>
      <c r="H174" s="0" t="e">
        <f aca="false">sheet1!apr175</f>
        <v>#NAME?</v>
      </c>
      <c r="I174" s="0" t="e">
        <f aca="false">sheet1!aps175</f>
        <v>#NAME?</v>
      </c>
      <c r="J174" s="0" t="e">
        <f aca="false">sheet1!apt175</f>
        <v>#NAME?</v>
      </c>
      <c r="K174" s="0" t="e">
        <f aca="false">sheet1!apu175</f>
        <v>#NAME?</v>
      </c>
      <c r="L174" s="0" t="e">
        <f aca="false">sheet1!apv175</f>
        <v>#NAME?</v>
      </c>
      <c r="M174" s="0" t="e">
        <f aca="false">sheet1!apw175</f>
        <v>#NAME?</v>
      </c>
    </row>
    <row r="175" customFormat="false" ht="13.5" hidden="false" customHeight="false" outlineLevel="0" collapsed="false">
      <c r="A175" s="0" t="s">
        <v>70</v>
      </c>
      <c r="B175" s="1" t="n">
        <v>44035</v>
      </c>
      <c r="C175" s="0" t="e">
        <f aca="false">sheet1!apm176</f>
        <v>#NAME?</v>
      </c>
      <c r="D175" s="0" t="e">
        <f aca="false">sheet1!apn176</f>
        <v>#NAME?</v>
      </c>
      <c r="E175" s="0" t="e">
        <f aca="false">sheet1!apo176</f>
        <v>#NAME?</v>
      </c>
      <c r="F175" s="0" t="e">
        <f aca="false">sheet1!app176</f>
        <v>#NAME?</v>
      </c>
      <c r="G175" s="0" t="e">
        <f aca="false">sheet1!apq176</f>
        <v>#NAME?</v>
      </c>
      <c r="H175" s="0" t="e">
        <f aca="false">sheet1!apr176</f>
        <v>#NAME?</v>
      </c>
      <c r="I175" s="0" t="e">
        <f aca="false">sheet1!aps176</f>
        <v>#NAME?</v>
      </c>
      <c r="J175" s="0" t="e">
        <f aca="false">sheet1!apt176</f>
        <v>#NAME?</v>
      </c>
      <c r="K175" s="0" t="e">
        <f aca="false">sheet1!apu176</f>
        <v>#NAME?</v>
      </c>
      <c r="L175" s="0" t="e">
        <f aca="false">sheet1!apv176</f>
        <v>#NAME?</v>
      </c>
      <c r="M175" s="0" t="e">
        <f aca="false">sheet1!apw176</f>
        <v>#NAME?</v>
      </c>
    </row>
    <row r="176" customFormat="false" ht="13.5" hidden="false" customHeight="false" outlineLevel="0" collapsed="false">
      <c r="A176" s="0" t="s">
        <v>70</v>
      </c>
      <c r="B176" s="1" t="n">
        <v>44036</v>
      </c>
      <c r="C176" s="0" t="e">
        <f aca="false">sheet1!apm177</f>
        <v>#NAME?</v>
      </c>
      <c r="D176" s="0" t="e">
        <f aca="false">sheet1!apn177</f>
        <v>#NAME?</v>
      </c>
      <c r="E176" s="0" t="e">
        <f aca="false">sheet1!apo177</f>
        <v>#NAME?</v>
      </c>
      <c r="F176" s="0" t="e">
        <f aca="false">sheet1!app177</f>
        <v>#NAME?</v>
      </c>
      <c r="G176" s="0" t="e">
        <f aca="false">sheet1!apq177</f>
        <v>#NAME?</v>
      </c>
      <c r="H176" s="0" t="e">
        <f aca="false">sheet1!apr177</f>
        <v>#NAME?</v>
      </c>
      <c r="I176" s="0" t="e">
        <f aca="false">sheet1!aps177</f>
        <v>#NAME?</v>
      </c>
      <c r="J176" s="0" t="e">
        <f aca="false">sheet1!apt177</f>
        <v>#NAME?</v>
      </c>
      <c r="K176" s="0" t="e">
        <f aca="false">sheet1!apu177</f>
        <v>#NAME?</v>
      </c>
      <c r="L176" s="0" t="e">
        <f aca="false">sheet1!apv177</f>
        <v>#NAME?</v>
      </c>
      <c r="M176" s="0" t="e">
        <f aca="false">sheet1!apw177</f>
        <v>#NAME?</v>
      </c>
    </row>
    <row r="177" customFormat="false" ht="13.5" hidden="false" customHeight="false" outlineLevel="0" collapsed="false">
      <c r="A177" s="0" t="s">
        <v>70</v>
      </c>
      <c r="B177" s="1" t="n">
        <v>44037</v>
      </c>
      <c r="C177" s="0" t="e">
        <f aca="false">sheet1!apm178</f>
        <v>#NAME?</v>
      </c>
      <c r="D177" s="0" t="e">
        <f aca="false">sheet1!apn178</f>
        <v>#NAME?</v>
      </c>
      <c r="E177" s="0" t="e">
        <f aca="false">sheet1!apo178</f>
        <v>#NAME?</v>
      </c>
      <c r="F177" s="0" t="e">
        <f aca="false">sheet1!app178</f>
        <v>#NAME?</v>
      </c>
      <c r="G177" s="0" t="e">
        <f aca="false">sheet1!apq178</f>
        <v>#NAME?</v>
      </c>
      <c r="H177" s="0" t="e">
        <f aca="false">sheet1!apr178</f>
        <v>#NAME?</v>
      </c>
      <c r="I177" s="0" t="e">
        <f aca="false">sheet1!aps178</f>
        <v>#NAME?</v>
      </c>
      <c r="J177" s="0" t="e">
        <f aca="false">sheet1!apt178</f>
        <v>#NAME?</v>
      </c>
      <c r="K177" s="0" t="e">
        <f aca="false">sheet1!apu178</f>
        <v>#NAME?</v>
      </c>
      <c r="L177" s="0" t="e">
        <f aca="false">sheet1!apv178</f>
        <v>#NAME?</v>
      </c>
      <c r="M177" s="0" t="e">
        <f aca="false">sheet1!apw178</f>
        <v>#NAME?</v>
      </c>
    </row>
    <row r="178" customFormat="false" ht="13.5" hidden="false" customHeight="false" outlineLevel="0" collapsed="false">
      <c r="A178" s="0" t="s">
        <v>70</v>
      </c>
      <c r="B178" s="1" t="n">
        <v>44038</v>
      </c>
      <c r="C178" s="0" t="e">
        <f aca="false">sheet1!apm179</f>
        <v>#NAME?</v>
      </c>
      <c r="D178" s="0" t="e">
        <f aca="false">sheet1!apn179</f>
        <v>#NAME?</v>
      </c>
      <c r="E178" s="0" t="e">
        <f aca="false">sheet1!apo179</f>
        <v>#NAME?</v>
      </c>
      <c r="F178" s="0" t="e">
        <f aca="false">sheet1!app179</f>
        <v>#NAME?</v>
      </c>
      <c r="G178" s="0" t="e">
        <f aca="false">sheet1!apq179</f>
        <v>#NAME?</v>
      </c>
      <c r="H178" s="0" t="e">
        <f aca="false">sheet1!apr179</f>
        <v>#NAME?</v>
      </c>
      <c r="I178" s="0" t="e">
        <f aca="false">sheet1!aps179</f>
        <v>#NAME?</v>
      </c>
      <c r="J178" s="0" t="e">
        <f aca="false">sheet1!apt179</f>
        <v>#NAME?</v>
      </c>
      <c r="K178" s="0" t="e">
        <f aca="false">sheet1!apu179</f>
        <v>#NAME?</v>
      </c>
      <c r="L178" s="0" t="e">
        <f aca="false">sheet1!apv179</f>
        <v>#NAME?</v>
      </c>
      <c r="M178" s="0" t="e">
        <f aca="false">sheet1!apw179</f>
        <v>#NAME?</v>
      </c>
    </row>
    <row r="179" customFormat="false" ht="13.5" hidden="false" customHeight="false" outlineLevel="0" collapsed="false">
      <c r="A179" s="0" t="s">
        <v>70</v>
      </c>
      <c r="B179" s="1" t="n">
        <v>44039</v>
      </c>
      <c r="C179" s="0" t="e">
        <f aca="false">sheet1!apm180</f>
        <v>#NAME?</v>
      </c>
      <c r="D179" s="0" t="e">
        <f aca="false">sheet1!apn180</f>
        <v>#NAME?</v>
      </c>
      <c r="E179" s="0" t="e">
        <f aca="false">sheet1!apo180</f>
        <v>#NAME?</v>
      </c>
      <c r="F179" s="0" t="e">
        <f aca="false">sheet1!app180</f>
        <v>#NAME?</v>
      </c>
      <c r="G179" s="0" t="e">
        <f aca="false">sheet1!apq180</f>
        <v>#NAME?</v>
      </c>
      <c r="H179" s="0" t="e">
        <f aca="false">sheet1!apr180</f>
        <v>#NAME?</v>
      </c>
      <c r="I179" s="0" t="e">
        <f aca="false">sheet1!aps180</f>
        <v>#NAME?</v>
      </c>
      <c r="J179" s="0" t="e">
        <f aca="false">sheet1!apt180</f>
        <v>#NAME?</v>
      </c>
      <c r="K179" s="0" t="e">
        <f aca="false">sheet1!apu180</f>
        <v>#NAME?</v>
      </c>
      <c r="L179" s="0" t="e">
        <f aca="false">sheet1!apv180</f>
        <v>#NAME?</v>
      </c>
      <c r="M179" s="0" t="e">
        <f aca="false">sheet1!apw180</f>
        <v>#NAME?</v>
      </c>
    </row>
    <row r="180" customFormat="false" ht="13.5" hidden="false" customHeight="false" outlineLevel="0" collapsed="false">
      <c r="A180" s="0" t="s">
        <v>70</v>
      </c>
      <c r="B180" s="1" t="n">
        <v>44040</v>
      </c>
      <c r="C180" s="0" t="e">
        <f aca="false">sheet1!apm181</f>
        <v>#NAME?</v>
      </c>
      <c r="D180" s="0" t="e">
        <f aca="false">sheet1!apn181</f>
        <v>#NAME?</v>
      </c>
      <c r="E180" s="0" t="e">
        <f aca="false">sheet1!apo181</f>
        <v>#NAME?</v>
      </c>
      <c r="F180" s="0" t="e">
        <f aca="false">sheet1!app181</f>
        <v>#NAME?</v>
      </c>
      <c r="G180" s="0" t="e">
        <f aca="false">sheet1!apq181</f>
        <v>#NAME?</v>
      </c>
      <c r="H180" s="0" t="e">
        <f aca="false">sheet1!apr181</f>
        <v>#NAME?</v>
      </c>
      <c r="I180" s="0" t="e">
        <f aca="false">sheet1!aps181</f>
        <v>#NAME?</v>
      </c>
      <c r="J180" s="0" t="e">
        <f aca="false">sheet1!apt181</f>
        <v>#NAME?</v>
      </c>
      <c r="K180" s="0" t="e">
        <f aca="false">sheet1!apu181</f>
        <v>#NAME?</v>
      </c>
      <c r="L180" s="0" t="e">
        <f aca="false">sheet1!apv181</f>
        <v>#NAME?</v>
      </c>
      <c r="M180" s="0" t="e">
        <f aca="false">sheet1!apw181</f>
        <v>#NAME?</v>
      </c>
    </row>
    <row r="181" customFormat="false" ht="13.5" hidden="false" customHeight="false" outlineLevel="0" collapsed="false">
      <c r="A181" s="0" t="s">
        <v>70</v>
      </c>
      <c r="B181" s="1" t="n">
        <v>44041</v>
      </c>
      <c r="C181" s="0" t="e">
        <f aca="false">sheet1!apm182</f>
        <v>#NAME?</v>
      </c>
      <c r="D181" s="0" t="e">
        <f aca="false">sheet1!apn182</f>
        <v>#NAME?</v>
      </c>
      <c r="E181" s="0" t="e">
        <f aca="false">sheet1!apo182</f>
        <v>#NAME?</v>
      </c>
      <c r="F181" s="0" t="e">
        <f aca="false">sheet1!app182</f>
        <v>#NAME?</v>
      </c>
      <c r="G181" s="0" t="e">
        <f aca="false">sheet1!apq182</f>
        <v>#NAME?</v>
      </c>
      <c r="H181" s="0" t="e">
        <f aca="false">sheet1!apr182</f>
        <v>#NAME?</v>
      </c>
      <c r="I181" s="0" t="e">
        <f aca="false">sheet1!aps182</f>
        <v>#NAME?</v>
      </c>
      <c r="J181" s="0" t="e">
        <f aca="false">sheet1!apt182</f>
        <v>#NAME?</v>
      </c>
      <c r="K181" s="0" t="e">
        <f aca="false">sheet1!apu182</f>
        <v>#NAME?</v>
      </c>
      <c r="L181" s="0" t="e">
        <f aca="false">sheet1!apv182</f>
        <v>#NAME?</v>
      </c>
      <c r="M181" s="0" t="e">
        <f aca="false">sheet1!apw182</f>
        <v>#NAME?</v>
      </c>
    </row>
    <row r="182" customFormat="false" ht="13.5" hidden="false" customHeight="false" outlineLevel="0" collapsed="false">
      <c r="A182" s="0" t="s">
        <v>70</v>
      </c>
      <c r="B182" s="1" t="n">
        <v>44042</v>
      </c>
      <c r="C182" s="0" t="e">
        <f aca="false">sheet1!apm183</f>
        <v>#NAME?</v>
      </c>
      <c r="D182" s="0" t="e">
        <f aca="false">sheet1!apn183</f>
        <v>#NAME?</v>
      </c>
      <c r="E182" s="0" t="e">
        <f aca="false">sheet1!apo183</f>
        <v>#NAME?</v>
      </c>
      <c r="F182" s="0" t="e">
        <f aca="false">sheet1!app183</f>
        <v>#NAME?</v>
      </c>
      <c r="G182" s="0" t="e">
        <f aca="false">sheet1!apq183</f>
        <v>#NAME?</v>
      </c>
      <c r="H182" s="0" t="e">
        <f aca="false">sheet1!apr183</f>
        <v>#NAME?</v>
      </c>
      <c r="I182" s="0" t="e">
        <f aca="false">sheet1!aps183</f>
        <v>#NAME?</v>
      </c>
      <c r="J182" s="0" t="e">
        <f aca="false">sheet1!apt183</f>
        <v>#NAME?</v>
      </c>
      <c r="K182" s="0" t="e">
        <f aca="false">sheet1!apu183</f>
        <v>#NAME?</v>
      </c>
      <c r="L182" s="0" t="e">
        <f aca="false">sheet1!apv183</f>
        <v>#NAME?</v>
      </c>
      <c r="M182" s="0" t="e">
        <f aca="false">sheet1!apw183</f>
        <v>#NAME?</v>
      </c>
    </row>
    <row r="183" customFormat="false" ht="13.5" hidden="false" customHeight="false" outlineLevel="0" collapsed="false">
      <c r="A183" s="0" t="s">
        <v>70</v>
      </c>
      <c r="B183" s="1" t="n">
        <v>44043</v>
      </c>
      <c r="C183" s="0" t="e">
        <f aca="false">sheet1!apm184</f>
        <v>#NAME?</v>
      </c>
      <c r="D183" s="0" t="e">
        <f aca="false">sheet1!apn184</f>
        <v>#NAME?</v>
      </c>
      <c r="E183" s="0" t="e">
        <f aca="false">sheet1!apo184</f>
        <v>#NAME?</v>
      </c>
      <c r="F183" s="0" t="e">
        <f aca="false">sheet1!app184</f>
        <v>#NAME?</v>
      </c>
      <c r="G183" s="0" t="e">
        <f aca="false">sheet1!apq184</f>
        <v>#NAME?</v>
      </c>
      <c r="H183" s="0" t="e">
        <f aca="false">sheet1!apr184</f>
        <v>#NAME?</v>
      </c>
      <c r="I183" s="0" t="e">
        <f aca="false">sheet1!aps184</f>
        <v>#NAME?</v>
      </c>
      <c r="J183" s="0" t="e">
        <f aca="false">sheet1!apt184</f>
        <v>#NAME?</v>
      </c>
      <c r="K183" s="0" t="e">
        <f aca="false">sheet1!apu184</f>
        <v>#NAME?</v>
      </c>
      <c r="L183" s="0" t="e">
        <f aca="false">sheet1!apv184</f>
        <v>#NAME?</v>
      </c>
      <c r="M183" s="0" t="e">
        <f aca="false">sheet1!apw184</f>
        <v>#NAME?</v>
      </c>
    </row>
    <row r="184" customFormat="false" ht="13.5" hidden="false" customHeight="false" outlineLevel="0" collapsed="false">
      <c r="A184" s="0" t="s">
        <v>70</v>
      </c>
      <c r="B184" s="1" t="n">
        <v>44044</v>
      </c>
      <c r="C184" s="0" t="e">
        <f aca="false">sheet1!apm185</f>
        <v>#NAME?</v>
      </c>
      <c r="D184" s="0" t="e">
        <f aca="false">sheet1!apn185</f>
        <v>#NAME?</v>
      </c>
      <c r="E184" s="0" t="e">
        <f aca="false">sheet1!apo185</f>
        <v>#NAME?</v>
      </c>
      <c r="F184" s="0" t="e">
        <f aca="false">sheet1!app185</f>
        <v>#NAME?</v>
      </c>
      <c r="G184" s="0" t="e">
        <f aca="false">sheet1!apq185</f>
        <v>#NAME?</v>
      </c>
      <c r="H184" s="0" t="e">
        <f aca="false">sheet1!apr185</f>
        <v>#NAME?</v>
      </c>
      <c r="I184" s="0" t="e">
        <f aca="false">sheet1!aps185</f>
        <v>#NAME?</v>
      </c>
      <c r="J184" s="0" t="e">
        <f aca="false">sheet1!apt185</f>
        <v>#NAME?</v>
      </c>
      <c r="K184" s="0" t="e">
        <f aca="false">sheet1!apu185</f>
        <v>#NAME?</v>
      </c>
      <c r="L184" s="0" t="e">
        <f aca="false">sheet1!apv185</f>
        <v>#NAME?</v>
      </c>
      <c r="M184" s="0" t="e">
        <f aca="false">sheet1!apw185</f>
        <v>#NAME?</v>
      </c>
    </row>
    <row r="185" customFormat="false" ht="13.5" hidden="false" customHeight="false" outlineLevel="0" collapsed="false">
      <c r="A185" s="0" t="s">
        <v>70</v>
      </c>
      <c r="B185" s="1" t="n">
        <v>44045</v>
      </c>
      <c r="C185" s="0" t="e">
        <f aca="false">sheet1!apm186</f>
        <v>#NAME?</v>
      </c>
      <c r="D185" s="0" t="e">
        <f aca="false">sheet1!apn186</f>
        <v>#NAME?</v>
      </c>
      <c r="E185" s="0" t="e">
        <f aca="false">sheet1!apo186</f>
        <v>#NAME?</v>
      </c>
      <c r="F185" s="0" t="e">
        <f aca="false">sheet1!app186</f>
        <v>#NAME?</v>
      </c>
      <c r="G185" s="0" t="e">
        <f aca="false">sheet1!apq186</f>
        <v>#NAME?</v>
      </c>
      <c r="H185" s="0" t="e">
        <f aca="false">sheet1!apr186</f>
        <v>#NAME?</v>
      </c>
      <c r="I185" s="0" t="e">
        <f aca="false">sheet1!aps186</f>
        <v>#NAME?</v>
      </c>
      <c r="J185" s="0" t="e">
        <f aca="false">sheet1!apt186</f>
        <v>#NAME?</v>
      </c>
      <c r="K185" s="0" t="e">
        <f aca="false">sheet1!apu186</f>
        <v>#NAME?</v>
      </c>
      <c r="L185" s="0" t="e">
        <f aca="false">sheet1!apv186</f>
        <v>#NAME?</v>
      </c>
      <c r="M185" s="0" t="e">
        <f aca="false">sheet1!apw186</f>
        <v>#NAME?</v>
      </c>
    </row>
    <row r="186" customFormat="false" ht="13.5" hidden="false" customHeight="false" outlineLevel="0" collapsed="false">
      <c r="A186" s="0" t="s">
        <v>70</v>
      </c>
      <c r="B186" s="1" t="n">
        <v>44046</v>
      </c>
      <c r="C186" s="0" t="e">
        <f aca="false">sheet1!apm187</f>
        <v>#NAME?</v>
      </c>
      <c r="D186" s="0" t="e">
        <f aca="false">sheet1!apn187</f>
        <v>#NAME?</v>
      </c>
      <c r="E186" s="0" t="e">
        <f aca="false">sheet1!apo187</f>
        <v>#NAME?</v>
      </c>
      <c r="F186" s="0" t="e">
        <f aca="false">sheet1!app187</f>
        <v>#NAME?</v>
      </c>
      <c r="G186" s="0" t="e">
        <f aca="false">sheet1!apq187</f>
        <v>#NAME?</v>
      </c>
      <c r="H186" s="0" t="e">
        <f aca="false">sheet1!apr187</f>
        <v>#NAME?</v>
      </c>
      <c r="I186" s="0" t="e">
        <f aca="false">sheet1!aps187</f>
        <v>#NAME?</v>
      </c>
      <c r="J186" s="0" t="e">
        <f aca="false">sheet1!apt187</f>
        <v>#NAME?</v>
      </c>
      <c r="K186" s="0" t="e">
        <f aca="false">sheet1!apu187</f>
        <v>#NAME?</v>
      </c>
      <c r="L186" s="0" t="e">
        <f aca="false">sheet1!apv187</f>
        <v>#NAME?</v>
      </c>
      <c r="M186" s="0" t="e">
        <f aca="false">sheet1!apw187</f>
        <v>#NAME?</v>
      </c>
    </row>
    <row r="187" customFormat="false" ht="13.5" hidden="false" customHeight="false" outlineLevel="0" collapsed="false">
      <c r="A187" s="0" t="s">
        <v>70</v>
      </c>
      <c r="B187" s="1" t="n">
        <v>44047</v>
      </c>
      <c r="C187" s="0" t="e">
        <f aca="false">sheet1!apm188</f>
        <v>#NAME?</v>
      </c>
      <c r="D187" s="0" t="e">
        <f aca="false">sheet1!apn188</f>
        <v>#NAME?</v>
      </c>
      <c r="E187" s="0" t="e">
        <f aca="false">sheet1!apo188</f>
        <v>#NAME?</v>
      </c>
      <c r="F187" s="0" t="e">
        <f aca="false">sheet1!app188</f>
        <v>#NAME?</v>
      </c>
      <c r="G187" s="0" t="e">
        <f aca="false">sheet1!apq188</f>
        <v>#NAME?</v>
      </c>
      <c r="H187" s="0" t="e">
        <f aca="false">sheet1!apr188</f>
        <v>#NAME?</v>
      </c>
      <c r="I187" s="0" t="e">
        <f aca="false">sheet1!aps188</f>
        <v>#NAME?</v>
      </c>
      <c r="J187" s="0" t="e">
        <f aca="false">sheet1!apt188</f>
        <v>#NAME?</v>
      </c>
      <c r="K187" s="0" t="e">
        <f aca="false">sheet1!apu188</f>
        <v>#NAME?</v>
      </c>
      <c r="L187" s="0" t="e">
        <f aca="false">sheet1!apv188</f>
        <v>#NAME?</v>
      </c>
      <c r="M187" s="0" t="e">
        <f aca="false">sheet1!apw188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1" min="1" style="0" width="11.25"/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71</v>
      </c>
      <c r="B2" s="1" t="n">
        <v>43862</v>
      </c>
    </row>
    <row r="3" customFormat="false" ht="13.5" hidden="false" customHeight="false" outlineLevel="0" collapsed="false">
      <c r="A3" s="0" t="s">
        <v>71</v>
      </c>
      <c r="B3" s="1" t="n">
        <v>43863</v>
      </c>
    </row>
    <row r="4" customFormat="false" ht="13.5" hidden="false" customHeight="false" outlineLevel="0" collapsed="false">
      <c r="A4" s="0" t="s">
        <v>71</v>
      </c>
      <c r="B4" s="1" t="n">
        <v>43864</v>
      </c>
    </row>
    <row r="5" customFormat="false" ht="13.5" hidden="false" customHeight="false" outlineLevel="0" collapsed="false">
      <c r="A5" s="0" t="s">
        <v>71</v>
      </c>
      <c r="B5" s="1" t="n">
        <v>43865</v>
      </c>
    </row>
    <row r="6" customFormat="false" ht="13.5" hidden="false" customHeight="false" outlineLevel="0" collapsed="false">
      <c r="A6" s="0" t="s">
        <v>71</v>
      </c>
      <c r="B6" s="1" t="n">
        <v>43866</v>
      </c>
    </row>
    <row r="7" customFormat="false" ht="13.5" hidden="false" customHeight="false" outlineLevel="0" collapsed="false">
      <c r="A7" s="0" t="s">
        <v>71</v>
      </c>
      <c r="B7" s="1" t="n">
        <v>43867</v>
      </c>
    </row>
    <row r="8" customFormat="false" ht="13.5" hidden="false" customHeight="false" outlineLevel="0" collapsed="false">
      <c r="A8" s="0" t="s">
        <v>71</v>
      </c>
      <c r="B8" s="1" t="n">
        <v>43868</v>
      </c>
    </row>
    <row r="9" customFormat="false" ht="13.5" hidden="false" customHeight="false" outlineLevel="0" collapsed="false">
      <c r="A9" s="0" t="s">
        <v>71</v>
      </c>
      <c r="B9" s="1" t="n">
        <v>43869</v>
      </c>
    </row>
    <row r="10" customFormat="false" ht="13.5" hidden="false" customHeight="false" outlineLevel="0" collapsed="false">
      <c r="A10" s="0" t="s">
        <v>71</v>
      </c>
      <c r="B10" s="1" t="n">
        <v>43870</v>
      </c>
    </row>
    <row r="11" customFormat="false" ht="13.5" hidden="false" customHeight="false" outlineLevel="0" collapsed="false">
      <c r="A11" s="0" t="s">
        <v>71</v>
      </c>
      <c r="B11" s="1" t="n">
        <v>43871</v>
      </c>
    </row>
    <row r="12" customFormat="false" ht="13.5" hidden="false" customHeight="false" outlineLevel="0" collapsed="false">
      <c r="A12" s="0" t="s">
        <v>71</v>
      </c>
      <c r="B12" s="1" t="n">
        <v>43872</v>
      </c>
    </row>
    <row r="13" customFormat="false" ht="13.5" hidden="false" customHeight="false" outlineLevel="0" collapsed="false">
      <c r="A13" s="0" t="s">
        <v>71</v>
      </c>
      <c r="B13" s="1" t="n">
        <v>43873</v>
      </c>
    </row>
    <row r="14" customFormat="false" ht="13.5" hidden="false" customHeight="false" outlineLevel="0" collapsed="false">
      <c r="A14" s="0" t="s">
        <v>71</v>
      </c>
      <c r="B14" s="1" t="n">
        <v>43874</v>
      </c>
    </row>
    <row r="15" customFormat="false" ht="13.5" hidden="false" customHeight="false" outlineLevel="0" collapsed="false">
      <c r="A15" s="0" t="s">
        <v>71</v>
      </c>
      <c r="B15" s="1" t="n">
        <v>43875</v>
      </c>
    </row>
    <row r="16" customFormat="false" ht="13.5" hidden="false" customHeight="false" outlineLevel="0" collapsed="false">
      <c r="A16" s="0" t="s">
        <v>71</v>
      </c>
      <c r="B16" s="1" t="n">
        <v>43876</v>
      </c>
    </row>
    <row r="17" customFormat="false" ht="13.5" hidden="false" customHeight="false" outlineLevel="0" collapsed="false">
      <c r="A17" s="0" t="s">
        <v>71</v>
      </c>
      <c r="B17" s="1" t="n">
        <v>43877</v>
      </c>
    </row>
    <row r="18" customFormat="false" ht="13.5" hidden="false" customHeight="false" outlineLevel="0" collapsed="false">
      <c r="A18" s="0" t="s">
        <v>71</v>
      </c>
      <c r="B18" s="1" t="n">
        <v>43878</v>
      </c>
    </row>
    <row r="19" customFormat="false" ht="13.5" hidden="false" customHeight="false" outlineLevel="0" collapsed="false">
      <c r="A19" s="0" t="s">
        <v>71</v>
      </c>
      <c r="B19" s="1" t="n">
        <v>43879</v>
      </c>
    </row>
    <row r="20" customFormat="false" ht="13.5" hidden="false" customHeight="false" outlineLevel="0" collapsed="false">
      <c r="A20" s="0" t="s">
        <v>71</v>
      </c>
      <c r="B20" s="1" t="n">
        <v>43880</v>
      </c>
    </row>
    <row r="21" customFormat="false" ht="13.5" hidden="false" customHeight="false" outlineLevel="0" collapsed="false">
      <c r="A21" s="0" t="s">
        <v>71</v>
      </c>
      <c r="B21" s="1" t="n">
        <v>43881</v>
      </c>
    </row>
    <row r="22" customFormat="false" ht="13.5" hidden="false" customHeight="false" outlineLevel="0" collapsed="false">
      <c r="A22" s="0" t="s">
        <v>71</v>
      </c>
      <c r="B22" s="1" t="n">
        <v>43882</v>
      </c>
    </row>
    <row r="23" customFormat="false" ht="13.5" hidden="false" customHeight="false" outlineLevel="0" collapsed="false">
      <c r="A23" s="0" t="s">
        <v>71</v>
      </c>
      <c r="B23" s="1" t="n">
        <v>43883</v>
      </c>
    </row>
    <row r="24" customFormat="false" ht="13.5" hidden="false" customHeight="false" outlineLevel="0" collapsed="false">
      <c r="A24" s="0" t="s">
        <v>71</v>
      </c>
      <c r="B24" s="1" t="n">
        <v>43884</v>
      </c>
    </row>
    <row r="25" customFormat="false" ht="13.5" hidden="false" customHeight="false" outlineLevel="0" collapsed="false">
      <c r="A25" s="0" t="s">
        <v>71</v>
      </c>
      <c r="B25" s="1" t="n">
        <v>43885</v>
      </c>
    </row>
    <row r="26" customFormat="false" ht="13.5" hidden="false" customHeight="false" outlineLevel="0" collapsed="false">
      <c r="A26" s="0" t="s">
        <v>71</v>
      </c>
      <c r="B26" s="1" t="n">
        <v>43886</v>
      </c>
    </row>
    <row r="27" customFormat="false" ht="13.5" hidden="false" customHeight="false" outlineLevel="0" collapsed="false">
      <c r="A27" s="0" t="s">
        <v>71</v>
      </c>
      <c r="B27" s="1" t="n">
        <v>43887</v>
      </c>
    </row>
    <row r="28" customFormat="false" ht="13.5" hidden="false" customHeight="false" outlineLevel="0" collapsed="false">
      <c r="A28" s="0" t="s">
        <v>71</v>
      </c>
      <c r="B28" s="1" t="n">
        <v>43888</v>
      </c>
    </row>
    <row r="29" customFormat="false" ht="13.5" hidden="false" customHeight="false" outlineLevel="0" collapsed="false">
      <c r="A29" s="0" t="s">
        <v>71</v>
      </c>
      <c r="B29" s="1" t="n">
        <v>43889</v>
      </c>
    </row>
    <row r="30" customFormat="false" ht="13.5" hidden="false" customHeight="false" outlineLevel="0" collapsed="false">
      <c r="A30" s="0" t="s">
        <v>71</v>
      </c>
      <c r="B30" s="1" t="n">
        <v>43890</v>
      </c>
    </row>
    <row r="31" customFormat="false" ht="13.5" hidden="false" customHeight="false" outlineLevel="0" collapsed="false">
      <c r="A31" s="0" t="s">
        <v>71</v>
      </c>
      <c r="B31" s="1" t="n">
        <v>43891</v>
      </c>
    </row>
    <row r="32" customFormat="false" ht="13.5" hidden="false" customHeight="false" outlineLevel="0" collapsed="false">
      <c r="A32" s="0" t="s">
        <v>71</v>
      </c>
      <c r="B32" s="1" t="n">
        <v>43892</v>
      </c>
    </row>
    <row r="33" customFormat="false" ht="13.5" hidden="false" customHeight="false" outlineLevel="0" collapsed="false">
      <c r="A33" s="0" t="s">
        <v>71</v>
      </c>
      <c r="B33" s="1" t="n">
        <v>43893</v>
      </c>
    </row>
    <row r="34" customFormat="false" ht="13.5" hidden="false" customHeight="false" outlineLevel="0" collapsed="false">
      <c r="A34" s="0" t="s">
        <v>71</v>
      </c>
      <c r="B34" s="1" t="n">
        <v>43894</v>
      </c>
    </row>
    <row r="35" customFormat="false" ht="13.5" hidden="false" customHeight="false" outlineLevel="0" collapsed="false">
      <c r="A35" s="0" t="s">
        <v>71</v>
      </c>
      <c r="B35" s="1" t="n">
        <v>43895</v>
      </c>
    </row>
    <row r="36" customFormat="false" ht="13.5" hidden="false" customHeight="false" outlineLevel="0" collapsed="false">
      <c r="A36" s="0" t="s">
        <v>71</v>
      </c>
      <c r="B36" s="1" t="n">
        <v>43896</v>
      </c>
    </row>
    <row r="37" customFormat="false" ht="13.5" hidden="false" customHeight="false" outlineLevel="0" collapsed="false">
      <c r="A37" s="0" t="s">
        <v>71</v>
      </c>
      <c r="B37" s="1" t="n">
        <v>43897</v>
      </c>
      <c r="C37" s="0" t="n">
        <v>17</v>
      </c>
      <c r="H37" s="0" t="n">
        <v>17</v>
      </c>
    </row>
    <row r="38" customFormat="false" ht="13.5" hidden="false" customHeight="false" outlineLevel="0" collapsed="false">
      <c r="A38" s="0" t="s">
        <v>71</v>
      </c>
      <c r="B38" s="1" t="n">
        <v>43898</v>
      </c>
      <c r="C38" s="0" t="n">
        <v>19</v>
      </c>
      <c r="D38" s="0" t="n">
        <v>2</v>
      </c>
      <c r="H38" s="0" t="n">
        <v>19</v>
      </c>
    </row>
    <row r="39" customFormat="false" ht="13.5" hidden="false" customHeight="false" outlineLevel="0" collapsed="false">
      <c r="A39" s="0" t="s">
        <v>71</v>
      </c>
      <c r="B39" s="1" t="n">
        <v>43899</v>
      </c>
      <c r="C39" s="0" t="n">
        <v>20</v>
      </c>
      <c r="D39" s="0" t="n">
        <v>1</v>
      </c>
      <c r="H39" s="0" t="n">
        <v>20</v>
      </c>
      <c r="J39" s="0" t="n">
        <v>0.5</v>
      </c>
    </row>
    <row r="40" customFormat="false" ht="13.5" hidden="false" customHeight="false" outlineLevel="0" collapsed="false">
      <c r="A40" s="0" t="s">
        <v>71</v>
      </c>
      <c r="B40" s="1" t="n">
        <v>43900</v>
      </c>
      <c r="C40" s="0" t="n">
        <v>20</v>
      </c>
      <c r="D40" s="0" t="n">
        <v>0</v>
      </c>
      <c r="H40" s="0" t="n">
        <v>20</v>
      </c>
      <c r="J40" s="0" t="n">
        <v>0.5</v>
      </c>
    </row>
    <row r="41" customFormat="false" ht="13.5" hidden="false" customHeight="false" outlineLevel="0" collapsed="false">
      <c r="A41" s="0" t="s">
        <v>71</v>
      </c>
      <c r="B41" s="1" t="n">
        <v>43901</v>
      </c>
      <c r="C41" s="0" t="n">
        <v>20</v>
      </c>
      <c r="D41" s="0" t="n">
        <v>0</v>
      </c>
      <c r="H41" s="0" t="n">
        <v>20</v>
      </c>
      <c r="J41" s="0" t="n">
        <v>0.5</v>
      </c>
    </row>
    <row r="42" customFormat="false" ht="13.5" hidden="false" customHeight="false" outlineLevel="0" collapsed="false">
      <c r="A42" s="0" t="s">
        <v>71</v>
      </c>
      <c r="B42" s="1" t="n">
        <v>43902</v>
      </c>
      <c r="C42" s="0" t="n">
        <v>20</v>
      </c>
      <c r="D42" s="0" t="n">
        <v>0</v>
      </c>
      <c r="H42" s="0" t="n">
        <v>20</v>
      </c>
      <c r="J42" s="0" t="n">
        <v>0.5</v>
      </c>
    </row>
    <row r="43" customFormat="false" ht="13.5" hidden="false" customHeight="false" outlineLevel="0" collapsed="false">
      <c r="A43" s="0" t="s">
        <v>71</v>
      </c>
      <c r="B43" s="1" t="n">
        <v>43903</v>
      </c>
      <c r="C43" s="0" t="n">
        <v>26</v>
      </c>
      <c r="D43" s="0" t="n">
        <v>6</v>
      </c>
      <c r="E43" s="0" t="n">
        <v>2</v>
      </c>
      <c r="F43" s="0" t="n">
        <v>2</v>
      </c>
      <c r="G43" s="0" t="n">
        <v>10</v>
      </c>
      <c r="H43" s="0" t="n">
        <v>14</v>
      </c>
      <c r="J43" s="0" t="n">
        <v>0.6</v>
      </c>
    </row>
    <row r="44" customFormat="false" ht="13.5" hidden="false" customHeight="false" outlineLevel="0" collapsed="false">
      <c r="A44" s="0" t="s">
        <v>71</v>
      </c>
      <c r="B44" s="1" t="n">
        <v>43904</v>
      </c>
      <c r="C44" s="0" t="n">
        <v>26</v>
      </c>
      <c r="D44" s="0" t="n">
        <v>0</v>
      </c>
      <c r="E44" s="0" t="n">
        <v>2</v>
      </c>
      <c r="F44" s="0" t="n">
        <v>0</v>
      </c>
      <c r="G44" s="0" t="n">
        <v>10</v>
      </c>
      <c r="H44" s="0" t="n">
        <v>14</v>
      </c>
      <c r="J44" s="0" t="n">
        <v>0.6</v>
      </c>
    </row>
    <row r="45" customFormat="false" ht="13.5" hidden="false" customHeight="false" outlineLevel="0" collapsed="false">
      <c r="A45" s="0" t="s">
        <v>71</v>
      </c>
      <c r="B45" s="1" t="n">
        <v>43905</v>
      </c>
      <c r="C45" s="0" t="n">
        <v>37</v>
      </c>
      <c r="D45" s="0" t="n">
        <v>11</v>
      </c>
      <c r="E45" s="0" t="n">
        <v>3</v>
      </c>
      <c r="F45" s="0" t="n">
        <v>1</v>
      </c>
      <c r="G45" s="0" t="n">
        <v>10</v>
      </c>
      <c r="H45" s="0" t="n">
        <v>24</v>
      </c>
      <c r="J45" s="0" t="n">
        <v>0.8</v>
      </c>
    </row>
    <row r="46" customFormat="false" ht="13.5" hidden="false" customHeight="false" outlineLevel="0" collapsed="false">
      <c r="A46" s="0" t="s">
        <v>71</v>
      </c>
      <c r="B46" s="1" t="n">
        <v>43906</v>
      </c>
      <c r="C46" s="0" t="n">
        <v>48</v>
      </c>
      <c r="D46" s="0" t="n">
        <v>11</v>
      </c>
      <c r="E46" s="0" t="n">
        <v>4</v>
      </c>
      <c r="F46" s="0" t="n">
        <v>1</v>
      </c>
      <c r="G46" s="0" t="n">
        <v>10</v>
      </c>
      <c r="H46" s="0" t="n">
        <v>34</v>
      </c>
      <c r="J46" s="0" t="n">
        <v>1.1</v>
      </c>
    </row>
    <row r="47" customFormat="false" ht="13.5" hidden="false" customHeight="false" outlineLevel="0" collapsed="false">
      <c r="A47" s="0" t="s">
        <v>71</v>
      </c>
      <c r="B47" s="1" t="n">
        <v>43907</v>
      </c>
      <c r="C47" s="0" t="n">
        <v>60</v>
      </c>
      <c r="D47" s="0" t="n">
        <v>12</v>
      </c>
      <c r="E47" s="0" t="n">
        <v>4</v>
      </c>
      <c r="F47" s="0" t="n">
        <v>0</v>
      </c>
      <c r="G47" s="0" t="n">
        <v>10</v>
      </c>
      <c r="H47" s="0" t="n">
        <v>46</v>
      </c>
      <c r="J47" s="0" t="n">
        <v>1.4</v>
      </c>
    </row>
    <row r="48" customFormat="false" ht="13.5" hidden="false" customHeight="false" outlineLevel="0" collapsed="false">
      <c r="A48" s="0" t="s">
        <v>71</v>
      </c>
      <c r="B48" s="1" t="n">
        <v>43908</v>
      </c>
      <c r="C48" s="0" t="n">
        <v>61</v>
      </c>
      <c r="D48" s="0" t="n">
        <v>1</v>
      </c>
      <c r="E48" s="0" t="n">
        <v>5</v>
      </c>
      <c r="F48" s="0" t="n">
        <v>1</v>
      </c>
      <c r="G48" s="0" t="n">
        <v>10</v>
      </c>
      <c r="H48" s="0" t="n">
        <v>46</v>
      </c>
      <c r="J48" s="0" t="n">
        <v>1.4</v>
      </c>
    </row>
    <row r="49" customFormat="false" ht="13.5" hidden="false" customHeight="false" outlineLevel="0" collapsed="false">
      <c r="A49" s="0" t="s">
        <v>71</v>
      </c>
      <c r="B49" s="1" t="n">
        <v>43909</v>
      </c>
      <c r="C49" s="0" t="n">
        <v>75</v>
      </c>
      <c r="D49" s="0" t="n">
        <v>14</v>
      </c>
      <c r="E49" s="0" t="n">
        <v>7</v>
      </c>
      <c r="F49" s="0" t="n">
        <v>2</v>
      </c>
      <c r="G49" s="0" t="n">
        <v>32</v>
      </c>
      <c r="H49" s="0" t="n">
        <v>36</v>
      </c>
      <c r="J49" s="0" t="n">
        <v>2</v>
      </c>
    </row>
    <row r="50" customFormat="false" ht="13.5" hidden="false" customHeight="false" outlineLevel="0" collapsed="false">
      <c r="A50" s="0" t="s">
        <v>71</v>
      </c>
      <c r="B50" s="1" t="n">
        <v>43910</v>
      </c>
      <c r="C50" s="0" t="n">
        <v>90</v>
      </c>
      <c r="D50" s="0" t="n">
        <v>15</v>
      </c>
      <c r="E50" s="0" t="n">
        <v>9</v>
      </c>
      <c r="F50" s="0" t="n">
        <v>2</v>
      </c>
      <c r="G50" s="0" t="n">
        <v>32</v>
      </c>
      <c r="H50" s="0" t="n">
        <v>49</v>
      </c>
      <c r="J50" s="0" t="n">
        <v>2</v>
      </c>
    </row>
    <row r="51" customFormat="false" ht="13.5" hidden="false" customHeight="false" outlineLevel="0" collapsed="false">
      <c r="A51" s="0" t="s">
        <v>71</v>
      </c>
      <c r="B51" s="1" t="n">
        <v>43911</v>
      </c>
      <c r="C51" s="0" t="n">
        <v>95</v>
      </c>
      <c r="D51" s="0" t="n">
        <v>5</v>
      </c>
      <c r="E51" s="0" t="n">
        <v>11</v>
      </c>
      <c r="F51" s="0" t="n">
        <v>2</v>
      </c>
      <c r="G51" s="0" t="n">
        <v>32</v>
      </c>
      <c r="H51" s="0" t="n">
        <v>52</v>
      </c>
      <c r="J51" s="0" t="n">
        <v>2</v>
      </c>
    </row>
    <row r="52" customFormat="false" ht="13.5" hidden="false" customHeight="false" outlineLevel="0" collapsed="false">
      <c r="A52" s="0" t="s">
        <v>71</v>
      </c>
      <c r="B52" s="1" t="n">
        <v>43912</v>
      </c>
      <c r="C52" s="0" t="n">
        <v>139</v>
      </c>
      <c r="D52" s="0" t="n">
        <v>44</v>
      </c>
      <c r="E52" s="0" t="n">
        <v>15</v>
      </c>
      <c r="F52" s="0" t="n">
        <v>4</v>
      </c>
      <c r="G52" s="0" t="n">
        <v>65</v>
      </c>
      <c r="H52" s="0" t="n">
        <v>59</v>
      </c>
      <c r="J52" s="0" t="n">
        <v>3</v>
      </c>
    </row>
    <row r="53" customFormat="false" ht="13.5" hidden="false" customHeight="false" outlineLevel="0" collapsed="false">
      <c r="A53" s="0" t="s">
        <v>71</v>
      </c>
      <c r="B53" s="1" t="n">
        <v>43913</v>
      </c>
      <c r="C53" s="0" t="n">
        <v>201</v>
      </c>
      <c r="D53" s="0" t="n">
        <v>62</v>
      </c>
      <c r="E53" s="0" t="n">
        <v>17</v>
      </c>
      <c r="F53" s="0" t="n">
        <v>2</v>
      </c>
      <c r="G53" s="0" t="n">
        <v>65</v>
      </c>
      <c r="H53" s="0" t="n">
        <v>119</v>
      </c>
      <c r="J53" s="0" t="n">
        <v>5</v>
      </c>
    </row>
    <row r="54" customFormat="false" ht="13.5" hidden="false" customHeight="false" outlineLevel="0" collapsed="false">
      <c r="A54" s="0" t="s">
        <v>71</v>
      </c>
      <c r="B54" s="1" t="n">
        <v>43914</v>
      </c>
      <c r="C54" s="0" t="n">
        <v>230</v>
      </c>
      <c r="D54" s="0" t="n">
        <v>29</v>
      </c>
      <c r="E54" s="0" t="n">
        <v>17</v>
      </c>
      <c r="F54" s="0" t="n">
        <v>0</v>
      </c>
      <c r="G54" s="0" t="n">
        <v>65</v>
      </c>
      <c r="H54" s="0" t="n">
        <v>148</v>
      </c>
      <c r="J54" s="0" t="n">
        <v>5</v>
      </c>
    </row>
    <row r="55" customFormat="false" ht="13.5" hidden="false" customHeight="false" outlineLevel="0" collapsed="false">
      <c r="A55" s="0" t="s">
        <v>71</v>
      </c>
      <c r="B55" s="1" t="n">
        <v>43915</v>
      </c>
      <c r="C55" s="0" t="n">
        <v>264</v>
      </c>
      <c r="D55" s="0" t="n">
        <v>34</v>
      </c>
      <c r="E55" s="0" t="n">
        <v>19</v>
      </c>
      <c r="F55" s="0" t="n">
        <v>2</v>
      </c>
      <c r="G55" s="0" t="n">
        <v>24</v>
      </c>
      <c r="H55" s="0" t="n">
        <v>221</v>
      </c>
      <c r="J55" s="0" t="n">
        <v>6</v>
      </c>
      <c r="K55" s="0" t="n">
        <v>0.4</v>
      </c>
    </row>
    <row r="56" customFormat="false" ht="13.5" hidden="false" customHeight="false" outlineLevel="0" collapsed="false">
      <c r="A56" s="0" t="s">
        <v>71</v>
      </c>
      <c r="B56" s="1" t="n">
        <v>43916</v>
      </c>
      <c r="C56" s="0" t="n">
        <v>302</v>
      </c>
      <c r="D56" s="0" t="n">
        <v>38</v>
      </c>
      <c r="E56" s="0" t="n">
        <v>21</v>
      </c>
      <c r="F56" s="0" t="n">
        <v>2</v>
      </c>
      <c r="G56" s="0" t="n">
        <v>65</v>
      </c>
      <c r="H56" s="0" t="n">
        <v>216</v>
      </c>
      <c r="J56" s="0" t="n">
        <v>7</v>
      </c>
      <c r="K56" s="0" t="n">
        <v>0.5</v>
      </c>
    </row>
    <row r="57" customFormat="false" ht="13.5" hidden="false" customHeight="false" outlineLevel="0" collapsed="false">
      <c r="A57" s="0" t="s">
        <v>71</v>
      </c>
      <c r="B57" s="1" t="n">
        <v>43917</v>
      </c>
      <c r="C57" s="0" t="n">
        <v>367</v>
      </c>
      <c r="D57" s="0" t="n">
        <v>65</v>
      </c>
      <c r="E57" s="0" t="n">
        <v>25</v>
      </c>
      <c r="F57" s="0" t="n">
        <v>4</v>
      </c>
      <c r="G57" s="0" t="n">
        <v>29</v>
      </c>
      <c r="H57" s="0" t="n">
        <v>313</v>
      </c>
      <c r="J57" s="0" t="n">
        <v>8</v>
      </c>
      <c r="K57" s="0" t="n">
        <v>0.6</v>
      </c>
    </row>
    <row r="58" customFormat="false" ht="13.5" hidden="false" customHeight="false" outlineLevel="0" collapsed="false">
      <c r="A58" s="0" t="s">
        <v>71</v>
      </c>
      <c r="B58" s="1" t="n">
        <v>43918</v>
      </c>
      <c r="C58" s="0" t="n">
        <v>409</v>
      </c>
      <c r="D58" s="0" t="n">
        <v>42</v>
      </c>
      <c r="E58" s="0" t="n">
        <v>26</v>
      </c>
      <c r="F58" s="0" t="n">
        <v>1</v>
      </c>
      <c r="G58" s="0" t="n">
        <v>29</v>
      </c>
      <c r="H58" s="0" t="n">
        <v>354</v>
      </c>
      <c r="J58" s="0" t="n">
        <v>9</v>
      </c>
      <c r="K58" s="0" t="n">
        <v>0.6</v>
      </c>
    </row>
    <row r="59" customFormat="false" ht="13.5" hidden="false" customHeight="false" outlineLevel="0" collapsed="false">
      <c r="A59" s="0" t="s">
        <v>71</v>
      </c>
      <c r="B59" s="1" t="n">
        <v>43919</v>
      </c>
      <c r="C59" s="0" t="n">
        <v>454</v>
      </c>
      <c r="D59" s="0" t="n">
        <v>45</v>
      </c>
      <c r="E59" s="0" t="n">
        <v>29</v>
      </c>
      <c r="F59" s="0" t="n">
        <v>3</v>
      </c>
      <c r="G59" s="0" t="n">
        <v>31</v>
      </c>
      <c r="H59" s="0" t="n">
        <v>394</v>
      </c>
      <c r="J59" s="0" t="n">
        <v>10</v>
      </c>
      <c r="K59" s="0" t="n">
        <v>0.7</v>
      </c>
    </row>
    <row r="60" customFormat="false" ht="13.5" hidden="false" customHeight="false" outlineLevel="0" collapsed="false">
      <c r="A60" s="0" t="s">
        <v>71</v>
      </c>
      <c r="B60" s="1" t="n">
        <v>43920</v>
      </c>
      <c r="C60" s="0" t="n">
        <v>511</v>
      </c>
      <c r="D60" s="0" t="n">
        <v>57</v>
      </c>
      <c r="E60" s="0" t="n">
        <v>31</v>
      </c>
      <c r="F60" s="0" t="n">
        <v>2</v>
      </c>
      <c r="G60" s="0" t="n">
        <v>31</v>
      </c>
      <c r="H60" s="0" t="n">
        <v>449</v>
      </c>
      <c r="J60" s="0" t="n">
        <v>12</v>
      </c>
      <c r="K60" s="0" t="n">
        <v>0.7</v>
      </c>
    </row>
    <row r="61" customFormat="false" ht="13.5" hidden="false" customHeight="false" outlineLevel="0" collapsed="false">
      <c r="A61" s="0" t="s">
        <v>71</v>
      </c>
      <c r="B61" s="1" t="n">
        <v>43921</v>
      </c>
      <c r="C61" s="0" t="n">
        <v>584</v>
      </c>
      <c r="D61" s="0" t="n">
        <v>73</v>
      </c>
      <c r="E61" s="0" t="n">
        <v>35</v>
      </c>
      <c r="F61" s="0" t="n">
        <v>4</v>
      </c>
      <c r="G61" s="0" t="n">
        <v>37</v>
      </c>
      <c r="H61" s="0" t="n">
        <v>512</v>
      </c>
      <c r="J61" s="0" t="n">
        <v>13</v>
      </c>
      <c r="K61" s="0" t="n">
        <v>0.8</v>
      </c>
    </row>
    <row r="62" customFormat="false" ht="13.5" hidden="false" customHeight="false" outlineLevel="0" collapsed="false">
      <c r="A62" s="0" t="s">
        <v>71</v>
      </c>
      <c r="B62" s="1" t="n">
        <v>43922</v>
      </c>
      <c r="C62" s="0" t="n">
        <v>716</v>
      </c>
      <c r="D62" s="0" t="n">
        <v>132</v>
      </c>
      <c r="E62" s="0" t="n">
        <v>44</v>
      </c>
      <c r="F62" s="0" t="n">
        <v>9</v>
      </c>
      <c r="G62" s="0" t="n">
        <v>46</v>
      </c>
      <c r="H62" s="0" t="n">
        <v>626</v>
      </c>
      <c r="J62" s="0" t="n">
        <v>16</v>
      </c>
      <c r="K62" s="0" t="n">
        <v>1</v>
      </c>
    </row>
    <row r="63" customFormat="false" ht="13.5" hidden="false" customHeight="false" outlineLevel="0" collapsed="false">
      <c r="A63" s="0" t="s">
        <v>71</v>
      </c>
      <c r="B63" s="1" t="n">
        <v>43923</v>
      </c>
      <c r="C63" s="0" t="n">
        <v>847</v>
      </c>
      <c r="D63" s="0" t="n">
        <v>131</v>
      </c>
      <c r="E63" s="0" t="n">
        <v>58</v>
      </c>
      <c r="F63" s="0" t="n">
        <v>14</v>
      </c>
      <c r="G63" s="0" t="n">
        <v>61</v>
      </c>
      <c r="H63" s="0" t="n">
        <v>728</v>
      </c>
      <c r="J63" s="0" t="n">
        <v>19</v>
      </c>
      <c r="K63" s="0" t="n">
        <v>1</v>
      </c>
    </row>
    <row r="64" customFormat="false" ht="13.5" hidden="false" customHeight="false" outlineLevel="0" collapsed="false">
      <c r="A64" s="0" t="s">
        <v>71</v>
      </c>
      <c r="B64" s="1" t="n">
        <v>43924</v>
      </c>
      <c r="C64" s="0" t="n">
        <v>986</v>
      </c>
      <c r="D64" s="0" t="n">
        <v>139</v>
      </c>
      <c r="E64" s="0" t="n">
        <v>86</v>
      </c>
      <c r="F64" s="0" t="n">
        <v>28</v>
      </c>
      <c r="G64" s="0" t="n">
        <v>61</v>
      </c>
      <c r="H64" s="0" t="n">
        <v>839</v>
      </c>
      <c r="J64" s="0" t="n">
        <v>22</v>
      </c>
      <c r="K64" s="0" t="n">
        <v>2</v>
      </c>
    </row>
    <row r="65" customFormat="false" ht="13.5" hidden="false" customHeight="false" outlineLevel="0" collapsed="false">
      <c r="A65" s="0" t="s">
        <v>71</v>
      </c>
      <c r="B65" s="1" t="n">
        <v>43925</v>
      </c>
      <c r="C65" s="0" t="n">
        <v>1171</v>
      </c>
      <c r="D65" s="0" t="n">
        <v>185</v>
      </c>
      <c r="E65" s="0" t="n">
        <v>105</v>
      </c>
      <c r="F65" s="0" t="n">
        <v>19</v>
      </c>
      <c r="G65" s="0" t="n">
        <v>62</v>
      </c>
      <c r="H65" s="0" t="n">
        <v>1004</v>
      </c>
      <c r="J65" s="0" t="n">
        <v>27</v>
      </c>
      <c r="K65" s="0" t="n">
        <v>2</v>
      </c>
    </row>
    <row r="66" customFormat="false" ht="13.5" hidden="false" customHeight="false" outlineLevel="0" collapsed="false">
      <c r="A66" s="0" t="s">
        <v>71</v>
      </c>
      <c r="B66" s="1" t="n">
        <v>43926</v>
      </c>
      <c r="C66" s="0" t="n">
        <v>1251</v>
      </c>
      <c r="D66" s="0" t="n">
        <v>80</v>
      </c>
      <c r="E66" s="0" t="n">
        <v>130</v>
      </c>
      <c r="F66" s="0" t="n">
        <v>25</v>
      </c>
      <c r="G66" s="0" t="n">
        <v>90</v>
      </c>
      <c r="H66" s="0" t="n">
        <v>1031</v>
      </c>
      <c r="J66" s="0" t="n">
        <v>29</v>
      </c>
      <c r="K66" s="0" t="n">
        <v>3</v>
      </c>
      <c r="L66" s="0" t="n">
        <v>3359</v>
      </c>
      <c r="M66" s="0" t="n">
        <v>77</v>
      </c>
    </row>
    <row r="67" customFormat="false" ht="13.5" hidden="false" customHeight="false" outlineLevel="0" collapsed="false">
      <c r="A67" s="0" t="s">
        <v>71</v>
      </c>
      <c r="B67" s="1" t="n">
        <v>43927</v>
      </c>
      <c r="C67" s="0" t="n">
        <v>1320</v>
      </c>
      <c r="D67" s="0" t="n">
        <v>69</v>
      </c>
      <c r="E67" s="0" t="n">
        <v>152</v>
      </c>
      <c r="F67" s="0" t="n">
        <v>22</v>
      </c>
      <c r="G67" s="0" t="n">
        <v>90</v>
      </c>
      <c r="H67" s="0" t="n">
        <v>1078</v>
      </c>
      <c r="I67" s="0" t="n">
        <v>46</v>
      </c>
      <c r="J67" s="0" t="n">
        <v>30</v>
      </c>
      <c r="K67" s="0" t="n">
        <v>3</v>
      </c>
      <c r="L67" s="0" t="n">
        <v>3359</v>
      </c>
      <c r="M67" s="0" t="n">
        <v>77</v>
      </c>
    </row>
    <row r="68" customFormat="false" ht="13.5" hidden="false" customHeight="false" outlineLevel="0" collapsed="false">
      <c r="A68" s="0" t="s">
        <v>71</v>
      </c>
      <c r="B68" s="1" t="n">
        <v>43928</v>
      </c>
      <c r="C68" s="0" t="n">
        <v>1423</v>
      </c>
      <c r="D68" s="0" t="n">
        <v>103</v>
      </c>
      <c r="E68" s="0" t="n">
        <v>173</v>
      </c>
      <c r="F68" s="0" t="n">
        <v>21</v>
      </c>
      <c r="G68" s="0" t="n">
        <v>90</v>
      </c>
      <c r="H68" s="0" t="n">
        <v>1160</v>
      </c>
      <c r="I68" s="0" t="n">
        <v>46</v>
      </c>
      <c r="J68" s="0" t="n">
        <v>32</v>
      </c>
      <c r="K68" s="0" t="n">
        <v>4</v>
      </c>
      <c r="L68" s="0" t="n">
        <v>3359</v>
      </c>
      <c r="M68" s="0" t="n">
        <v>77</v>
      </c>
    </row>
    <row r="69" customFormat="false" ht="13.5" hidden="false" customHeight="false" outlineLevel="0" collapsed="false">
      <c r="A69" s="0" t="s">
        <v>71</v>
      </c>
      <c r="B69" s="1" t="n">
        <v>43929</v>
      </c>
      <c r="C69" s="0" t="n">
        <v>1468</v>
      </c>
      <c r="D69" s="0" t="n">
        <v>45</v>
      </c>
      <c r="E69" s="0" t="n">
        <v>193</v>
      </c>
      <c r="F69" s="0" t="n">
        <v>20</v>
      </c>
      <c r="G69" s="0" t="n">
        <v>113</v>
      </c>
      <c r="H69" s="0" t="n">
        <v>1162</v>
      </c>
      <c r="I69" s="0" t="n">
        <v>46</v>
      </c>
      <c r="J69" s="0" t="n">
        <v>33</v>
      </c>
      <c r="K69" s="0" t="n">
        <v>4</v>
      </c>
      <c r="L69" s="0" t="n">
        <v>3359</v>
      </c>
      <c r="M69" s="0" t="n">
        <v>77</v>
      </c>
    </row>
    <row r="70" customFormat="false" ht="13.5" hidden="false" customHeight="false" outlineLevel="0" collapsed="false">
      <c r="A70" s="0" t="s">
        <v>71</v>
      </c>
      <c r="B70" s="1" t="n">
        <v>43930</v>
      </c>
      <c r="C70" s="0" t="n">
        <v>1572</v>
      </c>
      <c r="D70" s="0" t="n">
        <v>104</v>
      </c>
      <c r="E70" s="0" t="n">
        <v>205</v>
      </c>
      <c r="F70" s="0" t="n">
        <v>12</v>
      </c>
      <c r="G70" s="0" t="n">
        <v>237</v>
      </c>
      <c r="H70" s="0" t="n">
        <v>1130</v>
      </c>
      <c r="I70" s="0" t="n">
        <v>46</v>
      </c>
      <c r="J70" s="0" t="n">
        <v>36</v>
      </c>
      <c r="K70" s="0" t="n">
        <v>5</v>
      </c>
      <c r="L70" s="0" t="n">
        <v>3359</v>
      </c>
      <c r="M70" s="0" t="n">
        <v>77</v>
      </c>
    </row>
    <row r="71" customFormat="false" ht="13.5" hidden="false" customHeight="false" outlineLevel="0" collapsed="false">
      <c r="A71" s="0" t="s">
        <v>71</v>
      </c>
      <c r="B71" s="1" t="n">
        <v>43931</v>
      </c>
      <c r="C71" s="0" t="n">
        <v>1666</v>
      </c>
      <c r="D71" s="0" t="n">
        <v>94</v>
      </c>
      <c r="E71" s="0" t="n">
        <v>235</v>
      </c>
      <c r="F71" s="0" t="n">
        <v>30</v>
      </c>
      <c r="G71" s="0" t="n">
        <v>347</v>
      </c>
      <c r="H71" s="0" t="n">
        <v>1084</v>
      </c>
      <c r="I71" s="0" t="n">
        <v>46</v>
      </c>
      <c r="J71" s="0" t="n">
        <v>38</v>
      </c>
      <c r="K71" s="0" t="n">
        <v>5</v>
      </c>
      <c r="L71" s="0" t="n">
        <v>3359</v>
      </c>
      <c r="M71" s="0" t="n">
        <v>77</v>
      </c>
    </row>
    <row r="72" customFormat="false" ht="13.5" hidden="false" customHeight="false" outlineLevel="0" collapsed="false">
      <c r="A72" s="0" t="s">
        <v>71</v>
      </c>
      <c r="B72" s="1" t="n">
        <v>43932</v>
      </c>
      <c r="C72" s="0" t="n">
        <v>1761</v>
      </c>
      <c r="D72" s="0" t="n">
        <v>95</v>
      </c>
      <c r="E72" s="0" t="n">
        <v>256</v>
      </c>
      <c r="F72" s="0" t="n">
        <v>21</v>
      </c>
      <c r="G72" s="0" t="n">
        <v>405</v>
      </c>
      <c r="H72" s="0" t="n">
        <v>1100</v>
      </c>
      <c r="I72" s="0" t="n">
        <v>46</v>
      </c>
      <c r="J72" s="0" t="n">
        <v>40</v>
      </c>
      <c r="K72" s="0" t="n">
        <v>6</v>
      </c>
      <c r="L72" s="0" t="n">
        <v>3359</v>
      </c>
      <c r="M72" s="0" t="n">
        <v>77</v>
      </c>
    </row>
    <row r="73" customFormat="false" ht="13.5" hidden="false" customHeight="false" outlineLevel="0" collapsed="false">
      <c r="A73" s="0" t="s">
        <v>71</v>
      </c>
      <c r="B73" s="1" t="n">
        <v>43933</v>
      </c>
      <c r="C73" s="0" t="n">
        <v>1825</v>
      </c>
      <c r="D73" s="0" t="n">
        <v>64</v>
      </c>
      <c r="E73" s="0" t="n">
        <v>275</v>
      </c>
      <c r="F73" s="0" t="n">
        <v>19</v>
      </c>
      <c r="G73" s="0" t="n">
        <v>460</v>
      </c>
      <c r="H73" s="0" t="n">
        <v>1090</v>
      </c>
      <c r="I73" s="0" t="n">
        <v>46</v>
      </c>
      <c r="J73" s="0" t="n">
        <v>42</v>
      </c>
      <c r="K73" s="0" t="n">
        <v>6</v>
      </c>
      <c r="L73" s="0" t="n">
        <v>3359</v>
      </c>
      <c r="M73" s="0" t="n">
        <v>77</v>
      </c>
    </row>
    <row r="74" customFormat="false" ht="13.5" hidden="false" customHeight="false" outlineLevel="0" collapsed="false">
      <c r="A74" s="0" t="s">
        <v>71</v>
      </c>
      <c r="B74" s="1" t="n">
        <v>43934</v>
      </c>
      <c r="C74" s="0" t="n">
        <v>1914</v>
      </c>
      <c r="D74" s="0" t="n">
        <v>89</v>
      </c>
      <c r="E74" s="0" t="n">
        <v>293</v>
      </c>
      <c r="F74" s="0" t="n">
        <v>18</v>
      </c>
      <c r="G74" s="0" t="n">
        <v>591</v>
      </c>
      <c r="H74" s="0" t="n">
        <v>1030</v>
      </c>
      <c r="I74" s="0" t="n">
        <v>60</v>
      </c>
      <c r="J74" s="0" t="n">
        <v>44</v>
      </c>
      <c r="K74" s="0" t="n">
        <v>7</v>
      </c>
      <c r="L74" s="0" t="n">
        <v>3359</v>
      </c>
      <c r="M74" s="0" t="n">
        <v>77</v>
      </c>
    </row>
    <row r="75" customFormat="false" ht="13.5" hidden="false" customHeight="false" outlineLevel="0" collapsed="false">
      <c r="A75" s="0" t="s">
        <v>71</v>
      </c>
      <c r="B75" s="1" t="n">
        <v>43935</v>
      </c>
      <c r="C75" s="0" t="n">
        <v>1983</v>
      </c>
      <c r="D75" s="0" t="n">
        <v>69</v>
      </c>
      <c r="E75" s="0" t="n">
        <v>313</v>
      </c>
      <c r="F75" s="0" t="n">
        <v>20</v>
      </c>
      <c r="G75" s="0" t="n">
        <v>601</v>
      </c>
      <c r="H75" s="0" t="n">
        <v>1069</v>
      </c>
      <c r="I75" s="0" t="n">
        <v>60</v>
      </c>
      <c r="J75" s="0" t="n">
        <v>45</v>
      </c>
      <c r="K75" s="0" t="n">
        <v>7</v>
      </c>
      <c r="L75" s="0" t="n">
        <v>3359</v>
      </c>
      <c r="M75" s="0" t="n">
        <v>77</v>
      </c>
    </row>
    <row r="76" customFormat="false" ht="13.5" hidden="false" customHeight="false" outlineLevel="0" collapsed="false">
      <c r="A76" s="0" t="s">
        <v>71</v>
      </c>
      <c r="B76" s="1" t="n">
        <v>43936</v>
      </c>
      <c r="C76" s="0" t="n">
        <v>2070</v>
      </c>
      <c r="D76" s="0" t="n">
        <v>87</v>
      </c>
      <c r="E76" s="0" t="n">
        <v>326</v>
      </c>
      <c r="F76" s="0" t="n">
        <v>13</v>
      </c>
      <c r="G76" s="0" t="n">
        <v>691</v>
      </c>
      <c r="H76" s="0" t="n">
        <v>1053</v>
      </c>
      <c r="I76" s="0" t="n">
        <v>60</v>
      </c>
      <c r="J76" s="0" t="n">
        <v>47</v>
      </c>
      <c r="K76" s="0" t="n">
        <v>7</v>
      </c>
      <c r="L76" s="0" t="n">
        <v>3359</v>
      </c>
      <c r="M76" s="0" t="n">
        <v>77</v>
      </c>
    </row>
    <row r="77" customFormat="false" ht="13.5" hidden="false" customHeight="false" outlineLevel="0" collapsed="false">
      <c r="A77" s="0" t="s">
        <v>71</v>
      </c>
      <c r="B77" s="1" t="n">
        <v>43937</v>
      </c>
      <c r="C77" s="0" t="n">
        <v>2160</v>
      </c>
      <c r="D77" s="0" t="n">
        <v>90</v>
      </c>
      <c r="E77" s="0" t="n">
        <v>336</v>
      </c>
      <c r="F77" s="0" t="n">
        <v>10</v>
      </c>
      <c r="G77" s="0" t="n">
        <v>708</v>
      </c>
      <c r="H77" s="0" t="n">
        <v>1116</v>
      </c>
      <c r="I77" s="0" t="n">
        <v>60</v>
      </c>
      <c r="J77" s="0" t="n">
        <v>49</v>
      </c>
      <c r="K77" s="0" t="n">
        <v>8</v>
      </c>
      <c r="L77" s="0" t="n">
        <v>3359</v>
      </c>
      <c r="M77" s="0" t="n">
        <v>77</v>
      </c>
    </row>
    <row r="78" customFormat="false" ht="13.5" hidden="false" customHeight="false" outlineLevel="0" collapsed="false">
      <c r="A78" s="0" t="s">
        <v>71</v>
      </c>
      <c r="B78" s="1" t="n">
        <v>43938</v>
      </c>
      <c r="C78" s="0" t="n">
        <v>2268</v>
      </c>
      <c r="D78" s="0" t="n">
        <v>108</v>
      </c>
      <c r="E78" s="0" t="n">
        <v>348</v>
      </c>
      <c r="F78" s="0" t="n">
        <v>12</v>
      </c>
      <c r="G78" s="0" t="n">
        <v>783</v>
      </c>
      <c r="H78" s="0" t="n">
        <v>1137</v>
      </c>
      <c r="I78" s="0" t="n">
        <v>60</v>
      </c>
      <c r="J78" s="0" t="n">
        <v>52</v>
      </c>
      <c r="K78" s="0" t="n">
        <v>8</v>
      </c>
      <c r="L78" s="0" t="n">
        <v>3359</v>
      </c>
      <c r="M78" s="0" t="n">
        <v>77</v>
      </c>
    </row>
    <row r="79" customFormat="false" ht="13.5" hidden="false" customHeight="false" outlineLevel="0" collapsed="false">
      <c r="A79" s="0" t="s">
        <v>71</v>
      </c>
      <c r="B79" s="1" t="n">
        <v>43939</v>
      </c>
      <c r="C79" s="0" t="n">
        <v>2418</v>
      </c>
      <c r="D79" s="0" t="n">
        <v>150</v>
      </c>
      <c r="E79" s="0" t="n">
        <v>364</v>
      </c>
      <c r="F79" s="0" t="n">
        <v>16</v>
      </c>
      <c r="G79" s="0" t="n">
        <v>846</v>
      </c>
      <c r="H79" s="0" t="n">
        <v>1208</v>
      </c>
      <c r="I79" s="0" t="n">
        <v>60</v>
      </c>
      <c r="J79" s="0" t="n">
        <v>55</v>
      </c>
      <c r="K79" s="0" t="n">
        <v>8</v>
      </c>
      <c r="L79" s="0" t="n">
        <v>3359</v>
      </c>
      <c r="M79" s="0" t="n">
        <v>77</v>
      </c>
    </row>
    <row r="80" customFormat="false" ht="13.5" hidden="false" customHeight="false" outlineLevel="0" collapsed="false">
      <c r="A80" s="0" t="s">
        <v>71</v>
      </c>
      <c r="B80" s="1" t="n">
        <v>43940</v>
      </c>
      <c r="C80" s="0" t="n">
        <v>2534</v>
      </c>
      <c r="D80" s="0" t="n">
        <v>116</v>
      </c>
      <c r="E80" s="0" t="n">
        <v>367</v>
      </c>
      <c r="F80" s="0" t="n">
        <v>3</v>
      </c>
      <c r="G80" s="0" t="n">
        <v>894</v>
      </c>
      <c r="H80" s="0" t="n">
        <v>1273</v>
      </c>
      <c r="I80" s="0" t="n">
        <v>60</v>
      </c>
      <c r="J80" s="0" t="n">
        <v>58</v>
      </c>
      <c r="K80" s="0" t="n">
        <v>8</v>
      </c>
      <c r="L80" s="0" t="n">
        <v>3359</v>
      </c>
      <c r="M80" s="0" t="n">
        <v>77</v>
      </c>
    </row>
    <row r="81" customFormat="false" ht="13.5" hidden="false" customHeight="false" outlineLevel="0" collapsed="false">
      <c r="A81" s="0" t="s">
        <v>71</v>
      </c>
      <c r="B81" s="1" t="n">
        <v>43941</v>
      </c>
      <c r="C81" s="0" t="n">
        <v>2629</v>
      </c>
      <c r="D81" s="0" t="n">
        <v>95</v>
      </c>
      <c r="E81" s="0" t="n">
        <v>375</v>
      </c>
      <c r="F81" s="0" t="n">
        <v>8</v>
      </c>
      <c r="G81" s="0" t="n">
        <v>1047</v>
      </c>
      <c r="H81" s="0" t="n">
        <v>1207</v>
      </c>
      <c r="I81" s="0" t="n">
        <v>40</v>
      </c>
      <c r="J81" s="0" t="n">
        <v>60</v>
      </c>
      <c r="K81" s="0" t="n">
        <v>9</v>
      </c>
      <c r="L81" s="0" t="n">
        <v>6500</v>
      </c>
      <c r="M81" s="0" t="n">
        <v>148</v>
      </c>
    </row>
    <row r="82" customFormat="false" ht="13.5" hidden="false" customHeight="false" outlineLevel="0" collapsed="false">
      <c r="A82" s="0" t="s">
        <v>71</v>
      </c>
      <c r="B82" s="1" t="n">
        <v>43942</v>
      </c>
      <c r="C82" s="0" t="n">
        <v>2718</v>
      </c>
      <c r="D82" s="0" t="n">
        <v>89</v>
      </c>
      <c r="E82" s="0" t="n">
        <v>384</v>
      </c>
      <c r="F82" s="0" t="n">
        <v>9</v>
      </c>
      <c r="G82" s="0" t="n">
        <v>1099</v>
      </c>
      <c r="H82" s="0" t="n">
        <v>1235</v>
      </c>
      <c r="I82" s="0" t="n">
        <v>40</v>
      </c>
      <c r="J82" s="0" t="n">
        <v>62</v>
      </c>
      <c r="K82" s="0" t="n">
        <v>9</v>
      </c>
      <c r="L82" s="0" t="n">
        <v>6500</v>
      </c>
      <c r="M82" s="0" t="n">
        <v>148</v>
      </c>
    </row>
    <row r="83" customFormat="false" ht="13.5" hidden="false" customHeight="false" outlineLevel="0" collapsed="false">
      <c r="A83" s="0" t="s">
        <v>71</v>
      </c>
      <c r="B83" s="1" t="n">
        <v>43943</v>
      </c>
      <c r="C83" s="0" t="n">
        <v>2811</v>
      </c>
      <c r="D83" s="0" t="n">
        <v>93</v>
      </c>
      <c r="E83" s="0" t="n">
        <v>392</v>
      </c>
      <c r="F83" s="0" t="n">
        <v>8</v>
      </c>
      <c r="G83" s="0" t="n">
        <v>1152</v>
      </c>
      <c r="H83" s="0" t="n">
        <v>1267</v>
      </c>
      <c r="I83" s="0" t="n">
        <v>40</v>
      </c>
      <c r="J83" s="0" t="n">
        <v>64</v>
      </c>
      <c r="K83" s="0" t="n">
        <v>9</v>
      </c>
      <c r="L83" s="0" t="n">
        <v>6500</v>
      </c>
      <c r="M83" s="0" t="n">
        <v>148</v>
      </c>
    </row>
    <row r="84" customFormat="false" ht="13.5" hidden="false" customHeight="false" outlineLevel="0" collapsed="false">
      <c r="A84" s="0" t="s">
        <v>71</v>
      </c>
      <c r="B84" s="1" t="n">
        <v>43944</v>
      </c>
      <c r="C84" s="0" t="n">
        <v>2910</v>
      </c>
      <c r="D84" s="0" t="n">
        <v>99</v>
      </c>
      <c r="E84" s="0" t="n">
        <v>402</v>
      </c>
      <c r="F84" s="0" t="n">
        <v>10</v>
      </c>
      <c r="G84" s="0" t="n">
        <v>1204</v>
      </c>
      <c r="H84" s="0" t="n">
        <v>1304</v>
      </c>
      <c r="I84" s="0" t="n">
        <v>40</v>
      </c>
      <c r="J84" s="0" t="n">
        <v>66</v>
      </c>
      <c r="K84" s="0" t="n">
        <v>9</v>
      </c>
      <c r="L84" s="0" t="n">
        <v>6500</v>
      </c>
      <c r="M84" s="0" t="n">
        <v>148</v>
      </c>
    </row>
    <row r="85" customFormat="false" ht="13.5" hidden="false" customHeight="false" outlineLevel="0" collapsed="false">
      <c r="A85" s="0" t="s">
        <v>71</v>
      </c>
      <c r="B85" s="1" t="n">
        <v>43945</v>
      </c>
      <c r="C85" s="0" t="n">
        <v>3007</v>
      </c>
      <c r="D85" s="0" t="n">
        <v>97</v>
      </c>
      <c r="E85" s="0" t="n">
        <v>407</v>
      </c>
      <c r="F85" s="0" t="n">
        <v>5</v>
      </c>
      <c r="G85" s="0" t="n">
        <v>1355</v>
      </c>
      <c r="H85" s="0" t="n">
        <v>1245</v>
      </c>
      <c r="I85" s="0" t="n">
        <v>40</v>
      </c>
      <c r="J85" s="0" t="n">
        <v>69</v>
      </c>
      <c r="K85" s="0" t="n">
        <v>9</v>
      </c>
      <c r="L85" s="0" t="n">
        <v>6500</v>
      </c>
      <c r="M85" s="0" t="n">
        <v>148</v>
      </c>
    </row>
    <row r="86" customFormat="false" ht="13.5" hidden="false" customHeight="false" outlineLevel="0" collapsed="false">
      <c r="A86" s="0" t="s">
        <v>71</v>
      </c>
      <c r="B86" s="1" t="n">
        <v>43946</v>
      </c>
      <c r="C86" s="0" t="n">
        <v>3127</v>
      </c>
      <c r="D86" s="0" t="n">
        <v>120</v>
      </c>
      <c r="E86" s="0" t="n">
        <v>415</v>
      </c>
      <c r="F86" s="0" t="n">
        <v>8</v>
      </c>
      <c r="G86" s="0" t="n">
        <v>1408</v>
      </c>
      <c r="H86" s="0" t="n">
        <v>1304</v>
      </c>
      <c r="I86" s="0" t="n">
        <v>40</v>
      </c>
      <c r="J86" s="0" t="n">
        <v>71</v>
      </c>
      <c r="K86" s="0" t="n">
        <v>9</v>
      </c>
      <c r="L86" s="0" t="n">
        <v>6500</v>
      </c>
      <c r="M86" s="0" t="n">
        <v>148</v>
      </c>
    </row>
    <row r="87" customFormat="false" ht="13.5" hidden="false" customHeight="false" outlineLevel="0" collapsed="false">
      <c r="A87" s="0" t="s">
        <v>71</v>
      </c>
      <c r="B87" s="1" t="n">
        <v>43947</v>
      </c>
      <c r="C87" s="0" t="n">
        <v>3256</v>
      </c>
      <c r="D87" s="0" t="n">
        <v>129</v>
      </c>
      <c r="E87" s="0" t="n">
        <v>419</v>
      </c>
      <c r="F87" s="0" t="n">
        <v>4</v>
      </c>
      <c r="G87" s="0" t="n">
        <v>1479</v>
      </c>
      <c r="H87" s="0" t="n">
        <v>1358</v>
      </c>
      <c r="I87" s="0" t="n">
        <v>40</v>
      </c>
      <c r="J87" s="0" t="n">
        <v>74</v>
      </c>
      <c r="K87" s="0" t="n">
        <v>10</v>
      </c>
      <c r="L87" s="0" t="n">
        <v>6500</v>
      </c>
      <c r="M87" s="0" t="n">
        <v>148</v>
      </c>
    </row>
    <row r="88" customFormat="false" ht="13.5" hidden="false" customHeight="false" outlineLevel="0" collapsed="false">
      <c r="A88" s="0" t="s">
        <v>71</v>
      </c>
      <c r="B88" s="1" t="n">
        <v>43948</v>
      </c>
      <c r="C88" s="0" t="n">
        <v>3382</v>
      </c>
      <c r="D88" s="0" t="n">
        <v>126</v>
      </c>
      <c r="E88" s="0" t="n">
        <v>425</v>
      </c>
      <c r="F88" s="0" t="n">
        <v>6</v>
      </c>
      <c r="G88" s="0" t="n">
        <v>1508</v>
      </c>
      <c r="H88" s="0" t="n">
        <v>1449</v>
      </c>
      <c r="I88" s="0" t="n">
        <v>40</v>
      </c>
      <c r="J88" s="0" t="n">
        <v>77</v>
      </c>
      <c r="K88" s="0" t="n">
        <v>10</v>
      </c>
      <c r="L88" s="0" t="n">
        <v>6500</v>
      </c>
      <c r="M88" s="0" t="n">
        <v>148</v>
      </c>
    </row>
    <row r="89" customFormat="false" ht="13.5" hidden="false" customHeight="false" outlineLevel="0" collapsed="false">
      <c r="A89" s="0" t="s">
        <v>71</v>
      </c>
      <c r="B89" s="1" t="n">
        <v>43949</v>
      </c>
      <c r="C89" s="2" t="n">
        <v>3517</v>
      </c>
      <c r="D89" s="2" t="n">
        <v>135</v>
      </c>
      <c r="E89" s="2" t="n">
        <v>432</v>
      </c>
      <c r="F89" s="2" t="n">
        <v>7</v>
      </c>
      <c r="G89" s="2" t="n">
        <v>1558</v>
      </c>
      <c r="H89" s="2" t="n">
        <v>1527</v>
      </c>
      <c r="I89" s="2" t="n">
        <v>40</v>
      </c>
      <c r="J89" s="2" t="n">
        <v>80</v>
      </c>
      <c r="K89" s="2" t="n">
        <v>10</v>
      </c>
      <c r="L89" s="2" t="n">
        <v>6500</v>
      </c>
      <c r="M89" s="2" t="n">
        <v>148</v>
      </c>
    </row>
    <row r="90" customFormat="false" ht="13.5" hidden="false" customHeight="false" outlineLevel="0" collapsed="false">
      <c r="A90" s="0" t="s">
        <v>71</v>
      </c>
      <c r="B90" s="1" t="n">
        <v>43950</v>
      </c>
      <c r="C90" s="2" t="n">
        <v>3649</v>
      </c>
      <c r="D90" s="2" t="n">
        <v>132</v>
      </c>
      <c r="E90" s="2" t="n">
        <v>437</v>
      </c>
      <c r="F90" s="2" t="n">
        <v>5</v>
      </c>
      <c r="G90" s="2" t="n">
        <v>1651</v>
      </c>
      <c r="H90" s="2" t="n">
        <v>1561</v>
      </c>
      <c r="I90" s="2" t="n">
        <v>22</v>
      </c>
      <c r="J90" s="2" t="n">
        <v>83</v>
      </c>
      <c r="K90" s="2" t="n">
        <v>10</v>
      </c>
      <c r="L90" s="2" t="n">
        <v>6500</v>
      </c>
      <c r="M90" s="2" t="n">
        <v>148</v>
      </c>
    </row>
    <row r="91" customFormat="false" ht="13.5" hidden="false" customHeight="false" outlineLevel="0" collapsed="false">
      <c r="A91" s="0" t="s">
        <v>71</v>
      </c>
      <c r="B91" s="1" t="n">
        <v>43951</v>
      </c>
      <c r="C91" s="2" t="n">
        <v>3848</v>
      </c>
      <c r="D91" s="2" t="n">
        <v>199</v>
      </c>
      <c r="E91" s="2" t="n">
        <v>444</v>
      </c>
      <c r="F91" s="2" t="n">
        <v>7</v>
      </c>
      <c r="G91" s="2" t="n">
        <v>1702</v>
      </c>
      <c r="H91" s="2" t="n">
        <v>1702</v>
      </c>
      <c r="I91" s="2" t="n">
        <v>22</v>
      </c>
      <c r="J91" s="2" t="n">
        <v>88</v>
      </c>
      <c r="K91" s="2" t="n">
        <v>10</v>
      </c>
      <c r="L91" s="2" t="n">
        <v>6500</v>
      </c>
      <c r="M91" s="2" t="n">
        <v>148</v>
      </c>
    </row>
    <row r="92" customFormat="false" ht="13.5" hidden="false" customHeight="false" outlineLevel="0" collapsed="false">
      <c r="A92" s="0" t="s">
        <v>71</v>
      </c>
      <c r="B92" s="1" t="n">
        <v>43952</v>
      </c>
      <c r="C92" s="2" t="n">
        <v>4006</v>
      </c>
      <c r="D92" s="2" t="n">
        <v>158</v>
      </c>
      <c r="E92" s="2" t="n">
        <v>450</v>
      </c>
      <c r="F92" s="2" t="n">
        <v>6</v>
      </c>
      <c r="G92" s="2" t="n">
        <v>1779</v>
      </c>
      <c r="H92" s="2" t="n">
        <v>1777</v>
      </c>
      <c r="I92" s="2" t="n">
        <v>22</v>
      </c>
      <c r="J92" s="2" t="n">
        <v>91</v>
      </c>
      <c r="K92" s="2" t="n">
        <v>10</v>
      </c>
      <c r="L92" s="2" t="n">
        <v>6500</v>
      </c>
      <c r="M92" s="2" t="n">
        <v>148</v>
      </c>
    </row>
    <row r="93" customFormat="false" ht="13.5" hidden="false" customHeight="false" outlineLevel="0" collapsed="false">
      <c r="A93" s="0" t="s">
        <v>71</v>
      </c>
      <c r="B93" s="1" t="n">
        <v>43953</v>
      </c>
      <c r="C93" s="0" t="e">
        <f aca="false">sheet1!aoq94</f>
        <v>#NAME?</v>
      </c>
      <c r="D93" s="0" t="e">
        <f aca="false">sheet1!aor94</f>
        <v>#NAME?</v>
      </c>
      <c r="E93" s="0" t="e">
        <f aca="false">sheet1!aos94</f>
        <v>#NAME?</v>
      </c>
      <c r="F93" s="0" t="e">
        <f aca="false">sheet1!aot94</f>
        <v>#NAME?</v>
      </c>
      <c r="G93" s="0" t="e">
        <f aca="false">sheet1!aou94</f>
        <v>#NAME?</v>
      </c>
      <c r="H93" s="0" t="e">
        <f aca="false">sheet1!aov94</f>
        <v>#NAME?</v>
      </c>
      <c r="I93" s="0" t="e">
        <f aca="false">sheet1!aow94</f>
        <v>#NAME?</v>
      </c>
      <c r="J93" s="0" t="e">
        <f aca="false">sheet1!aox94</f>
        <v>#NAME?</v>
      </c>
      <c r="K93" s="0" t="e">
        <f aca="false">sheet1!aoy94</f>
        <v>#NAME?</v>
      </c>
      <c r="L93" s="0" t="e">
        <f aca="false">sheet1!aoz94</f>
        <v>#NAME?</v>
      </c>
      <c r="M93" s="0" t="e">
        <f aca="false">sheet1!apa94</f>
        <v>#NAME?</v>
      </c>
    </row>
    <row r="94" customFormat="false" ht="13.5" hidden="false" customHeight="false" outlineLevel="0" collapsed="false">
      <c r="A94" s="0" t="s">
        <v>71</v>
      </c>
      <c r="B94" s="1" t="n">
        <v>43954</v>
      </c>
      <c r="C94" s="0" t="e">
        <f aca="false">sheet1!aoq95</f>
        <v>#NAME?</v>
      </c>
      <c r="D94" s="0" t="e">
        <f aca="false">sheet1!aor95</f>
        <v>#NAME?</v>
      </c>
      <c r="E94" s="0" t="e">
        <f aca="false">sheet1!aos95</f>
        <v>#NAME?</v>
      </c>
      <c r="F94" s="0" t="e">
        <f aca="false">sheet1!aot95</f>
        <v>#NAME?</v>
      </c>
      <c r="G94" s="0" t="e">
        <f aca="false">sheet1!aou95</f>
        <v>#NAME?</v>
      </c>
      <c r="H94" s="0" t="e">
        <f aca="false">sheet1!aov95</f>
        <v>#NAME?</v>
      </c>
      <c r="I94" s="0" t="e">
        <f aca="false">sheet1!aow95</f>
        <v>#NAME?</v>
      </c>
      <c r="J94" s="0" t="e">
        <f aca="false">sheet1!aox95</f>
        <v>#NAME?</v>
      </c>
      <c r="K94" s="0" t="e">
        <f aca="false">sheet1!aoy95</f>
        <v>#NAME?</v>
      </c>
      <c r="L94" s="0" t="e">
        <f aca="false">sheet1!aoz95</f>
        <v>#NAME?</v>
      </c>
      <c r="M94" s="0" t="e">
        <f aca="false">sheet1!apa95</f>
        <v>#NAME?</v>
      </c>
    </row>
    <row r="95" customFormat="false" ht="13.5" hidden="false" customHeight="false" outlineLevel="0" collapsed="false">
      <c r="A95" s="0" t="s">
        <v>71</v>
      </c>
      <c r="B95" s="1" t="n">
        <v>43955</v>
      </c>
      <c r="C95" s="0" t="e">
        <f aca="false">sheet1!aoq96</f>
        <v>#NAME?</v>
      </c>
      <c r="D95" s="0" t="e">
        <f aca="false">sheet1!aor96</f>
        <v>#NAME?</v>
      </c>
      <c r="E95" s="0" t="e">
        <f aca="false">sheet1!aos96</f>
        <v>#NAME?</v>
      </c>
      <c r="F95" s="0" t="e">
        <f aca="false">sheet1!aot96</f>
        <v>#NAME?</v>
      </c>
      <c r="G95" s="0" t="e">
        <f aca="false">sheet1!aou96</f>
        <v>#NAME?</v>
      </c>
      <c r="H95" s="0" t="e">
        <f aca="false">sheet1!aov96</f>
        <v>#NAME?</v>
      </c>
      <c r="I95" s="0" t="e">
        <f aca="false">sheet1!aow96</f>
        <v>#NAME?</v>
      </c>
      <c r="J95" s="0" t="e">
        <f aca="false">sheet1!aox96</f>
        <v>#NAME?</v>
      </c>
      <c r="K95" s="0" t="e">
        <f aca="false">sheet1!aoy96</f>
        <v>#NAME?</v>
      </c>
      <c r="L95" s="0" t="e">
        <f aca="false">sheet1!aoz96</f>
        <v>#NAME?</v>
      </c>
      <c r="M95" s="0" t="e">
        <f aca="false">sheet1!apa96</f>
        <v>#NAME?</v>
      </c>
    </row>
    <row r="96" customFormat="false" ht="13.5" hidden="false" customHeight="false" outlineLevel="0" collapsed="false">
      <c r="A96" s="0" t="s">
        <v>71</v>
      </c>
      <c r="B96" s="1" t="n">
        <v>43956</v>
      </c>
      <c r="C96" s="0" t="e">
        <f aca="false">sheet1!aoq97</f>
        <v>#NAME?</v>
      </c>
      <c r="D96" s="0" t="e">
        <f aca="false">sheet1!aor97</f>
        <v>#NAME?</v>
      </c>
      <c r="E96" s="0" t="e">
        <f aca="false">sheet1!aos97</f>
        <v>#NAME?</v>
      </c>
      <c r="F96" s="0" t="e">
        <f aca="false">sheet1!aot97</f>
        <v>#NAME?</v>
      </c>
      <c r="G96" s="0" t="e">
        <f aca="false">sheet1!aou97</f>
        <v>#NAME?</v>
      </c>
      <c r="H96" s="0" t="e">
        <f aca="false">sheet1!aov97</f>
        <v>#NAME?</v>
      </c>
      <c r="I96" s="0" t="e">
        <f aca="false">sheet1!aow97</f>
        <v>#NAME?</v>
      </c>
      <c r="J96" s="0" t="e">
        <f aca="false">sheet1!aox97</f>
        <v>#NAME?</v>
      </c>
      <c r="K96" s="0" t="e">
        <f aca="false">sheet1!aoy97</f>
        <v>#NAME?</v>
      </c>
      <c r="L96" s="0" t="e">
        <f aca="false">sheet1!aoz97</f>
        <v>#NAME?</v>
      </c>
      <c r="M96" s="0" t="e">
        <f aca="false">sheet1!apa97</f>
        <v>#NAME?</v>
      </c>
    </row>
    <row r="97" customFormat="false" ht="13.5" hidden="false" customHeight="false" outlineLevel="0" collapsed="false">
      <c r="A97" s="0" t="s">
        <v>71</v>
      </c>
      <c r="B97" s="1" t="n">
        <v>43957</v>
      </c>
      <c r="C97" s="0" t="e">
        <f aca="false">sheet1!aoq98</f>
        <v>#NAME?</v>
      </c>
      <c r="D97" s="0" t="e">
        <f aca="false">sheet1!aor98</f>
        <v>#NAME?</v>
      </c>
      <c r="E97" s="0" t="e">
        <f aca="false">sheet1!aos98</f>
        <v>#NAME?</v>
      </c>
      <c r="F97" s="0" t="e">
        <f aca="false">sheet1!aot98</f>
        <v>#NAME?</v>
      </c>
      <c r="G97" s="0" t="e">
        <f aca="false">sheet1!aou98</f>
        <v>#NAME?</v>
      </c>
      <c r="H97" s="0" t="e">
        <f aca="false">sheet1!aov98</f>
        <v>#NAME?</v>
      </c>
      <c r="I97" s="0" t="e">
        <f aca="false">sheet1!aow98</f>
        <v>#NAME?</v>
      </c>
      <c r="J97" s="0" t="e">
        <f aca="false">sheet1!aox98</f>
        <v>#NAME?</v>
      </c>
      <c r="K97" s="0" t="e">
        <f aca="false">sheet1!aoy98</f>
        <v>#NAME?</v>
      </c>
      <c r="L97" s="0" t="e">
        <f aca="false">sheet1!aoz98</f>
        <v>#NAME?</v>
      </c>
      <c r="M97" s="0" t="e">
        <f aca="false">sheet1!apa98</f>
        <v>#NAME?</v>
      </c>
    </row>
    <row r="98" customFormat="false" ht="13.5" hidden="false" customHeight="false" outlineLevel="0" collapsed="false">
      <c r="A98" s="0" t="s">
        <v>71</v>
      </c>
      <c r="B98" s="1" t="n">
        <v>43958</v>
      </c>
      <c r="C98" s="0" t="e">
        <f aca="false">sheet1!aoq99</f>
        <v>#NAME?</v>
      </c>
      <c r="D98" s="0" t="e">
        <f aca="false">sheet1!aor99</f>
        <v>#NAME?</v>
      </c>
      <c r="E98" s="0" t="e">
        <f aca="false">sheet1!aos99</f>
        <v>#NAME?</v>
      </c>
      <c r="F98" s="0" t="e">
        <f aca="false">sheet1!aot99</f>
        <v>#NAME?</v>
      </c>
      <c r="G98" s="0" t="e">
        <f aca="false">sheet1!aou99</f>
        <v>#NAME?</v>
      </c>
      <c r="H98" s="0" t="e">
        <f aca="false">sheet1!aov99</f>
        <v>#NAME?</v>
      </c>
      <c r="I98" s="0" t="e">
        <f aca="false">sheet1!aow99</f>
        <v>#NAME?</v>
      </c>
      <c r="J98" s="0" t="e">
        <f aca="false">sheet1!aox99</f>
        <v>#NAME?</v>
      </c>
      <c r="K98" s="0" t="e">
        <f aca="false">sheet1!aoy99</f>
        <v>#NAME?</v>
      </c>
      <c r="L98" s="0" t="e">
        <f aca="false">sheet1!aoz99</f>
        <v>#NAME?</v>
      </c>
      <c r="M98" s="0" t="e">
        <f aca="false">sheet1!apa99</f>
        <v>#NAME?</v>
      </c>
    </row>
    <row r="99" customFormat="false" ht="13.5" hidden="false" customHeight="false" outlineLevel="0" collapsed="false">
      <c r="A99" s="0" t="s">
        <v>71</v>
      </c>
      <c r="B99" s="1" t="n">
        <v>43959</v>
      </c>
      <c r="C99" s="0" t="e">
        <f aca="false">sheet1!aoq100</f>
        <v>#NAME?</v>
      </c>
      <c r="D99" s="0" t="e">
        <f aca="false">sheet1!aor100</f>
        <v>#NAME?</v>
      </c>
      <c r="E99" s="0" t="e">
        <f aca="false">sheet1!aos100</f>
        <v>#NAME?</v>
      </c>
      <c r="F99" s="0" t="e">
        <f aca="false">sheet1!aot100</f>
        <v>#NAME?</v>
      </c>
      <c r="G99" s="0" t="e">
        <f aca="false">sheet1!aou100</f>
        <v>#NAME?</v>
      </c>
      <c r="H99" s="0" t="e">
        <f aca="false">sheet1!aov100</f>
        <v>#NAME?</v>
      </c>
      <c r="I99" s="0" t="e">
        <f aca="false">sheet1!aow100</f>
        <v>#NAME?</v>
      </c>
      <c r="J99" s="0" t="e">
        <f aca="false">sheet1!aox100</f>
        <v>#NAME?</v>
      </c>
      <c r="K99" s="0" t="e">
        <f aca="false">sheet1!aoy100</f>
        <v>#NAME?</v>
      </c>
      <c r="L99" s="0" t="e">
        <f aca="false">sheet1!aoz100</f>
        <v>#NAME?</v>
      </c>
      <c r="M99" s="0" t="e">
        <f aca="false">sheet1!apa100</f>
        <v>#NAME?</v>
      </c>
    </row>
    <row r="100" customFormat="false" ht="13.5" hidden="false" customHeight="false" outlineLevel="0" collapsed="false">
      <c r="A100" s="0" t="s">
        <v>71</v>
      </c>
      <c r="B100" s="1" t="n">
        <v>43960</v>
      </c>
      <c r="C100" s="0" t="e">
        <f aca="false">sheet1!aoq101</f>
        <v>#NAME?</v>
      </c>
      <c r="D100" s="0" t="e">
        <f aca="false">sheet1!aor101</f>
        <v>#NAME?</v>
      </c>
      <c r="E100" s="0" t="e">
        <f aca="false">sheet1!aos101</f>
        <v>#NAME?</v>
      </c>
      <c r="F100" s="0" t="e">
        <f aca="false">sheet1!aot101</f>
        <v>#NAME?</v>
      </c>
      <c r="G100" s="0" t="e">
        <f aca="false">sheet1!aou101</f>
        <v>#NAME?</v>
      </c>
      <c r="H100" s="0" t="e">
        <f aca="false">sheet1!aov101</f>
        <v>#NAME?</v>
      </c>
      <c r="I100" s="0" t="e">
        <f aca="false">sheet1!aow101</f>
        <v>#NAME?</v>
      </c>
      <c r="J100" s="0" t="e">
        <f aca="false">sheet1!aox101</f>
        <v>#NAME?</v>
      </c>
      <c r="K100" s="0" t="e">
        <f aca="false">sheet1!aoy101</f>
        <v>#NAME?</v>
      </c>
      <c r="L100" s="0" t="e">
        <f aca="false">sheet1!aoz101</f>
        <v>#NAME?</v>
      </c>
      <c r="M100" s="0" t="e">
        <f aca="false">sheet1!apa101</f>
        <v>#NAME?</v>
      </c>
    </row>
    <row r="101" customFormat="false" ht="13.5" hidden="false" customHeight="false" outlineLevel="0" collapsed="false">
      <c r="A101" s="0" t="s">
        <v>71</v>
      </c>
      <c r="B101" s="1" t="n">
        <v>43961</v>
      </c>
      <c r="C101" s="0" t="e">
        <f aca="false">sheet1!aoq102</f>
        <v>#NAME?</v>
      </c>
      <c r="D101" s="0" t="e">
        <f aca="false">sheet1!aor102</f>
        <v>#NAME?</v>
      </c>
      <c r="E101" s="0" t="e">
        <f aca="false">sheet1!aos102</f>
        <v>#NAME?</v>
      </c>
      <c r="F101" s="0" t="e">
        <f aca="false">sheet1!aot102</f>
        <v>#NAME?</v>
      </c>
      <c r="G101" s="0" t="e">
        <f aca="false">sheet1!aou102</f>
        <v>#NAME?</v>
      </c>
      <c r="H101" s="0" t="e">
        <f aca="false">sheet1!aov102</f>
        <v>#NAME?</v>
      </c>
      <c r="I101" s="0" t="e">
        <f aca="false">sheet1!aow102</f>
        <v>#NAME?</v>
      </c>
      <c r="J101" s="0" t="e">
        <f aca="false">sheet1!aox102</f>
        <v>#NAME?</v>
      </c>
      <c r="K101" s="0" t="e">
        <f aca="false">sheet1!aoy102</f>
        <v>#NAME?</v>
      </c>
      <c r="L101" s="0" t="e">
        <f aca="false">sheet1!aoz102</f>
        <v>#NAME?</v>
      </c>
      <c r="M101" s="0" t="e">
        <f aca="false">sheet1!apa102</f>
        <v>#NAME?</v>
      </c>
    </row>
    <row r="102" customFormat="false" ht="13.5" hidden="false" customHeight="false" outlineLevel="0" collapsed="false">
      <c r="A102" s="0" t="s">
        <v>71</v>
      </c>
      <c r="B102" s="1" t="n">
        <v>43962</v>
      </c>
      <c r="C102" s="0" t="e">
        <f aca="false">sheet1!aoq103</f>
        <v>#NAME?</v>
      </c>
      <c r="D102" s="0" t="e">
        <f aca="false">sheet1!aor103</f>
        <v>#NAME?</v>
      </c>
      <c r="E102" s="0" t="e">
        <f aca="false">sheet1!aos103</f>
        <v>#NAME?</v>
      </c>
      <c r="F102" s="0" t="e">
        <f aca="false">sheet1!aot103</f>
        <v>#NAME?</v>
      </c>
      <c r="G102" s="0" t="e">
        <f aca="false">sheet1!aou103</f>
        <v>#NAME?</v>
      </c>
      <c r="H102" s="0" t="e">
        <f aca="false">sheet1!aov103</f>
        <v>#NAME?</v>
      </c>
      <c r="I102" s="0" t="e">
        <f aca="false">sheet1!aow103</f>
        <v>#NAME?</v>
      </c>
      <c r="J102" s="0" t="e">
        <f aca="false">sheet1!aox103</f>
        <v>#NAME?</v>
      </c>
      <c r="K102" s="0" t="e">
        <f aca="false">sheet1!aoy103</f>
        <v>#NAME?</v>
      </c>
      <c r="L102" s="0" t="e">
        <f aca="false">sheet1!aoz103</f>
        <v>#NAME?</v>
      </c>
      <c r="M102" s="0" t="e">
        <f aca="false">sheet1!apa103</f>
        <v>#NAME?</v>
      </c>
    </row>
    <row r="103" customFormat="false" ht="13.5" hidden="false" customHeight="false" outlineLevel="0" collapsed="false">
      <c r="A103" s="0" t="s">
        <v>71</v>
      </c>
      <c r="B103" s="1" t="n">
        <v>43963</v>
      </c>
      <c r="C103" s="0" t="e">
        <f aca="false">sheet1!aoq104</f>
        <v>#NAME?</v>
      </c>
      <c r="D103" s="0" t="e">
        <f aca="false">sheet1!aor104</f>
        <v>#NAME?</v>
      </c>
      <c r="E103" s="0" t="e">
        <f aca="false">sheet1!aos104</f>
        <v>#NAME?</v>
      </c>
      <c r="F103" s="0" t="e">
        <f aca="false">sheet1!aot104</f>
        <v>#NAME?</v>
      </c>
      <c r="G103" s="0" t="e">
        <f aca="false">sheet1!aou104</f>
        <v>#NAME?</v>
      </c>
      <c r="H103" s="0" t="e">
        <f aca="false">sheet1!aov104</f>
        <v>#NAME?</v>
      </c>
      <c r="I103" s="0" t="e">
        <f aca="false">sheet1!aow104</f>
        <v>#NAME?</v>
      </c>
      <c r="J103" s="0" t="e">
        <f aca="false">sheet1!aox104</f>
        <v>#NAME?</v>
      </c>
      <c r="K103" s="0" t="e">
        <f aca="false">sheet1!aoy104</f>
        <v>#NAME?</v>
      </c>
      <c r="L103" s="0" t="e">
        <f aca="false">sheet1!aoz104</f>
        <v>#NAME?</v>
      </c>
      <c r="M103" s="0" t="e">
        <f aca="false">sheet1!apa104</f>
        <v>#NAME?</v>
      </c>
    </row>
    <row r="104" customFormat="false" ht="13.5" hidden="false" customHeight="false" outlineLevel="0" collapsed="false">
      <c r="A104" s="0" t="s">
        <v>71</v>
      </c>
      <c r="B104" s="1" t="n">
        <v>43964</v>
      </c>
      <c r="C104" s="0" t="e">
        <f aca="false">sheet1!aoq105</f>
        <v>#NAME?</v>
      </c>
      <c r="D104" s="0" t="e">
        <f aca="false">sheet1!aor105</f>
        <v>#NAME?</v>
      </c>
      <c r="E104" s="0" t="e">
        <f aca="false">sheet1!aos105</f>
        <v>#NAME?</v>
      </c>
      <c r="F104" s="0" t="e">
        <f aca="false">sheet1!aot105</f>
        <v>#NAME?</v>
      </c>
      <c r="G104" s="0" t="e">
        <f aca="false">sheet1!aou105</f>
        <v>#NAME?</v>
      </c>
      <c r="H104" s="0" t="e">
        <f aca="false">sheet1!aov105</f>
        <v>#NAME?</v>
      </c>
      <c r="I104" s="0" t="e">
        <f aca="false">sheet1!aow105</f>
        <v>#NAME?</v>
      </c>
      <c r="J104" s="0" t="e">
        <f aca="false">sheet1!aox105</f>
        <v>#NAME?</v>
      </c>
      <c r="K104" s="0" t="e">
        <f aca="false">sheet1!aoy105</f>
        <v>#NAME?</v>
      </c>
      <c r="L104" s="0" t="e">
        <f aca="false">sheet1!aoz105</f>
        <v>#NAME?</v>
      </c>
      <c r="M104" s="0" t="e">
        <f aca="false">sheet1!apa105</f>
        <v>#NAME?</v>
      </c>
    </row>
    <row r="105" customFormat="false" ht="13.5" hidden="false" customHeight="false" outlineLevel="0" collapsed="false">
      <c r="A105" s="0" t="s">
        <v>71</v>
      </c>
      <c r="B105" s="1" t="n">
        <v>43965</v>
      </c>
      <c r="C105" s="0" t="e">
        <f aca="false">sheet1!aoq106</f>
        <v>#NAME?</v>
      </c>
      <c r="D105" s="0" t="e">
        <f aca="false">sheet1!aor106</f>
        <v>#NAME?</v>
      </c>
      <c r="E105" s="0" t="e">
        <f aca="false">sheet1!aos106</f>
        <v>#NAME?</v>
      </c>
      <c r="F105" s="0" t="e">
        <f aca="false">sheet1!aot106</f>
        <v>#NAME?</v>
      </c>
      <c r="G105" s="0" t="e">
        <f aca="false">sheet1!aou106</f>
        <v>#NAME?</v>
      </c>
      <c r="H105" s="0" t="e">
        <f aca="false">sheet1!aov106</f>
        <v>#NAME?</v>
      </c>
      <c r="I105" s="0" t="e">
        <f aca="false">sheet1!aow106</f>
        <v>#NAME?</v>
      </c>
      <c r="J105" s="0" t="e">
        <f aca="false">sheet1!aox106</f>
        <v>#NAME?</v>
      </c>
      <c r="K105" s="0" t="e">
        <f aca="false">sheet1!aoy106</f>
        <v>#NAME?</v>
      </c>
      <c r="L105" s="0" t="e">
        <f aca="false">sheet1!aoz106</f>
        <v>#NAME?</v>
      </c>
      <c r="M105" s="0" t="e">
        <f aca="false">sheet1!apa106</f>
        <v>#NAME?</v>
      </c>
    </row>
    <row r="106" customFormat="false" ht="13.5" hidden="false" customHeight="false" outlineLevel="0" collapsed="false">
      <c r="A106" s="0" t="s">
        <v>71</v>
      </c>
      <c r="B106" s="1" t="n">
        <v>43966</v>
      </c>
      <c r="C106" s="0" t="e">
        <f aca="false">sheet1!aoq107</f>
        <v>#NAME?</v>
      </c>
      <c r="D106" s="0" t="e">
        <f aca="false">sheet1!aor107</f>
        <v>#NAME?</v>
      </c>
      <c r="E106" s="0" t="e">
        <f aca="false">sheet1!aos107</f>
        <v>#NAME?</v>
      </c>
      <c r="F106" s="0" t="e">
        <f aca="false">sheet1!aot107</f>
        <v>#NAME?</v>
      </c>
      <c r="G106" s="0" t="e">
        <f aca="false">sheet1!aou107</f>
        <v>#NAME?</v>
      </c>
      <c r="H106" s="0" t="e">
        <f aca="false">sheet1!aov107</f>
        <v>#NAME?</v>
      </c>
      <c r="I106" s="0" t="e">
        <f aca="false">sheet1!aow107</f>
        <v>#NAME?</v>
      </c>
      <c r="J106" s="0" t="e">
        <f aca="false">sheet1!aox107</f>
        <v>#NAME?</v>
      </c>
      <c r="K106" s="0" t="e">
        <f aca="false">sheet1!aoy107</f>
        <v>#NAME?</v>
      </c>
      <c r="L106" s="0" t="e">
        <f aca="false">sheet1!aoz107</f>
        <v>#NAME?</v>
      </c>
      <c r="M106" s="0" t="e">
        <f aca="false">sheet1!apa107</f>
        <v>#NAME?</v>
      </c>
    </row>
    <row r="107" customFormat="false" ht="13.5" hidden="false" customHeight="false" outlineLevel="0" collapsed="false">
      <c r="A107" s="0" t="s">
        <v>71</v>
      </c>
      <c r="B107" s="1" t="n">
        <v>43967</v>
      </c>
      <c r="C107" s="0" t="e">
        <f aca="false">sheet1!aoq108</f>
        <v>#NAME?</v>
      </c>
      <c r="D107" s="0" t="e">
        <f aca="false">sheet1!aor108</f>
        <v>#NAME?</v>
      </c>
      <c r="E107" s="0" t="e">
        <f aca="false">sheet1!aos108</f>
        <v>#NAME?</v>
      </c>
      <c r="F107" s="0" t="e">
        <f aca="false">sheet1!aot108</f>
        <v>#NAME?</v>
      </c>
      <c r="G107" s="0" t="e">
        <f aca="false">sheet1!aou108</f>
        <v>#NAME?</v>
      </c>
      <c r="H107" s="0" t="e">
        <f aca="false">sheet1!aov108</f>
        <v>#NAME?</v>
      </c>
      <c r="I107" s="0" t="e">
        <f aca="false">sheet1!aow108</f>
        <v>#NAME?</v>
      </c>
      <c r="J107" s="0" t="e">
        <f aca="false">sheet1!aox108</f>
        <v>#NAME?</v>
      </c>
      <c r="K107" s="0" t="e">
        <f aca="false">sheet1!aoy108</f>
        <v>#NAME?</v>
      </c>
      <c r="L107" s="0" t="e">
        <f aca="false">sheet1!aoz108</f>
        <v>#NAME?</v>
      </c>
      <c r="M107" s="0" t="e">
        <f aca="false">sheet1!apa108</f>
        <v>#NAME?</v>
      </c>
    </row>
    <row r="108" customFormat="false" ht="13.5" hidden="false" customHeight="false" outlineLevel="0" collapsed="false">
      <c r="A108" s="0" t="s">
        <v>71</v>
      </c>
      <c r="B108" s="1" t="n">
        <v>43968</v>
      </c>
      <c r="C108" s="0" t="e">
        <f aca="false">sheet1!aoq109</f>
        <v>#NAME?</v>
      </c>
      <c r="D108" s="0" t="e">
        <f aca="false">sheet1!aor109</f>
        <v>#NAME?</v>
      </c>
      <c r="E108" s="0" t="e">
        <f aca="false">sheet1!aos109</f>
        <v>#NAME?</v>
      </c>
      <c r="F108" s="0" t="e">
        <f aca="false">sheet1!aot109</f>
        <v>#NAME?</v>
      </c>
      <c r="G108" s="0" t="e">
        <f aca="false">sheet1!aou109</f>
        <v>#NAME?</v>
      </c>
      <c r="H108" s="0" t="e">
        <f aca="false">sheet1!aov109</f>
        <v>#NAME?</v>
      </c>
      <c r="I108" s="0" t="e">
        <f aca="false">sheet1!aow109</f>
        <v>#NAME?</v>
      </c>
      <c r="J108" s="0" t="e">
        <f aca="false">sheet1!aox109</f>
        <v>#NAME?</v>
      </c>
      <c r="K108" s="0" t="e">
        <f aca="false">sheet1!aoy109</f>
        <v>#NAME?</v>
      </c>
      <c r="L108" s="0" t="e">
        <f aca="false">sheet1!aoz109</f>
        <v>#NAME?</v>
      </c>
      <c r="M108" s="0" t="e">
        <f aca="false">sheet1!apa109</f>
        <v>#NAME?</v>
      </c>
    </row>
    <row r="109" customFormat="false" ht="13.5" hidden="false" customHeight="false" outlineLevel="0" collapsed="false">
      <c r="A109" s="0" t="s">
        <v>71</v>
      </c>
      <c r="B109" s="1" t="n">
        <v>43969</v>
      </c>
      <c r="C109" s="0" t="e">
        <f aca="false">sheet1!aoq110</f>
        <v>#NAME?</v>
      </c>
      <c r="D109" s="0" t="e">
        <f aca="false">sheet1!aor110</f>
        <v>#NAME?</v>
      </c>
      <c r="E109" s="0" t="e">
        <f aca="false">sheet1!aos110</f>
        <v>#NAME?</v>
      </c>
      <c r="F109" s="0" t="e">
        <f aca="false">sheet1!aot110</f>
        <v>#NAME?</v>
      </c>
      <c r="G109" s="0" t="e">
        <f aca="false">sheet1!aou110</f>
        <v>#NAME?</v>
      </c>
      <c r="H109" s="0" t="e">
        <f aca="false">sheet1!aov110</f>
        <v>#NAME?</v>
      </c>
      <c r="I109" s="0" t="e">
        <f aca="false">sheet1!aow110</f>
        <v>#NAME?</v>
      </c>
      <c r="J109" s="0" t="e">
        <f aca="false">sheet1!aox110</f>
        <v>#NAME?</v>
      </c>
      <c r="K109" s="0" t="e">
        <f aca="false">sheet1!aoy110</f>
        <v>#NAME?</v>
      </c>
      <c r="L109" s="0" t="e">
        <f aca="false">sheet1!aoz110</f>
        <v>#NAME?</v>
      </c>
      <c r="M109" s="0" t="e">
        <f aca="false">sheet1!apa110</f>
        <v>#NAME?</v>
      </c>
    </row>
    <row r="110" customFormat="false" ht="13.5" hidden="false" customHeight="false" outlineLevel="0" collapsed="false">
      <c r="A110" s="0" t="s">
        <v>71</v>
      </c>
      <c r="B110" s="1" t="n">
        <v>43970</v>
      </c>
      <c r="C110" s="0" t="e">
        <f aca="false">sheet1!aoq111</f>
        <v>#NAME?</v>
      </c>
      <c r="D110" s="0" t="e">
        <f aca="false">sheet1!aor111</f>
        <v>#NAME?</v>
      </c>
      <c r="E110" s="0" t="e">
        <f aca="false">sheet1!aos111</f>
        <v>#NAME?</v>
      </c>
      <c r="F110" s="0" t="e">
        <f aca="false">sheet1!aot111</f>
        <v>#NAME?</v>
      </c>
      <c r="G110" s="0" t="e">
        <f aca="false">sheet1!aou111</f>
        <v>#NAME?</v>
      </c>
      <c r="H110" s="0" t="e">
        <f aca="false">sheet1!aov111</f>
        <v>#NAME?</v>
      </c>
      <c r="I110" s="0" t="e">
        <f aca="false">sheet1!aow111</f>
        <v>#NAME?</v>
      </c>
      <c r="J110" s="0" t="e">
        <f aca="false">sheet1!aox111</f>
        <v>#NAME?</v>
      </c>
      <c r="K110" s="0" t="e">
        <f aca="false">sheet1!aoy111</f>
        <v>#NAME?</v>
      </c>
      <c r="L110" s="0" t="e">
        <f aca="false">sheet1!aoz111</f>
        <v>#NAME?</v>
      </c>
      <c r="M110" s="0" t="e">
        <f aca="false">sheet1!apa111</f>
        <v>#NAME?</v>
      </c>
    </row>
    <row r="111" customFormat="false" ht="13.5" hidden="false" customHeight="false" outlineLevel="0" collapsed="false">
      <c r="A111" s="0" t="s">
        <v>71</v>
      </c>
      <c r="B111" s="1" t="n">
        <v>43971</v>
      </c>
      <c r="C111" s="0" t="e">
        <f aca="false">sheet1!aoq112</f>
        <v>#NAME?</v>
      </c>
      <c r="D111" s="0" t="e">
        <f aca="false">sheet1!aor112</f>
        <v>#NAME?</v>
      </c>
      <c r="E111" s="0" t="e">
        <f aca="false">sheet1!aos112</f>
        <v>#NAME?</v>
      </c>
      <c r="F111" s="0" t="e">
        <f aca="false">sheet1!aot112</f>
        <v>#NAME?</v>
      </c>
      <c r="G111" s="0" t="e">
        <f aca="false">sheet1!aou112</f>
        <v>#NAME?</v>
      </c>
      <c r="H111" s="0" t="e">
        <f aca="false">sheet1!aov112</f>
        <v>#NAME?</v>
      </c>
      <c r="I111" s="0" t="e">
        <f aca="false">sheet1!aow112</f>
        <v>#NAME?</v>
      </c>
      <c r="J111" s="0" t="e">
        <f aca="false">sheet1!aox112</f>
        <v>#NAME?</v>
      </c>
      <c r="K111" s="0" t="e">
        <f aca="false">sheet1!aoy112</f>
        <v>#NAME?</v>
      </c>
      <c r="L111" s="0" t="e">
        <f aca="false">sheet1!aoz112</f>
        <v>#NAME?</v>
      </c>
      <c r="M111" s="0" t="e">
        <f aca="false">sheet1!apa112</f>
        <v>#NAME?</v>
      </c>
    </row>
    <row r="112" customFormat="false" ht="13.5" hidden="false" customHeight="false" outlineLevel="0" collapsed="false">
      <c r="A112" s="0" t="s">
        <v>71</v>
      </c>
      <c r="B112" s="1" t="n">
        <v>43972</v>
      </c>
      <c r="C112" s="0" t="e">
        <f aca="false">sheet1!aoq113</f>
        <v>#NAME?</v>
      </c>
      <c r="D112" s="0" t="e">
        <f aca="false">sheet1!aor113</f>
        <v>#NAME?</v>
      </c>
      <c r="E112" s="0" t="e">
        <f aca="false">sheet1!aos113</f>
        <v>#NAME?</v>
      </c>
      <c r="F112" s="0" t="e">
        <f aca="false">sheet1!aot113</f>
        <v>#NAME?</v>
      </c>
      <c r="G112" s="0" t="e">
        <f aca="false">sheet1!aou113</f>
        <v>#NAME?</v>
      </c>
      <c r="H112" s="0" t="e">
        <f aca="false">sheet1!aov113</f>
        <v>#NAME?</v>
      </c>
      <c r="I112" s="0" t="e">
        <f aca="false">sheet1!aow113</f>
        <v>#NAME?</v>
      </c>
      <c r="J112" s="0" t="e">
        <f aca="false">sheet1!aox113</f>
        <v>#NAME?</v>
      </c>
      <c r="K112" s="0" t="e">
        <f aca="false">sheet1!aoy113</f>
        <v>#NAME?</v>
      </c>
      <c r="L112" s="0" t="e">
        <f aca="false">sheet1!aoz113</f>
        <v>#NAME?</v>
      </c>
      <c r="M112" s="0" t="e">
        <f aca="false">sheet1!apa113</f>
        <v>#NAME?</v>
      </c>
    </row>
    <row r="113" customFormat="false" ht="13.5" hidden="false" customHeight="false" outlineLevel="0" collapsed="false">
      <c r="A113" s="0" t="s">
        <v>71</v>
      </c>
      <c r="B113" s="1" t="n">
        <v>43973</v>
      </c>
      <c r="C113" s="0" t="e">
        <f aca="false">sheet1!aoq114</f>
        <v>#NAME?</v>
      </c>
      <c r="D113" s="0" t="e">
        <f aca="false">sheet1!aor114</f>
        <v>#NAME?</v>
      </c>
      <c r="E113" s="0" t="e">
        <f aca="false">sheet1!aos114</f>
        <v>#NAME?</v>
      </c>
      <c r="F113" s="0" t="e">
        <f aca="false">sheet1!aot114</f>
        <v>#NAME?</v>
      </c>
      <c r="G113" s="0" t="e">
        <f aca="false">sheet1!aou114</f>
        <v>#NAME?</v>
      </c>
      <c r="H113" s="0" t="e">
        <f aca="false">sheet1!aov114</f>
        <v>#NAME?</v>
      </c>
      <c r="I113" s="0" t="e">
        <f aca="false">sheet1!aow114</f>
        <v>#NAME?</v>
      </c>
      <c r="J113" s="0" t="e">
        <f aca="false">sheet1!aox114</f>
        <v>#NAME?</v>
      </c>
      <c r="K113" s="0" t="e">
        <f aca="false">sheet1!aoy114</f>
        <v>#NAME?</v>
      </c>
      <c r="L113" s="0" t="e">
        <f aca="false">sheet1!aoz114</f>
        <v>#NAME?</v>
      </c>
      <c r="M113" s="0" t="e">
        <f aca="false">sheet1!apa114</f>
        <v>#NAME?</v>
      </c>
    </row>
    <row r="114" customFormat="false" ht="13.5" hidden="false" customHeight="false" outlineLevel="0" collapsed="false">
      <c r="A114" s="0" t="s">
        <v>71</v>
      </c>
      <c r="B114" s="1" t="n">
        <v>43974</v>
      </c>
      <c r="C114" s="0" t="e">
        <f aca="false">sheet1!aoq115</f>
        <v>#NAME?</v>
      </c>
      <c r="D114" s="0" t="e">
        <f aca="false">sheet1!aor115</f>
        <v>#NAME?</v>
      </c>
      <c r="E114" s="0" t="e">
        <f aca="false">sheet1!aos115</f>
        <v>#NAME?</v>
      </c>
      <c r="F114" s="0" t="e">
        <f aca="false">sheet1!aot115</f>
        <v>#NAME?</v>
      </c>
      <c r="G114" s="0" t="e">
        <f aca="false">sheet1!aou115</f>
        <v>#NAME?</v>
      </c>
      <c r="H114" s="0" t="e">
        <f aca="false">sheet1!aov115</f>
        <v>#NAME?</v>
      </c>
      <c r="I114" s="0" t="e">
        <f aca="false">sheet1!aow115</f>
        <v>#NAME?</v>
      </c>
      <c r="J114" s="0" t="e">
        <f aca="false">sheet1!aox115</f>
        <v>#NAME?</v>
      </c>
      <c r="K114" s="0" t="e">
        <f aca="false">sheet1!aoy115</f>
        <v>#NAME?</v>
      </c>
      <c r="L114" s="0" t="e">
        <f aca="false">sheet1!aoz115</f>
        <v>#NAME?</v>
      </c>
      <c r="M114" s="0" t="e">
        <f aca="false">sheet1!apa115</f>
        <v>#NAME?</v>
      </c>
    </row>
    <row r="115" customFormat="false" ht="13.5" hidden="false" customHeight="false" outlineLevel="0" collapsed="false">
      <c r="A115" s="0" t="s">
        <v>71</v>
      </c>
      <c r="B115" s="1" t="n">
        <v>43975</v>
      </c>
      <c r="C115" s="0" t="e">
        <f aca="false">sheet1!aoq116</f>
        <v>#NAME?</v>
      </c>
      <c r="D115" s="0" t="e">
        <f aca="false">sheet1!aor116</f>
        <v>#NAME?</v>
      </c>
      <c r="E115" s="0" t="e">
        <f aca="false">sheet1!aos116</f>
        <v>#NAME?</v>
      </c>
      <c r="F115" s="0" t="e">
        <f aca="false">sheet1!aot116</f>
        <v>#NAME?</v>
      </c>
      <c r="G115" s="0" t="e">
        <f aca="false">sheet1!aou116</f>
        <v>#NAME?</v>
      </c>
      <c r="H115" s="0" t="e">
        <f aca="false">sheet1!aov116</f>
        <v>#NAME?</v>
      </c>
      <c r="I115" s="0" t="e">
        <f aca="false">sheet1!aow116</f>
        <v>#NAME?</v>
      </c>
      <c r="J115" s="0" t="e">
        <f aca="false">sheet1!aox116</f>
        <v>#NAME?</v>
      </c>
      <c r="K115" s="0" t="e">
        <f aca="false">sheet1!aoy116</f>
        <v>#NAME?</v>
      </c>
      <c r="L115" s="0" t="e">
        <f aca="false">sheet1!aoz116</f>
        <v>#NAME?</v>
      </c>
      <c r="M115" s="0" t="e">
        <f aca="false">sheet1!apa116</f>
        <v>#NAME?</v>
      </c>
    </row>
    <row r="116" customFormat="false" ht="13.5" hidden="false" customHeight="false" outlineLevel="0" collapsed="false">
      <c r="A116" s="0" t="s">
        <v>71</v>
      </c>
      <c r="B116" s="1" t="n">
        <v>43976</v>
      </c>
      <c r="C116" s="0" t="e">
        <f aca="false">sheet1!aoq117</f>
        <v>#NAME?</v>
      </c>
      <c r="D116" s="0" t="e">
        <f aca="false">sheet1!aor117</f>
        <v>#NAME?</v>
      </c>
      <c r="E116" s="0" t="e">
        <f aca="false">sheet1!aos117</f>
        <v>#NAME?</v>
      </c>
      <c r="F116" s="0" t="e">
        <f aca="false">sheet1!aot117</f>
        <v>#NAME?</v>
      </c>
      <c r="G116" s="0" t="e">
        <f aca="false">sheet1!aou117</f>
        <v>#NAME?</v>
      </c>
      <c r="H116" s="0" t="e">
        <f aca="false">sheet1!aov117</f>
        <v>#NAME?</v>
      </c>
      <c r="I116" s="0" t="e">
        <f aca="false">sheet1!aow117</f>
        <v>#NAME?</v>
      </c>
      <c r="J116" s="0" t="e">
        <f aca="false">sheet1!aox117</f>
        <v>#NAME?</v>
      </c>
      <c r="K116" s="0" t="e">
        <f aca="false">sheet1!aoy117</f>
        <v>#NAME?</v>
      </c>
      <c r="L116" s="0" t="e">
        <f aca="false">sheet1!aoz117</f>
        <v>#NAME?</v>
      </c>
      <c r="M116" s="0" t="e">
        <f aca="false">sheet1!apa117</f>
        <v>#NAME?</v>
      </c>
    </row>
    <row r="117" customFormat="false" ht="13.5" hidden="false" customHeight="false" outlineLevel="0" collapsed="false">
      <c r="A117" s="0" t="s">
        <v>71</v>
      </c>
      <c r="B117" s="1" t="n">
        <v>43977</v>
      </c>
      <c r="C117" s="0" t="e">
        <f aca="false">sheet1!aoq118</f>
        <v>#NAME?</v>
      </c>
      <c r="D117" s="0" t="e">
        <f aca="false">sheet1!aor118</f>
        <v>#NAME?</v>
      </c>
      <c r="E117" s="0" t="e">
        <f aca="false">sheet1!aos118</f>
        <v>#NAME?</v>
      </c>
      <c r="F117" s="0" t="e">
        <f aca="false">sheet1!aot118</f>
        <v>#NAME?</v>
      </c>
      <c r="G117" s="0" t="e">
        <f aca="false">sheet1!aou118</f>
        <v>#NAME?</v>
      </c>
      <c r="H117" s="0" t="e">
        <f aca="false">sheet1!aov118</f>
        <v>#NAME?</v>
      </c>
      <c r="I117" s="0" t="e">
        <f aca="false">sheet1!aow118</f>
        <v>#NAME?</v>
      </c>
      <c r="J117" s="0" t="e">
        <f aca="false">sheet1!aox118</f>
        <v>#NAME?</v>
      </c>
      <c r="K117" s="0" t="e">
        <f aca="false">sheet1!aoy118</f>
        <v>#NAME?</v>
      </c>
      <c r="L117" s="0" t="e">
        <f aca="false">sheet1!aoz118</f>
        <v>#NAME?</v>
      </c>
      <c r="M117" s="0" t="e">
        <f aca="false">sheet1!apa118</f>
        <v>#NAME?</v>
      </c>
    </row>
    <row r="118" customFormat="false" ht="13.5" hidden="false" customHeight="false" outlineLevel="0" collapsed="false">
      <c r="A118" s="0" t="s">
        <v>71</v>
      </c>
      <c r="B118" s="1" t="n">
        <v>43978</v>
      </c>
      <c r="C118" s="0" t="e">
        <f aca="false">sheet1!aoq119</f>
        <v>#NAME?</v>
      </c>
      <c r="D118" s="0" t="e">
        <f aca="false">sheet1!aor119</f>
        <v>#NAME?</v>
      </c>
      <c r="E118" s="0" t="e">
        <f aca="false">sheet1!aos119</f>
        <v>#NAME?</v>
      </c>
      <c r="F118" s="0" t="e">
        <f aca="false">sheet1!aot119</f>
        <v>#NAME?</v>
      </c>
      <c r="G118" s="0" t="e">
        <f aca="false">sheet1!aou119</f>
        <v>#NAME?</v>
      </c>
      <c r="H118" s="0" t="e">
        <f aca="false">sheet1!aov119</f>
        <v>#NAME?</v>
      </c>
      <c r="I118" s="0" t="e">
        <f aca="false">sheet1!aow119</f>
        <v>#NAME?</v>
      </c>
      <c r="J118" s="0" t="e">
        <f aca="false">sheet1!aox119</f>
        <v>#NAME?</v>
      </c>
      <c r="K118" s="0" t="e">
        <f aca="false">sheet1!aoy119</f>
        <v>#NAME?</v>
      </c>
      <c r="L118" s="0" t="e">
        <f aca="false">sheet1!aoz119</f>
        <v>#NAME?</v>
      </c>
      <c r="M118" s="0" t="e">
        <f aca="false">sheet1!apa119</f>
        <v>#NAME?</v>
      </c>
    </row>
    <row r="119" customFormat="false" ht="13.5" hidden="false" customHeight="false" outlineLevel="0" collapsed="false">
      <c r="A119" s="0" t="s">
        <v>71</v>
      </c>
      <c r="B119" s="1" t="n">
        <v>43979</v>
      </c>
      <c r="C119" s="0" t="e">
        <f aca="false">sheet1!aoq120</f>
        <v>#NAME?</v>
      </c>
      <c r="D119" s="0" t="e">
        <f aca="false">sheet1!aor120</f>
        <v>#NAME?</v>
      </c>
      <c r="E119" s="0" t="e">
        <f aca="false">sheet1!aos120</f>
        <v>#NAME?</v>
      </c>
      <c r="F119" s="0" t="e">
        <f aca="false">sheet1!aot120</f>
        <v>#NAME?</v>
      </c>
      <c r="G119" s="0" t="e">
        <f aca="false">sheet1!aou120</f>
        <v>#NAME?</v>
      </c>
      <c r="H119" s="0" t="e">
        <f aca="false">sheet1!aov120</f>
        <v>#NAME?</v>
      </c>
      <c r="I119" s="0" t="e">
        <f aca="false">sheet1!aow120</f>
        <v>#NAME?</v>
      </c>
      <c r="J119" s="0" t="e">
        <f aca="false">sheet1!aox120</f>
        <v>#NAME?</v>
      </c>
      <c r="K119" s="0" t="e">
        <f aca="false">sheet1!aoy120</f>
        <v>#NAME?</v>
      </c>
      <c r="L119" s="0" t="e">
        <f aca="false">sheet1!aoz120</f>
        <v>#NAME?</v>
      </c>
      <c r="M119" s="0" t="e">
        <f aca="false">sheet1!apa120</f>
        <v>#NAME?</v>
      </c>
    </row>
    <row r="120" customFormat="false" ht="13.5" hidden="false" customHeight="false" outlineLevel="0" collapsed="false">
      <c r="A120" s="0" t="s">
        <v>71</v>
      </c>
      <c r="B120" s="1" t="n">
        <v>43980</v>
      </c>
      <c r="C120" s="0" t="e">
        <f aca="false">sheet1!aoq121</f>
        <v>#NAME?</v>
      </c>
      <c r="D120" s="0" t="e">
        <f aca="false">sheet1!aor121</f>
        <v>#NAME?</v>
      </c>
      <c r="E120" s="0" t="e">
        <f aca="false">sheet1!aos121</f>
        <v>#NAME?</v>
      </c>
      <c r="F120" s="0" t="e">
        <f aca="false">sheet1!aot121</f>
        <v>#NAME?</v>
      </c>
      <c r="G120" s="0" t="e">
        <f aca="false">sheet1!aou121</f>
        <v>#NAME?</v>
      </c>
      <c r="H120" s="0" t="e">
        <f aca="false">sheet1!aov121</f>
        <v>#NAME?</v>
      </c>
      <c r="I120" s="0" t="e">
        <f aca="false">sheet1!aow121</f>
        <v>#NAME?</v>
      </c>
      <c r="J120" s="0" t="e">
        <f aca="false">sheet1!aox121</f>
        <v>#NAME?</v>
      </c>
      <c r="K120" s="0" t="e">
        <f aca="false">sheet1!aoy121</f>
        <v>#NAME?</v>
      </c>
      <c r="L120" s="0" t="e">
        <f aca="false">sheet1!aoz121</f>
        <v>#NAME?</v>
      </c>
      <c r="M120" s="0" t="e">
        <f aca="false">sheet1!apa121</f>
        <v>#NAME?</v>
      </c>
    </row>
    <row r="121" customFormat="false" ht="13.5" hidden="false" customHeight="false" outlineLevel="0" collapsed="false">
      <c r="A121" s="0" t="s">
        <v>71</v>
      </c>
      <c r="B121" s="1" t="n">
        <v>43981</v>
      </c>
      <c r="C121" s="0" t="e">
        <f aca="false">sheet1!aoq122</f>
        <v>#NAME?</v>
      </c>
      <c r="D121" s="0" t="e">
        <f aca="false">sheet1!aor122</f>
        <v>#NAME?</v>
      </c>
      <c r="E121" s="0" t="e">
        <f aca="false">sheet1!aos122</f>
        <v>#NAME?</v>
      </c>
      <c r="F121" s="0" t="e">
        <f aca="false">sheet1!aot122</f>
        <v>#NAME?</v>
      </c>
      <c r="G121" s="0" t="e">
        <f aca="false">sheet1!aou122</f>
        <v>#NAME?</v>
      </c>
      <c r="H121" s="0" t="e">
        <f aca="false">sheet1!aov122</f>
        <v>#NAME?</v>
      </c>
      <c r="I121" s="0" t="e">
        <f aca="false">sheet1!aow122</f>
        <v>#NAME?</v>
      </c>
      <c r="J121" s="0" t="e">
        <f aca="false">sheet1!aox122</f>
        <v>#NAME?</v>
      </c>
      <c r="K121" s="0" t="e">
        <f aca="false">sheet1!aoy122</f>
        <v>#NAME?</v>
      </c>
      <c r="L121" s="0" t="e">
        <f aca="false">sheet1!aoz122</f>
        <v>#NAME?</v>
      </c>
      <c r="M121" s="0" t="e">
        <f aca="false">sheet1!apa122</f>
        <v>#NAME?</v>
      </c>
    </row>
    <row r="122" customFormat="false" ht="13.5" hidden="false" customHeight="false" outlineLevel="0" collapsed="false">
      <c r="A122" s="0" t="s">
        <v>71</v>
      </c>
      <c r="B122" s="1" t="n">
        <v>43982</v>
      </c>
      <c r="C122" s="0" t="e">
        <f aca="false">sheet1!aoq123</f>
        <v>#NAME?</v>
      </c>
      <c r="D122" s="0" t="e">
        <f aca="false">sheet1!aor123</f>
        <v>#NAME?</v>
      </c>
      <c r="E122" s="0" t="e">
        <f aca="false">sheet1!aos123</f>
        <v>#NAME?</v>
      </c>
      <c r="F122" s="0" t="e">
        <f aca="false">sheet1!aot123</f>
        <v>#NAME?</v>
      </c>
      <c r="G122" s="0" t="e">
        <f aca="false">sheet1!aou123</f>
        <v>#NAME?</v>
      </c>
      <c r="H122" s="0" t="e">
        <f aca="false">sheet1!aov123</f>
        <v>#NAME?</v>
      </c>
      <c r="I122" s="0" t="e">
        <f aca="false">sheet1!aow123</f>
        <v>#NAME?</v>
      </c>
      <c r="J122" s="0" t="e">
        <f aca="false">sheet1!aox123</f>
        <v>#NAME?</v>
      </c>
      <c r="K122" s="0" t="e">
        <f aca="false">sheet1!aoy123</f>
        <v>#NAME?</v>
      </c>
      <c r="L122" s="0" t="e">
        <f aca="false">sheet1!aoz123</f>
        <v>#NAME?</v>
      </c>
      <c r="M122" s="0" t="e">
        <f aca="false">sheet1!apa123</f>
        <v>#NAME?</v>
      </c>
    </row>
    <row r="123" customFormat="false" ht="13.5" hidden="false" customHeight="false" outlineLevel="0" collapsed="false">
      <c r="A123" s="0" t="s">
        <v>71</v>
      </c>
      <c r="B123" s="1" t="n">
        <v>43983</v>
      </c>
      <c r="C123" s="0" t="e">
        <f aca="false">sheet1!aoq124</f>
        <v>#NAME?</v>
      </c>
      <c r="D123" s="0" t="e">
        <f aca="false">sheet1!aor124</f>
        <v>#NAME?</v>
      </c>
      <c r="E123" s="0" t="e">
        <f aca="false">sheet1!aos124</f>
        <v>#NAME?</v>
      </c>
      <c r="F123" s="0" t="e">
        <f aca="false">sheet1!aot124</f>
        <v>#NAME?</v>
      </c>
      <c r="G123" s="0" t="e">
        <f aca="false">sheet1!aou124</f>
        <v>#NAME?</v>
      </c>
      <c r="H123" s="0" t="e">
        <f aca="false">sheet1!aov124</f>
        <v>#NAME?</v>
      </c>
      <c r="I123" s="0" t="e">
        <f aca="false">sheet1!aow124</f>
        <v>#NAME?</v>
      </c>
      <c r="J123" s="0" t="e">
        <f aca="false">sheet1!aox124</f>
        <v>#NAME?</v>
      </c>
      <c r="K123" s="0" t="e">
        <f aca="false">sheet1!aoy124</f>
        <v>#NAME?</v>
      </c>
      <c r="L123" s="0" t="e">
        <f aca="false">sheet1!aoz124</f>
        <v>#NAME?</v>
      </c>
      <c r="M123" s="0" t="e">
        <f aca="false">sheet1!apa124</f>
        <v>#NAME?</v>
      </c>
    </row>
    <row r="124" customFormat="false" ht="13.5" hidden="false" customHeight="false" outlineLevel="0" collapsed="false">
      <c r="A124" s="0" t="s">
        <v>71</v>
      </c>
      <c r="B124" s="1" t="n">
        <v>43984</v>
      </c>
      <c r="C124" s="0" t="e">
        <f aca="false">sheet1!aoq125</f>
        <v>#NAME?</v>
      </c>
      <c r="D124" s="0" t="e">
        <f aca="false">sheet1!aor125</f>
        <v>#NAME?</v>
      </c>
      <c r="E124" s="0" t="e">
        <f aca="false">sheet1!aos125</f>
        <v>#NAME?</v>
      </c>
      <c r="F124" s="0" t="e">
        <f aca="false">sheet1!aot125</f>
        <v>#NAME?</v>
      </c>
      <c r="G124" s="0" t="e">
        <f aca="false">sheet1!aou125</f>
        <v>#NAME?</v>
      </c>
      <c r="H124" s="0" t="e">
        <f aca="false">sheet1!aov125</f>
        <v>#NAME?</v>
      </c>
      <c r="I124" s="0" t="e">
        <f aca="false">sheet1!aow125</f>
        <v>#NAME?</v>
      </c>
      <c r="J124" s="0" t="e">
        <f aca="false">sheet1!aox125</f>
        <v>#NAME?</v>
      </c>
      <c r="K124" s="0" t="e">
        <f aca="false">sheet1!aoy125</f>
        <v>#NAME?</v>
      </c>
      <c r="L124" s="0" t="e">
        <f aca="false">sheet1!aoz125</f>
        <v>#NAME?</v>
      </c>
      <c r="M124" s="0" t="e">
        <f aca="false">sheet1!apa125</f>
        <v>#NAME?</v>
      </c>
    </row>
    <row r="125" customFormat="false" ht="13.5" hidden="false" customHeight="false" outlineLevel="0" collapsed="false">
      <c r="A125" s="0" t="s">
        <v>71</v>
      </c>
      <c r="B125" s="1" t="n">
        <v>43985</v>
      </c>
      <c r="C125" s="0" t="e">
        <f aca="false">sheet1!aoq126</f>
        <v>#NAME?</v>
      </c>
      <c r="D125" s="0" t="e">
        <f aca="false">sheet1!aor126</f>
        <v>#NAME?</v>
      </c>
      <c r="E125" s="0" t="e">
        <f aca="false">sheet1!aos126</f>
        <v>#NAME?</v>
      </c>
      <c r="F125" s="0" t="e">
        <f aca="false">sheet1!aot126</f>
        <v>#NAME?</v>
      </c>
      <c r="G125" s="0" t="e">
        <f aca="false">sheet1!aou126</f>
        <v>#NAME?</v>
      </c>
      <c r="H125" s="0" t="e">
        <f aca="false">sheet1!aov126</f>
        <v>#NAME?</v>
      </c>
      <c r="I125" s="0" t="e">
        <f aca="false">sheet1!aow126</f>
        <v>#NAME?</v>
      </c>
      <c r="J125" s="0" t="e">
        <f aca="false">sheet1!aox126</f>
        <v>#NAME?</v>
      </c>
      <c r="K125" s="0" t="e">
        <f aca="false">sheet1!aoy126</f>
        <v>#NAME?</v>
      </c>
      <c r="L125" s="0" t="e">
        <f aca="false">sheet1!aoz126</f>
        <v>#NAME?</v>
      </c>
      <c r="M125" s="0" t="e">
        <f aca="false">sheet1!apa126</f>
        <v>#NAME?</v>
      </c>
    </row>
    <row r="126" customFormat="false" ht="13.5" hidden="false" customHeight="false" outlineLevel="0" collapsed="false">
      <c r="A126" s="0" t="s">
        <v>71</v>
      </c>
      <c r="B126" s="1" t="n">
        <v>43986</v>
      </c>
      <c r="C126" s="0" t="e">
        <f aca="false">sheet1!aoq127</f>
        <v>#NAME?</v>
      </c>
      <c r="D126" s="0" t="e">
        <f aca="false">sheet1!aor127</f>
        <v>#NAME?</v>
      </c>
      <c r="E126" s="0" t="e">
        <f aca="false">sheet1!aos127</f>
        <v>#NAME?</v>
      </c>
      <c r="F126" s="0" t="e">
        <f aca="false">sheet1!aot127</f>
        <v>#NAME?</v>
      </c>
      <c r="G126" s="0" t="e">
        <f aca="false">sheet1!aou127</f>
        <v>#NAME?</v>
      </c>
      <c r="H126" s="0" t="e">
        <f aca="false">sheet1!aov127</f>
        <v>#NAME?</v>
      </c>
      <c r="I126" s="0" t="e">
        <f aca="false">sheet1!aow127</f>
        <v>#NAME?</v>
      </c>
      <c r="J126" s="0" t="e">
        <f aca="false">sheet1!aox127</f>
        <v>#NAME?</v>
      </c>
      <c r="K126" s="0" t="e">
        <f aca="false">sheet1!aoy127</f>
        <v>#NAME?</v>
      </c>
      <c r="L126" s="0" t="e">
        <f aca="false">sheet1!aoz127</f>
        <v>#NAME?</v>
      </c>
      <c r="M126" s="0" t="e">
        <f aca="false">sheet1!apa127</f>
        <v>#NAME?</v>
      </c>
    </row>
    <row r="127" customFormat="false" ht="13.5" hidden="false" customHeight="false" outlineLevel="0" collapsed="false">
      <c r="A127" s="0" t="s">
        <v>71</v>
      </c>
      <c r="B127" s="1" t="n">
        <v>43987</v>
      </c>
      <c r="C127" s="0" t="e">
        <f aca="false">sheet1!aoq128</f>
        <v>#NAME?</v>
      </c>
      <c r="D127" s="0" t="e">
        <f aca="false">sheet1!aor128</f>
        <v>#NAME?</v>
      </c>
      <c r="E127" s="0" t="e">
        <f aca="false">sheet1!aos128</f>
        <v>#NAME?</v>
      </c>
      <c r="F127" s="0" t="e">
        <f aca="false">sheet1!aot128</f>
        <v>#NAME?</v>
      </c>
      <c r="G127" s="0" t="e">
        <f aca="false">sheet1!aou128</f>
        <v>#NAME?</v>
      </c>
      <c r="H127" s="0" t="e">
        <f aca="false">sheet1!aov128</f>
        <v>#NAME?</v>
      </c>
      <c r="I127" s="0" t="e">
        <f aca="false">sheet1!aow128</f>
        <v>#NAME?</v>
      </c>
      <c r="J127" s="0" t="e">
        <f aca="false">sheet1!aox128</f>
        <v>#NAME?</v>
      </c>
      <c r="K127" s="0" t="e">
        <f aca="false">sheet1!aoy128</f>
        <v>#NAME?</v>
      </c>
      <c r="L127" s="0" t="e">
        <f aca="false">sheet1!aoz128</f>
        <v>#NAME?</v>
      </c>
      <c r="M127" s="0" t="e">
        <f aca="false">sheet1!apa128</f>
        <v>#NAME?</v>
      </c>
    </row>
    <row r="128" customFormat="false" ht="13.5" hidden="false" customHeight="false" outlineLevel="0" collapsed="false">
      <c r="A128" s="0" t="s">
        <v>71</v>
      </c>
      <c r="B128" s="1" t="n">
        <v>43988</v>
      </c>
      <c r="C128" s="0" t="e">
        <f aca="false">sheet1!aoq129</f>
        <v>#NAME?</v>
      </c>
      <c r="D128" s="0" t="e">
        <f aca="false">sheet1!aor129</f>
        <v>#NAME?</v>
      </c>
      <c r="E128" s="0" t="e">
        <f aca="false">sheet1!aos129</f>
        <v>#NAME?</v>
      </c>
      <c r="F128" s="0" t="e">
        <f aca="false">sheet1!aot129</f>
        <v>#NAME?</v>
      </c>
      <c r="G128" s="0" t="e">
        <f aca="false">sheet1!aou129</f>
        <v>#NAME?</v>
      </c>
      <c r="H128" s="0" t="e">
        <f aca="false">sheet1!aov129</f>
        <v>#NAME?</v>
      </c>
      <c r="I128" s="0" t="e">
        <f aca="false">sheet1!aow129</f>
        <v>#NAME?</v>
      </c>
      <c r="J128" s="0" t="e">
        <f aca="false">sheet1!aox129</f>
        <v>#NAME?</v>
      </c>
      <c r="K128" s="0" t="e">
        <f aca="false">sheet1!aoy129</f>
        <v>#NAME?</v>
      </c>
      <c r="L128" s="0" t="e">
        <f aca="false">sheet1!aoz129</f>
        <v>#NAME?</v>
      </c>
      <c r="M128" s="0" t="e">
        <f aca="false">sheet1!apa129</f>
        <v>#NAME?</v>
      </c>
    </row>
    <row r="129" customFormat="false" ht="13.5" hidden="false" customHeight="false" outlineLevel="0" collapsed="false">
      <c r="A129" s="0" t="s">
        <v>71</v>
      </c>
      <c r="B129" s="1" t="n">
        <v>43989</v>
      </c>
      <c r="C129" s="0" t="e">
        <f aca="false">sheet1!aoq130</f>
        <v>#NAME?</v>
      </c>
      <c r="D129" s="0" t="e">
        <f aca="false">sheet1!aor130</f>
        <v>#NAME?</v>
      </c>
      <c r="E129" s="0" t="e">
        <f aca="false">sheet1!aos130</f>
        <v>#NAME?</v>
      </c>
      <c r="F129" s="0" t="e">
        <f aca="false">sheet1!aot130</f>
        <v>#NAME?</v>
      </c>
      <c r="G129" s="0" t="e">
        <f aca="false">sheet1!aou130</f>
        <v>#NAME?</v>
      </c>
      <c r="H129" s="0" t="e">
        <f aca="false">sheet1!aov130</f>
        <v>#NAME?</v>
      </c>
      <c r="I129" s="0" t="e">
        <f aca="false">sheet1!aow130</f>
        <v>#NAME?</v>
      </c>
      <c r="J129" s="0" t="e">
        <f aca="false">sheet1!aox130</f>
        <v>#NAME?</v>
      </c>
      <c r="K129" s="0" t="e">
        <f aca="false">sheet1!aoy130</f>
        <v>#NAME?</v>
      </c>
      <c r="L129" s="0" t="e">
        <f aca="false">sheet1!aoz130</f>
        <v>#NAME?</v>
      </c>
      <c r="M129" s="0" t="e">
        <f aca="false">sheet1!apa130</f>
        <v>#NAME?</v>
      </c>
    </row>
    <row r="130" customFormat="false" ht="13.5" hidden="false" customHeight="false" outlineLevel="0" collapsed="false">
      <c r="A130" s="0" t="s">
        <v>71</v>
      </c>
      <c r="B130" s="1" t="n">
        <v>43990</v>
      </c>
      <c r="C130" s="0" t="e">
        <f aca="false">sheet1!aoq131</f>
        <v>#NAME?</v>
      </c>
      <c r="D130" s="0" t="e">
        <f aca="false">sheet1!aor131</f>
        <v>#NAME?</v>
      </c>
      <c r="E130" s="0" t="e">
        <f aca="false">sheet1!aos131</f>
        <v>#NAME?</v>
      </c>
      <c r="F130" s="0" t="e">
        <f aca="false">sheet1!aot131</f>
        <v>#NAME?</v>
      </c>
      <c r="G130" s="0" t="e">
        <f aca="false">sheet1!aou131</f>
        <v>#NAME?</v>
      </c>
      <c r="H130" s="0" t="e">
        <f aca="false">sheet1!aov131</f>
        <v>#NAME?</v>
      </c>
      <c r="I130" s="0" t="e">
        <f aca="false">sheet1!aow131</f>
        <v>#NAME?</v>
      </c>
      <c r="J130" s="0" t="e">
        <f aca="false">sheet1!aox131</f>
        <v>#NAME?</v>
      </c>
      <c r="K130" s="0" t="e">
        <f aca="false">sheet1!aoy131</f>
        <v>#NAME?</v>
      </c>
      <c r="L130" s="0" t="e">
        <f aca="false">sheet1!aoz131</f>
        <v>#NAME?</v>
      </c>
      <c r="M130" s="0" t="e">
        <f aca="false">sheet1!apa131</f>
        <v>#NAME?</v>
      </c>
    </row>
    <row r="131" customFormat="false" ht="13.5" hidden="false" customHeight="false" outlineLevel="0" collapsed="false">
      <c r="A131" s="0" t="s">
        <v>71</v>
      </c>
      <c r="B131" s="1" t="n">
        <v>43991</v>
      </c>
      <c r="C131" s="0" t="e">
        <f aca="false">sheet1!aoq132</f>
        <v>#NAME?</v>
      </c>
      <c r="D131" s="0" t="e">
        <f aca="false">sheet1!aor132</f>
        <v>#NAME?</v>
      </c>
      <c r="E131" s="0" t="e">
        <f aca="false">sheet1!aos132</f>
        <v>#NAME?</v>
      </c>
      <c r="F131" s="0" t="e">
        <f aca="false">sheet1!aot132</f>
        <v>#NAME?</v>
      </c>
      <c r="G131" s="0" t="e">
        <f aca="false">sheet1!aou132</f>
        <v>#NAME?</v>
      </c>
      <c r="H131" s="0" t="e">
        <f aca="false">sheet1!aov132</f>
        <v>#NAME?</v>
      </c>
      <c r="I131" s="0" t="e">
        <f aca="false">sheet1!aow132</f>
        <v>#NAME?</v>
      </c>
      <c r="J131" s="0" t="e">
        <f aca="false">sheet1!aox132</f>
        <v>#NAME?</v>
      </c>
      <c r="K131" s="0" t="e">
        <f aca="false">sheet1!aoy132</f>
        <v>#NAME?</v>
      </c>
      <c r="L131" s="0" t="e">
        <f aca="false">sheet1!aoz132</f>
        <v>#NAME?</v>
      </c>
      <c r="M131" s="0" t="e">
        <f aca="false">sheet1!apa132</f>
        <v>#NAME?</v>
      </c>
    </row>
    <row r="132" customFormat="false" ht="13.5" hidden="false" customHeight="false" outlineLevel="0" collapsed="false">
      <c r="A132" s="0" t="s">
        <v>71</v>
      </c>
      <c r="B132" s="1" t="n">
        <v>43992</v>
      </c>
      <c r="C132" s="0" t="e">
        <f aca="false">sheet1!aoq133</f>
        <v>#NAME?</v>
      </c>
      <c r="D132" s="0" t="e">
        <f aca="false">sheet1!aor133</f>
        <v>#NAME?</v>
      </c>
      <c r="E132" s="0" t="e">
        <f aca="false">sheet1!aos133</f>
        <v>#NAME?</v>
      </c>
      <c r="F132" s="0" t="e">
        <f aca="false">sheet1!aot133</f>
        <v>#NAME?</v>
      </c>
      <c r="G132" s="0" t="e">
        <f aca="false">sheet1!aou133</f>
        <v>#NAME?</v>
      </c>
      <c r="H132" s="0" t="e">
        <f aca="false">sheet1!aov133</f>
        <v>#NAME?</v>
      </c>
      <c r="I132" s="0" t="e">
        <f aca="false">sheet1!aow133</f>
        <v>#NAME?</v>
      </c>
      <c r="J132" s="0" t="e">
        <f aca="false">sheet1!aox133</f>
        <v>#NAME?</v>
      </c>
      <c r="K132" s="0" t="e">
        <f aca="false">sheet1!aoy133</f>
        <v>#NAME?</v>
      </c>
      <c r="L132" s="0" t="e">
        <f aca="false">sheet1!aoz133</f>
        <v>#NAME?</v>
      </c>
      <c r="M132" s="0" t="e">
        <f aca="false">sheet1!apa133</f>
        <v>#NAME?</v>
      </c>
    </row>
    <row r="133" customFormat="false" ht="13.5" hidden="false" customHeight="false" outlineLevel="0" collapsed="false">
      <c r="A133" s="0" t="s">
        <v>71</v>
      </c>
      <c r="B133" s="1" t="n">
        <v>43993</v>
      </c>
      <c r="C133" s="0" t="e">
        <f aca="false">sheet1!aoq134</f>
        <v>#NAME?</v>
      </c>
      <c r="D133" s="0" t="e">
        <f aca="false">sheet1!aor134</f>
        <v>#NAME?</v>
      </c>
      <c r="E133" s="0" t="e">
        <f aca="false">sheet1!aos134</f>
        <v>#NAME?</v>
      </c>
      <c r="F133" s="0" t="e">
        <f aca="false">sheet1!aot134</f>
        <v>#NAME?</v>
      </c>
      <c r="G133" s="0" t="e">
        <f aca="false">sheet1!aou134</f>
        <v>#NAME?</v>
      </c>
      <c r="H133" s="0" t="e">
        <f aca="false">sheet1!aov134</f>
        <v>#NAME?</v>
      </c>
      <c r="I133" s="0" t="e">
        <f aca="false">sheet1!aow134</f>
        <v>#NAME?</v>
      </c>
      <c r="J133" s="0" t="e">
        <f aca="false">sheet1!aox134</f>
        <v>#NAME?</v>
      </c>
      <c r="K133" s="0" t="e">
        <f aca="false">sheet1!aoy134</f>
        <v>#NAME?</v>
      </c>
      <c r="L133" s="0" t="e">
        <f aca="false">sheet1!aoz134</f>
        <v>#NAME?</v>
      </c>
      <c r="M133" s="0" t="e">
        <f aca="false">sheet1!apa134</f>
        <v>#NAME?</v>
      </c>
    </row>
    <row r="134" customFormat="false" ht="13.5" hidden="false" customHeight="false" outlineLevel="0" collapsed="false">
      <c r="A134" s="0" t="s">
        <v>71</v>
      </c>
      <c r="B134" s="1" t="n">
        <v>43994</v>
      </c>
      <c r="C134" s="0" t="e">
        <f aca="false">sheet1!aoq135</f>
        <v>#NAME?</v>
      </c>
      <c r="D134" s="0" t="e">
        <f aca="false">sheet1!aor135</f>
        <v>#NAME?</v>
      </c>
      <c r="E134" s="0" t="e">
        <f aca="false">sheet1!aos135</f>
        <v>#NAME?</v>
      </c>
      <c r="F134" s="0" t="e">
        <f aca="false">sheet1!aot135</f>
        <v>#NAME?</v>
      </c>
      <c r="G134" s="0" t="e">
        <f aca="false">sheet1!aou135</f>
        <v>#NAME?</v>
      </c>
      <c r="H134" s="0" t="e">
        <f aca="false">sheet1!aov135</f>
        <v>#NAME?</v>
      </c>
      <c r="I134" s="0" t="e">
        <f aca="false">sheet1!aow135</f>
        <v>#NAME?</v>
      </c>
      <c r="J134" s="0" t="e">
        <f aca="false">sheet1!aox135</f>
        <v>#NAME?</v>
      </c>
      <c r="K134" s="0" t="e">
        <f aca="false">sheet1!aoy135</f>
        <v>#NAME?</v>
      </c>
      <c r="L134" s="0" t="e">
        <f aca="false">sheet1!aoz135</f>
        <v>#NAME?</v>
      </c>
      <c r="M134" s="0" t="e">
        <f aca="false">sheet1!apa135</f>
        <v>#NAME?</v>
      </c>
    </row>
    <row r="135" customFormat="false" ht="13.5" hidden="false" customHeight="false" outlineLevel="0" collapsed="false">
      <c r="A135" s="0" t="s">
        <v>71</v>
      </c>
      <c r="B135" s="1" t="n">
        <v>43995</v>
      </c>
      <c r="C135" s="0" t="e">
        <f aca="false">sheet1!aoq136</f>
        <v>#NAME?</v>
      </c>
      <c r="D135" s="0" t="e">
        <f aca="false">sheet1!aor136</f>
        <v>#NAME?</v>
      </c>
      <c r="E135" s="0" t="e">
        <f aca="false">sheet1!aos136</f>
        <v>#NAME?</v>
      </c>
      <c r="F135" s="0" t="e">
        <f aca="false">sheet1!aot136</f>
        <v>#NAME?</v>
      </c>
      <c r="G135" s="0" t="e">
        <f aca="false">sheet1!aou136</f>
        <v>#NAME?</v>
      </c>
      <c r="H135" s="0" t="e">
        <f aca="false">sheet1!aov136</f>
        <v>#NAME?</v>
      </c>
      <c r="I135" s="0" t="e">
        <f aca="false">sheet1!aow136</f>
        <v>#NAME?</v>
      </c>
      <c r="J135" s="0" t="e">
        <f aca="false">sheet1!aox136</f>
        <v>#NAME?</v>
      </c>
      <c r="K135" s="0" t="e">
        <f aca="false">sheet1!aoy136</f>
        <v>#NAME?</v>
      </c>
      <c r="L135" s="0" t="e">
        <f aca="false">sheet1!aoz136</f>
        <v>#NAME?</v>
      </c>
      <c r="M135" s="0" t="e">
        <f aca="false">sheet1!apa136</f>
        <v>#NAME?</v>
      </c>
    </row>
    <row r="136" customFormat="false" ht="13.5" hidden="false" customHeight="false" outlineLevel="0" collapsed="false">
      <c r="A136" s="0" t="s">
        <v>71</v>
      </c>
      <c r="B136" s="1" t="n">
        <v>43996</v>
      </c>
      <c r="C136" s="0" t="e">
        <f aca="false">sheet1!aoq137</f>
        <v>#NAME?</v>
      </c>
      <c r="D136" s="0" t="e">
        <f aca="false">sheet1!aor137</f>
        <v>#NAME?</v>
      </c>
      <c r="E136" s="0" t="e">
        <f aca="false">sheet1!aos137</f>
        <v>#NAME?</v>
      </c>
      <c r="F136" s="0" t="e">
        <f aca="false">sheet1!aot137</f>
        <v>#NAME?</v>
      </c>
      <c r="G136" s="0" t="e">
        <f aca="false">sheet1!aou137</f>
        <v>#NAME?</v>
      </c>
      <c r="H136" s="0" t="e">
        <f aca="false">sheet1!aov137</f>
        <v>#NAME?</v>
      </c>
      <c r="I136" s="0" t="e">
        <f aca="false">sheet1!aow137</f>
        <v>#NAME?</v>
      </c>
      <c r="J136" s="0" t="e">
        <f aca="false">sheet1!aox137</f>
        <v>#NAME?</v>
      </c>
      <c r="K136" s="0" t="e">
        <f aca="false">sheet1!aoy137</f>
        <v>#NAME?</v>
      </c>
      <c r="L136" s="0" t="e">
        <f aca="false">sheet1!aoz137</f>
        <v>#NAME?</v>
      </c>
      <c r="M136" s="0" t="e">
        <f aca="false">sheet1!apa137</f>
        <v>#NAME?</v>
      </c>
    </row>
    <row r="137" customFormat="false" ht="13.5" hidden="false" customHeight="false" outlineLevel="0" collapsed="false">
      <c r="A137" s="0" t="s">
        <v>71</v>
      </c>
      <c r="B137" s="1" t="n">
        <v>43997</v>
      </c>
      <c r="C137" s="0" t="e">
        <f aca="false">sheet1!aoq138</f>
        <v>#NAME?</v>
      </c>
      <c r="D137" s="0" t="e">
        <f aca="false">sheet1!aor138</f>
        <v>#NAME?</v>
      </c>
      <c r="E137" s="0" t="e">
        <f aca="false">sheet1!aos138</f>
        <v>#NAME?</v>
      </c>
      <c r="F137" s="0" t="e">
        <f aca="false">sheet1!aot138</f>
        <v>#NAME?</v>
      </c>
      <c r="G137" s="0" t="e">
        <f aca="false">sheet1!aou138</f>
        <v>#NAME?</v>
      </c>
      <c r="H137" s="0" t="e">
        <f aca="false">sheet1!aov138</f>
        <v>#NAME?</v>
      </c>
      <c r="I137" s="0" t="e">
        <f aca="false">sheet1!aow138</f>
        <v>#NAME?</v>
      </c>
      <c r="J137" s="0" t="e">
        <f aca="false">sheet1!aox138</f>
        <v>#NAME?</v>
      </c>
      <c r="K137" s="0" t="e">
        <f aca="false">sheet1!aoy138</f>
        <v>#NAME?</v>
      </c>
      <c r="L137" s="0" t="n">
        <v>0</v>
      </c>
      <c r="M137" s="0" t="n">
        <v>0</v>
      </c>
    </row>
    <row r="138" customFormat="false" ht="13.5" hidden="false" customHeight="false" outlineLevel="0" collapsed="false">
      <c r="A138" s="0" t="s">
        <v>71</v>
      </c>
      <c r="B138" s="1" t="n">
        <v>43998</v>
      </c>
      <c r="C138" s="0" t="e">
        <f aca="false">sheet1!aoq139</f>
        <v>#NAME?</v>
      </c>
      <c r="D138" s="0" t="e">
        <f aca="false">sheet1!aor139</f>
        <v>#NAME?</v>
      </c>
      <c r="E138" s="0" t="e">
        <f aca="false">sheet1!aos139</f>
        <v>#NAME?</v>
      </c>
      <c r="F138" s="0" t="e">
        <f aca="false">sheet1!aot139</f>
        <v>#NAME?</v>
      </c>
      <c r="G138" s="0" t="e">
        <f aca="false">sheet1!aou139</f>
        <v>#NAME?</v>
      </c>
      <c r="H138" s="0" t="e">
        <f aca="false">sheet1!aov139</f>
        <v>#NAME?</v>
      </c>
      <c r="I138" s="0" t="e">
        <f aca="false">sheet1!aow139</f>
        <v>#NAME?</v>
      </c>
      <c r="J138" s="0" t="e">
        <f aca="false">sheet1!aox139</f>
        <v>#NAME?</v>
      </c>
      <c r="K138" s="0" t="e">
        <f aca="false">sheet1!aoy139</f>
        <v>#NAME?</v>
      </c>
      <c r="L138" s="0" t="e">
        <f aca="false">sheet1!aoz139</f>
        <v>#NAME?</v>
      </c>
      <c r="M138" s="0" t="e">
        <f aca="false">sheet1!apa139</f>
        <v>#NAME?</v>
      </c>
    </row>
    <row r="139" customFormat="false" ht="13.5" hidden="false" customHeight="false" outlineLevel="0" collapsed="false">
      <c r="A139" s="0" t="s">
        <v>71</v>
      </c>
      <c r="B139" s="1" t="n">
        <v>43999</v>
      </c>
      <c r="C139" s="0" t="e">
        <f aca="false">sheet1!aoq140</f>
        <v>#NAME?</v>
      </c>
      <c r="D139" s="0" t="e">
        <f aca="false">sheet1!aor140</f>
        <v>#NAME?</v>
      </c>
      <c r="E139" s="0" t="e">
        <f aca="false">sheet1!aos140</f>
        <v>#NAME?</v>
      </c>
      <c r="F139" s="0" t="e">
        <f aca="false">sheet1!aot140</f>
        <v>#NAME?</v>
      </c>
      <c r="G139" s="0" t="e">
        <f aca="false">sheet1!aou140</f>
        <v>#NAME?</v>
      </c>
      <c r="H139" s="0" t="e">
        <f aca="false">sheet1!aov140</f>
        <v>#NAME?</v>
      </c>
      <c r="I139" s="0" t="e">
        <f aca="false">sheet1!aow140</f>
        <v>#NAME?</v>
      </c>
      <c r="J139" s="0" t="e">
        <f aca="false">sheet1!aox140</f>
        <v>#NAME?</v>
      </c>
      <c r="K139" s="0" t="e">
        <f aca="false">sheet1!aoy140</f>
        <v>#NAME?</v>
      </c>
      <c r="L139" s="0" t="e">
        <f aca="false">sheet1!aoz140</f>
        <v>#NAME?</v>
      </c>
      <c r="M139" s="0" t="e">
        <f aca="false">sheet1!apa140</f>
        <v>#NAME?</v>
      </c>
    </row>
    <row r="140" customFormat="false" ht="13.5" hidden="false" customHeight="false" outlineLevel="0" collapsed="false">
      <c r="A140" s="0" t="s">
        <v>71</v>
      </c>
      <c r="B140" s="1" t="n">
        <v>44000</v>
      </c>
      <c r="C140" s="0" t="e">
        <f aca="false">sheet1!aoq141</f>
        <v>#NAME?</v>
      </c>
      <c r="D140" s="0" t="e">
        <f aca="false">sheet1!aor141</f>
        <v>#NAME?</v>
      </c>
      <c r="E140" s="0" t="e">
        <f aca="false">sheet1!aos141</f>
        <v>#NAME?</v>
      </c>
      <c r="F140" s="0" t="e">
        <f aca="false">sheet1!aot141</f>
        <v>#NAME?</v>
      </c>
      <c r="G140" s="0" t="e">
        <f aca="false">sheet1!aou141</f>
        <v>#NAME?</v>
      </c>
      <c r="H140" s="0" t="e">
        <f aca="false">sheet1!aov141</f>
        <v>#NAME?</v>
      </c>
      <c r="I140" s="0" t="e">
        <f aca="false">sheet1!aow141</f>
        <v>#NAME?</v>
      </c>
      <c r="J140" s="0" t="e">
        <f aca="false">sheet1!aox141</f>
        <v>#NAME?</v>
      </c>
      <c r="K140" s="0" t="e">
        <f aca="false">sheet1!aoy141</f>
        <v>#NAME?</v>
      </c>
      <c r="L140" s="0" t="e">
        <f aca="false">sheet1!aoz141</f>
        <v>#NAME?</v>
      </c>
      <c r="M140" s="0" t="e">
        <f aca="false">sheet1!apa141</f>
        <v>#NAME?</v>
      </c>
    </row>
    <row r="141" customFormat="false" ht="13.5" hidden="false" customHeight="false" outlineLevel="0" collapsed="false">
      <c r="A141" s="0" t="s">
        <v>71</v>
      </c>
      <c r="B141" s="1" t="n">
        <v>44001</v>
      </c>
      <c r="C141" s="0" t="e">
        <f aca="false">sheet1!aoq142</f>
        <v>#NAME?</v>
      </c>
      <c r="D141" s="0" t="e">
        <f aca="false">sheet1!aor142</f>
        <v>#NAME?</v>
      </c>
      <c r="E141" s="0" t="e">
        <f aca="false">sheet1!aos142</f>
        <v>#NAME?</v>
      </c>
      <c r="F141" s="0" t="e">
        <f aca="false">sheet1!aot142</f>
        <v>#NAME?</v>
      </c>
      <c r="G141" s="0" t="e">
        <f aca="false">sheet1!aou142</f>
        <v>#NAME?</v>
      </c>
      <c r="H141" s="0" t="e">
        <f aca="false">sheet1!aov142</f>
        <v>#NAME?</v>
      </c>
      <c r="I141" s="0" t="e">
        <f aca="false">sheet1!aow142</f>
        <v>#NAME?</v>
      </c>
      <c r="J141" s="0" t="e">
        <f aca="false">sheet1!aox142</f>
        <v>#NAME?</v>
      </c>
      <c r="K141" s="0" t="e">
        <f aca="false">sheet1!aoy142</f>
        <v>#NAME?</v>
      </c>
      <c r="L141" s="0" t="e">
        <f aca="false">sheet1!aoz142</f>
        <v>#NAME?</v>
      </c>
      <c r="M141" s="0" t="e">
        <f aca="false">sheet1!apa142</f>
        <v>#NAME?</v>
      </c>
    </row>
    <row r="142" customFormat="false" ht="13.5" hidden="false" customHeight="false" outlineLevel="0" collapsed="false">
      <c r="A142" s="0" t="s">
        <v>71</v>
      </c>
      <c r="B142" s="1" t="n">
        <v>44002</v>
      </c>
      <c r="C142" s="0" t="e">
        <f aca="false">sheet1!aoq143</f>
        <v>#NAME?</v>
      </c>
      <c r="D142" s="0" t="e">
        <f aca="false">sheet1!aor143</f>
        <v>#NAME?</v>
      </c>
      <c r="E142" s="0" t="e">
        <f aca="false">sheet1!aos143</f>
        <v>#NAME?</v>
      </c>
      <c r="F142" s="0" t="e">
        <f aca="false">sheet1!aot143</f>
        <v>#NAME?</v>
      </c>
      <c r="G142" s="0" t="e">
        <f aca="false">sheet1!aou143</f>
        <v>#NAME?</v>
      </c>
      <c r="H142" s="0" t="e">
        <f aca="false">sheet1!aov143</f>
        <v>#NAME?</v>
      </c>
      <c r="I142" s="0" t="e">
        <f aca="false">sheet1!aow143</f>
        <v>#NAME?</v>
      </c>
      <c r="J142" s="0" t="e">
        <f aca="false">sheet1!aox143</f>
        <v>#NAME?</v>
      </c>
      <c r="K142" s="0" t="e">
        <f aca="false">sheet1!aoy143</f>
        <v>#NAME?</v>
      </c>
      <c r="L142" s="0" t="e">
        <f aca="false">sheet1!aoz143</f>
        <v>#NAME?</v>
      </c>
      <c r="M142" s="0" t="e">
        <f aca="false">sheet1!apa143</f>
        <v>#NAME?</v>
      </c>
    </row>
    <row r="143" customFormat="false" ht="13.5" hidden="false" customHeight="false" outlineLevel="0" collapsed="false">
      <c r="A143" s="0" t="s">
        <v>71</v>
      </c>
      <c r="B143" s="1" t="n">
        <v>44003</v>
      </c>
      <c r="C143" s="0" t="e">
        <f aca="false">sheet1!aoq144</f>
        <v>#NAME?</v>
      </c>
      <c r="D143" s="0" t="e">
        <f aca="false">sheet1!aor144</f>
        <v>#NAME?</v>
      </c>
      <c r="E143" s="0" t="e">
        <f aca="false">sheet1!aos144</f>
        <v>#NAME?</v>
      </c>
      <c r="F143" s="0" t="e">
        <f aca="false">sheet1!aot144</f>
        <v>#NAME?</v>
      </c>
      <c r="G143" s="0" t="e">
        <f aca="false">sheet1!aou144</f>
        <v>#NAME?</v>
      </c>
      <c r="H143" s="0" t="e">
        <f aca="false">sheet1!aov144</f>
        <v>#NAME?</v>
      </c>
      <c r="I143" s="0" t="e">
        <f aca="false">sheet1!aow144</f>
        <v>#NAME?</v>
      </c>
      <c r="J143" s="0" t="e">
        <f aca="false">sheet1!aox144</f>
        <v>#NAME?</v>
      </c>
      <c r="K143" s="0" t="e">
        <f aca="false">sheet1!aoy144</f>
        <v>#NAME?</v>
      </c>
      <c r="L143" s="0" t="e">
        <f aca="false">sheet1!aoz144</f>
        <v>#NAME?</v>
      </c>
      <c r="M143" s="0" t="e">
        <f aca="false">sheet1!apa144</f>
        <v>#NAME?</v>
      </c>
    </row>
    <row r="144" customFormat="false" ht="13.5" hidden="false" customHeight="false" outlineLevel="0" collapsed="false">
      <c r="A144" s="0" t="s">
        <v>71</v>
      </c>
      <c r="B144" s="1" t="n">
        <v>44004</v>
      </c>
      <c r="C144" s="0" t="e">
        <f aca="false">sheet1!aoq145</f>
        <v>#NAME?</v>
      </c>
      <c r="D144" s="0" t="e">
        <f aca="false">sheet1!aor145</f>
        <v>#NAME?</v>
      </c>
      <c r="E144" s="0" t="e">
        <f aca="false">sheet1!aos145</f>
        <v>#NAME?</v>
      </c>
      <c r="F144" s="0" t="e">
        <f aca="false">sheet1!aot145</f>
        <v>#NAME?</v>
      </c>
      <c r="G144" s="0" t="e">
        <f aca="false">sheet1!aou145</f>
        <v>#NAME?</v>
      </c>
      <c r="H144" s="0" t="e">
        <f aca="false">sheet1!aov145</f>
        <v>#NAME?</v>
      </c>
      <c r="I144" s="0" t="e">
        <f aca="false">sheet1!aow145</f>
        <v>#NAME?</v>
      </c>
      <c r="J144" s="0" t="e">
        <f aca="false">sheet1!aox145</f>
        <v>#NAME?</v>
      </c>
      <c r="K144" s="0" t="e">
        <f aca="false">sheet1!aoy145</f>
        <v>#NAME?</v>
      </c>
      <c r="L144" s="0" t="e">
        <f aca="false">sheet1!aoz145</f>
        <v>#NAME?</v>
      </c>
      <c r="M144" s="0" t="e">
        <f aca="false">sheet1!apa145</f>
        <v>#NAME?</v>
      </c>
    </row>
    <row r="145" customFormat="false" ht="13.5" hidden="false" customHeight="false" outlineLevel="0" collapsed="false">
      <c r="A145" s="0" t="s">
        <v>71</v>
      </c>
      <c r="B145" s="1" t="n">
        <v>44005</v>
      </c>
      <c r="C145" s="0" t="e">
        <f aca="false">sheet1!aoq146</f>
        <v>#NAME?</v>
      </c>
      <c r="D145" s="0" t="e">
        <f aca="false">sheet1!aor146</f>
        <v>#NAME?</v>
      </c>
      <c r="E145" s="0" t="e">
        <f aca="false">sheet1!aos146</f>
        <v>#NAME?</v>
      </c>
      <c r="F145" s="0" t="e">
        <f aca="false">sheet1!aot146</f>
        <v>#NAME?</v>
      </c>
      <c r="G145" s="0" t="e">
        <f aca="false">sheet1!aou146</f>
        <v>#NAME?</v>
      </c>
      <c r="H145" s="0" t="e">
        <f aca="false">sheet1!aov146</f>
        <v>#NAME?</v>
      </c>
      <c r="I145" s="0" t="e">
        <f aca="false">sheet1!aow146</f>
        <v>#NAME?</v>
      </c>
      <c r="J145" s="0" t="e">
        <f aca="false">sheet1!aox146</f>
        <v>#NAME?</v>
      </c>
      <c r="K145" s="0" t="e">
        <f aca="false">sheet1!aoy146</f>
        <v>#NAME?</v>
      </c>
      <c r="L145" s="0" t="e">
        <f aca="false">sheet1!aoz146</f>
        <v>#NAME?</v>
      </c>
      <c r="M145" s="0" t="e">
        <f aca="false">sheet1!apa146</f>
        <v>#NAME?</v>
      </c>
    </row>
    <row r="146" customFormat="false" ht="13.5" hidden="false" customHeight="false" outlineLevel="0" collapsed="false">
      <c r="A146" s="0" t="s">
        <v>71</v>
      </c>
      <c r="B146" s="1" t="n">
        <v>44006</v>
      </c>
      <c r="C146" s="0" t="e">
        <f aca="false">sheet1!aoq147</f>
        <v>#NAME?</v>
      </c>
      <c r="D146" s="0" t="e">
        <f aca="false">sheet1!aor147</f>
        <v>#NAME?</v>
      </c>
      <c r="E146" s="0" t="e">
        <f aca="false">sheet1!aos147</f>
        <v>#NAME?</v>
      </c>
      <c r="F146" s="0" t="e">
        <f aca="false">sheet1!aot147</f>
        <v>#NAME?</v>
      </c>
      <c r="G146" s="0" t="e">
        <f aca="false">sheet1!aou147</f>
        <v>#NAME?</v>
      </c>
      <c r="H146" s="0" t="e">
        <f aca="false">sheet1!aov147</f>
        <v>#NAME?</v>
      </c>
      <c r="I146" s="0" t="e">
        <f aca="false">sheet1!aow147</f>
        <v>#NAME?</v>
      </c>
      <c r="J146" s="0" t="e">
        <f aca="false">sheet1!aox147</f>
        <v>#NAME?</v>
      </c>
      <c r="K146" s="0" t="e">
        <f aca="false">sheet1!aoy147</f>
        <v>#NAME?</v>
      </c>
      <c r="L146" s="0" t="e">
        <f aca="false">sheet1!aoz147</f>
        <v>#NAME?</v>
      </c>
      <c r="M146" s="0" t="e">
        <f aca="false">sheet1!apa147</f>
        <v>#NAME?</v>
      </c>
    </row>
    <row r="147" customFormat="false" ht="13.5" hidden="false" customHeight="false" outlineLevel="0" collapsed="false">
      <c r="A147" s="0" t="s">
        <v>71</v>
      </c>
      <c r="B147" s="1" t="n">
        <v>44007</v>
      </c>
      <c r="C147" s="0" t="e">
        <f aca="false">sheet1!aoq148</f>
        <v>#NAME?</v>
      </c>
      <c r="D147" s="0" t="e">
        <f aca="false">sheet1!aor148</f>
        <v>#NAME?</v>
      </c>
      <c r="E147" s="0" t="e">
        <f aca="false">sheet1!aos148</f>
        <v>#NAME?</v>
      </c>
      <c r="F147" s="0" t="e">
        <f aca="false">sheet1!aot148</f>
        <v>#NAME?</v>
      </c>
      <c r="G147" s="0" t="e">
        <f aca="false">sheet1!aou148</f>
        <v>#NAME?</v>
      </c>
      <c r="H147" s="0" t="e">
        <f aca="false">sheet1!aov148</f>
        <v>#NAME?</v>
      </c>
      <c r="I147" s="0" t="e">
        <f aca="false">sheet1!aow148</f>
        <v>#NAME?</v>
      </c>
      <c r="J147" s="0" t="e">
        <f aca="false">sheet1!aox148</f>
        <v>#NAME?</v>
      </c>
      <c r="K147" s="0" t="e">
        <f aca="false">sheet1!aoy148</f>
        <v>#NAME?</v>
      </c>
      <c r="L147" s="0" t="e">
        <f aca="false">sheet1!aoz148</f>
        <v>#NAME?</v>
      </c>
      <c r="M147" s="0" t="e">
        <f aca="false">sheet1!apa148</f>
        <v>#NAME?</v>
      </c>
    </row>
    <row r="148" customFormat="false" ht="13.5" hidden="false" customHeight="false" outlineLevel="0" collapsed="false">
      <c r="A148" s="0" t="s">
        <v>71</v>
      </c>
      <c r="B148" s="1" t="n">
        <v>44008</v>
      </c>
      <c r="C148" s="0" t="e">
        <f aca="false">sheet1!aoq149</f>
        <v>#NAME?</v>
      </c>
      <c r="D148" s="0" t="e">
        <f aca="false">sheet1!aor149</f>
        <v>#NAME?</v>
      </c>
      <c r="E148" s="0" t="e">
        <f aca="false">sheet1!aos149</f>
        <v>#NAME?</v>
      </c>
      <c r="F148" s="0" t="e">
        <f aca="false">sheet1!aot149</f>
        <v>#NAME?</v>
      </c>
      <c r="G148" s="0" t="e">
        <f aca="false">sheet1!aou149</f>
        <v>#NAME?</v>
      </c>
      <c r="H148" s="0" t="e">
        <f aca="false">sheet1!aov149</f>
        <v>#NAME?</v>
      </c>
      <c r="I148" s="0" t="e">
        <f aca="false">sheet1!aow149</f>
        <v>#NAME?</v>
      </c>
      <c r="J148" s="0" t="e">
        <f aca="false">sheet1!aox149</f>
        <v>#NAME?</v>
      </c>
      <c r="K148" s="0" t="e">
        <f aca="false">sheet1!aoy149</f>
        <v>#NAME?</v>
      </c>
      <c r="L148" s="0" t="e">
        <f aca="false">sheet1!aoz149</f>
        <v>#NAME?</v>
      </c>
      <c r="M148" s="0" t="e">
        <f aca="false">sheet1!apa149</f>
        <v>#NAME?</v>
      </c>
    </row>
    <row r="149" customFormat="false" ht="13.5" hidden="false" customHeight="false" outlineLevel="0" collapsed="false">
      <c r="A149" s="0" t="s">
        <v>71</v>
      </c>
      <c r="B149" s="1" t="n">
        <v>44009</v>
      </c>
      <c r="C149" s="0" t="e">
        <f aca="false">sheet1!aoq150</f>
        <v>#NAME?</v>
      </c>
      <c r="D149" s="0" t="e">
        <f aca="false">sheet1!aor150</f>
        <v>#NAME?</v>
      </c>
      <c r="E149" s="0" t="e">
        <f aca="false">sheet1!aos150</f>
        <v>#NAME?</v>
      </c>
      <c r="F149" s="0" t="e">
        <f aca="false">sheet1!aot150</f>
        <v>#NAME?</v>
      </c>
      <c r="G149" s="0" t="e">
        <f aca="false">sheet1!aou150</f>
        <v>#NAME?</v>
      </c>
      <c r="H149" s="0" t="e">
        <f aca="false">sheet1!aov150</f>
        <v>#NAME?</v>
      </c>
      <c r="I149" s="0" t="e">
        <f aca="false">sheet1!aow150</f>
        <v>#NAME?</v>
      </c>
      <c r="J149" s="0" t="e">
        <f aca="false">sheet1!aox150</f>
        <v>#NAME?</v>
      </c>
      <c r="K149" s="0" t="e">
        <f aca="false">sheet1!aoy150</f>
        <v>#NAME?</v>
      </c>
      <c r="L149" s="0" t="e">
        <f aca="false">sheet1!aoz150</f>
        <v>#NAME?</v>
      </c>
      <c r="M149" s="0" t="e">
        <f aca="false">sheet1!apa150</f>
        <v>#NAME?</v>
      </c>
    </row>
    <row r="150" customFormat="false" ht="13.5" hidden="false" customHeight="false" outlineLevel="0" collapsed="false">
      <c r="A150" s="0" t="s">
        <v>71</v>
      </c>
      <c r="B150" s="1" t="n">
        <v>44010</v>
      </c>
      <c r="C150" s="0" t="e">
        <f aca="false">sheet1!aoq151</f>
        <v>#NAME?</v>
      </c>
      <c r="D150" s="0" t="e">
        <f aca="false">sheet1!aor151</f>
        <v>#NAME?</v>
      </c>
      <c r="E150" s="0" t="e">
        <f aca="false">sheet1!aos151</f>
        <v>#NAME?</v>
      </c>
      <c r="F150" s="0" t="e">
        <f aca="false">sheet1!aot151</f>
        <v>#NAME?</v>
      </c>
      <c r="G150" s="0" t="e">
        <f aca="false">sheet1!aou151</f>
        <v>#NAME?</v>
      </c>
      <c r="H150" s="0" t="e">
        <f aca="false">sheet1!aov151</f>
        <v>#NAME?</v>
      </c>
      <c r="I150" s="0" t="e">
        <f aca="false">sheet1!aow151</f>
        <v>#NAME?</v>
      </c>
      <c r="J150" s="0" t="e">
        <f aca="false">sheet1!aox151</f>
        <v>#NAME?</v>
      </c>
      <c r="K150" s="0" t="e">
        <f aca="false">sheet1!aoy151</f>
        <v>#NAME?</v>
      </c>
      <c r="L150" s="0" t="e">
        <f aca="false">sheet1!aoz151</f>
        <v>#NAME?</v>
      </c>
      <c r="M150" s="0" t="e">
        <f aca="false">sheet1!apa151</f>
        <v>#NAME?</v>
      </c>
    </row>
    <row r="151" customFormat="false" ht="13.5" hidden="false" customHeight="false" outlineLevel="0" collapsed="false">
      <c r="A151" s="0" t="s">
        <v>71</v>
      </c>
      <c r="B151" s="1" t="n">
        <v>44011</v>
      </c>
      <c r="C151" s="0" t="e">
        <f aca="false">sheet1!aoq152</f>
        <v>#NAME?</v>
      </c>
      <c r="D151" s="0" t="e">
        <f aca="false">sheet1!aor152</f>
        <v>#NAME?</v>
      </c>
      <c r="E151" s="0" t="e">
        <f aca="false">sheet1!aos152</f>
        <v>#NAME?</v>
      </c>
      <c r="F151" s="0" t="e">
        <f aca="false">sheet1!aot152</f>
        <v>#NAME?</v>
      </c>
      <c r="G151" s="0" t="e">
        <f aca="false">sheet1!aou152</f>
        <v>#NAME?</v>
      </c>
      <c r="H151" s="0" t="e">
        <f aca="false">sheet1!aov152</f>
        <v>#NAME?</v>
      </c>
      <c r="I151" s="0" t="e">
        <f aca="false">sheet1!aow152</f>
        <v>#NAME?</v>
      </c>
      <c r="J151" s="0" t="e">
        <f aca="false">sheet1!aox152</f>
        <v>#NAME?</v>
      </c>
      <c r="K151" s="0" t="e">
        <f aca="false">sheet1!aoy152</f>
        <v>#NAME?</v>
      </c>
      <c r="L151" s="0" t="e">
        <f aca="false">sheet1!aoz152</f>
        <v>#NAME?</v>
      </c>
      <c r="M151" s="0" t="e">
        <f aca="false">sheet1!apa152</f>
        <v>#NAME?</v>
      </c>
    </row>
    <row r="152" customFormat="false" ht="13.5" hidden="false" customHeight="false" outlineLevel="0" collapsed="false">
      <c r="A152" s="0" t="s">
        <v>71</v>
      </c>
      <c r="B152" s="1" t="n">
        <v>44012</v>
      </c>
      <c r="C152" s="0" t="e">
        <f aca="false">sheet1!aoq153</f>
        <v>#NAME?</v>
      </c>
      <c r="D152" s="0" t="e">
        <f aca="false">sheet1!aor153</f>
        <v>#NAME?</v>
      </c>
      <c r="E152" s="0" t="e">
        <f aca="false">sheet1!aos153</f>
        <v>#NAME?</v>
      </c>
      <c r="F152" s="0" t="e">
        <f aca="false">sheet1!aot153</f>
        <v>#NAME?</v>
      </c>
      <c r="G152" s="0" t="e">
        <f aca="false">sheet1!aou153</f>
        <v>#NAME?</v>
      </c>
      <c r="H152" s="0" t="e">
        <f aca="false">sheet1!aov153</f>
        <v>#NAME?</v>
      </c>
      <c r="I152" s="0" t="e">
        <f aca="false">sheet1!aow153</f>
        <v>#NAME?</v>
      </c>
      <c r="J152" s="0" t="e">
        <f aca="false">sheet1!aox153</f>
        <v>#NAME?</v>
      </c>
      <c r="K152" s="0" t="e">
        <f aca="false">sheet1!aoy153</f>
        <v>#NAME?</v>
      </c>
      <c r="L152" s="0" t="e">
        <f aca="false">sheet1!aoz153</f>
        <v>#NAME?</v>
      </c>
      <c r="M152" s="0" t="e">
        <f aca="false">sheet1!apa153</f>
        <v>#NAME?</v>
      </c>
    </row>
    <row r="153" customFormat="false" ht="13.5" hidden="false" customHeight="false" outlineLevel="0" collapsed="false">
      <c r="A153" s="0" t="s">
        <v>71</v>
      </c>
      <c r="B153" s="1" t="n">
        <v>44013</v>
      </c>
      <c r="C153" s="0" t="e">
        <f aca="false">sheet1!aoq154</f>
        <v>#NAME?</v>
      </c>
      <c r="D153" s="0" t="e">
        <f aca="false">sheet1!aor154</f>
        <v>#NAME?</v>
      </c>
      <c r="E153" s="0" t="e">
        <f aca="false">sheet1!aos154</f>
        <v>#NAME?</v>
      </c>
      <c r="F153" s="0" t="e">
        <f aca="false">sheet1!aot154</f>
        <v>#NAME?</v>
      </c>
      <c r="G153" s="0" t="e">
        <f aca="false">sheet1!aou154</f>
        <v>#NAME?</v>
      </c>
      <c r="H153" s="0" t="e">
        <f aca="false">sheet1!aov154</f>
        <v>#NAME?</v>
      </c>
      <c r="I153" s="0" t="e">
        <f aca="false">sheet1!aow154</f>
        <v>#NAME?</v>
      </c>
      <c r="J153" s="0" t="e">
        <f aca="false">sheet1!aox154</f>
        <v>#NAME?</v>
      </c>
      <c r="K153" s="0" t="e">
        <f aca="false">sheet1!aoy154</f>
        <v>#NAME?</v>
      </c>
      <c r="L153" s="0" t="e">
        <f aca="false">sheet1!aoz154</f>
        <v>#NAME?</v>
      </c>
      <c r="M153" s="0" t="e">
        <f aca="false">sheet1!apa154</f>
        <v>#NAME?</v>
      </c>
    </row>
    <row r="154" customFormat="false" ht="13.5" hidden="false" customHeight="false" outlineLevel="0" collapsed="false">
      <c r="A154" s="0" t="s">
        <v>71</v>
      </c>
      <c r="B154" s="1" t="n">
        <v>44014</v>
      </c>
      <c r="C154" s="0" t="e">
        <f aca="false">sheet1!aoq155</f>
        <v>#NAME?</v>
      </c>
      <c r="D154" s="0" t="e">
        <f aca="false">sheet1!aor155</f>
        <v>#NAME?</v>
      </c>
      <c r="E154" s="0" t="e">
        <f aca="false">sheet1!aos155</f>
        <v>#NAME?</v>
      </c>
      <c r="F154" s="0" t="e">
        <f aca="false">sheet1!aot155</f>
        <v>#NAME?</v>
      </c>
      <c r="G154" s="0" t="e">
        <f aca="false">sheet1!aou155</f>
        <v>#NAME?</v>
      </c>
      <c r="H154" s="0" t="e">
        <f aca="false">sheet1!aov155</f>
        <v>#NAME?</v>
      </c>
      <c r="I154" s="0" t="e">
        <f aca="false">sheet1!aow155</f>
        <v>#NAME?</v>
      </c>
      <c r="J154" s="0" t="e">
        <f aca="false">sheet1!aox155</f>
        <v>#NAME?</v>
      </c>
      <c r="K154" s="0" t="e">
        <f aca="false">sheet1!aoy155</f>
        <v>#NAME?</v>
      </c>
      <c r="L154" s="0" t="e">
        <f aca="false">sheet1!aoz155</f>
        <v>#NAME?</v>
      </c>
      <c r="M154" s="0" t="e">
        <f aca="false">sheet1!apa155</f>
        <v>#NAME?</v>
      </c>
    </row>
    <row r="155" customFormat="false" ht="13.5" hidden="false" customHeight="false" outlineLevel="0" collapsed="false">
      <c r="A155" s="0" t="s">
        <v>71</v>
      </c>
      <c r="B155" s="1" t="n">
        <v>44015</v>
      </c>
      <c r="C155" s="0" t="e">
        <f aca="false">sheet1!aoq156</f>
        <v>#NAME?</v>
      </c>
      <c r="D155" s="0" t="e">
        <f aca="false">sheet1!aor156</f>
        <v>#NAME?</v>
      </c>
      <c r="E155" s="0" t="e">
        <f aca="false">sheet1!aos156</f>
        <v>#NAME?</v>
      </c>
      <c r="F155" s="0" t="e">
        <f aca="false">sheet1!aot156</f>
        <v>#NAME?</v>
      </c>
      <c r="G155" s="0" t="e">
        <f aca="false">sheet1!aou156</f>
        <v>#NAME?</v>
      </c>
      <c r="H155" s="0" t="e">
        <f aca="false">sheet1!aov156</f>
        <v>#NAME?</v>
      </c>
      <c r="I155" s="0" t="e">
        <f aca="false">sheet1!aow156</f>
        <v>#NAME?</v>
      </c>
      <c r="J155" s="0" t="e">
        <f aca="false">sheet1!aox156</f>
        <v>#NAME?</v>
      </c>
      <c r="K155" s="0" t="e">
        <f aca="false">sheet1!aoy156</f>
        <v>#NAME?</v>
      </c>
      <c r="L155" s="0" t="e">
        <f aca="false">sheet1!aoz156</f>
        <v>#NAME?</v>
      </c>
      <c r="M155" s="0" t="e">
        <f aca="false">sheet1!apa156</f>
        <v>#NAME?</v>
      </c>
    </row>
    <row r="156" customFormat="false" ht="13.5" hidden="false" customHeight="false" outlineLevel="0" collapsed="false">
      <c r="A156" s="0" t="s">
        <v>71</v>
      </c>
      <c r="B156" s="1" t="n">
        <v>44016</v>
      </c>
      <c r="C156" s="0" t="e">
        <f aca="false">sheet1!aoq157</f>
        <v>#NAME?</v>
      </c>
      <c r="D156" s="0" t="e">
        <f aca="false">sheet1!aor157</f>
        <v>#NAME?</v>
      </c>
      <c r="E156" s="0" t="e">
        <f aca="false">sheet1!aos157</f>
        <v>#NAME?</v>
      </c>
      <c r="F156" s="0" t="e">
        <f aca="false">sheet1!aot157</f>
        <v>#NAME?</v>
      </c>
      <c r="G156" s="0" t="e">
        <f aca="false">sheet1!aou157</f>
        <v>#NAME?</v>
      </c>
      <c r="H156" s="0" t="e">
        <f aca="false">sheet1!aov157</f>
        <v>#NAME?</v>
      </c>
      <c r="I156" s="0" t="e">
        <f aca="false">sheet1!aow157</f>
        <v>#NAME?</v>
      </c>
      <c r="J156" s="0" t="e">
        <f aca="false">sheet1!aox157</f>
        <v>#NAME?</v>
      </c>
      <c r="K156" s="0" t="e">
        <f aca="false">sheet1!aoy157</f>
        <v>#NAME?</v>
      </c>
      <c r="L156" s="0" t="e">
        <f aca="false">sheet1!aoz157</f>
        <v>#NAME?</v>
      </c>
      <c r="M156" s="0" t="e">
        <f aca="false">sheet1!apa157</f>
        <v>#NAME?</v>
      </c>
    </row>
    <row r="157" customFormat="false" ht="13.5" hidden="false" customHeight="false" outlineLevel="0" collapsed="false">
      <c r="A157" s="0" t="s">
        <v>71</v>
      </c>
      <c r="B157" s="1" t="n">
        <v>44017</v>
      </c>
      <c r="C157" s="0" t="e">
        <f aca="false">sheet1!aoq158</f>
        <v>#NAME?</v>
      </c>
      <c r="D157" s="0" t="e">
        <f aca="false">sheet1!aor158</f>
        <v>#NAME?</v>
      </c>
      <c r="E157" s="0" t="e">
        <f aca="false">sheet1!aos158</f>
        <v>#NAME?</v>
      </c>
      <c r="F157" s="0" t="e">
        <f aca="false">sheet1!aot158</f>
        <v>#NAME?</v>
      </c>
      <c r="G157" s="0" t="e">
        <f aca="false">sheet1!aou158</f>
        <v>#NAME?</v>
      </c>
      <c r="H157" s="0" t="e">
        <f aca="false">sheet1!aov158</f>
        <v>#NAME?</v>
      </c>
      <c r="I157" s="0" t="e">
        <f aca="false">sheet1!aow158</f>
        <v>#NAME?</v>
      </c>
      <c r="J157" s="0" t="e">
        <f aca="false">sheet1!aox158</f>
        <v>#NAME?</v>
      </c>
      <c r="K157" s="0" t="e">
        <f aca="false">sheet1!aoy158</f>
        <v>#NAME?</v>
      </c>
      <c r="L157" s="0" t="e">
        <f aca="false">sheet1!aoz158</f>
        <v>#NAME?</v>
      </c>
      <c r="M157" s="0" t="e">
        <f aca="false">sheet1!apa158</f>
        <v>#NAME?</v>
      </c>
    </row>
    <row r="158" customFormat="false" ht="13.5" hidden="false" customHeight="false" outlineLevel="0" collapsed="false">
      <c r="A158" s="0" t="s">
        <v>71</v>
      </c>
      <c r="B158" s="1" t="n">
        <v>44018</v>
      </c>
      <c r="C158" s="0" t="e">
        <f aca="false">sheet1!aoq159</f>
        <v>#NAME?</v>
      </c>
      <c r="D158" s="0" t="e">
        <f aca="false">sheet1!aor159</f>
        <v>#NAME?</v>
      </c>
      <c r="E158" s="0" t="e">
        <f aca="false">sheet1!aos159</f>
        <v>#NAME?</v>
      </c>
      <c r="F158" s="0" t="e">
        <f aca="false">sheet1!aot159</f>
        <v>#NAME?</v>
      </c>
      <c r="G158" s="0" t="e">
        <f aca="false">sheet1!aou159</f>
        <v>#NAME?</v>
      </c>
      <c r="H158" s="0" t="e">
        <f aca="false">sheet1!aov159</f>
        <v>#NAME?</v>
      </c>
      <c r="I158" s="0" t="e">
        <f aca="false">sheet1!aow159</f>
        <v>#NAME?</v>
      </c>
      <c r="J158" s="0" t="e">
        <f aca="false">sheet1!aox159</f>
        <v>#NAME?</v>
      </c>
      <c r="K158" s="0" t="e">
        <f aca="false">sheet1!aoy159</f>
        <v>#NAME?</v>
      </c>
      <c r="L158" s="0" t="e">
        <f aca="false">sheet1!aoz159</f>
        <v>#NAME?</v>
      </c>
      <c r="M158" s="0" t="e">
        <f aca="false">sheet1!apa159</f>
        <v>#NAME?</v>
      </c>
    </row>
    <row r="159" customFormat="false" ht="13.5" hidden="false" customHeight="false" outlineLevel="0" collapsed="false">
      <c r="A159" s="0" t="s">
        <v>71</v>
      </c>
      <c r="B159" s="1" t="n">
        <v>44019</v>
      </c>
      <c r="C159" s="0" t="e">
        <f aca="false">sheet1!aoq160</f>
        <v>#NAME?</v>
      </c>
      <c r="D159" s="0" t="e">
        <f aca="false">sheet1!aor160</f>
        <v>#NAME?</v>
      </c>
      <c r="E159" s="0" t="e">
        <f aca="false">sheet1!aos160</f>
        <v>#NAME?</v>
      </c>
      <c r="F159" s="0" t="e">
        <f aca="false">sheet1!aot160</f>
        <v>#NAME?</v>
      </c>
      <c r="G159" s="0" t="e">
        <f aca="false">sheet1!aou160</f>
        <v>#NAME?</v>
      </c>
      <c r="H159" s="0" t="e">
        <f aca="false">sheet1!aov160</f>
        <v>#NAME?</v>
      </c>
      <c r="I159" s="0" t="e">
        <f aca="false">sheet1!aow160</f>
        <v>#NAME?</v>
      </c>
      <c r="J159" s="0" t="e">
        <f aca="false">sheet1!aox160</f>
        <v>#NAME?</v>
      </c>
      <c r="K159" s="0" t="e">
        <f aca="false">sheet1!aoy160</f>
        <v>#NAME?</v>
      </c>
      <c r="L159" s="0" t="e">
        <f aca="false">sheet1!aoz160</f>
        <v>#NAME?</v>
      </c>
      <c r="M159" s="0" t="e">
        <f aca="false">sheet1!apa160</f>
        <v>#NAME?</v>
      </c>
    </row>
    <row r="160" customFormat="false" ht="13.5" hidden="false" customHeight="false" outlineLevel="0" collapsed="false">
      <c r="A160" s="0" t="s">
        <v>71</v>
      </c>
      <c r="B160" s="1" t="n">
        <v>44020</v>
      </c>
      <c r="C160" s="0" t="e">
        <f aca="false">sheet1!aoq161</f>
        <v>#NAME?</v>
      </c>
      <c r="D160" s="0" t="e">
        <f aca="false">sheet1!aor161</f>
        <v>#NAME?</v>
      </c>
      <c r="E160" s="0" t="e">
        <f aca="false">sheet1!aos161</f>
        <v>#NAME?</v>
      </c>
      <c r="F160" s="0" t="e">
        <f aca="false">sheet1!aot161</f>
        <v>#NAME?</v>
      </c>
      <c r="G160" s="0" t="e">
        <f aca="false">sheet1!aou161</f>
        <v>#NAME?</v>
      </c>
      <c r="H160" s="0" t="e">
        <f aca="false">sheet1!aov161</f>
        <v>#NAME?</v>
      </c>
      <c r="I160" s="0" t="e">
        <f aca="false">sheet1!aow161</f>
        <v>#NAME?</v>
      </c>
      <c r="J160" s="0" t="e">
        <f aca="false">sheet1!aox161</f>
        <v>#NAME?</v>
      </c>
      <c r="K160" s="0" t="e">
        <f aca="false">sheet1!aoy161</f>
        <v>#NAME?</v>
      </c>
      <c r="L160" s="0" t="e">
        <f aca="false">sheet1!aoz161</f>
        <v>#NAME?</v>
      </c>
      <c r="M160" s="0" t="e">
        <f aca="false">sheet1!apa161</f>
        <v>#NAME?</v>
      </c>
    </row>
    <row r="161" customFormat="false" ht="13.5" hidden="false" customHeight="false" outlineLevel="0" collapsed="false">
      <c r="A161" s="0" t="s">
        <v>71</v>
      </c>
      <c r="B161" s="1" t="n">
        <v>44021</v>
      </c>
      <c r="C161" s="0" t="e">
        <f aca="false">sheet1!aoq162</f>
        <v>#NAME?</v>
      </c>
      <c r="D161" s="0" t="e">
        <f aca="false">sheet1!aor162</f>
        <v>#NAME?</v>
      </c>
      <c r="E161" s="0" t="e">
        <f aca="false">sheet1!aos162</f>
        <v>#NAME?</v>
      </c>
      <c r="F161" s="0" t="e">
        <f aca="false">sheet1!aot162</f>
        <v>#NAME?</v>
      </c>
      <c r="G161" s="0" t="e">
        <f aca="false">sheet1!aou162</f>
        <v>#NAME?</v>
      </c>
      <c r="H161" s="0" t="e">
        <f aca="false">sheet1!aov162</f>
        <v>#NAME?</v>
      </c>
      <c r="I161" s="0" t="e">
        <f aca="false">sheet1!aow162</f>
        <v>#NAME?</v>
      </c>
      <c r="J161" s="0" t="e">
        <f aca="false">sheet1!aox162</f>
        <v>#NAME?</v>
      </c>
      <c r="K161" s="0" t="e">
        <f aca="false">sheet1!aoy162</f>
        <v>#NAME?</v>
      </c>
      <c r="L161" s="0" t="e">
        <f aca="false">sheet1!aoz162</f>
        <v>#NAME?</v>
      </c>
      <c r="M161" s="0" t="e">
        <f aca="false">sheet1!apa162</f>
        <v>#NAME?</v>
      </c>
    </row>
    <row r="162" customFormat="false" ht="13.5" hidden="false" customHeight="false" outlineLevel="0" collapsed="false">
      <c r="A162" s="0" t="s">
        <v>71</v>
      </c>
      <c r="B162" s="1" t="n">
        <v>44022</v>
      </c>
      <c r="C162" s="0" t="e">
        <f aca="false">sheet1!aoq163</f>
        <v>#NAME?</v>
      </c>
      <c r="D162" s="0" t="e">
        <f aca="false">sheet1!aor163</f>
        <v>#NAME?</v>
      </c>
      <c r="E162" s="0" t="e">
        <f aca="false">sheet1!aos163</f>
        <v>#NAME?</v>
      </c>
      <c r="F162" s="0" t="e">
        <f aca="false">sheet1!aot163</f>
        <v>#NAME?</v>
      </c>
      <c r="G162" s="0" t="e">
        <f aca="false">sheet1!aou163</f>
        <v>#NAME?</v>
      </c>
      <c r="H162" s="0" t="e">
        <f aca="false">sheet1!aov163</f>
        <v>#NAME?</v>
      </c>
      <c r="I162" s="0" t="e">
        <f aca="false">sheet1!aow163</f>
        <v>#NAME?</v>
      </c>
      <c r="J162" s="0" t="e">
        <f aca="false">sheet1!aox163</f>
        <v>#NAME?</v>
      </c>
      <c r="K162" s="0" t="e">
        <f aca="false">sheet1!aoy163</f>
        <v>#NAME?</v>
      </c>
      <c r="L162" s="0" t="e">
        <f aca="false">sheet1!aoz163</f>
        <v>#NAME?</v>
      </c>
      <c r="M162" s="0" t="e">
        <f aca="false">sheet1!apa163</f>
        <v>#NAME?</v>
      </c>
    </row>
    <row r="163" customFormat="false" ht="13.5" hidden="false" customHeight="false" outlineLevel="0" collapsed="false">
      <c r="A163" s="0" t="s">
        <v>71</v>
      </c>
      <c r="B163" s="1" t="n">
        <v>44023</v>
      </c>
      <c r="C163" s="0" t="e">
        <f aca="false">sheet1!aoq164</f>
        <v>#NAME?</v>
      </c>
      <c r="D163" s="0" t="e">
        <f aca="false">sheet1!aor164</f>
        <v>#NAME?</v>
      </c>
      <c r="E163" s="0" t="e">
        <f aca="false">sheet1!aos164</f>
        <v>#NAME?</v>
      </c>
      <c r="F163" s="0" t="e">
        <f aca="false">sheet1!aot164</f>
        <v>#NAME?</v>
      </c>
      <c r="G163" s="0" t="e">
        <f aca="false">sheet1!aou164</f>
        <v>#NAME?</v>
      </c>
      <c r="H163" s="0" t="e">
        <f aca="false">sheet1!aov164</f>
        <v>#NAME?</v>
      </c>
      <c r="I163" s="0" t="e">
        <f aca="false">sheet1!aow164</f>
        <v>#NAME?</v>
      </c>
      <c r="J163" s="0" t="e">
        <f aca="false">sheet1!aox164</f>
        <v>#NAME?</v>
      </c>
      <c r="K163" s="0" t="e">
        <f aca="false">sheet1!aoy164</f>
        <v>#NAME?</v>
      </c>
      <c r="L163" s="0" t="e">
        <f aca="false">sheet1!aoz164</f>
        <v>#NAME?</v>
      </c>
      <c r="M163" s="0" t="e">
        <f aca="false">sheet1!apa164</f>
        <v>#NAME?</v>
      </c>
    </row>
    <row r="164" customFormat="false" ht="13.5" hidden="false" customHeight="false" outlineLevel="0" collapsed="false">
      <c r="A164" s="0" t="s">
        <v>71</v>
      </c>
      <c r="B164" s="1" t="n">
        <v>44024</v>
      </c>
      <c r="C164" s="0" t="e">
        <f aca="false">sheet1!aoq165</f>
        <v>#NAME?</v>
      </c>
      <c r="D164" s="0" t="e">
        <f aca="false">sheet1!aor165</f>
        <v>#NAME?</v>
      </c>
      <c r="E164" s="0" t="e">
        <f aca="false">sheet1!aos165</f>
        <v>#NAME?</v>
      </c>
      <c r="F164" s="0" t="e">
        <f aca="false">sheet1!aot165</f>
        <v>#NAME?</v>
      </c>
      <c r="G164" s="0" t="e">
        <f aca="false">sheet1!aou165</f>
        <v>#NAME?</v>
      </c>
      <c r="H164" s="0" t="e">
        <f aca="false">sheet1!aov165</f>
        <v>#NAME?</v>
      </c>
      <c r="I164" s="0" t="e">
        <f aca="false">sheet1!aow165</f>
        <v>#NAME?</v>
      </c>
      <c r="J164" s="0" t="e">
        <f aca="false">sheet1!aox165</f>
        <v>#NAME?</v>
      </c>
      <c r="K164" s="0" t="e">
        <f aca="false">sheet1!aoy165</f>
        <v>#NAME?</v>
      </c>
      <c r="L164" s="0" t="e">
        <f aca="false">sheet1!aoz165</f>
        <v>#NAME?</v>
      </c>
      <c r="M164" s="0" t="e">
        <f aca="false">sheet1!apa165</f>
        <v>#NAME?</v>
      </c>
    </row>
    <row r="165" customFormat="false" ht="13.5" hidden="false" customHeight="false" outlineLevel="0" collapsed="false">
      <c r="A165" s="0" t="s">
        <v>71</v>
      </c>
      <c r="B165" s="1" t="n">
        <v>44025</v>
      </c>
      <c r="C165" s="0" t="e">
        <f aca="false">sheet1!aoq166</f>
        <v>#NAME?</v>
      </c>
      <c r="D165" s="0" t="e">
        <f aca="false">sheet1!aor166</f>
        <v>#NAME?</v>
      </c>
      <c r="E165" s="0" t="e">
        <f aca="false">sheet1!aos166</f>
        <v>#NAME?</v>
      </c>
      <c r="F165" s="0" t="e">
        <f aca="false">sheet1!aot166</f>
        <v>#NAME?</v>
      </c>
      <c r="G165" s="0" t="e">
        <f aca="false">sheet1!aou166</f>
        <v>#NAME?</v>
      </c>
      <c r="H165" s="0" t="e">
        <f aca="false">sheet1!aov166</f>
        <v>#NAME?</v>
      </c>
      <c r="I165" s="0" t="e">
        <f aca="false">sheet1!aow166</f>
        <v>#NAME?</v>
      </c>
      <c r="J165" s="0" t="e">
        <f aca="false">sheet1!aox166</f>
        <v>#NAME?</v>
      </c>
      <c r="K165" s="0" t="e">
        <f aca="false">sheet1!aoy166</f>
        <v>#NAME?</v>
      </c>
      <c r="L165" s="0" t="e">
        <f aca="false">sheet1!aoz166</f>
        <v>#NAME?</v>
      </c>
      <c r="M165" s="0" t="e">
        <f aca="false">sheet1!apa166</f>
        <v>#NAME?</v>
      </c>
    </row>
    <row r="166" customFormat="false" ht="13.5" hidden="false" customHeight="false" outlineLevel="0" collapsed="false">
      <c r="A166" s="0" t="s">
        <v>71</v>
      </c>
      <c r="B166" s="1" t="n">
        <v>44026</v>
      </c>
      <c r="C166" s="0" t="e">
        <f aca="false">sheet1!aoq167</f>
        <v>#NAME?</v>
      </c>
      <c r="D166" s="0" t="e">
        <f aca="false">sheet1!aor167</f>
        <v>#NAME?</v>
      </c>
      <c r="E166" s="0" t="e">
        <f aca="false">sheet1!aos167</f>
        <v>#NAME?</v>
      </c>
      <c r="F166" s="0" t="e">
        <f aca="false">sheet1!aot167</f>
        <v>#NAME?</v>
      </c>
      <c r="G166" s="0" t="e">
        <f aca="false">sheet1!aou167</f>
        <v>#NAME?</v>
      </c>
      <c r="H166" s="0" t="e">
        <f aca="false">sheet1!aov167</f>
        <v>#NAME?</v>
      </c>
      <c r="I166" s="0" t="e">
        <f aca="false">sheet1!aow167</f>
        <v>#NAME?</v>
      </c>
      <c r="J166" s="0" t="e">
        <f aca="false">sheet1!aox167</f>
        <v>#NAME?</v>
      </c>
      <c r="K166" s="0" t="e">
        <f aca="false">sheet1!aoy167</f>
        <v>#NAME?</v>
      </c>
      <c r="L166" s="0" t="e">
        <f aca="false">sheet1!aoz167</f>
        <v>#NAME?</v>
      </c>
      <c r="M166" s="0" t="e">
        <f aca="false">sheet1!apa167</f>
        <v>#NAME?</v>
      </c>
    </row>
    <row r="167" customFormat="false" ht="13.5" hidden="false" customHeight="false" outlineLevel="0" collapsed="false">
      <c r="A167" s="0" t="s">
        <v>71</v>
      </c>
      <c r="B167" s="1" t="n">
        <v>44027</v>
      </c>
      <c r="C167" s="0" t="e">
        <f aca="false">sheet1!aoq168</f>
        <v>#NAME?</v>
      </c>
      <c r="D167" s="0" t="e">
        <f aca="false">sheet1!aor168</f>
        <v>#NAME?</v>
      </c>
      <c r="E167" s="0" t="e">
        <f aca="false">sheet1!aos168</f>
        <v>#NAME?</v>
      </c>
      <c r="F167" s="0" t="e">
        <f aca="false">sheet1!aot168</f>
        <v>#NAME?</v>
      </c>
      <c r="G167" s="0" t="e">
        <f aca="false">sheet1!aou168</f>
        <v>#NAME?</v>
      </c>
      <c r="H167" s="0" t="e">
        <f aca="false">sheet1!aov168</f>
        <v>#NAME?</v>
      </c>
      <c r="I167" s="0" t="e">
        <f aca="false">sheet1!aow168</f>
        <v>#NAME?</v>
      </c>
      <c r="J167" s="0" t="e">
        <f aca="false">sheet1!aox168</f>
        <v>#NAME?</v>
      </c>
      <c r="K167" s="0" t="e">
        <f aca="false">sheet1!aoy168</f>
        <v>#NAME?</v>
      </c>
      <c r="L167" s="0" t="e">
        <f aca="false">sheet1!aoz168</f>
        <v>#NAME?</v>
      </c>
      <c r="M167" s="0" t="e">
        <f aca="false">sheet1!apa168</f>
        <v>#NAME?</v>
      </c>
    </row>
    <row r="168" customFormat="false" ht="13.5" hidden="false" customHeight="false" outlineLevel="0" collapsed="false">
      <c r="A168" s="0" t="s">
        <v>71</v>
      </c>
      <c r="B168" s="1" t="n">
        <v>44028</v>
      </c>
      <c r="C168" s="0" t="e">
        <f aca="false">sheet1!aoq169</f>
        <v>#NAME?</v>
      </c>
      <c r="D168" s="0" t="e">
        <f aca="false">sheet1!aor169</f>
        <v>#NAME?</v>
      </c>
      <c r="E168" s="0" t="e">
        <f aca="false">sheet1!aos169</f>
        <v>#NAME?</v>
      </c>
      <c r="F168" s="0" t="e">
        <f aca="false">sheet1!aot169</f>
        <v>#NAME?</v>
      </c>
      <c r="G168" s="0" t="e">
        <f aca="false">sheet1!aou169</f>
        <v>#NAME?</v>
      </c>
      <c r="H168" s="0" t="e">
        <f aca="false">sheet1!aov169</f>
        <v>#NAME?</v>
      </c>
      <c r="I168" s="0" t="e">
        <f aca="false">sheet1!aow169</f>
        <v>#NAME?</v>
      </c>
      <c r="J168" s="0" t="e">
        <f aca="false">sheet1!aox169</f>
        <v>#NAME?</v>
      </c>
      <c r="K168" s="0" t="e">
        <f aca="false">sheet1!aoy169</f>
        <v>#NAME?</v>
      </c>
      <c r="L168" s="0" t="e">
        <f aca="false">sheet1!aoz169</f>
        <v>#NAME?</v>
      </c>
      <c r="M168" s="0" t="e">
        <f aca="false">sheet1!apa169</f>
        <v>#NAME?</v>
      </c>
    </row>
    <row r="169" customFormat="false" ht="13.5" hidden="false" customHeight="false" outlineLevel="0" collapsed="false">
      <c r="A169" s="0" t="s">
        <v>71</v>
      </c>
      <c r="B169" s="1" t="n">
        <v>44029</v>
      </c>
      <c r="C169" s="0" t="e">
        <f aca="false">sheet1!aoq170</f>
        <v>#NAME?</v>
      </c>
      <c r="D169" s="0" t="e">
        <f aca="false">sheet1!aor170</f>
        <v>#NAME?</v>
      </c>
      <c r="E169" s="0" t="e">
        <f aca="false">sheet1!aos170</f>
        <v>#NAME?</v>
      </c>
      <c r="F169" s="0" t="e">
        <f aca="false">sheet1!aot170</f>
        <v>#NAME?</v>
      </c>
      <c r="G169" s="0" t="e">
        <f aca="false">sheet1!aou170</f>
        <v>#NAME?</v>
      </c>
      <c r="H169" s="0" t="e">
        <f aca="false">sheet1!aov170</f>
        <v>#NAME?</v>
      </c>
      <c r="I169" s="0" t="e">
        <f aca="false">sheet1!aow170</f>
        <v>#NAME?</v>
      </c>
      <c r="J169" s="0" t="e">
        <f aca="false">sheet1!aox170</f>
        <v>#NAME?</v>
      </c>
      <c r="K169" s="0" t="e">
        <f aca="false">sheet1!aoy170</f>
        <v>#NAME?</v>
      </c>
      <c r="L169" s="0" t="e">
        <f aca="false">sheet1!aoz170</f>
        <v>#NAME?</v>
      </c>
      <c r="M169" s="0" t="e">
        <f aca="false">sheet1!apa170</f>
        <v>#NAME?</v>
      </c>
    </row>
    <row r="170" customFormat="false" ht="13.5" hidden="false" customHeight="false" outlineLevel="0" collapsed="false">
      <c r="A170" s="0" t="s">
        <v>71</v>
      </c>
      <c r="B170" s="1" t="n">
        <v>44030</v>
      </c>
      <c r="C170" s="0" t="e">
        <f aca="false">sheet1!aoq171</f>
        <v>#NAME?</v>
      </c>
      <c r="D170" s="0" t="e">
        <f aca="false">sheet1!aor171</f>
        <v>#NAME?</v>
      </c>
      <c r="E170" s="0" t="e">
        <f aca="false">sheet1!aos171</f>
        <v>#NAME?</v>
      </c>
      <c r="F170" s="0" t="e">
        <f aca="false">sheet1!aot171</f>
        <v>#NAME?</v>
      </c>
      <c r="G170" s="0" t="e">
        <f aca="false">sheet1!aou171</f>
        <v>#NAME?</v>
      </c>
      <c r="H170" s="0" t="e">
        <f aca="false">sheet1!aov171</f>
        <v>#NAME?</v>
      </c>
      <c r="I170" s="0" t="e">
        <f aca="false">sheet1!aow171</f>
        <v>#NAME?</v>
      </c>
      <c r="J170" s="0" t="e">
        <f aca="false">sheet1!aox171</f>
        <v>#NAME?</v>
      </c>
      <c r="K170" s="0" t="e">
        <f aca="false">sheet1!aoy171</f>
        <v>#NAME?</v>
      </c>
      <c r="L170" s="0" t="e">
        <f aca="false">sheet1!aoz171</f>
        <v>#NAME?</v>
      </c>
      <c r="M170" s="0" t="e">
        <f aca="false">sheet1!apa171</f>
        <v>#NAME?</v>
      </c>
    </row>
    <row r="171" customFormat="false" ht="13.5" hidden="false" customHeight="false" outlineLevel="0" collapsed="false">
      <c r="A171" s="0" t="s">
        <v>71</v>
      </c>
      <c r="B171" s="1" t="n">
        <v>44031</v>
      </c>
      <c r="C171" s="0" t="e">
        <f aca="false">sheet1!aoq172</f>
        <v>#NAME?</v>
      </c>
      <c r="D171" s="0" t="e">
        <f aca="false">sheet1!aor172</f>
        <v>#NAME?</v>
      </c>
      <c r="E171" s="0" t="e">
        <f aca="false">sheet1!aos172</f>
        <v>#NAME?</v>
      </c>
      <c r="F171" s="0" t="e">
        <f aca="false">sheet1!aot172</f>
        <v>#NAME?</v>
      </c>
      <c r="G171" s="0" t="e">
        <f aca="false">sheet1!aou172</f>
        <v>#NAME?</v>
      </c>
      <c r="H171" s="0" t="e">
        <f aca="false">sheet1!aov172</f>
        <v>#NAME?</v>
      </c>
      <c r="I171" s="0" t="e">
        <f aca="false">sheet1!aow172</f>
        <v>#NAME?</v>
      </c>
      <c r="J171" s="0" t="e">
        <f aca="false">sheet1!aox172</f>
        <v>#NAME?</v>
      </c>
      <c r="K171" s="0" t="e">
        <f aca="false">sheet1!aoy172</f>
        <v>#NAME?</v>
      </c>
      <c r="L171" s="0" t="e">
        <f aca="false">sheet1!aoz172</f>
        <v>#NAME?</v>
      </c>
      <c r="M171" s="0" t="e">
        <f aca="false">sheet1!apa172</f>
        <v>#NAME?</v>
      </c>
    </row>
    <row r="172" customFormat="false" ht="13.5" hidden="false" customHeight="false" outlineLevel="0" collapsed="false">
      <c r="A172" s="0" t="s">
        <v>71</v>
      </c>
      <c r="B172" s="1" t="n">
        <v>44032</v>
      </c>
      <c r="C172" s="0" t="e">
        <f aca="false">sheet1!aoq173</f>
        <v>#NAME?</v>
      </c>
      <c r="D172" s="0" t="e">
        <f aca="false">sheet1!aor173</f>
        <v>#NAME?</v>
      </c>
      <c r="E172" s="0" t="e">
        <f aca="false">sheet1!aos173</f>
        <v>#NAME?</v>
      </c>
      <c r="F172" s="0" t="e">
        <f aca="false">sheet1!aot173</f>
        <v>#NAME?</v>
      </c>
      <c r="G172" s="0" t="e">
        <f aca="false">sheet1!aou173</f>
        <v>#NAME?</v>
      </c>
      <c r="H172" s="0" t="e">
        <f aca="false">sheet1!aov173</f>
        <v>#NAME?</v>
      </c>
      <c r="I172" s="0" t="e">
        <f aca="false">sheet1!aow173</f>
        <v>#NAME?</v>
      </c>
      <c r="J172" s="0" t="e">
        <f aca="false">sheet1!aox173</f>
        <v>#NAME?</v>
      </c>
      <c r="K172" s="0" t="e">
        <f aca="false">sheet1!aoy173</f>
        <v>#NAME?</v>
      </c>
      <c r="L172" s="0" t="e">
        <f aca="false">sheet1!aoz173</f>
        <v>#NAME?</v>
      </c>
      <c r="M172" s="0" t="e">
        <f aca="false">sheet1!apa173</f>
        <v>#NAME?</v>
      </c>
    </row>
    <row r="173" customFormat="false" ht="13.5" hidden="false" customHeight="false" outlineLevel="0" collapsed="false">
      <c r="A173" s="0" t="s">
        <v>71</v>
      </c>
      <c r="B173" s="1" t="n">
        <v>44033</v>
      </c>
      <c r="C173" s="0" t="e">
        <f aca="false">sheet1!aoq174</f>
        <v>#NAME?</v>
      </c>
      <c r="D173" s="0" t="e">
        <f aca="false">sheet1!aor174</f>
        <v>#NAME?</v>
      </c>
      <c r="E173" s="0" t="e">
        <f aca="false">sheet1!aos174</f>
        <v>#NAME?</v>
      </c>
      <c r="F173" s="0" t="e">
        <f aca="false">sheet1!aot174</f>
        <v>#NAME?</v>
      </c>
      <c r="G173" s="0" t="e">
        <f aca="false">sheet1!aou174</f>
        <v>#NAME?</v>
      </c>
      <c r="H173" s="0" t="e">
        <f aca="false">sheet1!aov174</f>
        <v>#NAME?</v>
      </c>
      <c r="I173" s="0" t="e">
        <f aca="false">sheet1!aow174</f>
        <v>#NAME?</v>
      </c>
      <c r="J173" s="0" t="e">
        <f aca="false">sheet1!aox174</f>
        <v>#NAME?</v>
      </c>
      <c r="K173" s="0" t="e">
        <f aca="false">sheet1!aoy174</f>
        <v>#NAME?</v>
      </c>
      <c r="L173" s="0" t="e">
        <f aca="false">sheet1!aoz174</f>
        <v>#NAME?</v>
      </c>
      <c r="M173" s="0" t="e">
        <f aca="false">sheet1!apa174</f>
        <v>#NAME?</v>
      </c>
    </row>
    <row r="174" customFormat="false" ht="13.5" hidden="false" customHeight="false" outlineLevel="0" collapsed="false">
      <c r="A174" s="0" t="s">
        <v>71</v>
      </c>
      <c r="B174" s="1" t="n">
        <v>44034</v>
      </c>
      <c r="C174" s="0" t="e">
        <f aca="false">sheet1!aoq175</f>
        <v>#NAME?</v>
      </c>
      <c r="D174" s="0" t="e">
        <f aca="false">sheet1!aor175</f>
        <v>#NAME?</v>
      </c>
      <c r="E174" s="0" t="e">
        <f aca="false">sheet1!aos175</f>
        <v>#NAME?</v>
      </c>
      <c r="F174" s="0" t="e">
        <f aca="false">sheet1!aot175</f>
        <v>#NAME?</v>
      </c>
      <c r="G174" s="0" t="e">
        <f aca="false">sheet1!aou175</f>
        <v>#NAME?</v>
      </c>
      <c r="H174" s="0" t="e">
        <f aca="false">sheet1!aov175</f>
        <v>#NAME?</v>
      </c>
      <c r="I174" s="0" t="e">
        <f aca="false">sheet1!aow175</f>
        <v>#NAME?</v>
      </c>
      <c r="J174" s="0" t="e">
        <f aca="false">sheet1!aox175</f>
        <v>#NAME?</v>
      </c>
      <c r="K174" s="0" t="e">
        <f aca="false">sheet1!aoy175</f>
        <v>#NAME?</v>
      </c>
      <c r="L174" s="0" t="e">
        <f aca="false">sheet1!aoz175</f>
        <v>#NAME?</v>
      </c>
      <c r="M174" s="0" t="e">
        <f aca="false">sheet1!apa175</f>
        <v>#NAME?</v>
      </c>
    </row>
    <row r="175" customFormat="false" ht="13.5" hidden="false" customHeight="false" outlineLevel="0" collapsed="false">
      <c r="A175" s="0" t="s">
        <v>71</v>
      </c>
      <c r="B175" s="1" t="n">
        <v>44035</v>
      </c>
      <c r="C175" s="0" t="e">
        <f aca="false">sheet1!aoq176</f>
        <v>#NAME?</v>
      </c>
      <c r="D175" s="0" t="e">
        <f aca="false">sheet1!aor176</f>
        <v>#NAME?</v>
      </c>
      <c r="E175" s="0" t="e">
        <f aca="false">sheet1!aos176</f>
        <v>#NAME?</v>
      </c>
      <c r="F175" s="0" t="e">
        <f aca="false">sheet1!aot176</f>
        <v>#NAME?</v>
      </c>
      <c r="G175" s="0" t="e">
        <f aca="false">sheet1!aou176</f>
        <v>#NAME?</v>
      </c>
      <c r="H175" s="0" t="e">
        <f aca="false">sheet1!aov176</f>
        <v>#NAME?</v>
      </c>
      <c r="I175" s="0" t="e">
        <f aca="false">sheet1!aow176</f>
        <v>#NAME?</v>
      </c>
      <c r="J175" s="0" t="e">
        <f aca="false">sheet1!aox176</f>
        <v>#NAME?</v>
      </c>
      <c r="K175" s="0" t="e">
        <f aca="false">sheet1!aoy176</f>
        <v>#NAME?</v>
      </c>
      <c r="L175" s="0" t="e">
        <f aca="false">sheet1!aoz176</f>
        <v>#NAME?</v>
      </c>
      <c r="M175" s="0" t="e">
        <f aca="false">sheet1!apa176</f>
        <v>#NAME?</v>
      </c>
    </row>
    <row r="176" customFormat="false" ht="13.5" hidden="false" customHeight="false" outlineLevel="0" collapsed="false">
      <c r="A176" s="0" t="s">
        <v>71</v>
      </c>
      <c r="B176" s="1" t="n">
        <v>44036</v>
      </c>
      <c r="C176" s="0" t="e">
        <f aca="false">sheet1!aoq177</f>
        <v>#NAME?</v>
      </c>
      <c r="D176" s="0" t="e">
        <f aca="false">sheet1!aor177</f>
        <v>#NAME?</v>
      </c>
      <c r="E176" s="0" t="e">
        <f aca="false">sheet1!aos177</f>
        <v>#NAME?</v>
      </c>
      <c r="F176" s="0" t="e">
        <f aca="false">sheet1!aot177</f>
        <v>#NAME?</v>
      </c>
      <c r="G176" s="0" t="e">
        <f aca="false">sheet1!aou177</f>
        <v>#NAME?</v>
      </c>
      <c r="H176" s="0" t="e">
        <f aca="false">sheet1!aov177</f>
        <v>#NAME?</v>
      </c>
      <c r="I176" s="0" t="e">
        <f aca="false">sheet1!aow177</f>
        <v>#NAME?</v>
      </c>
      <c r="J176" s="0" t="e">
        <f aca="false">sheet1!aox177</f>
        <v>#NAME?</v>
      </c>
      <c r="K176" s="0" t="e">
        <f aca="false">sheet1!aoy177</f>
        <v>#NAME?</v>
      </c>
      <c r="L176" s="0" t="e">
        <f aca="false">sheet1!aoz177</f>
        <v>#NAME?</v>
      </c>
      <c r="M176" s="0" t="e">
        <f aca="false">sheet1!apa177</f>
        <v>#NAME?</v>
      </c>
    </row>
    <row r="177" customFormat="false" ht="13.5" hidden="false" customHeight="false" outlineLevel="0" collapsed="false">
      <c r="A177" s="0" t="s">
        <v>71</v>
      </c>
      <c r="B177" s="1" t="n">
        <v>44037</v>
      </c>
      <c r="C177" s="0" t="e">
        <f aca="false">sheet1!aoq178</f>
        <v>#NAME?</v>
      </c>
      <c r="D177" s="0" t="e">
        <f aca="false">sheet1!aor178</f>
        <v>#NAME?</v>
      </c>
      <c r="E177" s="0" t="e">
        <f aca="false">sheet1!aos178</f>
        <v>#NAME?</v>
      </c>
      <c r="F177" s="0" t="e">
        <f aca="false">sheet1!aot178</f>
        <v>#NAME?</v>
      </c>
      <c r="G177" s="0" t="e">
        <f aca="false">sheet1!aou178</f>
        <v>#NAME?</v>
      </c>
      <c r="H177" s="0" t="e">
        <f aca="false">sheet1!aov178</f>
        <v>#NAME?</v>
      </c>
      <c r="I177" s="0" t="e">
        <f aca="false">sheet1!aow178</f>
        <v>#NAME?</v>
      </c>
      <c r="J177" s="0" t="e">
        <f aca="false">sheet1!aox178</f>
        <v>#NAME?</v>
      </c>
      <c r="K177" s="0" t="e">
        <f aca="false">sheet1!aoy178</f>
        <v>#NAME?</v>
      </c>
      <c r="L177" s="0" t="e">
        <f aca="false">sheet1!aoz178</f>
        <v>#NAME?</v>
      </c>
      <c r="M177" s="0" t="e">
        <f aca="false">sheet1!apa178</f>
        <v>#NAME?</v>
      </c>
    </row>
    <row r="178" customFormat="false" ht="13.5" hidden="false" customHeight="false" outlineLevel="0" collapsed="false">
      <c r="A178" s="0" t="s">
        <v>71</v>
      </c>
      <c r="B178" s="1" t="n">
        <v>44038</v>
      </c>
      <c r="C178" s="0" t="e">
        <f aca="false">sheet1!aoq179</f>
        <v>#NAME?</v>
      </c>
      <c r="D178" s="0" t="e">
        <f aca="false">sheet1!aor179</f>
        <v>#NAME?</v>
      </c>
      <c r="E178" s="0" t="e">
        <f aca="false">sheet1!aos179</f>
        <v>#NAME?</v>
      </c>
      <c r="F178" s="0" t="e">
        <f aca="false">sheet1!aot179</f>
        <v>#NAME?</v>
      </c>
      <c r="G178" s="0" t="e">
        <f aca="false">sheet1!aou179</f>
        <v>#NAME?</v>
      </c>
      <c r="H178" s="0" t="e">
        <f aca="false">sheet1!aov179</f>
        <v>#NAME?</v>
      </c>
      <c r="I178" s="0" t="e">
        <f aca="false">sheet1!aow179</f>
        <v>#NAME?</v>
      </c>
      <c r="J178" s="0" t="e">
        <f aca="false">sheet1!aox179</f>
        <v>#NAME?</v>
      </c>
      <c r="K178" s="0" t="e">
        <f aca="false">sheet1!aoy179</f>
        <v>#NAME?</v>
      </c>
      <c r="L178" s="0" t="e">
        <f aca="false">sheet1!aoz179</f>
        <v>#NAME?</v>
      </c>
      <c r="M178" s="0" t="e">
        <f aca="false">sheet1!apa179</f>
        <v>#NAME?</v>
      </c>
    </row>
    <row r="179" customFormat="false" ht="13.5" hidden="false" customHeight="false" outlineLevel="0" collapsed="false">
      <c r="A179" s="0" t="s">
        <v>71</v>
      </c>
      <c r="B179" s="1" t="n">
        <v>44039</v>
      </c>
      <c r="C179" s="0" t="e">
        <f aca="false">sheet1!aoq180</f>
        <v>#NAME?</v>
      </c>
      <c r="D179" s="0" t="e">
        <f aca="false">sheet1!aor180</f>
        <v>#NAME?</v>
      </c>
      <c r="E179" s="0" t="e">
        <f aca="false">sheet1!aos180</f>
        <v>#NAME?</v>
      </c>
      <c r="F179" s="0" t="e">
        <f aca="false">sheet1!aot180</f>
        <v>#NAME?</v>
      </c>
      <c r="G179" s="0" t="e">
        <f aca="false">sheet1!aou180</f>
        <v>#NAME?</v>
      </c>
      <c r="H179" s="0" t="e">
        <f aca="false">sheet1!aov180</f>
        <v>#NAME?</v>
      </c>
      <c r="I179" s="0" t="e">
        <f aca="false">sheet1!aow180</f>
        <v>#NAME?</v>
      </c>
      <c r="J179" s="0" t="e">
        <f aca="false">sheet1!aox180</f>
        <v>#NAME?</v>
      </c>
      <c r="K179" s="0" t="e">
        <f aca="false">sheet1!aoy180</f>
        <v>#NAME?</v>
      </c>
      <c r="L179" s="0" t="e">
        <f aca="false">sheet1!aoz180</f>
        <v>#NAME?</v>
      </c>
      <c r="M179" s="0" t="e">
        <f aca="false">sheet1!apa180</f>
        <v>#NAME?</v>
      </c>
    </row>
    <row r="180" customFormat="false" ht="13.5" hidden="false" customHeight="false" outlineLevel="0" collapsed="false">
      <c r="A180" s="0" t="s">
        <v>71</v>
      </c>
      <c r="B180" s="1" t="n">
        <v>44040</v>
      </c>
      <c r="C180" s="0" t="e">
        <f aca="false">sheet1!aoq181</f>
        <v>#NAME?</v>
      </c>
      <c r="D180" s="0" t="e">
        <f aca="false">sheet1!aor181</f>
        <v>#NAME?</v>
      </c>
      <c r="E180" s="0" t="e">
        <f aca="false">sheet1!aos181</f>
        <v>#NAME?</v>
      </c>
      <c r="F180" s="0" t="e">
        <f aca="false">sheet1!aot181</f>
        <v>#NAME?</v>
      </c>
      <c r="G180" s="0" t="e">
        <f aca="false">sheet1!aou181</f>
        <v>#NAME?</v>
      </c>
      <c r="H180" s="0" t="e">
        <f aca="false">sheet1!aov181</f>
        <v>#NAME?</v>
      </c>
      <c r="I180" s="0" t="e">
        <f aca="false">sheet1!aow181</f>
        <v>#NAME?</v>
      </c>
      <c r="J180" s="0" t="e">
        <f aca="false">sheet1!aox181</f>
        <v>#NAME?</v>
      </c>
      <c r="K180" s="0" t="e">
        <f aca="false">sheet1!aoy181</f>
        <v>#NAME?</v>
      </c>
      <c r="L180" s="0" t="e">
        <f aca="false">sheet1!aoz181</f>
        <v>#NAME?</v>
      </c>
      <c r="M180" s="0" t="e">
        <f aca="false">sheet1!apa181</f>
        <v>#NAME?</v>
      </c>
    </row>
    <row r="181" customFormat="false" ht="13.5" hidden="false" customHeight="false" outlineLevel="0" collapsed="false">
      <c r="A181" s="0" t="s">
        <v>71</v>
      </c>
      <c r="B181" s="1" t="n">
        <v>44041</v>
      </c>
      <c r="C181" s="0" t="e">
        <f aca="false">sheet1!aoq182</f>
        <v>#NAME?</v>
      </c>
      <c r="D181" s="0" t="e">
        <f aca="false">sheet1!aor182</f>
        <v>#NAME?</v>
      </c>
      <c r="E181" s="0" t="e">
        <f aca="false">sheet1!aos182</f>
        <v>#NAME?</v>
      </c>
      <c r="F181" s="0" t="e">
        <f aca="false">sheet1!aot182</f>
        <v>#NAME?</v>
      </c>
      <c r="G181" s="0" t="e">
        <f aca="false">sheet1!aou182</f>
        <v>#NAME?</v>
      </c>
      <c r="H181" s="0" t="e">
        <f aca="false">sheet1!aov182</f>
        <v>#NAME?</v>
      </c>
      <c r="I181" s="0" t="e">
        <f aca="false">sheet1!aow182</f>
        <v>#NAME?</v>
      </c>
      <c r="J181" s="0" t="e">
        <f aca="false">sheet1!aox182</f>
        <v>#NAME?</v>
      </c>
      <c r="K181" s="0" t="e">
        <f aca="false">sheet1!aoy182</f>
        <v>#NAME?</v>
      </c>
      <c r="L181" s="0" t="e">
        <f aca="false">sheet1!aoz182</f>
        <v>#NAME?</v>
      </c>
      <c r="M181" s="0" t="e">
        <f aca="false">sheet1!apa182</f>
        <v>#NAME?</v>
      </c>
    </row>
    <row r="182" customFormat="false" ht="13.5" hidden="false" customHeight="false" outlineLevel="0" collapsed="false">
      <c r="A182" s="0" t="s">
        <v>71</v>
      </c>
      <c r="B182" s="1" t="n">
        <v>44042</v>
      </c>
      <c r="C182" s="0" t="e">
        <f aca="false">sheet1!aoq183</f>
        <v>#NAME?</v>
      </c>
      <c r="D182" s="0" t="e">
        <f aca="false">sheet1!aor183</f>
        <v>#NAME?</v>
      </c>
      <c r="E182" s="0" t="e">
        <f aca="false">sheet1!aos183</f>
        <v>#NAME?</v>
      </c>
      <c r="F182" s="0" t="e">
        <f aca="false">sheet1!aot183</f>
        <v>#NAME?</v>
      </c>
      <c r="G182" s="0" t="e">
        <f aca="false">sheet1!aou183</f>
        <v>#NAME?</v>
      </c>
      <c r="H182" s="0" t="e">
        <f aca="false">sheet1!aov183</f>
        <v>#NAME?</v>
      </c>
      <c r="I182" s="0" t="e">
        <f aca="false">sheet1!aow183</f>
        <v>#NAME?</v>
      </c>
      <c r="J182" s="0" t="e">
        <f aca="false">sheet1!aox183</f>
        <v>#NAME?</v>
      </c>
      <c r="K182" s="0" t="e">
        <f aca="false">sheet1!aoy183</f>
        <v>#NAME?</v>
      </c>
      <c r="L182" s="0" t="e">
        <f aca="false">sheet1!aoz183</f>
        <v>#NAME?</v>
      </c>
      <c r="M182" s="0" t="e">
        <f aca="false">sheet1!apa183</f>
        <v>#NAME?</v>
      </c>
    </row>
    <row r="183" customFormat="false" ht="13.5" hidden="false" customHeight="false" outlineLevel="0" collapsed="false">
      <c r="A183" s="0" t="s">
        <v>71</v>
      </c>
      <c r="B183" s="1" t="n">
        <v>44043</v>
      </c>
      <c r="C183" s="0" t="e">
        <f aca="false">sheet1!aoq184</f>
        <v>#NAME?</v>
      </c>
      <c r="D183" s="0" t="e">
        <f aca="false">sheet1!aor184</f>
        <v>#NAME?</v>
      </c>
      <c r="E183" s="0" t="e">
        <f aca="false">sheet1!aos184</f>
        <v>#NAME?</v>
      </c>
      <c r="F183" s="0" t="e">
        <f aca="false">sheet1!aot184</f>
        <v>#NAME?</v>
      </c>
      <c r="G183" s="0" t="e">
        <f aca="false">sheet1!aou184</f>
        <v>#NAME?</v>
      </c>
      <c r="H183" s="0" t="e">
        <f aca="false">sheet1!aov184</f>
        <v>#NAME?</v>
      </c>
      <c r="I183" s="0" t="e">
        <f aca="false">sheet1!aow184</f>
        <v>#NAME?</v>
      </c>
      <c r="J183" s="0" t="e">
        <f aca="false">sheet1!aox184</f>
        <v>#NAME?</v>
      </c>
      <c r="K183" s="0" t="e">
        <f aca="false">sheet1!aoy184</f>
        <v>#NAME?</v>
      </c>
      <c r="L183" s="0" t="e">
        <f aca="false">sheet1!aoz184</f>
        <v>#NAME?</v>
      </c>
      <c r="M183" s="0" t="e">
        <f aca="false">sheet1!apa184</f>
        <v>#NAME?</v>
      </c>
    </row>
    <row r="184" customFormat="false" ht="13.5" hidden="false" customHeight="false" outlineLevel="0" collapsed="false">
      <c r="A184" s="0" t="s">
        <v>71</v>
      </c>
      <c r="B184" s="1" t="n">
        <v>44044</v>
      </c>
      <c r="C184" s="0" t="e">
        <f aca="false">sheet1!aoq185</f>
        <v>#NAME?</v>
      </c>
      <c r="D184" s="0" t="e">
        <f aca="false">sheet1!aor185</f>
        <v>#NAME?</v>
      </c>
      <c r="E184" s="0" t="e">
        <f aca="false">sheet1!aos185</f>
        <v>#NAME?</v>
      </c>
      <c r="F184" s="0" t="e">
        <f aca="false">sheet1!aot185</f>
        <v>#NAME?</v>
      </c>
      <c r="G184" s="0" t="e">
        <f aca="false">sheet1!aou185</f>
        <v>#NAME?</v>
      </c>
      <c r="H184" s="0" t="e">
        <f aca="false">sheet1!aov185</f>
        <v>#NAME?</v>
      </c>
      <c r="I184" s="0" t="e">
        <f aca="false">sheet1!aow185</f>
        <v>#NAME?</v>
      </c>
      <c r="J184" s="0" t="e">
        <f aca="false">sheet1!aox185</f>
        <v>#NAME?</v>
      </c>
      <c r="K184" s="0" t="e">
        <f aca="false">sheet1!aoy185</f>
        <v>#NAME?</v>
      </c>
      <c r="L184" s="0" t="e">
        <f aca="false">sheet1!aoz185</f>
        <v>#NAME?</v>
      </c>
      <c r="M184" s="0" t="e">
        <f aca="false">sheet1!apa185</f>
        <v>#NAME?</v>
      </c>
    </row>
    <row r="185" customFormat="false" ht="13.5" hidden="false" customHeight="false" outlineLevel="0" collapsed="false">
      <c r="A185" s="0" t="s">
        <v>71</v>
      </c>
      <c r="B185" s="1" t="n">
        <v>44045</v>
      </c>
      <c r="C185" s="0" t="e">
        <f aca="false">sheet1!aoq186</f>
        <v>#NAME?</v>
      </c>
      <c r="D185" s="0" t="e">
        <f aca="false">sheet1!aor186</f>
        <v>#NAME?</v>
      </c>
      <c r="E185" s="0" t="e">
        <f aca="false">sheet1!aos186</f>
        <v>#NAME?</v>
      </c>
      <c r="F185" s="0" t="e">
        <f aca="false">sheet1!aot186</f>
        <v>#NAME?</v>
      </c>
      <c r="G185" s="0" t="e">
        <f aca="false">sheet1!aou186</f>
        <v>#NAME?</v>
      </c>
      <c r="H185" s="0" t="e">
        <f aca="false">sheet1!aov186</f>
        <v>#NAME?</v>
      </c>
      <c r="I185" s="0" t="e">
        <f aca="false">sheet1!aow186</f>
        <v>#NAME?</v>
      </c>
      <c r="J185" s="0" t="e">
        <f aca="false">sheet1!aox186</f>
        <v>#NAME?</v>
      </c>
      <c r="K185" s="0" t="e">
        <f aca="false">sheet1!aoy186</f>
        <v>#NAME?</v>
      </c>
      <c r="L185" s="0" t="e">
        <f aca="false">sheet1!aoz186</f>
        <v>#NAME?</v>
      </c>
      <c r="M185" s="0" t="e">
        <f aca="false">sheet1!apa186</f>
        <v>#NAME?</v>
      </c>
    </row>
    <row r="186" customFormat="false" ht="13.5" hidden="false" customHeight="false" outlineLevel="0" collapsed="false">
      <c r="A186" s="0" t="s">
        <v>71</v>
      </c>
      <c r="B186" s="1" t="n">
        <v>44046</v>
      </c>
      <c r="C186" s="0" t="e">
        <f aca="false">sheet1!aoq187</f>
        <v>#NAME?</v>
      </c>
      <c r="D186" s="0" t="e">
        <f aca="false">sheet1!aor187</f>
        <v>#NAME?</v>
      </c>
      <c r="E186" s="0" t="e">
        <f aca="false">sheet1!aos187</f>
        <v>#NAME?</v>
      </c>
      <c r="F186" s="0" t="e">
        <f aca="false">sheet1!aot187</f>
        <v>#NAME?</v>
      </c>
      <c r="G186" s="0" t="e">
        <f aca="false">sheet1!aou187</f>
        <v>#NAME?</v>
      </c>
      <c r="H186" s="0" t="e">
        <f aca="false">sheet1!aov187</f>
        <v>#NAME?</v>
      </c>
      <c r="I186" s="0" t="e">
        <f aca="false">sheet1!aow187</f>
        <v>#NAME?</v>
      </c>
      <c r="J186" s="0" t="e">
        <f aca="false">sheet1!aox187</f>
        <v>#NAME?</v>
      </c>
      <c r="K186" s="0" t="e">
        <f aca="false">sheet1!aoy187</f>
        <v>#NAME?</v>
      </c>
      <c r="L186" s="0" t="e">
        <f aca="false">sheet1!aoz187</f>
        <v>#NAME?</v>
      </c>
      <c r="M186" s="0" t="e">
        <f aca="false">sheet1!apa187</f>
        <v>#NAME?</v>
      </c>
    </row>
    <row r="187" customFormat="false" ht="13.5" hidden="false" customHeight="false" outlineLevel="0" collapsed="false">
      <c r="A187" s="0" t="s">
        <v>71</v>
      </c>
      <c r="B187" s="1" t="n">
        <v>44047</v>
      </c>
      <c r="C187" s="0" t="e">
        <f aca="false">sheet1!aoq188</f>
        <v>#NAME?</v>
      </c>
      <c r="D187" s="0" t="e">
        <f aca="false">sheet1!aor188</f>
        <v>#NAME?</v>
      </c>
      <c r="E187" s="0" t="e">
        <f aca="false">sheet1!aos188</f>
        <v>#NAME?</v>
      </c>
      <c r="F187" s="0" t="e">
        <f aca="false">sheet1!aot188</f>
        <v>#NAME?</v>
      </c>
      <c r="G187" s="0" t="e">
        <f aca="false">sheet1!aou188</f>
        <v>#NAME?</v>
      </c>
      <c r="H187" s="0" t="e">
        <f aca="false">sheet1!aov188</f>
        <v>#NAME?</v>
      </c>
      <c r="I187" s="0" t="e">
        <f aca="false">sheet1!aow188</f>
        <v>#NAME?</v>
      </c>
      <c r="J187" s="0" t="e">
        <f aca="false">sheet1!aox188</f>
        <v>#NAME?</v>
      </c>
      <c r="K187" s="0" t="e">
        <f aca="false">sheet1!aoy188</f>
        <v>#NAME?</v>
      </c>
      <c r="L187" s="0" t="e">
        <f aca="false">sheet1!aoz188</f>
        <v>#NAME?</v>
      </c>
      <c r="M187" s="0" t="e">
        <f aca="false">sheet1!apa188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72</v>
      </c>
      <c r="B2" s="1" t="n">
        <v>43862</v>
      </c>
    </row>
    <row r="3" customFormat="false" ht="13.5" hidden="false" customHeight="false" outlineLevel="0" collapsed="false">
      <c r="A3" s="0" t="s">
        <v>72</v>
      </c>
      <c r="B3" s="1" t="n">
        <v>43863</v>
      </c>
    </row>
    <row r="4" customFormat="false" ht="13.5" hidden="false" customHeight="false" outlineLevel="0" collapsed="false">
      <c r="A4" s="0" t="s">
        <v>72</v>
      </c>
      <c r="B4" s="1" t="n">
        <v>43864</v>
      </c>
    </row>
    <row r="5" customFormat="false" ht="13.5" hidden="false" customHeight="false" outlineLevel="0" collapsed="false">
      <c r="A5" s="0" t="s">
        <v>72</v>
      </c>
      <c r="B5" s="1" t="n">
        <v>43865</v>
      </c>
    </row>
    <row r="6" customFormat="false" ht="13.5" hidden="false" customHeight="false" outlineLevel="0" collapsed="false">
      <c r="A6" s="0" t="s">
        <v>72</v>
      </c>
      <c r="B6" s="1" t="n">
        <v>43866</v>
      </c>
    </row>
    <row r="7" customFormat="false" ht="13.5" hidden="false" customHeight="false" outlineLevel="0" collapsed="false">
      <c r="A7" s="0" t="s">
        <v>72</v>
      </c>
      <c r="B7" s="1" t="n">
        <v>43867</v>
      </c>
    </row>
    <row r="8" customFormat="false" ht="13.5" hidden="false" customHeight="false" outlineLevel="0" collapsed="false">
      <c r="A8" s="0" t="s">
        <v>72</v>
      </c>
      <c r="B8" s="1" t="n">
        <v>43868</v>
      </c>
    </row>
    <row r="9" customFormat="false" ht="13.5" hidden="false" customHeight="false" outlineLevel="0" collapsed="false">
      <c r="A9" s="0" t="s">
        <v>72</v>
      </c>
      <c r="B9" s="1" t="n">
        <v>43869</v>
      </c>
    </row>
    <row r="10" customFormat="false" ht="13.5" hidden="false" customHeight="false" outlineLevel="0" collapsed="false">
      <c r="A10" s="0" t="s">
        <v>72</v>
      </c>
      <c r="B10" s="1" t="n">
        <v>43870</v>
      </c>
    </row>
    <row r="11" customFormat="false" ht="13.5" hidden="false" customHeight="false" outlineLevel="0" collapsed="false">
      <c r="A11" s="0" t="s">
        <v>72</v>
      </c>
      <c r="B11" s="1" t="n">
        <v>43871</v>
      </c>
    </row>
    <row r="12" customFormat="false" ht="13.5" hidden="false" customHeight="false" outlineLevel="0" collapsed="false">
      <c r="A12" s="0" t="s">
        <v>72</v>
      </c>
      <c r="B12" s="1" t="n">
        <v>43872</v>
      </c>
    </row>
    <row r="13" customFormat="false" ht="13.5" hidden="false" customHeight="false" outlineLevel="0" collapsed="false">
      <c r="A13" s="0" t="s">
        <v>72</v>
      </c>
      <c r="B13" s="1" t="n">
        <v>43873</v>
      </c>
    </row>
    <row r="14" customFormat="false" ht="13.5" hidden="false" customHeight="false" outlineLevel="0" collapsed="false">
      <c r="A14" s="0" t="s">
        <v>72</v>
      </c>
      <c r="B14" s="1" t="n">
        <v>43874</v>
      </c>
    </row>
    <row r="15" customFormat="false" ht="13.5" hidden="false" customHeight="false" outlineLevel="0" collapsed="false">
      <c r="A15" s="0" t="s">
        <v>72</v>
      </c>
      <c r="B15" s="1" t="n">
        <v>43875</v>
      </c>
    </row>
    <row r="16" customFormat="false" ht="13.5" hidden="false" customHeight="false" outlineLevel="0" collapsed="false">
      <c r="A16" s="0" t="s">
        <v>72</v>
      </c>
      <c r="B16" s="1" t="n">
        <v>43876</v>
      </c>
    </row>
    <row r="17" customFormat="false" ht="13.5" hidden="false" customHeight="false" outlineLevel="0" collapsed="false">
      <c r="A17" s="0" t="s">
        <v>72</v>
      </c>
      <c r="B17" s="1" t="n">
        <v>43877</v>
      </c>
    </row>
    <row r="18" customFormat="false" ht="13.5" hidden="false" customHeight="false" outlineLevel="0" collapsed="false">
      <c r="A18" s="0" t="s">
        <v>72</v>
      </c>
      <c r="B18" s="1" t="n">
        <v>43878</v>
      </c>
    </row>
    <row r="19" customFormat="false" ht="13.5" hidden="false" customHeight="false" outlineLevel="0" collapsed="false">
      <c r="A19" s="0" t="s">
        <v>72</v>
      </c>
      <c r="B19" s="1" t="n">
        <v>43879</v>
      </c>
    </row>
    <row r="20" customFormat="false" ht="13.5" hidden="false" customHeight="false" outlineLevel="0" collapsed="false">
      <c r="A20" s="0" t="s">
        <v>72</v>
      </c>
      <c r="B20" s="1" t="n">
        <v>43880</v>
      </c>
    </row>
    <row r="21" customFormat="false" ht="13.5" hidden="false" customHeight="false" outlineLevel="0" collapsed="false">
      <c r="A21" s="0" t="s">
        <v>72</v>
      </c>
      <c r="B21" s="1" t="n">
        <v>43881</v>
      </c>
    </row>
    <row r="22" customFormat="false" ht="13.5" hidden="false" customHeight="false" outlineLevel="0" collapsed="false">
      <c r="A22" s="0" t="s">
        <v>72</v>
      </c>
      <c r="B22" s="1" t="n">
        <v>43882</v>
      </c>
    </row>
    <row r="23" customFormat="false" ht="13.5" hidden="false" customHeight="false" outlineLevel="0" collapsed="false">
      <c r="A23" s="0" t="s">
        <v>72</v>
      </c>
      <c r="B23" s="1" t="n">
        <v>43883</v>
      </c>
    </row>
    <row r="24" customFormat="false" ht="13.5" hidden="false" customHeight="false" outlineLevel="0" collapsed="false">
      <c r="A24" s="0" t="s">
        <v>72</v>
      </c>
      <c r="B24" s="1" t="n">
        <v>43884</v>
      </c>
    </row>
    <row r="25" customFormat="false" ht="13.5" hidden="false" customHeight="false" outlineLevel="0" collapsed="false">
      <c r="A25" s="0" t="s">
        <v>72</v>
      </c>
      <c r="B25" s="1" t="n">
        <v>43885</v>
      </c>
    </row>
    <row r="26" customFormat="false" ht="13.5" hidden="false" customHeight="false" outlineLevel="0" collapsed="false">
      <c r="A26" s="0" t="s">
        <v>72</v>
      </c>
      <c r="B26" s="1" t="n">
        <v>43886</v>
      </c>
    </row>
    <row r="27" customFormat="false" ht="13.5" hidden="false" customHeight="false" outlineLevel="0" collapsed="false">
      <c r="A27" s="0" t="s">
        <v>72</v>
      </c>
      <c r="B27" s="1" t="n">
        <v>43887</v>
      </c>
    </row>
    <row r="28" customFormat="false" ht="13.5" hidden="false" customHeight="false" outlineLevel="0" collapsed="false">
      <c r="A28" s="0" t="s">
        <v>72</v>
      </c>
      <c r="B28" s="1" t="n">
        <v>43888</v>
      </c>
    </row>
    <row r="29" customFormat="false" ht="13.5" hidden="false" customHeight="false" outlineLevel="0" collapsed="false">
      <c r="A29" s="0" t="s">
        <v>72</v>
      </c>
      <c r="B29" s="1" t="n">
        <v>43889</v>
      </c>
    </row>
    <row r="30" customFormat="false" ht="13.5" hidden="false" customHeight="false" outlineLevel="0" collapsed="false">
      <c r="A30" s="0" t="s">
        <v>72</v>
      </c>
      <c r="B30" s="1" t="n">
        <v>43890</v>
      </c>
    </row>
    <row r="31" customFormat="false" ht="13.5" hidden="false" customHeight="false" outlineLevel="0" collapsed="false">
      <c r="A31" s="0" t="s">
        <v>72</v>
      </c>
      <c r="B31" s="1" t="n">
        <v>43891</v>
      </c>
    </row>
    <row r="32" customFormat="false" ht="13.5" hidden="false" customHeight="false" outlineLevel="0" collapsed="false">
      <c r="A32" s="0" t="s">
        <v>72</v>
      </c>
      <c r="B32" s="1" t="n">
        <v>43892</v>
      </c>
    </row>
    <row r="33" customFormat="false" ht="13.5" hidden="false" customHeight="false" outlineLevel="0" collapsed="false">
      <c r="A33" s="0" t="s">
        <v>72</v>
      </c>
      <c r="B33" s="1" t="n">
        <v>43893</v>
      </c>
    </row>
    <row r="34" customFormat="false" ht="13.5" hidden="false" customHeight="false" outlineLevel="0" collapsed="false">
      <c r="A34" s="0" t="s">
        <v>72</v>
      </c>
      <c r="B34" s="1" t="n">
        <v>43894</v>
      </c>
    </row>
    <row r="35" customFormat="false" ht="13.5" hidden="false" customHeight="false" outlineLevel="0" collapsed="false">
      <c r="A35" s="0" t="s">
        <v>72</v>
      </c>
      <c r="B35" s="1" t="n">
        <v>43895</v>
      </c>
    </row>
    <row r="36" customFormat="false" ht="13.5" hidden="false" customHeight="false" outlineLevel="0" collapsed="false">
      <c r="A36" s="0" t="s">
        <v>72</v>
      </c>
      <c r="B36" s="1" t="n">
        <v>43896</v>
      </c>
    </row>
    <row r="37" customFormat="false" ht="13.5" hidden="false" customHeight="false" outlineLevel="0" collapsed="false">
      <c r="A37" s="0" t="s">
        <v>72</v>
      </c>
      <c r="B37" s="1" t="n">
        <v>43897</v>
      </c>
      <c r="C37" s="0" t="n">
        <v>1</v>
      </c>
      <c r="D37" s="0" t="n">
        <v>1</v>
      </c>
      <c r="G37" s="0" t="n">
        <v>1</v>
      </c>
    </row>
    <row r="38" customFormat="false" ht="13.5" hidden="false" customHeight="false" outlineLevel="0" collapsed="false">
      <c r="A38" s="0" t="s">
        <v>72</v>
      </c>
      <c r="B38" s="1" t="n">
        <v>43898</v>
      </c>
      <c r="C38" s="0" t="n">
        <v>1</v>
      </c>
      <c r="D38" s="0" t="n">
        <v>0</v>
      </c>
      <c r="H38" s="0" t="n">
        <v>1</v>
      </c>
    </row>
    <row r="39" customFormat="false" ht="13.5" hidden="false" customHeight="false" outlineLevel="0" collapsed="false">
      <c r="A39" s="0" t="s">
        <v>72</v>
      </c>
      <c r="B39" s="1" t="n">
        <v>43899</v>
      </c>
      <c r="C39" s="0" t="n">
        <v>1</v>
      </c>
      <c r="D39" s="0" t="n">
        <v>0</v>
      </c>
      <c r="H39" s="0" t="n">
        <v>1</v>
      </c>
      <c r="J39" s="0" t="n">
        <v>0.2</v>
      </c>
    </row>
    <row r="40" customFormat="false" ht="13.5" hidden="false" customHeight="false" outlineLevel="0" collapsed="false">
      <c r="A40" s="0" t="s">
        <v>72</v>
      </c>
      <c r="B40" s="1" t="n">
        <v>43900</v>
      </c>
      <c r="C40" s="0" t="n">
        <v>1</v>
      </c>
      <c r="D40" s="0" t="n">
        <v>0</v>
      </c>
      <c r="H40" s="0" t="n">
        <v>1</v>
      </c>
      <c r="J40" s="0" t="n">
        <v>0.2</v>
      </c>
    </row>
    <row r="41" customFormat="false" ht="13.5" hidden="false" customHeight="false" outlineLevel="0" collapsed="false">
      <c r="A41" s="0" t="s">
        <v>72</v>
      </c>
      <c r="B41" s="1" t="n">
        <v>43901</v>
      </c>
      <c r="C41" s="0" t="n">
        <v>3</v>
      </c>
      <c r="D41" s="0" t="n">
        <v>2</v>
      </c>
      <c r="H41" s="0" t="n">
        <v>3</v>
      </c>
      <c r="J41" s="0" t="n">
        <v>0.7</v>
      </c>
    </row>
    <row r="42" customFormat="false" ht="13.5" hidden="false" customHeight="false" outlineLevel="0" collapsed="false">
      <c r="A42" s="0" t="s">
        <v>72</v>
      </c>
      <c r="B42" s="1" t="n">
        <v>43902</v>
      </c>
      <c r="C42" s="0" t="n">
        <v>3</v>
      </c>
      <c r="D42" s="0" t="n">
        <v>0</v>
      </c>
      <c r="H42" s="0" t="n">
        <v>3</v>
      </c>
      <c r="J42" s="0" t="n">
        <v>0.7</v>
      </c>
    </row>
    <row r="43" customFormat="false" ht="13.5" hidden="false" customHeight="false" outlineLevel="0" collapsed="false">
      <c r="A43" s="0" t="s">
        <v>72</v>
      </c>
      <c r="B43" s="1" t="n">
        <v>43903</v>
      </c>
      <c r="C43" s="0" t="n">
        <v>6</v>
      </c>
      <c r="D43" s="0" t="n">
        <v>3</v>
      </c>
      <c r="H43" s="0" t="n">
        <v>6</v>
      </c>
      <c r="J43" s="0" t="n">
        <v>1.5</v>
      </c>
    </row>
    <row r="44" customFormat="false" ht="13.5" hidden="false" customHeight="false" outlineLevel="0" collapsed="false">
      <c r="A44" s="0" t="s">
        <v>72</v>
      </c>
      <c r="B44" s="1" t="n">
        <v>43904</v>
      </c>
      <c r="C44" s="0" t="n">
        <v>6</v>
      </c>
      <c r="D44" s="0" t="n">
        <v>0</v>
      </c>
      <c r="H44" s="0" t="n">
        <v>6</v>
      </c>
      <c r="J44" s="0" t="n">
        <v>1.5</v>
      </c>
    </row>
    <row r="45" customFormat="false" ht="13.5" hidden="false" customHeight="false" outlineLevel="0" collapsed="false">
      <c r="A45" s="0" t="s">
        <v>72</v>
      </c>
      <c r="B45" s="1" t="n">
        <v>43905</v>
      </c>
      <c r="C45" s="0" t="n">
        <v>12</v>
      </c>
      <c r="D45" s="0" t="n">
        <v>6</v>
      </c>
      <c r="H45" s="0" t="n">
        <v>12</v>
      </c>
      <c r="J45" s="0" t="n">
        <v>3</v>
      </c>
    </row>
    <row r="46" customFormat="false" ht="13.5" hidden="false" customHeight="false" outlineLevel="0" collapsed="false">
      <c r="A46" s="0" t="s">
        <v>72</v>
      </c>
      <c r="B46" s="1" t="n">
        <v>43906</v>
      </c>
      <c r="C46" s="0" t="n">
        <v>23</v>
      </c>
      <c r="D46" s="0" t="n">
        <v>11</v>
      </c>
      <c r="H46" s="0" t="n">
        <v>23</v>
      </c>
      <c r="J46" s="0" t="n">
        <v>5.7</v>
      </c>
    </row>
    <row r="47" customFormat="false" ht="13.5" hidden="false" customHeight="false" outlineLevel="0" collapsed="false">
      <c r="A47" s="0" t="s">
        <v>72</v>
      </c>
      <c r="B47" s="1" t="n">
        <v>43907</v>
      </c>
      <c r="C47" s="0" t="n">
        <v>29</v>
      </c>
      <c r="D47" s="0" t="n">
        <v>6</v>
      </c>
      <c r="G47" s="0" t="n">
        <v>1</v>
      </c>
      <c r="H47" s="0" t="n">
        <v>28</v>
      </c>
      <c r="I47" s="0" t="n">
        <v>1</v>
      </c>
      <c r="J47" s="0" t="n">
        <v>7.2</v>
      </c>
    </row>
    <row r="48" customFormat="false" ht="13.5" hidden="false" customHeight="false" outlineLevel="0" collapsed="false">
      <c r="A48" s="0" t="s">
        <v>72</v>
      </c>
      <c r="B48" s="1" t="n">
        <v>43908</v>
      </c>
      <c r="C48" s="0" t="n">
        <v>30</v>
      </c>
      <c r="D48" s="0" t="n">
        <v>1</v>
      </c>
      <c r="G48" s="0" t="n">
        <v>1</v>
      </c>
      <c r="H48" s="0" t="n">
        <v>29</v>
      </c>
      <c r="I48" s="0" t="n">
        <v>1</v>
      </c>
      <c r="J48" s="0" t="n">
        <v>7.4</v>
      </c>
    </row>
    <row r="49" customFormat="false" ht="13.5" hidden="false" customHeight="false" outlineLevel="0" collapsed="false">
      <c r="A49" s="0" t="s">
        <v>72</v>
      </c>
      <c r="B49" s="1" t="n">
        <v>43909</v>
      </c>
      <c r="C49" s="0" t="n">
        <v>36</v>
      </c>
      <c r="D49" s="0" t="n">
        <v>6</v>
      </c>
      <c r="E49" s="0" t="n">
        <v>1</v>
      </c>
      <c r="F49" s="0" t="n">
        <v>1</v>
      </c>
      <c r="G49" s="0" t="n">
        <v>1</v>
      </c>
      <c r="H49" s="0" t="n">
        <v>34</v>
      </c>
      <c r="I49" s="0" t="n">
        <v>2</v>
      </c>
      <c r="J49" s="0" t="n">
        <v>9</v>
      </c>
    </row>
    <row r="50" customFormat="false" ht="13.5" hidden="false" customHeight="false" outlineLevel="0" collapsed="false">
      <c r="A50" s="0" t="s">
        <v>72</v>
      </c>
      <c r="B50" s="1" t="n">
        <v>43910</v>
      </c>
      <c r="C50" s="0" t="n">
        <v>49</v>
      </c>
      <c r="D50" s="0" t="n">
        <v>13</v>
      </c>
      <c r="E50" s="0" t="n">
        <v>1</v>
      </c>
      <c r="G50" s="0" t="n">
        <v>1</v>
      </c>
      <c r="H50" s="0" t="n">
        <v>47</v>
      </c>
      <c r="I50" s="0" t="n">
        <v>3</v>
      </c>
      <c r="J50" s="0" t="n">
        <v>12</v>
      </c>
    </row>
    <row r="51" customFormat="false" ht="13.5" hidden="false" customHeight="false" outlineLevel="0" collapsed="false">
      <c r="A51" s="0" t="s">
        <v>72</v>
      </c>
      <c r="B51" s="1" t="n">
        <v>43911</v>
      </c>
      <c r="C51" s="0" t="n">
        <v>66</v>
      </c>
      <c r="D51" s="0" t="n">
        <v>17</v>
      </c>
      <c r="E51" s="0" t="n">
        <v>1</v>
      </c>
      <c r="G51" s="0" t="n">
        <v>1</v>
      </c>
      <c r="H51" s="0" t="n">
        <v>64</v>
      </c>
      <c r="I51" s="0" t="n">
        <v>3</v>
      </c>
      <c r="J51" s="0" t="n">
        <v>16</v>
      </c>
    </row>
    <row r="52" customFormat="false" ht="13.5" hidden="false" customHeight="false" outlineLevel="0" collapsed="false">
      <c r="A52" s="0" t="s">
        <v>72</v>
      </c>
      <c r="B52" s="1" t="n">
        <v>43912</v>
      </c>
      <c r="C52" s="0" t="n">
        <v>80</v>
      </c>
      <c r="D52" s="0" t="n">
        <v>14</v>
      </c>
      <c r="E52" s="0" t="n">
        <v>1</v>
      </c>
      <c r="G52" s="0" t="n">
        <v>1</v>
      </c>
      <c r="H52" s="0" t="n">
        <v>78</v>
      </c>
      <c r="I52" s="0" t="n">
        <v>3</v>
      </c>
      <c r="J52" s="0" t="n">
        <v>20</v>
      </c>
    </row>
    <row r="53" customFormat="false" ht="13.5" hidden="false" customHeight="false" outlineLevel="0" collapsed="false">
      <c r="A53" s="0" t="s">
        <v>72</v>
      </c>
      <c r="B53" s="1" t="n">
        <v>43913</v>
      </c>
      <c r="C53" s="0" t="n">
        <v>94</v>
      </c>
      <c r="D53" s="0" t="n">
        <v>14</v>
      </c>
      <c r="E53" s="0" t="n">
        <v>1</v>
      </c>
      <c r="G53" s="0" t="n">
        <v>1</v>
      </c>
      <c r="H53" s="0" t="n">
        <v>92</v>
      </c>
      <c r="I53" s="0" t="n">
        <v>3</v>
      </c>
      <c r="J53" s="0" t="n">
        <v>23</v>
      </c>
    </row>
    <row r="54" customFormat="false" ht="13.5" hidden="false" customHeight="false" outlineLevel="0" collapsed="false">
      <c r="A54" s="0" t="s">
        <v>72</v>
      </c>
      <c r="B54" s="1" t="n">
        <v>43914</v>
      </c>
      <c r="C54" s="0" t="n">
        <v>109</v>
      </c>
      <c r="D54" s="0" t="n">
        <v>15</v>
      </c>
      <c r="E54" s="0" t="n">
        <v>1</v>
      </c>
      <c r="G54" s="0" t="n">
        <v>2</v>
      </c>
      <c r="H54" s="0" t="n">
        <v>106</v>
      </c>
      <c r="I54" s="0" t="n">
        <v>3</v>
      </c>
      <c r="J54" s="0" t="n">
        <v>27</v>
      </c>
    </row>
    <row r="55" customFormat="false" ht="13.5" hidden="false" customHeight="false" outlineLevel="0" collapsed="false">
      <c r="A55" s="0" t="s">
        <v>72</v>
      </c>
      <c r="B55" s="1" t="n">
        <v>43915</v>
      </c>
      <c r="C55" s="0" t="n">
        <v>125</v>
      </c>
      <c r="D55" s="0" t="n">
        <v>16</v>
      </c>
      <c r="E55" s="0" t="n">
        <v>1</v>
      </c>
      <c r="G55" s="0" t="n">
        <v>2</v>
      </c>
      <c r="H55" s="0" t="n">
        <v>122</v>
      </c>
      <c r="I55" s="0" t="n">
        <v>10</v>
      </c>
      <c r="J55" s="0" t="n">
        <v>31</v>
      </c>
      <c r="K55" s="0" t="n">
        <v>0.2</v>
      </c>
    </row>
    <row r="56" customFormat="false" ht="13.5" hidden="false" customHeight="false" outlineLevel="0" collapsed="false">
      <c r="A56" s="0" t="s">
        <v>72</v>
      </c>
      <c r="B56" s="1" t="n">
        <v>43916</v>
      </c>
      <c r="C56" s="0" t="n">
        <v>149</v>
      </c>
      <c r="D56" s="0" t="n">
        <v>24</v>
      </c>
      <c r="E56" s="0" t="n">
        <v>1</v>
      </c>
      <c r="G56" s="0" t="n">
        <v>2</v>
      </c>
      <c r="H56" s="0" t="n">
        <v>146</v>
      </c>
      <c r="I56" s="0" t="n">
        <v>20</v>
      </c>
      <c r="J56" s="0" t="n">
        <v>37</v>
      </c>
      <c r="K56" s="0" t="n">
        <v>0.2</v>
      </c>
    </row>
    <row r="57" customFormat="false" ht="13.5" hidden="false" customHeight="false" outlineLevel="0" collapsed="false">
      <c r="A57" s="0" t="s">
        <v>72</v>
      </c>
      <c r="B57" s="1" t="n">
        <v>43917</v>
      </c>
      <c r="C57" s="0" t="n">
        <v>177</v>
      </c>
      <c r="D57" s="0" t="n">
        <v>28</v>
      </c>
      <c r="E57" s="0" t="n">
        <v>1</v>
      </c>
      <c r="G57" s="0" t="n">
        <v>2</v>
      </c>
      <c r="H57" s="0" t="n">
        <v>174</v>
      </c>
      <c r="I57" s="0" t="n">
        <v>28</v>
      </c>
      <c r="J57" s="0" t="n">
        <v>44</v>
      </c>
      <c r="K57" s="0" t="n">
        <v>0.2</v>
      </c>
    </row>
    <row r="58" customFormat="false" ht="13.5" hidden="false" customHeight="false" outlineLevel="0" collapsed="false">
      <c r="A58" s="0" t="s">
        <v>72</v>
      </c>
      <c r="B58" s="1" t="n">
        <v>43918</v>
      </c>
      <c r="C58" s="0" t="n">
        <v>199</v>
      </c>
      <c r="D58" s="0" t="n">
        <v>22</v>
      </c>
      <c r="E58" s="0" t="n">
        <v>2</v>
      </c>
      <c r="F58" s="0" t="n">
        <v>1</v>
      </c>
      <c r="G58" s="0" t="n">
        <v>2</v>
      </c>
      <c r="H58" s="0" t="n">
        <v>195</v>
      </c>
      <c r="I58" s="0" t="n">
        <v>33</v>
      </c>
      <c r="J58" s="0" t="n">
        <v>49</v>
      </c>
      <c r="K58" s="0" t="n">
        <v>0.5</v>
      </c>
    </row>
    <row r="59" customFormat="false" ht="13.5" hidden="false" customHeight="false" outlineLevel="0" collapsed="false">
      <c r="A59" s="0" t="s">
        <v>72</v>
      </c>
      <c r="B59" s="1" t="n">
        <v>43919</v>
      </c>
      <c r="C59" s="0" t="n">
        <v>231</v>
      </c>
      <c r="D59" s="0" t="n">
        <v>32</v>
      </c>
      <c r="E59" s="0" t="n">
        <v>2</v>
      </c>
      <c r="G59" s="0" t="n">
        <v>2</v>
      </c>
      <c r="H59" s="0" t="n">
        <v>227</v>
      </c>
      <c r="I59" s="0" t="n">
        <v>33</v>
      </c>
      <c r="J59" s="0" t="n">
        <v>57</v>
      </c>
      <c r="K59" s="0" t="n">
        <v>0.5</v>
      </c>
    </row>
    <row r="60" customFormat="false" ht="13.5" hidden="false" customHeight="false" outlineLevel="0" collapsed="false">
      <c r="A60" s="0" t="s">
        <v>72</v>
      </c>
      <c r="B60" s="1" t="n">
        <v>43920</v>
      </c>
      <c r="C60" s="0" t="n">
        <v>263</v>
      </c>
      <c r="D60" s="0" t="n">
        <v>32</v>
      </c>
      <c r="E60" s="0" t="n">
        <v>2</v>
      </c>
      <c r="G60" s="0" t="n">
        <v>2</v>
      </c>
      <c r="H60" s="0" t="n">
        <v>259</v>
      </c>
      <c r="I60" s="0" t="n">
        <v>33</v>
      </c>
      <c r="J60" s="0" t="n">
        <v>65</v>
      </c>
      <c r="K60" s="0" t="n">
        <v>0.5</v>
      </c>
    </row>
    <row r="61" customFormat="false" ht="13.5" hidden="false" customHeight="false" outlineLevel="0" collapsed="false">
      <c r="A61" s="0" t="s">
        <v>72</v>
      </c>
      <c r="B61" s="1" t="n">
        <v>43921</v>
      </c>
      <c r="C61" s="0" t="n">
        <v>298</v>
      </c>
      <c r="D61" s="0" t="n">
        <v>35</v>
      </c>
      <c r="E61" s="0" t="n">
        <v>2</v>
      </c>
      <c r="G61" s="0" t="n">
        <v>15</v>
      </c>
      <c r="H61" s="0" t="n">
        <v>281</v>
      </c>
      <c r="I61" s="0" t="n">
        <v>44</v>
      </c>
      <c r="J61" s="0" t="n">
        <v>74</v>
      </c>
      <c r="K61" s="0" t="n">
        <v>0.5</v>
      </c>
    </row>
    <row r="62" customFormat="false" ht="13.5" hidden="false" customHeight="false" outlineLevel="0" collapsed="false">
      <c r="A62" s="0" t="s">
        <v>72</v>
      </c>
      <c r="B62" s="1" t="n">
        <v>43922</v>
      </c>
      <c r="C62" s="0" t="n">
        <v>353</v>
      </c>
      <c r="D62" s="0" t="n">
        <v>55</v>
      </c>
      <c r="E62" s="0" t="n">
        <v>4</v>
      </c>
      <c r="F62" s="0" t="n">
        <v>2</v>
      </c>
      <c r="G62" s="0" t="n">
        <v>18</v>
      </c>
      <c r="H62" s="0" t="n">
        <v>331</v>
      </c>
      <c r="I62" s="0" t="n">
        <v>44</v>
      </c>
      <c r="J62" s="0" t="n">
        <v>88</v>
      </c>
      <c r="K62" s="0" t="n">
        <v>1</v>
      </c>
    </row>
    <row r="63" customFormat="false" ht="13.5" hidden="false" customHeight="false" outlineLevel="0" collapsed="false">
      <c r="A63" s="0" t="s">
        <v>72</v>
      </c>
      <c r="B63" s="1" t="n">
        <v>43923</v>
      </c>
      <c r="C63" s="0" t="n">
        <v>423</v>
      </c>
      <c r="D63" s="0" t="n">
        <v>70</v>
      </c>
      <c r="E63" s="0" t="n">
        <v>5</v>
      </c>
      <c r="F63" s="0" t="n">
        <v>1</v>
      </c>
      <c r="G63" s="0" t="n">
        <v>23</v>
      </c>
      <c r="H63" s="0" t="n">
        <v>395</v>
      </c>
      <c r="I63" s="0" t="n">
        <v>44</v>
      </c>
      <c r="J63" s="0" t="n">
        <v>105</v>
      </c>
      <c r="K63" s="0" t="n">
        <v>1</v>
      </c>
    </row>
    <row r="64" customFormat="false" ht="13.5" hidden="false" customHeight="false" outlineLevel="0" collapsed="false">
      <c r="A64" s="0" t="s">
        <v>72</v>
      </c>
      <c r="B64" s="1" t="n">
        <v>43924</v>
      </c>
      <c r="C64" s="0" t="n">
        <v>505</v>
      </c>
      <c r="D64" s="0" t="n">
        <v>82</v>
      </c>
      <c r="E64" s="0" t="n">
        <v>6</v>
      </c>
      <c r="F64" s="0" t="n">
        <v>1</v>
      </c>
      <c r="G64" s="0" t="n">
        <v>23</v>
      </c>
      <c r="H64" s="0" t="n">
        <v>476</v>
      </c>
      <c r="I64" s="0" t="n">
        <v>65</v>
      </c>
      <c r="J64" s="0" t="n">
        <v>125</v>
      </c>
      <c r="K64" s="0" t="n">
        <v>1</v>
      </c>
    </row>
    <row r="65" customFormat="false" ht="13.5" hidden="false" customHeight="false" outlineLevel="0" collapsed="false">
      <c r="A65" s="0" t="s">
        <v>72</v>
      </c>
      <c r="B65" s="1" t="n">
        <v>43925</v>
      </c>
      <c r="C65" s="0" t="n">
        <v>591</v>
      </c>
      <c r="D65" s="0" t="n">
        <v>86</v>
      </c>
      <c r="E65" s="0" t="n">
        <v>8</v>
      </c>
      <c r="F65" s="0" t="n">
        <v>2</v>
      </c>
      <c r="G65" s="0" t="n">
        <v>26</v>
      </c>
      <c r="H65" s="0" t="n">
        <v>557</v>
      </c>
      <c r="I65" s="0" t="n">
        <v>65</v>
      </c>
      <c r="J65" s="0" t="n">
        <v>147</v>
      </c>
      <c r="K65" s="0" t="n">
        <v>2</v>
      </c>
    </row>
    <row r="66" customFormat="false" ht="13.5" hidden="false" customHeight="false" outlineLevel="0" collapsed="false">
      <c r="A66" s="0" t="s">
        <v>72</v>
      </c>
      <c r="B66" s="1" t="n">
        <v>43926</v>
      </c>
      <c r="C66" s="0" t="n">
        <v>752</v>
      </c>
      <c r="D66" s="0" t="n">
        <v>161</v>
      </c>
      <c r="E66" s="0" t="n">
        <v>12</v>
      </c>
      <c r="F66" s="0" t="n">
        <v>4</v>
      </c>
      <c r="G66" s="0" t="n">
        <v>29</v>
      </c>
      <c r="H66" s="0" t="n">
        <v>711</v>
      </c>
      <c r="I66" s="0" t="n">
        <v>65</v>
      </c>
      <c r="J66" s="0" t="n">
        <v>186</v>
      </c>
      <c r="K66" s="0" t="n">
        <v>3</v>
      </c>
    </row>
    <row r="67" customFormat="false" ht="13.5" hidden="false" customHeight="false" outlineLevel="0" collapsed="false">
      <c r="A67" s="0" t="s">
        <v>72</v>
      </c>
      <c r="B67" s="1" t="n">
        <v>43927</v>
      </c>
      <c r="C67" s="0" t="n">
        <v>864</v>
      </c>
      <c r="D67" s="0" t="n">
        <v>112</v>
      </c>
      <c r="E67" s="0" t="n">
        <v>15</v>
      </c>
      <c r="F67" s="0" t="n">
        <v>3</v>
      </c>
      <c r="G67" s="0" t="n">
        <v>30</v>
      </c>
      <c r="H67" s="0" t="n">
        <v>819</v>
      </c>
      <c r="I67" s="0" t="n">
        <v>80</v>
      </c>
      <c r="J67" s="0" t="n">
        <v>214</v>
      </c>
      <c r="K67" s="0" t="n">
        <v>4</v>
      </c>
    </row>
    <row r="68" customFormat="false" ht="13.5" hidden="false" customHeight="false" outlineLevel="0" collapsed="false">
      <c r="A68" s="0" t="s">
        <v>72</v>
      </c>
      <c r="B68" s="1" t="n">
        <v>43928</v>
      </c>
      <c r="C68" s="0" t="n">
        <v>965</v>
      </c>
      <c r="D68" s="0" t="n">
        <v>101</v>
      </c>
      <c r="E68" s="0" t="n">
        <v>19</v>
      </c>
      <c r="F68" s="0" t="n">
        <v>4</v>
      </c>
      <c r="G68" s="0" t="n">
        <v>37</v>
      </c>
      <c r="H68" s="0" t="n">
        <v>909</v>
      </c>
      <c r="I68" s="0" t="n">
        <v>80</v>
      </c>
      <c r="J68" s="0" t="n">
        <v>239</v>
      </c>
      <c r="K68" s="0" t="n">
        <v>5</v>
      </c>
    </row>
    <row r="69" customFormat="false" ht="13.5" hidden="false" customHeight="false" outlineLevel="0" collapsed="false">
      <c r="A69" s="0" t="s">
        <v>72</v>
      </c>
      <c r="B69" s="1" t="n">
        <v>43929</v>
      </c>
      <c r="C69" s="0" t="n">
        <v>1056</v>
      </c>
      <c r="D69" s="0" t="n">
        <v>91</v>
      </c>
      <c r="E69" s="0" t="n">
        <v>22</v>
      </c>
      <c r="F69" s="0" t="n">
        <v>3</v>
      </c>
      <c r="G69" s="0" t="n">
        <v>40</v>
      </c>
      <c r="H69" s="0" t="n">
        <v>994</v>
      </c>
      <c r="I69" s="0" t="n">
        <v>80</v>
      </c>
      <c r="J69" s="0" t="n">
        <v>262</v>
      </c>
      <c r="K69" s="0" t="n">
        <v>5</v>
      </c>
      <c r="L69" s="0" t="n">
        <v>5108</v>
      </c>
      <c r="M69" s="0" t="n">
        <v>1266</v>
      </c>
    </row>
    <row r="70" customFormat="false" ht="13.5" hidden="false" customHeight="false" outlineLevel="0" collapsed="false">
      <c r="A70" s="0" t="s">
        <v>72</v>
      </c>
      <c r="B70" s="1" t="n">
        <v>43930</v>
      </c>
      <c r="C70" s="0" t="n">
        <v>1174</v>
      </c>
      <c r="D70" s="0" t="n">
        <v>118</v>
      </c>
      <c r="E70" s="0" t="n">
        <v>27</v>
      </c>
      <c r="F70" s="0" t="n">
        <v>5</v>
      </c>
      <c r="G70" s="0" t="n">
        <v>40</v>
      </c>
      <c r="H70" s="0" t="n">
        <v>1107</v>
      </c>
      <c r="I70" s="0" t="n">
        <v>80</v>
      </c>
      <c r="J70" s="0" t="n">
        <v>291</v>
      </c>
      <c r="K70" s="0" t="n">
        <v>7</v>
      </c>
      <c r="L70" s="0" t="n">
        <v>5108</v>
      </c>
      <c r="M70" s="0" t="n">
        <v>1266</v>
      </c>
    </row>
    <row r="71" customFormat="false" ht="13.5" hidden="false" customHeight="false" outlineLevel="0" collapsed="false">
      <c r="A71" s="0" t="s">
        <v>72</v>
      </c>
      <c r="B71" s="1" t="n">
        <v>43931</v>
      </c>
      <c r="C71" s="0" t="n">
        <v>1289</v>
      </c>
      <c r="D71" s="0" t="n">
        <v>115</v>
      </c>
      <c r="E71" s="0" t="n">
        <v>29</v>
      </c>
      <c r="F71" s="0" t="n">
        <v>2</v>
      </c>
      <c r="G71" s="0" t="n">
        <v>50</v>
      </c>
      <c r="H71" s="0" t="n">
        <v>1210</v>
      </c>
      <c r="I71" s="0" t="n">
        <v>80</v>
      </c>
      <c r="J71" s="0" t="n">
        <v>320</v>
      </c>
      <c r="K71" s="0" t="n">
        <v>7</v>
      </c>
      <c r="L71" s="0" t="n">
        <v>5108</v>
      </c>
      <c r="M71" s="0" t="n">
        <v>1266</v>
      </c>
    </row>
    <row r="72" customFormat="false" ht="13.5" hidden="false" customHeight="false" outlineLevel="0" collapsed="false">
      <c r="A72" s="0" t="s">
        <v>72</v>
      </c>
      <c r="B72" s="1" t="n">
        <v>43932</v>
      </c>
      <c r="C72" s="0" t="n">
        <v>1438</v>
      </c>
      <c r="D72" s="0" t="n">
        <v>149</v>
      </c>
      <c r="E72" s="0" t="n">
        <v>29</v>
      </c>
      <c r="F72" s="0" t="n">
        <v>0</v>
      </c>
      <c r="G72" s="0" t="n">
        <v>56</v>
      </c>
      <c r="H72" s="0" t="n">
        <v>1353</v>
      </c>
      <c r="I72" s="0" t="n">
        <v>80</v>
      </c>
      <c r="J72" s="0" t="n">
        <v>356</v>
      </c>
      <c r="K72" s="0" t="n">
        <v>7</v>
      </c>
      <c r="L72" s="0" t="n">
        <v>6271</v>
      </c>
      <c r="M72" s="0" t="n">
        <v>1555</v>
      </c>
    </row>
    <row r="73" customFormat="false" ht="13.5" hidden="false" customHeight="false" outlineLevel="0" collapsed="false">
      <c r="A73" s="0" t="s">
        <v>72</v>
      </c>
      <c r="B73" s="1" t="n">
        <v>43933</v>
      </c>
      <c r="C73" s="0" t="n">
        <v>1560</v>
      </c>
      <c r="D73" s="0" t="n">
        <v>122</v>
      </c>
      <c r="E73" s="0" t="n">
        <v>30</v>
      </c>
      <c r="F73" s="0" t="n">
        <v>1</v>
      </c>
      <c r="G73" s="0" t="n">
        <v>75</v>
      </c>
      <c r="H73" s="0" t="n">
        <v>1455</v>
      </c>
      <c r="I73" s="0" t="n">
        <v>80</v>
      </c>
      <c r="J73" s="0" t="n">
        <v>387</v>
      </c>
      <c r="K73" s="0" t="n">
        <v>7</v>
      </c>
      <c r="L73" s="0" t="n">
        <v>6271</v>
      </c>
      <c r="M73" s="0" t="n">
        <v>1555</v>
      </c>
    </row>
    <row r="74" customFormat="false" ht="13.5" hidden="false" customHeight="false" outlineLevel="0" collapsed="false">
      <c r="A74" s="0" t="s">
        <v>72</v>
      </c>
      <c r="B74" s="1" t="n">
        <v>43934</v>
      </c>
      <c r="C74" s="0" t="n">
        <v>1662</v>
      </c>
      <c r="D74" s="0" t="n">
        <v>102</v>
      </c>
      <c r="E74" s="0" t="n">
        <v>31</v>
      </c>
      <c r="F74" s="0" t="n">
        <v>1</v>
      </c>
      <c r="G74" s="0" t="n">
        <v>94</v>
      </c>
      <c r="H74" s="0" t="n">
        <v>1537</v>
      </c>
      <c r="I74" s="0" t="n">
        <v>80</v>
      </c>
      <c r="J74" s="0" t="n">
        <v>412</v>
      </c>
      <c r="K74" s="0" t="n">
        <v>8</v>
      </c>
      <c r="L74" s="0" t="n">
        <v>6271</v>
      </c>
      <c r="M74" s="0" t="n">
        <v>1555</v>
      </c>
    </row>
    <row r="75" customFormat="false" ht="13.5" hidden="false" customHeight="false" outlineLevel="0" collapsed="false">
      <c r="A75" s="0" t="s">
        <v>72</v>
      </c>
      <c r="B75" s="1" t="n">
        <v>43935</v>
      </c>
      <c r="C75" s="0" t="n">
        <v>1712</v>
      </c>
      <c r="D75" s="0" t="n">
        <v>50</v>
      </c>
      <c r="E75" s="0" t="n">
        <v>35</v>
      </c>
      <c r="F75" s="0" t="n">
        <v>4</v>
      </c>
      <c r="G75" s="0" t="n">
        <v>107</v>
      </c>
      <c r="H75" s="0" t="n">
        <v>1570</v>
      </c>
      <c r="I75" s="0" t="n">
        <v>80</v>
      </c>
      <c r="J75" s="0" t="n">
        <v>424</v>
      </c>
      <c r="K75" s="0" t="n">
        <v>9</v>
      </c>
      <c r="L75" s="0" t="n">
        <v>6271</v>
      </c>
      <c r="M75" s="0" t="n">
        <v>1555</v>
      </c>
    </row>
    <row r="76" customFormat="false" ht="13.5" hidden="false" customHeight="false" outlineLevel="0" collapsed="false">
      <c r="A76" s="0" t="s">
        <v>72</v>
      </c>
      <c r="B76" s="1" t="n">
        <v>43936</v>
      </c>
      <c r="C76" s="0" t="n">
        <v>1934</v>
      </c>
      <c r="D76" s="0" t="n">
        <v>222</v>
      </c>
      <c r="E76" s="0" t="n">
        <v>40</v>
      </c>
      <c r="F76" s="0" t="n">
        <v>5</v>
      </c>
      <c r="G76" s="0" t="n">
        <v>134</v>
      </c>
      <c r="H76" s="0" t="n">
        <v>1760</v>
      </c>
      <c r="I76" s="0" t="n">
        <v>80</v>
      </c>
      <c r="J76" s="0" t="n">
        <v>479</v>
      </c>
      <c r="K76" s="0" t="n">
        <v>10</v>
      </c>
      <c r="L76" s="0" t="n">
        <v>6271</v>
      </c>
      <c r="M76" s="0" t="n">
        <v>1555</v>
      </c>
    </row>
    <row r="77" customFormat="false" ht="13.5" hidden="false" customHeight="false" outlineLevel="0" collapsed="false">
      <c r="A77" s="0" t="s">
        <v>72</v>
      </c>
      <c r="B77" s="1" t="n">
        <v>43937</v>
      </c>
      <c r="C77" s="0" t="n">
        <v>2049</v>
      </c>
      <c r="D77" s="0" t="n">
        <v>115</v>
      </c>
      <c r="E77" s="0" t="n">
        <v>46</v>
      </c>
      <c r="F77" s="0" t="n">
        <v>6</v>
      </c>
      <c r="G77" s="0" t="n">
        <v>171</v>
      </c>
      <c r="H77" s="0" t="n">
        <v>1832</v>
      </c>
      <c r="I77" s="0" t="n">
        <v>80</v>
      </c>
      <c r="J77" s="0" t="n">
        <v>508</v>
      </c>
      <c r="K77" s="0" t="n">
        <v>11</v>
      </c>
      <c r="L77" s="0" t="n">
        <v>6271</v>
      </c>
      <c r="M77" s="0" t="n">
        <v>1555</v>
      </c>
    </row>
    <row r="78" customFormat="false" ht="13.5" hidden="false" customHeight="false" outlineLevel="0" collapsed="false">
      <c r="A78" s="0" t="s">
        <v>72</v>
      </c>
      <c r="B78" s="1" t="n">
        <v>43938</v>
      </c>
      <c r="C78" s="0" t="n">
        <v>2154</v>
      </c>
      <c r="D78" s="0" t="n">
        <v>105</v>
      </c>
      <c r="E78" s="0" t="n">
        <v>54</v>
      </c>
      <c r="F78" s="0" t="n">
        <v>8</v>
      </c>
      <c r="G78" s="0" t="n">
        <v>235</v>
      </c>
      <c r="H78" s="0" t="n">
        <v>1865</v>
      </c>
      <c r="I78" s="0" t="n">
        <v>80</v>
      </c>
      <c r="J78" s="0" t="n">
        <v>534</v>
      </c>
      <c r="K78" s="0" t="n">
        <v>13</v>
      </c>
      <c r="L78" s="0" t="n">
        <v>9208</v>
      </c>
      <c r="M78" s="0" t="n">
        <v>2283</v>
      </c>
    </row>
    <row r="79" customFormat="false" ht="13.5" hidden="false" customHeight="false" outlineLevel="0" collapsed="false">
      <c r="A79" s="0" t="s">
        <v>72</v>
      </c>
      <c r="B79" s="1" t="n">
        <v>43939</v>
      </c>
      <c r="C79" s="0" t="n">
        <v>2264</v>
      </c>
      <c r="D79" s="0" t="n">
        <v>110</v>
      </c>
      <c r="E79" s="0" t="n">
        <v>56</v>
      </c>
      <c r="F79" s="0" t="n">
        <v>2</v>
      </c>
      <c r="G79" s="0" t="n">
        <v>276</v>
      </c>
      <c r="H79" s="0" t="n">
        <v>1932</v>
      </c>
      <c r="I79" s="0" t="n">
        <v>80</v>
      </c>
      <c r="J79" s="0" t="n">
        <v>561</v>
      </c>
      <c r="K79" s="0" t="n">
        <v>14</v>
      </c>
      <c r="L79" s="0" t="n">
        <v>9848</v>
      </c>
      <c r="M79" s="0" t="n">
        <v>2441</v>
      </c>
    </row>
    <row r="80" customFormat="false" ht="13.5" hidden="false" customHeight="false" outlineLevel="0" collapsed="false">
      <c r="A80" s="0" t="s">
        <v>72</v>
      </c>
      <c r="B80" s="1" t="n">
        <v>43940</v>
      </c>
      <c r="C80" s="0" t="n">
        <v>2378</v>
      </c>
      <c r="D80" s="0" t="n">
        <v>114</v>
      </c>
      <c r="E80" s="0" t="n">
        <v>57</v>
      </c>
      <c r="F80" s="0" t="n">
        <v>1</v>
      </c>
      <c r="G80" s="0" t="n">
        <v>391</v>
      </c>
      <c r="H80" s="0" t="n">
        <v>1930</v>
      </c>
      <c r="I80" s="0" t="n">
        <v>80</v>
      </c>
      <c r="J80" s="0" t="n">
        <v>589</v>
      </c>
      <c r="K80" s="0" t="n">
        <v>14</v>
      </c>
      <c r="L80" s="0" t="n">
        <v>9848</v>
      </c>
      <c r="M80" s="0" t="n">
        <v>2441</v>
      </c>
    </row>
    <row r="81" customFormat="false" ht="13.5" hidden="false" customHeight="false" outlineLevel="0" collapsed="false">
      <c r="A81" s="0" t="s">
        <v>72</v>
      </c>
      <c r="B81" s="1" t="n">
        <v>43941</v>
      </c>
      <c r="C81" s="0" t="n">
        <v>2472</v>
      </c>
      <c r="D81" s="0" t="n">
        <v>94</v>
      </c>
      <c r="E81" s="0" t="n">
        <v>67</v>
      </c>
      <c r="F81" s="0" t="n">
        <v>10</v>
      </c>
      <c r="G81" s="0" t="n">
        <v>457</v>
      </c>
      <c r="H81" s="0" t="n">
        <v>1948</v>
      </c>
      <c r="I81" s="0" t="n">
        <v>80</v>
      </c>
      <c r="J81" s="0" t="n">
        <v>613</v>
      </c>
      <c r="K81" s="0" t="n">
        <v>17</v>
      </c>
      <c r="L81" s="0" t="n">
        <v>10488</v>
      </c>
      <c r="M81" s="0" t="n">
        <v>2600</v>
      </c>
    </row>
    <row r="82" customFormat="false" ht="13.5" hidden="false" customHeight="false" outlineLevel="0" collapsed="false">
      <c r="A82" s="0" t="s">
        <v>72</v>
      </c>
      <c r="B82" s="1" t="n">
        <v>43942</v>
      </c>
      <c r="C82" s="0" t="n">
        <v>2548</v>
      </c>
      <c r="D82" s="0" t="n">
        <v>76</v>
      </c>
      <c r="E82" s="0" t="n">
        <v>70</v>
      </c>
      <c r="F82" s="0" t="n">
        <v>3</v>
      </c>
      <c r="G82" s="0" t="n">
        <v>457</v>
      </c>
      <c r="H82" s="0" t="n">
        <v>2021</v>
      </c>
      <c r="I82" s="0" t="n">
        <v>212</v>
      </c>
      <c r="J82" s="0" t="n">
        <v>632</v>
      </c>
      <c r="K82" s="0" t="n">
        <v>17</v>
      </c>
      <c r="L82" s="0" t="n">
        <v>11763</v>
      </c>
      <c r="M82" s="0" t="n">
        <v>2916</v>
      </c>
    </row>
    <row r="83" customFormat="false" ht="13.5" hidden="false" customHeight="false" outlineLevel="0" collapsed="false">
      <c r="A83" s="0" t="s">
        <v>72</v>
      </c>
      <c r="B83" s="1" t="n">
        <v>43943</v>
      </c>
      <c r="C83" s="0" t="n">
        <v>2614</v>
      </c>
      <c r="D83" s="0" t="n">
        <v>66</v>
      </c>
      <c r="E83" s="0" t="n">
        <v>72</v>
      </c>
      <c r="F83" s="0" t="n">
        <v>2</v>
      </c>
      <c r="G83" s="0" t="n">
        <v>505</v>
      </c>
      <c r="H83" s="0" t="n">
        <v>2037</v>
      </c>
      <c r="I83" s="0" t="n">
        <v>212</v>
      </c>
      <c r="J83" s="0" t="n">
        <v>648</v>
      </c>
      <c r="K83" s="0" t="n">
        <v>18</v>
      </c>
      <c r="L83" s="0" t="n">
        <v>11763</v>
      </c>
      <c r="M83" s="0" t="n">
        <v>2916</v>
      </c>
    </row>
    <row r="84" customFormat="false" ht="13.5" hidden="false" customHeight="false" outlineLevel="0" collapsed="false">
      <c r="A84" s="0" t="s">
        <v>72</v>
      </c>
      <c r="B84" s="1" t="n">
        <v>43944</v>
      </c>
      <c r="C84" s="0" t="n">
        <v>2778</v>
      </c>
      <c r="D84" s="0" t="n">
        <v>164</v>
      </c>
      <c r="E84" s="0" t="n">
        <v>75</v>
      </c>
      <c r="F84" s="0" t="n">
        <v>3</v>
      </c>
      <c r="G84" s="0" t="n">
        <v>560</v>
      </c>
      <c r="H84" s="0" t="n">
        <v>2143</v>
      </c>
      <c r="I84" s="0" t="n">
        <v>212</v>
      </c>
      <c r="J84" s="0" t="n">
        <v>689</v>
      </c>
      <c r="K84" s="0" t="n">
        <v>19</v>
      </c>
      <c r="L84" s="0" t="n">
        <v>11763</v>
      </c>
      <c r="M84" s="0" t="n">
        <v>2916</v>
      </c>
    </row>
    <row r="85" customFormat="false" ht="13.5" hidden="false" customHeight="false" outlineLevel="0" collapsed="false">
      <c r="A85" s="0" t="s">
        <v>72</v>
      </c>
      <c r="B85" s="1" t="n">
        <v>43945</v>
      </c>
      <c r="C85" s="0" t="n">
        <v>2926</v>
      </c>
      <c r="D85" s="0" t="n">
        <v>148</v>
      </c>
      <c r="E85" s="0" t="n">
        <v>80</v>
      </c>
      <c r="F85" s="0" t="n">
        <v>5</v>
      </c>
      <c r="G85" s="0" t="n">
        <v>661</v>
      </c>
      <c r="H85" s="0" t="n">
        <v>2185</v>
      </c>
      <c r="I85" s="0" t="n">
        <v>212</v>
      </c>
      <c r="J85" s="0" t="n">
        <v>725</v>
      </c>
      <c r="K85" s="0" t="n">
        <v>20</v>
      </c>
      <c r="L85" s="0" t="n">
        <v>11763</v>
      </c>
      <c r="M85" s="0" t="n">
        <v>2916</v>
      </c>
    </row>
    <row r="86" customFormat="false" ht="13.5" hidden="false" customHeight="false" outlineLevel="0" collapsed="false">
      <c r="A86" s="0" t="s">
        <v>72</v>
      </c>
      <c r="B86" s="1" t="n">
        <v>43946</v>
      </c>
      <c r="C86" s="0" t="n">
        <v>3110</v>
      </c>
      <c r="D86" s="0" t="n">
        <v>184</v>
      </c>
      <c r="E86" s="0" t="n">
        <v>84</v>
      </c>
      <c r="F86" s="0" t="n">
        <v>4</v>
      </c>
      <c r="G86" s="0" t="n">
        <v>755</v>
      </c>
      <c r="H86" s="0" t="n">
        <v>2271</v>
      </c>
      <c r="I86" s="0" t="n">
        <v>212</v>
      </c>
      <c r="J86" s="0" t="n">
        <v>771</v>
      </c>
      <c r="K86" s="0" t="n">
        <v>21</v>
      </c>
      <c r="L86" s="0" t="n">
        <v>11763</v>
      </c>
      <c r="M86" s="0" t="n">
        <v>2916</v>
      </c>
    </row>
    <row r="87" customFormat="false" ht="13.5" hidden="false" customHeight="false" outlineLevel="0" collapsed="false">
      <c r="A87" s="0" t="s">
        <v>72</v>
      </c>
      <c r="B87" s="1" t="n">
        <v>43947</v>
      </c>
      <c r="C87" s="0" t="n">
        <v>3304</v>
      </c>
      <c r="D87" s="0" t="n">
        <v>194</v>
      </c>
      <c r="E87" s="0" t="n">
        <v>94</v>
      </c>
      <c r="F87" s="0" t="n">
        <v>10</v>
      </c>
      <c r="G87" s="0" t="n">
        <v>825</v>
      </c>
      <c r="H87" s="0" t="n">
        <v>2385</v>
      </c>
      <c r="I87" s="0" t="n">
        <v>212</v>
      </c>
      <c r="J87" s="0" t="n">
        <v>819</v>
      </c>
      <c r="K87" s="0" t="n">
        <v>23</v>
      </c>
      <c r="L87" s="0" t="n">
        <v>11763</v>
      </c>
      <c r="M87" s="0" t="n">
        <v>2916</v>
      </c>
    </row>
    <row r="88" customFormat="false" ht="13.5" hidden="false" customHeight="false" outlineLevel="0" collapsed="false">
      <c r="A88" s="0" t="s">
        <v>72</v>
      </c>
      <c r="B88" s="1" t="n">
        <v>43948</v>
      </c>
      <c r="C88" s="0" t="n">
        <v>3408</v>
      </c>
      <c r="D88" s="0" t="n">
        <v>104</v>
      </c>
      <c r="E88" s="0" t="n">
        <v>96</v>
      </c>
      <c r="F88" s="0" t="n">
        <v>2</v>
      </c>
      <c r="G88" s="0" t="n">
        <v>895</v>
      </c>
      <c r="H88" s="0" t="n">
        <v>2417</v>
      </c>
      <c r="I88" s="0" t="n">
        <v>212</v>
      </c>
      <c r="J88" s="0" t="n">
        <v>845</v>
      </c>
      <c r="K88" s="0" t="n">
        <v>24</v>
      </c>
      <c r="L88" s="0" t="n">
        <v>11763</v>
      </c>
      <c r="M88" s="0" t="n">
        <v>2916</v>
      </c>
    </row>
    <row r="89" customFormat="false" ht="13.5" hidden="false" customHeight="false" outlineLevel="0" collapsed="false">
      <c r="A89" s="0" t="s">
        <v>72</v>
      </c>
      <c r="B89" s="1" t="n">
        <v>43949</v>
      </c>
      <c r="C89" s="2" t="n">
        <v>3481</v>
      </c>
      <c r="D89" s="2" t="n">
        <v>73</v>
      </c>
      <c r="E89" s="2" t="n">
        <v>102</v>
      </c>
      <c r="F89" s="2" t="n">
        <v>6</v>
      </c>
      <c r="G89" s="2" t="n">
        <v>925</v>
      </c>
      <c r="H89" s="2" t="n">
        <v>2454</v>
      </c>
      <c r="I89" s="2" t="n">
        <v>212</v>
      </c>
      <c r="J89" s="2" t="n">
        <v>863</v>
      </c>
      <c r="K89" s="2" t="n">
        <v>25</v>
      </c>
      <c r="L89" s="2" t="n">
        <v>11763</v>
      </c>
      <c r="M89" s="2" t="n">
        <v>2916</v>
      </c>
    </row>
    <row r="90" customFormat="false" ht="13.5" hidden="false" customHeight="false" outlineLevel="0" collapsed="false">
      <c r="A90" s="0" t="s">
        <v>72</v>
      </c>
      <c r="B90" s="1" t="n">
        <v>43950</v>
      </c>
      <c r="C90" s="2" t="n">
        <v>3638</v>
      </c>
      <c r="D90" s="2" t="n">
        <v>157</v>
      </c>
      <c r="E90" s="2" t="n">
        <v>103</v>
      </c>
      <c r="F90" s="2" t="n">
        <v>1</v>
      </c>
      <c r="G90" s="2" t="n">
        <v>975</v>
      </c>
      <c r="H90" s="2" t="n">
        <v>2560</v>
      </c>
      <c r="I90" s="2" t="n">
        <v>212</v>
      </c>
      <c r="J90" s="2" t="n">
        <v>902</v>
      </c>
      <c r="K90" s="2" t="n">
        <v>26</v>
      </c>
      <c r="L90" s="2" t="n">
        <v>11763</v>
      </c>
      <c r="M90" s="2" t="n">
        <v>2916</v>
      </c>
    </row>
    <row r="91" customFormat="false" ht="13.5" hidden="false" customHeight="false" outlineLevel="0" collapsed="false">
      <c r="A91" s="0" t="s">
        <v>72</v>
      </c>
      <c r="B91" s="1" t="n">
        <v>43951</v>
      </c>
      <c r="C91" s="2" t="n">
        <v>3771</v>
      </c>
      <c r="D91" s="2" t="n">
        <v>133</v>
      </c>
      <c r="E91" s="2" t="n">
        <v>107</v>
      </c>
      <c r="F91" s="2" t="n">
        <v>4</v>
      </c>
      <c r="G91" s="2" t="n">
        <v>1114</v>
      </c>
      <c r="H91" s="2" t="n">
        <v>2550</v>
      </c>
      <c r="I91" s="2" t="n">
        <v>212</v>
      </c>
      <c r="J91" s="2" t="n">
        <v>935</v>
      </c>
      <c r="K91" s="2" t="n">
        <v>27</v>
      </c>
      <c r="L91" s="2" t="n">
        <v>11763</v>
      </c>
      <c r="M91" s="2" t="n">
        <v>2916</v>
      </c>
    </row>
    <row r="92" customFormat="false" ht="13.5" hidden="false" customHeight="false" outlineLevel="0" collapsed="false">
      <c r="A92" s="0" t="s">
        <v>72</v>
      </c>
      <c r="B92" s="1" t="n">
        <v>43952</v>
      </c>
      <c r="C92" s="2" t="n">
        <v>3897</v>
      </c>
      <c r="D92" s="2" t="n">
        <v>126</v>
      </c>
      <c r="E92" s="2" t="n">
        <v>116</v>
      </c>
      <c r="F92" s="2" t="n">
        <v>9</v>
      </c>
      <c r="G92" s="2" t="n">
        <v>1182</v>
      </c>
      <c r="H92" s="2" t="n">
        <v>2599</v>
      </c>
      <c r="I92" s="2" t="n">
        <v>237</v>
      </c>
      <c r="J92" s="2" t="n">
        <v>966</v>
      </c>
      <c r="K92" s="2" t="n">
        <v>29</v>
      </c>
      <c r="L92" s="2" t="n">
        <v>11763</v>
      </c>
      <c r="M92" s="2" t="n">
        <v>2916</v>
      </c>
    </row>
    <row r="93" customFormat="false" ht="13.5" hidden="false" customHeight="false" outlineLevel="0" collapsed="false">
      <c r="A93" s="0" t="s">
        <v>72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72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72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72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72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72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72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72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72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72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72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72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72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72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72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72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72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72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72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72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72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72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72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72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72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72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72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72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72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72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72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72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72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72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72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72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72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72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72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72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72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72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72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72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72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72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72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72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72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72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72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72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72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72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72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72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72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72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72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72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72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72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72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72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72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72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72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72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72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72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72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72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72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72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72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72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72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72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72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72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72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72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72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72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72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72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72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72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72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72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72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72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72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72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72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73</v>
      </c>
      <c r="B2" s="1" t="n">
        <v>43862</v>
      </c>
    </row>
    <row r="3" customFormat="false" ht="13.5" hidden="false" customHeight="false" outlineLevel="0" collapsed="false">
      <c r="A3" s="0" t="s">
        <v>73</v>
      </c>
      <c r="B3" s="1" t="n">
        <v>43863</v>
      </c>
    </row>
    <row r="4" customFormat="false" ht="13.5" hidden="false" customHeight="false" outlineLevel="0" collapsed="false">
      <c r="A4" s="0" t="s">
        <v>73</v>
      </c>
      <c r="B4" s="1" t="n">
        <v>43864</v>
      </c>
    </row>
    <row r="5" customFormat="false" ht="13.5" hidden="false" customHeight="false" outlineLevel="0" collapsed="false">
      <c r="A5" s="0" t="s">
        <v>73</v>
      </c>
      <c r="B5" s="1" t="n">
        <v>43865</v>
      </c>
    </row>
    <row r="6" customFormat="false" ht="13.5" hidden="false" customHeight="false" outlineLevel="0" collapsed="false">
      <c r="A6" s="0" t="s">
        <v>73</v>
      </c>
      <c r="B6" s="1" t="n">
        <v>43866</v>
      </c>
    </row>
    <row r="7" customFormat="false" ht="13.5" hidden="false" customHeight="false" outlineLevel="0" collapsed="false">
      <c r="A7" s="0" t="s">
        <v>73</v>
      </c>
      <c r="B7" s="1" t="n">
        <v>43867</v>
      </c>
    </row>
    <row r="8" customFormat="false" ht="13.5" hidden="false" customHeight="false" outlineLevel="0" collapsed="false">
      <c r="A8" s="0" t="s">
        <v>73</v>
      </c>
      <c r="B8" s="1" t="n">
        <v>43868</v>
      </c>
    </row>
    <row r="9" customFormat="false" ht="13.5" hidden="false" customHeight="false" outlineLevel="0" collapsed="false">
      <c r="A9" s="0" t="s">
        <v>73</v>
      </c>
      <c r="B9" s="1" t="n">
        <v>43869</v>
      </c>
    </row>
    <row r="10" customFormat="false" ht="13.5" hidden="false" customHeight="false" outlineLevel="0" collapsed="false">
      <c r="A10" s="0" t="s">
        <v>73</v>
      </c>
      <c r="B10" s="1" t="n">
        <v>43870</v>
      </c>
    </row>
    <row r="11" customFormat="false" ht="13.5" hidden="false" customHeight="false" outlineLevel="0" collapsed="false">
      <c r="A11" s="0" t="s">
        <v>73</v>
      </c>
      <c r="B11" s="1" t="n">
        <v>43871</v>
      </c>
    </row>
    <row r="12" customFormat="false" ht="13.5" hidden="false" customHeight="false" outlineLevel="0" collapsed="false">
      <c r="A12" s="0" t="s">
        <v>73</v>
      </c>
      <c r="B12" s="1" t="n">
        <v>43872</v>
      </c>
    </row>
    <row r="13" customFormat="false" ht="13.5" hidden="false" customHeight="false" outlineLevel="0" collapsed="false">
      <c r="A13" s="0" t="s">
        <v>73</v>
      </c>
      <c r="B13" s="1" t="n">
        <v>43873</v>
      </c>
    </row>
    <row r="14" customFormat="false" ht="13.5" hidden="false" customHeight="false" outlineLevel="0" collapsed="false">
      <c r="A14" s="0" t="s">
        <v>73</v>
      </c>
      <c r="B14" s="1" t="n">
        <v>43874</v>
      </c>
    </row>
    <row r="15" customFormat="false" ht="13.5" hidden="false" customHeight="false" outlineLevel="0" collapsed="false">
      <c r="A15" s="0" t="s">
        <v>73</v>
      </c>
      <c r="B15" s="1" t="n">
        <v>43875</v>
      </c>
    </row>
    <row r="16" customFormat="false" ht="13.5" hidden="false" customHeight="false" outlineLevel="0" collapsed="false">
      <c r="A16" s="0" t="s">
        <v>73</v>
      </c>
      <c r="B16" s="1" t="n">
        <v>43876</v>
      </c>
    </row>
    <row r="17" customFormat="false" ht="13.5" hidden="false" customHeight="false" outlineLevel="0" collapsed="false">
      <c r="A17" s="0" t="s">
        <v>73</v>
      </c>
      <c r="B17" s="1" t="n">
        <v>43877</v>
      </c>
    </row>
    <row r="18" customFormat="false" ht="13.5" hidden="false" customHeight="false" outlineLevel="0" collapsed="false">
      <c r="A18" s="0" t="s">
        <v>73</v>
      </c>
      <c r="B18" s="1" t="n">
        <v>43878</v>
      </c>
    </row>
    <row r="19" customFormat="false" ht="13.5" hidden="false" customHeight="false" outlineLevel="0" collapsed="false">
      <c r="A19" s="0" t="s">
        <v>73</v>
      </c>
      <c r="B19" s="1" t="n">
        <v>43879</v>
      </c>
    </row>
    <row r="20" customFormat="false" ht="13.5" hidden="false" customHeight="false" outlineLevel="0" collapsed="false">
      <c r="A20" s="0" t="s">
        <v>73</v>
      </c>
      <c r="B20" s="1" t="n">
        <v>43880</v>
      </c>
    </row>
    <row r="21" customFormat="false" ht="13.5" hidden="false" customHeight="false" outlineLevel="0" collapsed="false">
      <c r="A21" s="0" t="s">
        <v>73</v>
      </c>
      <c r="B21" s="1" t="n">
        <v>43881</v>
      </c>
    </row>
    <row r="22" customFormat="false" ht="13.5" hidden="false" customHeight="false" outlineLevel="0" collapsed="false">
      <c r="A22" s="0" t="s">
        <v>73</v>
      </c>
      <c r="B22" s="1" t="n">
        <v>43882</v>
      </c>
    </row>
    <row r="23" customFormat="false" ht="13.5" hidden="false" customHeight="false" outlineLevel="0" collapsed="false">
      <c r="A23" s="0" t="s">
        <v>73</v>
      </c>
      <c r="B23" s="1" t="n">
        <v>43883</v>
      </c>
    </row>
    <row r="24" customFormat="false" ht="13.5" hidden="false" customHeight="false" outlineLevel="0" collapsed="false">
      <c r="A24" s="0" t="s">
        <v>73</v>
      </c>
      <c r="B24" s="1" t="n">
        <v>43884</v>
      </c>
    </row>
    <row r="25" customFormat="false" ht="13.5" hidden="false" customHeight="false" outlineLevel="0" collapsed="false">
      <c r="A25" s="0" t="s">
        <v>73</v>
      </c>
      <c r="B25" s="1" t="n">
        <v>43885</v>
      </c>
    </row>
    <row r="26" customFormat="false" ht="13.5" hidden="false" customHeight="false" outlineLevel="0" collapsed="false">
      <c r="A26" s="0" t="s">
        <v>73</v>
      </c>
      <c r="B26" s="1" t="n">
        <v>43886</v>
      </c>
    </row>
    <row r="27" customFormat="false" ht="13.5" hidden="false" customHeight="false" outlineLevel="0" collapsed="false">
      <c r="A27" s="0" t="s">
        <v>73</v>
      </c>
      <c r="B27" s="1" t="n">
        <v>43887</v>
      </c>
    </row>
    <row r="28" customFormat="false" ht="13.5" hidden="false" customHeight="false" outlineLevel="0" collapsed="false">
      <c r="A28" s="0" t="s">
        <v>73</v>
      </c>
      <c r="B28" s="1" t="n">
        <v>43888</v>
      </c>
    </row>
    <row r="29" customFormat="false" ht="13.5" hidden="false" customHeight="false" outlineLevel="0" collapsed="false">
      <c r="A29" s="0" t="s">
        <v>73</v>
      </c>
      <c r="B29" s="1" t="n">
        <v>43889</v>
      </c>
    </row>
    <row r="30" customFormat="false" ht="13.5" hidden="false" customHeight="false" outlineLevel="0" collapsed="false">
      <c r="A30" s="0" t="s">
        <v>73</v>
      </c>
      <c r="B30" s="1" t="n">
        <v>43890</v>
      </c>
    </row>
    <row r="31" customFormat="false" ht="13.5" hidden="false" customHeight="false" outlineLevel="0" collapsed="false">
      <c r="A31" s="0" t="s">
        <v>73</v>
      </c>
      <c r="B31" s="1" t="n">
        <v>43891</v>
      </c>
    </row>
    <row r="32" customFormat="false" ht="13.5" hidden="false" customHeight="false" outlineLevel="0" collapsed="false">
      <c r="A32" s="0" t="s">
        <v>73</v>
      </c>
      <c r="B32" s="1" t="n">
        <v>43892</v>
      </c>
    </row>
    <row r="33" customFormat="false" ht="13.5" hidden="false" customHeight="false" outlineLevel="0" collapsed="false">
      <c r="A33" s="0" t="s">
        <v>73</v>
      </c>
      <c r="B33" s="1" t="n">
        <v>43893</v>
      </c>
    </row>
    <row r="34" customFormat="false" ht="13.5" hidden="false" customHeight="false" outlineLevel="0" collapsed="false">
      <c r="A34" s="0" t="s">
        <v>73</v>
      </c>
      <c r="B34" s="1" t="n">
        <v>43894</v>
      </c>
    </row>
    <row r="35" customFormat="false" ht="13.5" hidden="false" customHeight="false" outlineLevel="0" collapsed="false">
      <c r="A35" s="0" t="s">
        <v>73</v>
      </c>
      <c r="B35" s="1" t="n">
        <v>43895</v>
      </c>
    </row>
    <row r="36" customFormat="false" ht="13.5" hidden="false" customHeight="false" outlineLevel="0" collapsed="false">
      <c r="A36" s="0" t="s">
        <v>73</v>
      </c>
      <c r="B36" s="1" t="n">
        <v>43896</v>
      </c>
    </row>
    <row r="37" customFormat="false" ht="13.5" hidden="false" customHeight="false" outlineLevel="0" collapsed="false">
      <c r="A37" s="0" t="s">
        <v>73</v>
      </c>
      <c r="B37" s="1" t="n">
        <v>43897</v>
      </c>
      <c r="C37" s="0" t="n">
        <v>58</v>
      </c>
      <c r="G37" s="0" t="n">
        <v>1</v>
      </c>
      <c r="H37" s="0" t="n">
        <v>57</v>
      </c>
    </row>
    <row r="38" customFormat="false" ht="13.5" hidden="false" customHeight="false" outlineLevel="0" collapsed="false">
      <c r="A38" s="0" t="s">
        <v>73</v>
      </c>
      <c r="B38" s="1" t="n">
        <v>43898</v>
      </c>
      <c r="C38" s="0" t="n">
        <v>61</v>
      </c>
      <c r="D38" s="0" t="n">
        <v>3</v>
      </c>
      <c r="G38" s="0" t="n">
        <v>1</v>
      </c>
      <c r="H38" s="0" t="n">
        <v>60</v>
      </c>
      <c r="J38" s="0" t="n">
        <v>14.3</v>
      </c>
    </row>
    <row r="39" customFormat="false" ht="13.5" hidden="false" customHeight="false" outlineLevel="0" collapsed="false">
      <c r="A39" s="0" t="s">
        <v>73</v>
      </c>
      <c r="B39" s="1" t="n">
        <v>43899</v>
      </c>
      <c r="C39" s="0" t="n">
        <v>64</v>
      </c>
      <c r="D39" s="0" t="n">
        <v>3</v>
      </c>
      <c r="G39" s="0" t="n">
        <v>1</v>
      </c>
      <c r="H39" s="0" t="n">
        <v>63</v>
      </c>
      <c r="I39" s="0" t="n">
        <v>3</v>
      </c>
      <c r="J39" s="0" t="n">
        <v>15</v>
      </c>
    </row>
    <row r="40" customFormat="false" ht="13.5" hidden="false" customHeight="false" outlineLevel="0" collapsed="false">
      <c r="A40" s="0" t="s">
        <v>73</v>
      </c>
      <c r="B40" s="1" t="n">
        <v>43900</v>
      </c>
      <c r="C40" s="0" t="n">
        <v>65</v>
      </c>
      <c r="D40" s="0" t="n">
        <v>1</v>
      </c>
      <c r="G40" s="0" t="n">
        <v>1</v>
      </c>
      <c r="H40" s="0" t="n">
        <v>64</v>
      </c>
      <c r="I40" s="0" t="n">
        <v>3</v>
      </c>
      <c r="J40" s="0" t="n">
        <v>15.2</v>
      </c>
    </row>
    <row r="41" customFormat="false" ht="13.5" hidden="false" customHeight="false" outlineLevel="0" collapsed="false">
      <c r="A41" s="0" t="s">
        <v>73</v>
      </c>
      <c r="B41" s="1" t="n">
        <v>43901</v>
      </c>
      <c r="C41" s="0" t="n">
        <v>69</v>
      </c>
      <c r="D41" s="0" t="n">
        <v>4</v>
      </c>
      <c r="G41" s="0" t="n">
        <v>1</v>
      </c>
      <c r="H41" s="0" t="n">
        <v>68</v>
      </c>
      <c r="I41" s="0" t="n">
        <v>3</v>
      </c>
      <c r="J41" s="0" t="n">
        <v>16.2</v>
      </c>
    </row>
    <row r="42" customFormat="false" ht="13.5" hidden="false" customHeight="false" outlineLevel="0" collapsed="false">
      <c r="A42" s="0" t="s">
        <v>73</v>
      </c>
      <c r="B42" s="1" t="n">
        <v>43902</v>
      </c>
      <c r="C42" s="0" t="n">
        <v>72</v>
      </c>
      <c r="D42" s="0" t="n">
        <v>3</v>
      </c>
      <c r="G42" s="0" t="n">
        <v>2</v>
      </c>
      <c r="H42" s="0" t="n">
        <v>70</v>
      </c>
      <c r="I42" s="0" t="n">
        <v>3</v>
      </c>
      <c r="J42" s="0" t="n">
        <v>16.9</v>
      </c>
    </row>
    <row r="43" customFormat="false" ht="13.5" hidden="false" customHeight="false" outlineLevel="0" collapsed="false">
      <c r="A43" s="0" t="s">
        <v>73</v>
      </c>
      <c r="B43" s="1" t="n">
        <v>43903</v>
      </c>
      <c r="C43" s="0" t="n">
        <v>80</v>
      </c>
      <c r="D43" s="0" t="n">
        <v>8</v>
      </c>
      <c r="G43" s="0" t="n">
        <v>5</v>
      </c>
      <c r="H43" s="0" t="n">
        <v>75</v>
      </c>
      <c r="I43" s="0" t="n">
        <v>4</v>
      </c>
      <c r="J43" s="0" t="n">
        <v>18.7</v>
      </c>
    </row>
    <row r="44" customFormat="false" ht="13.5" hidden="false" customHeight="false" outlineLevel="0" collapsed="false">
      <c r="A44" s="0" t="s">
        <v>73</v>
      </c>
      <c r="B44" s="1" t="n">
        <v>43904</v>
      </c>
      <c r="C44" s="0" t="n">
        <v>100</v>
      </c>
      <c r="D44" s="0" t="n">
        <v>20</v>
      </c>
      <c r="G44" s="0" t="n">
        <v>5</v>
      </c>
      <c r="H44" s="0" t="n">
        <v>95</v>
      </c>
      <c r="I44" s="0" t="n">
        <v>4</v>
      </c>
      <c r="J44" s="0" t="n">
        <v>23.4</v>
      </c>
    </row>
    <row r="45" customFormat="false" ht="13.5" hidden="false" customHeight="false" outlineLevel="0" collapsed="false">
      <c r="A45" s="0" t="s">
        <v>73</v>
      </c>
      <c r="B45" s="1" t="n">
        <v>43905</v>
      </c>
      <c r="C45" s="0" t="n">
        <v>104</v>
      </c>
      <c r="D45" s="0" t="n">
        <v>4</v>
      </c>
      <c r="G45" s="0" t="n">
        <v>5</v>
      </c>
      <c r="H45" s="0" t="n">
        <v>99</v>
      </c>
      <c r="I45" s="0" t="n">
        <v>4</v>
      </c>
      <c r="J45" s="0" t="n">
        <v>24.4</v>
      </c>
    </row>
    <row r="46" customFormat="false" ht="13.5" hidden="false" customHeight="false" outlineLevel="0" collapsed="false">
      <c r="A46" s="0" t="s">
        <v>73</v>
      </c>
      <c r="B46" s="1" t="n">
        <v>43906</v>
      </c>
      <c r="C46" s="0" t="n">
        <v>112</v>
      </c>
      <c r="D46" s="0" t="n">
        <v>8</v>
      </c>
      <c r="G46" s="0" t="n">
        <v>9</v>
      </c>
      <c r="H46" s="0" t="n">
        <v>103</v>
      </c>
      <c r="I46" s="0" t="n">
        <v>4</v>
      </c>
      <c r="J46" s="0" t="n">
        <v>26.2</v>
      </c>
    </row>
    <row r="47" customFormat="false" ht="13.5" hidden="false" customHeight="false" outlineLevel="0" collapsed="false">
      <c r="A47" s="0" t="s">
        <v>73</v>
      </c>
      <c r="B47" s="1" t="n">
        <v>43907</v>
      </c>
      <c r="C47" s="0" t="n">
        <v>123</v>
      </c>
      <c r="D47" s="0" t="n">
        <v>11</v>
      </c>
      <c r="G47" s="0" t="n">
        <v>9</v>
      </c>
      <c r="H47" s="0" t="n">
        <v>114</v>
      </c>
      <c r="I47" s="0" t="n">
        <v>4</v>
      </c>
      <c r="J47" s="0" t="n">
        <v>28.8</v>
      </c>
    </row>
    <row r="48" customFormat="false" ht="13.5" hidden="false" customHeight="false" outlineLevel="0" collapsed="false">
      <c r="A48" s="0" t="s">
        <v>73</v>
      </c>
      <c r="B48" s="1" t="n">
        <v>43908</v>
      </c>
      <c r="C48" s="0" t="n">
        <v>130</v>
      </c>
      <c r="D48" s="0" t="n">
        <v>7</v>
      </c>
      <c r="G48" s="0" t="n">
        <v>12</v>
      </c>
      <c r="H48" s="0" t="n">
        <v>118</v>
      </c>
      <c r="I48" s="0" t="n">
        <v>4</v>
      </c>
      <c r="J48" s="0" t="n">
        <v>30.4</v>
      </c>
    </row>
    <row r="49" customFormat="false" ht="13.5" hidden="false" customHeight="false" outlineLevel="0" collapsed="false">
      <c r="A49" s="0" t="s">
        <v>73</v>
      </c>
      <c r="B49" s="1" t="n">
        <v>43909</v>
      </c>
      <c r="C49" s="0" t="n">
        <v>142</v>
      </c>
      <c r="D49" s="0" t="n">
        <v>12</v>
      </c>
      <c r="G49" s="0" t="n">
        <v>15</v>
      </c>
      <c r="H49" s="0" t="n">
        <v>127</v>
      </c>
      <c r="I49" s="0" t="n">
        <v>4</v>
      </c>
      <c r="J49" s="0" t="n">
        <v>33</v>
      </c>
    </row>
    <row r="50" customFormat="false" ht="13.5" hidden="false" customHeight="false" outlineLevel="0" collapsed="false">
      <c r="A50" s="0" t="s">
        <v>73</v>
      </c>
      <c r="B50" s="1" t="n">
        <v>43910</v>
      </c>
      <c r="C50" s="0" t="n">
        <v>148</v>
      </c>
      <c r="D50" s="0" t="n">
        <v>6</v>
      </c>
      <c r="G50" s="0" t="n">
        <v>18</v>
      </c>
      <c r="H50" s="0" t="n">
        <v>130</v>
      </c>
      <c r="I50" s="0" t="n">
        <v>5</v>
      </c>
      <c r="J50" s="0" t="n">
        <v>35</v>
      </c>
    </row>
    <row r="51" customFormat="false" ht="13.5" hidden="false" customHeight="false" outlineLevel="0" collapsed="false">
      <c r="A51" s="0" t="s">
        <v>73</v>
      </c>
      <c r="B51" s="1" t="n">
        <v>43911</v>
      </c>
      <c r="C51" s="0" t="n">
        <v>176</v>
      </c>
      <c r="D51" s="0" t="n">
        <v>28</v>
      </c>
      <c r="G51" s="0" t="n">
        <v>27</v>
      </c>
      <c r="H51" s="0" t="n">
        <v>149</v>
      </c>
      <c r="I51" s="0" t="n">
        <v>5</v>
      </c>
      <c r="J51" s="0" t="n">
        <v>41</v>
      </c>
    </row>
    <row r="52" customFormat="false" ht="13.5" hidden="false" customHeight="false" outlineLevel="0" collapsed="false">
      <c r="A52" s="0" t="s">
        <v>73</v>
      </c>
      <c r="B52" s="1" t="n">
        <v>43912</v>
      </c>
      <c r="C52" s="0" t="n">
        <v>176</v>
      </c>
      <c r="D52" s="0" t="n">
        <v>0</v>
      </c>
      <c r="G52" s="0" t="n">
        <v>27</v>
      </c>
      <c r="H52" s="0" t="n">
        <v>149</v>
      </c>
      <c r="I52" s="0" t="n">
        <v>5</v>
      </c>
      <c r="J52" s="0" t="n">
        <v>41</v>
      </c>
    </row>
    <row r="53" customFormat="false" ht="13.5" hidden="false" customHeight="false" outlineLevel="0" collapsed="false">
      <c r="A53" s="0" t="s">
        <v>73</v>
      </c>
      <c r="B53" s="1" t="n">
        <v>43913</v>
      </c>
      <c r="C53" s="0" t="n">
        <v>188</v>
      </c>
      <c r="D53" s="0" t="n">
        <v>12</v>
      </c>
      <c r="G53" s="0" t="n">
        <v>30</v>
      </c>
      <c r="H53" s="0" t="n">
        <v>158</v>
      </c>
      <c r="I53" s="0" t="n">
        <v>5</v>
      </c>
      <c r="J53" s="0" t="n">
        <v>44</v>
      </c>
    </row>
    <row r="54" customFormat="false" ht="13.5" hidden="false" customHeight="false" outlineLevel="0" collapsed="false">
      <c r="A54" s="0" t="s">
        <v>73</v>
      </c>
      <c r="B54" s="1" t="n">
        <v>43914</v>
      </c>
      <c r="C54" s="0" t="n">
        <v>189</v>
      </c>
      <c r="D54" s="0" t="n">
        <v>1</v>
      </c>
      <c r="G54" s="0" t="n">
        <v>30</v>
      </c>
      <c r="H54" s="0" t="n">
        <v>159</v>
      </c>
      <c r="I54" s="0" t="n">
        <v>5</v>
      </c>
      <c r="J54" s="0" t="n">
        <v>44</v>
      </c>
    </row>
    <row r="55" customFormat="false" ht="13.5" hidden="false" customHeight="false" outlineLevel="0" collapsed="false">
      <c r="A55" s="0" t="s">
        <v>73</v>
      </c>
      <c r="B55" s="1" t="n">
        <v>43915</v>
      </c>
      <c r="C55" s="0" t="n">
        <v>191</v>
      </c>
      <c r="D55" s="0" t="n">
        <v>2</v>
      </c>
      <c r="G55" s="0" t="n">
        <v>39</v>
      </c>
      <c r="H55" s="0" t="n">
        <v>152</v>
      </c>
      <c r="I55" s="0" t="n">
        <v>5</v>
      </c>
      <c r="J55" s="0" t="n">
        <v>45</v>
      </c>
    </row>
    <row r="56" customFormat="false" ht="13.5" hidden="false" customHeight="false" outlineLevel="0" collapsed="false">
      <c r="A56" s="0" t="s">
        <v>73</v>
      </c>
      <c r="B56" s="1" t="n">
        <v>43916</v>
      </c>
      <c r="C56" s="0" t="n">
        <v>195</v>
      </c>
      <c r="D56" s="0" t="n">
        <v>4</v>
      </c>
      <c r="G56" s="0" t="n">
        <v>43</v>
      </c>
      <c r="H56" s="0" t="n">
        <v>152</v>
      </c>
      <c r="I56" s="0" t="n">
        <v>6</v>
      </c>
      <c r="J56" s="0" t="n">
        <v>46</v>
      </c>
    </row>
    <row r="57" customFormat="false" ht="13.5" hidden="false" customHeight="false" outlineLevel="0" collapsed="false">
      <c r="A57" s="0" t="s">
        <v>73</v>
      </c>
      <c r="B57" s="1" t="n">
        <v>43917</v>
      </c>
      <c r="C57" s="0" t="n">
        <v>208</v>
      </c>
      <c r="D57" s="0" t="n">
        <v>13</v>
      </c>
      <c r="G57" s="0" t="n">
        <v>49</v>
      </c>
      <c r="H57" s="0" t="n">
        <v>159</v>
      </c>
      <c r="I57" s="0" t="n">
        <v>7</v>
      </c>
      <c r="J57" s="0" t="n">
        <v>49</v>
      </c>
    </row>
    <row r="58" customFormat="false" ht="13.5" hidden="false" customHeight="false" outlineLevel="0" collapsed="false">
      <c r="A58" s="0" t="s">
        <v>73</v>
      </c>
      <c r="B58" s="1" t="n">
        <v>43918</v>
      </c>
      <c r="C58" s="0" t="n">
        <v>225</v>
      </c>
      <c r="D58" s="0" t="n">
        <v>17</v>
      </c>
      <c r="G58" s="0" t="n">
        <v>57</v>
      </c>
      <c r="H58" s="0" t="n">
        <v>168</v>
      </c>
      <c r="I58" s="0" t="n">
        <v>11</v>
      </c>
      <c r="J58" s="0" t="n">
        <v>53</v>
      </c>
    </row>
    <row r="59" customFormat="false" ht="13.5" hidden="false" customHeight="false" outlineLevel="0" collapsed="false">
      <c r="A59" s="0" t="s">
        <v>73</v>
      </c>
      <c r="B59" s="1" t="n">
        <v>43919</v>
      </c>
      <c r="C59" s="0" t="n">
        <v>235</v>
      </c>
      <c r="D59" s="0" t="n">
        <v>10</v>
      </c>
      <c r="G59" s="0" t="n">
        <v>64</v>
      </c>
      <c r="H59" s="0" t="n">
        <v>171</v>
      </c>
      <c r="I59" s="0" t="n">
        <v>11</v>
      </c>
      <c r="J59" s="0" t="n">
        <v>55</v>
      </c>
    </row>
    <row r="60" customFormat="false" ht="13.5" hidden="false" customHeight="false" outlineLevel="0" collapsed="false">
      <c r="A60" s="0" t="s">
        <v>73</v>
      </c>
      <c r="B60" s="1" t="n">
        <v>43920</v>
      </c>
      <c r="C60" s="0" t="n">
        <v>255</v>
      </c>
      <c r="D60" s="0" t="n">
        <v>20</v>
      </c>
      <c r="G60" s="0" t="n">
        <v>67</v>
      </c>
      <c r="H60" s="0" t="n">
        <v>188</v>
      </c>
      <c r="I60" s="0" t="n">
        <v>12</v>
      </c>
      <c r="J60" s="0" t="n">
        <v>60</v>
      </c>
    </row>
    <row r="61" customFormat="false" ht="13.5" hidden="false" customHeight="false" outlineLevel="0" collapsed="false">
      <c r="A61" s="0" t="s">
        <v>73</v>
      </c>
      <c r="B61" s="1" t="n">
        <v>43921</v>
      </c>
      <c r="C61" s="0" t="n">
        <v>266</v>
      </c>
      <c r="D61" s="0" t="n">
        <v>11</v>
      </c>
      <c r="G61" s="0" t="n">
        <v>72</v>
      </c>
      <c r="H61" s="0" t="n">
        <v>194</v>
      </c>
      <c r="I61" s="0" t="n">
        <v>13</v>
      </c>
      <c r="J61" s="0" t="n">
        <v>62</v>
      </c>
    </row>
    <row r="62" customFormat="false" ht="13.5" hidden="false" customHeight="false" outlineLevel="0" collapsed="false">
      <c r="A62" s="0" t="s">
        <v>73</v>
      </c>
      <c r="B62" s="1" t="n">
        <v>43922</v>
      </c>
      <c r="C62" s="0" t="n">
        <v>289</v>
      </c>
      <c r="D62" s="0" t="n">
        <v>23</v>
      </c>
      <c r="G62" s="0" t="n">
        <v>73</v>
      </c>
      <c r="H62" s="0" t="n">
        <v>216</v>
      </c>
      <c r="I62" s="0" t="n">
        <v>13</v>
      </c>
      <c r="J62" s="0" t="n">
        <v>68</v>
      </c>
    </row>
    <row r="63" customFormat="false" ht="13.5" hidden="false" customHeight="false" outlineLevel="0" collapsed="false">
      <c r="A63" s="0" t="s">
        <v>73</v>
      </c>
      <c r="B63" s="1" t="n">
        <v>43923</v>
      </c>
      <c r="C63" s="0" t="n">
        <v>317</v>
      </c>
      <c r="D63" s="0" t="n">
        <v>28</v>
      </c>
      <c r="G63" s="0" t="n">
        <v>80</v>
      </c>
      <c r="H63" s="0" t="n">
        <v>237</v>
      </c>
      <c r="I63" s="0" t="n">
        <v>14</v>
      </c>
      <c r="J63" s="0" t="n">
        <v>74</v>
      </c>
    </row>
    <row r="64" customFormat="false" ht="13.5" hidden="false" customHeight="false" outlineLevel="0" collapsed="false">
      <c r="A64" s="0" t="s">
        <v>73</v>
      </c>
      <c r="B64" s="1" t="n">
        <v>43924</v>
      </c>
      <c r="C64" s="0" t="n">
        <v>342</v>
      </c>
      <c r="D64" s="0" t="n">
        <v>25</v>
      </c>
      <c r="G64" s="0" t="n">
        <v>81</v>
      </c>
      <c r="H64" s="0" t="n">
        <v>261</v>
      </c>
      <c r="I64" s="0" t="n">
        <v>15</v>
      </c>
      <c r="J64" s="0" t="n">
        <v>80</v>
      </c>
    </row>
    <row r="65" customFormat="false" ht="13.5" hidden="false" customHeight="false" outlineLevel="0" collapsed="false">
      <c r="A65" s="0" t="s">
        <v>73</v>
      </c>
      <c r="B65" s="1" t="n">
        <v>43925</v>
      </c>
      <c r="C65" s="0" t="n">
        <v>417</v>
      </c>
      <c r="D65" s="0" t="n">
        <v>75</v>
      </c>
      <c r="G65" s="0" t="n">
        <v>82</v>
      </c>
      <c r="H65" s="0" t="n">
        <v>335</v>
      </c>
      <c r="I65" s="0" t="n">
        <v>16</v>
      </c>
      <c r="J65" s="0" t="n">
        <v>98</v>
      </c>
    </row>
    <row r="66" customFormat="false" ht="13.5" hidden="false" customHeight="false" outlineLevel="0" collapsed="false">
      <c r="A66" s="0" t="s">
        <v>73</v>
      </c>
      <c r="B66" s="1" t="n">
        <v>43926</v>
      </c>
      <c r="C66" s="0" t="n">
        <v>479</v>
      </c>
      <c r="D66" s="0" t="n">
        <v>62</v>
      </c>
      <c r="E66" s="0" t="n">
        <v>1</v>
      </c>
      <c r="F66" s="0" t="n">
        <v>1</v>
      </c>
      <c r="G66" s="0" t="n">
        <v>93</v>
      </c>
      <c r="H66" s="0" t="n">
        <v>385</v>
      </c>
      <c r="I66" s="0" t="n">
        <v>17</v>
      </c>
      <c r="J66" s="0" t="n">
        <v>112</v>
      </c>
      <c r="K66" s="0" t="n">
        <v>0.2</v>
      </c>
    </row>
    <row r="67" customFormat="false" ht="13.5" hidden="false" customHeight="false" outlineLevel="0" collapsed="false">
      <c r="A67" s="0" t="s">
        <v>73</v>
      </c>
      <c r="B67" s="1" t="n">
        <v>43927</v>
      </c>
      <c r="C67" s="0" t="n">
        <v>556</v>
      </c>
      <c r="D67" s="0" t="n">
        <v>77</v>
      </c>
      <c r="E67" s="0" t="n">
        <v>1</v>
      </c>
      <c r="G67" s="0" t="n">
        <v>99</v>
      </c>
      <c r="H67" s="0" t="n">
        <v>456</v>
      </c>
      <c r="I67" s="0" t="n">
        <v>17</v>
      </c>
      <c r="J67" s="0" t="n">
        <v>130</v>
      </c>
      <c r="K67" s="0" t="n">
        <v>0.2</v>
      </c>
    </row>
    <row r="68" customFormat="false" ht="13.5" hidden="false" customHeight="false" outlineLevel="0" collapsed="false">
      <c r="A68" s="0" t="s">
        <v>73</v>
      </c>
      <c r="B68" s="1" t="n">
        <v>43928</v>
      </c>
      <c r="C68" s="0" t="n">
        <v>665</v>
      </c>
      <c r="D68" s="0" t="n">
        <v>109</v>
      </c>
      <c r="E68" s="0" t="n">
        <v>1</v>
      </c>
      <c r="G68" s="0" t="n">
        <v>103</v>
      </c>
      <c r="H68" s="0" t="n">
        <v>561</v>
      </c>
      <c r="I68" s="0" t="n">
        <v>20</v>
      </c>
      <c r="J68" s="0" t="n">
        <v>156</v>
      </c>
      <c r="K68" s="0" t="n">
        <v>0.2</v>
      </c>
    </row>
    <row r="69" customFormat="false" ht="13.5" hidden="false" customHeight="false" outlineLevel="0" collapsed="false">
      <c r="A69" s="0" t="s">
        <v>73</v>
      </c>
      <c r="B69" s="1" t="n">
        <v>43929</v>
      </c>
      <c r="C69" s="0" t="n">
        <v>743</v>
      </c>
      <c r="D69" s="0" t="n">
        <v>78</v>
      </c>
      <c r="E69" s="0" t="n">
        <v>1</v>
      </c>
      <c r="G69" s="0" t="n">
        <v>105</v>
      </c>
      <c r="H69" s="0" t="n">
        <v>637</v>
      </c>
      <c r="I69" s="0" t="n">
        <v>23</v>
      </c>
      <c r="J69" s="0" t="n">
        <v>174</v>
      </c>
      <c r="K69" s="0" t="n">
        <v>0.2</v>
      </c>
    </row>
    <row r="70" customFormat="false" ht="13.5" hidden="false" customHeight="false" outlineLevel="0" collapsed="false">
      <c r="A70" s="0" t="s">
        <v>73</v>
      </c>
      <c r="B70" s="1" t="n">
        <v>43930</v>
      </c>
      <c r="C70" s="0" t="n">
        <v>855</v>
      </c>
      <c r="D70" s="0" t="n">
        <v>112</v>
      </c>
      <c r="E70" s="0" t="n">
        <v>1</v>
      </c>
      <c r="G70" s="0" t="n">
        <v>111</v>
      </c>
      <c r="H70" s="0" t="n">
        <v>743</v>
      </c>
      <c r="I70" s="0" t="n">
        <v>21</v>
      </c>
      <c r="J70" s="0" t="n">
        <v>200</v>
      </c>
      <c r="K70" s="0" t="n">
        <v>0.2</v>
      </c>
    </row>
    <row r="71" customFormat="false" ht="13.5" hidden="false" customHeight="false" outlineLevel="0" collapsed="false">
      <c r="A71" s="0" t="s">
        <v>73</v>
      </c>
      <c r="B71" s="1" t="n">
        <v>43931</v>
      </c>
      <c r="C71" s="0" t="n">
        <v>910</v>
      </c>
      <c r="D71" s="0" t="n">
        <v>55</v>
      </c>
      <c r="E71" s="0" t="n">
        <v>1</v>
      </c>
      <c r="G71" s="0" t="n">
        <v>111</v>
      </c>
      <c r="H71" s="0" t="n">
        <v>798</v>
      </c>
      <c r="I71" s="0" t="n">
        <v>22</v>
      </c>
      <c r="J71" s="0" t="n">
        <v>213</v>
      </c>
      <c r="K71" s="0" t="n">
        <v>0.2</v>
      </c>
    </row>
    <row r="72" customFormat="false" ht="13.5" hidden="false" customHeight="false" outlineLevel="0" collapsed="false">
      <c r="A72" s="0" t="s">
        <v>73</v>
      </c>
      <c r="B72" s="1" t="n">
        <v>43932</v>
      </c>
      <c r="C72" s="0" t="n">
        <v>993</v>
      </c>
      <c r="D72" s="0" t="n">
        <v>83</v>
      </c>
      <c r="E72" s="0" t="n">
        <v>1</v>
      </c>
      <c r="G72" s="0" t="n">
        <v>123</v>
      </c>
      <c r="H72" s="0" t="n">
        <v>869</v>
      </c>
      <c r="I72" s="0" t="n">
        <v>26</v>
      </c>
      <c r="J72" s="0" t="n">
        <v>233</v>
      </c>
      <c r="K72" s="0" t="n">
        <v>0.2</v>
      </c>
    </row>
    <row r="73" customFormat="false" ht="13.5" hidden="false" customHeight="false" outlineLevel="0" collapsed="false">
      <c r="A73" s="0" t="s">
        <v>73</v>
      </c>
      <c r="B73" s="1" t="n">
        <v>43933</v>
      </c>
      <c r="C73" s="0" t="n">
        <v>1154</v>
      </c>
      <c r="D73" s="0" t="n">
        <v>161</v>
      </c>
      <c r="E73" s="0" t="n">
        <v>1</v>
      </c>
      <c r="F73" s="0" t="n">
        <v>0</v>
      </c>
      <c r="G73" s="0" t="n">
        <v>133</v>
      </c>
      <c r="H73" s="0" t="n">
        <v>1020</v>
      </c>
      <c r="I73" s="0" t="n">
        <v>27</v>
      </c>
      <c r="J73" s="0" t="n">
        <v>270</v>
      </c>
      <c r="K73" s="0" t="n">
        <v>0.2</v>
      </c>
    </row>
    <row r="74" customFormat="false" ht="13.5" hidden="false" customHeight="false" outlineLevel="0" collapsed="false">
      <c r="A74" s="0" t="s">
        <v>73</v>
      </c>
      <c r="B74" s="1" t="n">
        <v>43934</v>
      </c>
      <c r="C74" s="0" t="n">
        <v>1234</v>
      </c>
      <c r="D74" s="0" t="n">
        <v>80</v>
      </c>
      <c r="E74" s="0" t="n">
        <v>1</v>
      </c>
      <c r="F74" s="0" t="n">
        <v>0</v>
      </c>
      <c r="G74" s="0" t="n">
        <v>142</v>
      </c>
      <c r="H74" s="0" t="n">
        <v>1091</v>
      </c>
      <c r="I74" s="0" t="n">
        <v>29</v>
      </c>
      <c r="J74" s="0" t="n">
        <v>289</v>
      </c>
      <c r="K74" s="0" t="n">
        <v>0.2</v>
      </c>
    </row>
    <row r="75" customFormat="false" ht="13.5" hidden="false" customHeight="false" outlineLevel="0" collapsed="false">
      <c r="A75" s="0" t="s">
        <v>73</v>
      </c>
      <c r="B75" s="1" t="n">
        <v>43935</v>
      </c>
      <c r="C75" s="0" t="n">
        <v>1300</v>
      </c>
      <c r="D75" s="0" t="n">
        <v>66</v>
      </c>
      <c r="E75" s="0" t="n">
        <v>2</v>
      </c>
      <c r="F75" s="0" t="n">
        <v>1</v>
      </c>
      <c r="G75" s="0" t="n">
        <v>150</v>
      </c>
      <c r="H75" s="0" t="n">
        <v>1148</v>
      </c>
      <c r="I75" s="0" t="n">
        <v>26</v>
      </c>
      <c r="J75" s="0" t="n">
        <v>304</v>
      </c>
      <c r="K75" s="0" t="n">
        <v>0.5</v>
      </c>
    </row>
    <row r="76" customFormat="false" ht="13.5" hidden="false" customHeight="false" outlineLevel="0" collapsed="false">
      <c r="A76" s="0" t="s">
        <v>73</v>
      </c>
      <c r="B76" s="1" t="n">
        <v>43936</v>
      </c>
      <c r="C76" s="0" t="n">
        <v>1355</v>
      </c>
      <c r="D76" s="0" t="n">
        <v>55</v>
      </c>
      <c r="E76" s="0" t="n">
        <v>3</v>
      </c>
      <c r="F76" s="0" t="n">
        <v>1</v>
      </c>
      <c r="G76" s="0" t="n">
        <v>176</v>
      </c>
      <c r="H76" s="0" t="n">
        <v>1176</v>
      </c>
      <c r="I76" s="0" t="n">
        <v>26</v>
      </c>
      <c r="J76" s="0" t="n">
        <v>317</v>
      </c>
      <c r="K76" s="0" t="n">
        <v>0.7</v>
      </c>
    </row>
    <row r="77" customFormat="false" ht="13.5" hidden="false" customHeight="false" outlineLevel="0" collapsed="false">
      <c r="A77" s="0" t="s">
        <v>73</v>
      </c>
      <c r="B77" s="1" t="n">
        <v>43937</v>
      </c>
      <c r="C77" s="0" t="n">
        <v>1405</v>
      </c>
      <c r="D77" s="0" t="n">
        <v>50</v>
      </c>
      <c r="E77" s="0" t="n">
        <v>3</v>
      </c>
      <c r="F77" s="0" t="n">
        <v>0</v>
      </c>
      <c r="G77" s="0" t="n">
        <v>206</v>
      </c>
      <c r="H77" s="0" t="n">
        <v>1196</v>
      </c>
      <c r="I77" s="0" t="n">
        <v>31</v>
      </c>
      <c r="J77" s="0" t="n">
        <v>329</v>
      </c>
      <c r="K77" s="0" t="n">
        <v>0.7</v>
      </c>
    </row>
    <row r="78" customFormat="false" ht="13.5" hidden="false" customHeight="false" outlineLevel="0" collapsed="false">
      <c r="A78" s="0" t="s">
        <v>73</v>
      </c>
      <c r="B78" s="1" t="n">
        <v>43938</v>
      </c>
      <c r="C78" s="0" t="n">
        <v>1524</v>
      </c>
      <c r="D78" s="0" t="n">
        <v>119</v>
      </c>
      <c r="E78" s="0" t="n">
        <v>3</v>
      </c>
      <c r="F78" s="0" t="n">
        <v>0</v>
      </c>
      <c r="G78" s="0" t="n">
        <v>225</v>
      </c>
      <c r="H78" s="0" t="n">
        <v>1296</v>
      </c>
      <c r="I78" s="0" t="n">
        <v>32</v>
      </c>
      <c r="J78" s="0" t="n">
        <v>357</v>
      </c>
      <c r="K78" s="0" t="n">
        <v>0.7</v>
      </c>
    </row>
    <row r="79" customFormat="false" ht="13.5" hidden="false" customHeight="false" outlineLevel="0" collapsed="false">
      <c r="A79" s="0" t="s">
        <v>73</v>
      </c>
      <c r="B79" s="1" t="n">
        <v>43939</v>
      </c>
      <c r="C79" s="0" t="n">
        <v>1658</v>
      </c>
      <c r="D79" s="0" t="n">
        <v>134</v>
      </c>
      <c r="E79" s="0" t="n">
        <v>5</v>
      </c>
      <c r="F79" s="0" t="n">
        <v>2</v>
      </c>
      <c r="G79" s="0" t="n">
        <v>258</v>
      </c>
      <c r="H79" s="0" t="n">
        <v>1395</v>
      </c>
      <c r="I79" s="0" t="n">
        <v>32</v>
      </c>
      <c r="J79" s="0" t="n">
        <v>388</v>
      </c>
      <c r="K79" s="0" t="n">
        <v>1</v>
      </c>
    </row>
    <row r="80" customFormat="false" ht="13.5" hidden="false" customHeight="false" outlineLevel="0" collapsed="false">
      <c r="A80" s="0" t="s">
        <v>73</v>
      </c>
      <c r="B80" s="1" t="n">
        <v>43940</v>
      </c>
      <c r="C80" s="0" t="n">
        <v>1751</v>
      </c>
      <c r="D80" s="0" t="n">
        <v>93</v>
      </c>
      <c r="E80" s="0" t="n">
        <v>6</v>
      </c>
      <c r="F80" s="0" t="n">
        <v>1</v>
      </c>
      <c r="G80" s="0" t="n">
        <v>280</v>
      </c>
      <c r="H80" s="0" t="n">
        <v>1465</v>
      </c>
      <c r="I80" s="0" t="n">
        <v>34</v>
      </c>
      <c r="J80" s="0" t="n">
        <v>410</v>
      </c>
      <c r="K80" s="0" t="n">
        <v>1</v>
      </c>
    </row>
    <row r="81" customFormat="false" ht="13.5" hidden="false" customHeight="false" outlineLevel="0" collapsed="false">
      <c r="A81" s="0" t="s">
        <v>73</v>
      </c>
      <c r="B81" s="1" t="n">
        <v>43941</v>
      </c>
      <c r="C81" s="0" t="n">
        <v>1915</v>
      </c>
      <c r="D81" s="0" t="n">
        <v>164</v>
      </c>
      <c r="E81" s="0" t="n">
        <v>7</v>
      </c>
      <c r="F81" s="0" t="n">
        <v>1</v>
      </c>
      <c r="G81" s="0" t="n">
        <v>305</v>
      </c>
      <c r="H81" s="0" t="n">
        <v>1603</v>
      </c>
      <c r="I81" s="0" t="n">
        <v>38</v>
      </c>
      <c r="J81" s="0" t="n">
        <v>448</v>
      </c>
      <c r="K81" s="0" t="n">
        <v>2</v>
      </c>
    </row>
    <row r="82" customFormat="false" ht="13.5" hidden="false" customHeight="false" outlineLevel="0" collapsed="false">
      <c r="A82" s="0" t="s">
        <v>73</v>
      </c>
      <c r="B82" s="1" t="n">
        <v>43942</v>
      </c>
      <c r="C82" s="0" t="n">
        <v>1995</v>
      </c>
      <c r="D82" s="0" t="n">
        <v>80</v>
      </c>
      <c r="E82" s="0" t="n">
        <v>9</v>
      </c>
      <c r="F82" s="0" t="n">
        <v>2</v>
      </c>
      <c r="G82" s="0" t="n">
        <v>367</v>
      </c>
      <c r="H82" s="0" t="n">
        <v>1619</v>
      </c>
      <c r="I82" s="0" t="n">
        <v>39</v>
      </c>
      <c r="J82" s="0" t="n">
        <v>467</v>
      </c>
      <c r="K82" s="0" t="n">
        <v>2</v>
      </c>
    </row>
    <row r="83" customFormat="false" ht="13.5" hidden="false" customHeight="false" outlineLevel="0" collapsed="false">
      <c r="A83" s="0" t="s">
        <v>73</v>
      </c>
      <c r="B83" s="1" t="n">
        <v>43943</v>
      </c>
      <c r="C83" s="0" t="n">
        <v>2080</v>
      </c>
      <c r="D83" s="0" t="n">
        <v>85</v>
      </c>
      <c r="E83" s="0" t="n">
        <v>11</v>
      </c>
      <c r="F83" s="0" t="n">
        <v>2</v>
      </c>
      <c r="G83" s="0" t="n">
        <v>412</v>
      </c>
      <c r="H83" s="0" t="n">
        <v>1657</v>
      </c>
      <c r="I83" s="0" t="n">
        <v>46</v>
      </c>
      <c r="J83" s="0" t="n">
        <v>487</v>
      </c>
      <c r="K83" s="0" t="n">
        <v>3</v>
      </c>
    </row>
    <row r="84" customFormat="false" ht="13.5" hidden="false" customHeight="false" outlineLevel="0" collapsed="false">
      <c r="A84" s="0" t="s">
        <v>73</v>
      </c>
      <c r="B84" s="1" t="n">
        <v>43944</v>
      </c>
      <c r="C84" s="0" t="n">
        <v>2248</v>
      </c>
      <c r="D84" s="0" t="n">
        <v>168</v>
      </c>
      <c r="E84" s="0" t="n">
        <v>13</v>
      </c>
      <c r="F84" s="0" t="n">
        <v>2</v>
      </c>
      <c r="G84" s="0" t="n">
        <v>443</v>
      </c>
      <c r="H84" s="0" t="n">
        <v>1792</v>
      </c>
      <c r="I84" s="0" t="n">
        <v>50</v>
      </c>
      <c r="J84" s="0" t="n">
        <v>526</v>
      </c>
      <c r="K84" s="0" t="n">
        <v>3</v>
      </c>
    </row>
    <row r="85" customFormat="false" ht="13.5" hidden="false" customHeight="false" outlineLevel="0" collapsed="false">
      <c r="A85" s="0" t="s">
        <v>73</v>
      </c>
      <c r="B85" s="1" t="n">
        <v>43945</v>
      </c>
      <c r="C85" s="0" t="n">
        <v>2399</v>
      </c>
      <c r="D85" s="0" t="n">
        <v>151</v>
      </c>
      <c r="E85" s="0" t="n">
        <v>14</v>
      </c>
      <c r="F85" s="0" t="n">
        <v>1</v>
      </c>
      <c r="G85" s="0" t="n">
        <v>498</v>
      </c>
      <c r="H85" s="0" t="n">
        <v>1887</v>
      </c>
      <c r="I85" s="0" t="n">
        <v>55</v>
      </c>
      <c r="J85" s="0" t="n">
        <v>562</v>
      </c>
      <c r="K85" s="0" t="n">
        <v>3</v>
      </c>
    </row>
    <row r="86" customFormat="false" ht="13.5" hidden="false" customHeight="false" outlineLevel="0" collapsed="false">
      <c r="A86" s="0" t="s">
        <v>73</v>
      </c>
      <c r="B86" s="1" t="n">
        <v>43946</v>
      </c>
      <c r="C86" s="0" t="n">
        <v>2614</v>
      </c>
      <c r="D86" s="0" t="n">
        <v>215</v>
      </c>
      <c r="E86" s="0" t="n">
        <v>15</v>
      </c>
      <c r="F86" s="0" t="n">
        <v>1</v>
      </c>
      <c r="G86" s="0" t="n">
        <v>613</v>
      </c>
      <c r="H86" s="0" t="n">
        <v>1986</v>
      </c>
      <c r="I86" s="0" t="n">
        <v>60</v>
      </c>
      <c r="J86" s="0" t="n">
        <v>612</v>
      </c>
      <c r="K86" s="0" t="n">
        <v>4</v>
      </c>
    </row>
    <row r="87" customFormat="false" ht="13.5" hidden="false" customHeight="false" outlineLevel="0" collapsed="false">
      <c r="A87" s="0" t="s">
        <v>73</v>
      </c>
      <c r="B87" s="1" t="n">
        <v>43947</v>
      </c>
      <c r="C87" s="0" t="n">
        <v>2892</v>
      </c>
      <c r="D87" s="0" t="n">
        <v>278</v>
      </c>
      <c r="E87" s="0" t="n">
        <v>19</v>
      </c>
      <c r="F87" s="0" t="n">
        <v>4</v>
      </c>
      <c r="G87" s="0" t="n">
        <v>656</v>
      </c>
      <c r="H87" s="0" t="n">
        <v>2217</v>
      </c>
      <c r="I87" s="0" t="n">
        <v>58</v>
      </c>
      <c r="J87" s="0" t="n">
        <v>677</v>
      </c>
      <c r="K87" s="0" t="n">
        <v>4</v>
      </c>
    </row>
    <row r="88" customFormat="false" ht="13.5" hidden="false" customHeight="false" outlineLevel="0" collapsed="false">
      <c r="A88" s="0" t="s">
        <v>73</v>
      </c>
      <c r="B88" s="1" t="n">
        <v>43948</v>
      </c>
      <c r="C88" s="0" t="n">
        <v>3075</v>
      </c>
      <c r="D88" s="0" t="n">
        <v>183</v>
      </c>
      <c r="E88" s="0" t="n">
        <v>20</v>
      </c>
      <c r="F88" s="0" t="n">
        <v>1</v>
      </c>
      <c r="G88" s="0" t="n">
        <v>806</v>
      </c>
      <c r="H88" s="0" t="n">
        <v>2249</v>
      </c>
      <c r="I88" s="0" t="n">
        <v>61</v>
      </c>
      <c r="J88" s="0" t="n">
        <v>720</v>
      </c>
      <c r="K88" s="0" t="n">
        <v>5</v>
      </c>
    </row>
    <row r="89" customFormat="false" ht="13.5" hidden="false" customHeight="false" outlineLevel="0" collapsed="false">
      <c r="A89" s="0" t="s">
        <v>73</v>
      </c>
      <c r="B89" s="1" t="n">
        <v>43949</v>
      </c>
      <c r="C89" s="2" t="n">
        <v>3288</v>
      </c>
      <c r="D89" s="2" t="n">
        <v>213</v>
      </c>
      <c r="E89" s="2" t="n">
        <v>22</v>
      </c>
      <c r="F89" s="2" t="n">
        <v>2</v>
      </c>
      <c r="G89" s="2" t="n">
        <v>1012</v>
      </c>
      <c r="H89" s="2" t="n">
        <v>2254</v>
      </c>
      <c r="I89" s="2" t="n">
        <v>64</v>
      </c>
      <c r="J89" s="2" t="n">
        <v>770</v>
      </c>
      <c r="K89" s="2" t="n">
        <v>5</v>
      </c>
    </row>
    <row r="90" customFormat="false" ht="13.5" hidden="false" customHeight="false" outlineLevel="0" collapsed="false">
      <c r="A90" s="0" t="s">
        <v>73</v>
      </c>
      <c r="B90" s="1" t="n">
        <v>43950</v>
      </c>
      <c r="C90" s="2" t="n">
        <v>3440</v>
      </c>
      <c r="D90" s="2" t="n">
        <v>152</v>
      </c>
      <c r="E90" s="2" t="n">
        <v>23</v>
      </c>
      <c r="F90" s="2" t="n">
        <v>1</v>
      </c>
      <c r="G90" s="2" t="n">
        <v>1176</v>
      </c>
      <c r="H90" s="2" t="n">
        <v>2241</v>
      </c>
      <c r="I90" s="2" t="n">
        <v>67</v>
      </c>
      <c r="J90" s="2" t="n">
        <v>806</v>
      </c>
      <c r="K90" s="2" t="n">
        <v>5</v>
      </c>
      <c r="L90" s="2" t="n">
        <v>179000</v>
      </c>
      <c r="M90" s="2" t="n">
        <v>41915</v>
      </c>
    </row>
    <row r="91" customFormat="false" ht="13.5" hidden="false" customHeight="false" outlineLevel="0" collapsed="false">
      <c r="A91" s="0" t="s">
        <v>73</v>
      </c>
      <c r="B91" s="1" t="n">
        <v>43951</v>
      </c>
      <c r="C91" s="2" t="n">
        <v>3740</v>
      </c>
      <c r="D91" s="2" t="n">
        <v>300</v>
      </c>
      <c r="E91" s="2" t="n">
        <v>24</v>
      </c>
      <c r="F91" s="2" t="n">
        <v>1</v>
      </c>
      <c r="G91" s="2" t="n">
        <v>1389</v>
      </c>
      <c r="H91" s="2" t="n">
        <v>2327</v>
      </c>
      <c r="I91" s="2" t="n">
        <v>66</v>
      </c>
      <c r="J91" s="2" t="n">
        <v>876</v>
      </c>
      <c r="K91" s="2" t="n">
        <v>6</v>
      </c>
      <c r="L91" s="2" t="n">
        <v>179000</v>
      </c>
      <c r="M91" s="2" t="n">
        <v>41915</v>
      </c>
    </row>
    <row r="92" customFormat="false" ht="13.5" hidden="false" customHeight="false" outlineLevel="0" collapsed="false">
      <c r="A92" s="0" t="s">
        <v>73</v>
      </c>
      <c r="B92" s="1" t="n">
        <v>43952</v>
      </c>
      <c r="C92" s="2" t="n">
        <v>4024</v>
      </c>
      <c r="D92" s="2" t="n">
        <v>284</v>
      </c>
      <c r="E92" s="2" t="n">
        <v>26</v>
      </c>
      <c r="F92" s="2" t="n">
        <v>2</v>
      </c>
      <c r="G92" s="2" t="n">
        <v>1539</v>
      </c>
      <c r="H92" s="2" t="n">
        <v>2459</v>
      </c>
      <c r="I92" s="2" t="n">
        <v>66</v>
      </c>
      <c r="J92" s="2" t="n">
        <v>942</v>
      </c>
      <c r="K92" s="2" t="n">
        <v>6</v>
      </c>
      <c r="L92" s="2" t="n">
        <v>179000</v>
      </c>
      <c r="M92" s="2" t="n">
        <v>41915</v>
      </c>
    </row>
    <row r="93" customFormat="false" ht="13.5" hidden="false" customHeight="false" outlineLevel="0" collapsed="false">
      <c r="A93" s="0" t="s">
        <v>73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73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73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73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73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73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73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73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73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73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73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73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73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73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73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73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73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73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73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73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73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73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73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73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73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73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73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73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73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73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73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73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73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73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73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73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73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73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73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73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73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73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73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73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73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73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73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73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73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73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73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73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73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73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73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73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73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73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73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73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73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73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73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73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73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73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73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73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73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73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73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73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73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73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73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73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73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73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73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73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73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73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73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73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73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73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73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73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73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73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73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73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73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73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73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9" colorId="64" zoomScale="100" zoomScaleNormal="100" zoomScalePageLayoutView="100" workbookViewId="0">
      <selection pane="topLeft" activeCell="D192" activeCellId="0" sqref="D192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74</v>
      </c>
      <c r="B2" s="1" t="n">
        <v>43862</v>
      </c>
    </row>
    <row r="3" customFormat="false" ht="13.5" hidden="false" customHeight="false" outlineLevel="0" collapsed="false">
      <c r="A3" s="0" t="s">
        <v>74</v>
      </c>
      <c r="B3" s="1" t="n">
        <v>43863</v>
      </c>
    </row>
    <row r="4" customFormat="false" ht="13.5" hidden="false" customHeight="false" outlineLevel="0" collapsed="false">
      <c r="A4" s="0" t="s">
        <v>74</v>
      </c>
      <c r="B4" s="1" t="n">
        <v>43864</v>
      </c>
    </row>
    <row r="5" customFormat="false" ht="13.5" hidden="false" customHeight="false" outlineLevel="0" collapsed="false">
      <c r="A5" s="0" t="s">
        <v>74</v>
      </c>
      <c r="B5" s="1" t="n">
        <v>43865</v>
      </c>
    </row>
    <row r="6" customFormat="false" ht="13.5" hidden="false" customHeight="false" outlineLevel="0" collapsed="false">
      <c r="A6" s="0" t="s">
        <v>74</v>
      </c>
      <c r="B6" s="1" t="n">
        <v>43866</v>
      </c>
    </row>
    <row r="7" customFormat="false" ht="13.5" hidden="false" customHeight="false" outlineLevel="0" collapsed="false">
      <c r="A7" s="0" t="s">
        <v>74</v>
      </c>
      <c r="B7" s="1" t="n">
        <v>43867</v>
      </c>
    </row>
    <row r="8" customFormat="false" ht="13.5" hidden="false" customHeight="false" outlineLevel="0" collapsed="false">
      <c r="A8" s="0" t="s">
        <v>74</v>
      </c>
      <c r="B8" s="1" t="n">
        <v>43868</v>
      </c>
    </row>
    <row r="9" customFormat="false" ht="13.5" hidden="false" customHeight="false" outlineLevel="0" collapsed="false">
      <c r="A9" s="0" t="s">
        <v>74</v>
      </c>
      <c r="B9" s="1" t="n">
        <v>43869</v>
      </c>
    </row>
    <row r="10" customFormat="false" ht="13.5" hidden="false" customHeight="false" outlineLevel="0" collapsed="false">
      <c r="A10" s="0" t="s">
        <v>74</v>
      </c>
      <c r="B10" s="1" t="n">
        <v>43870</v>
      </c>
    </row>
    <row r="11" customFormat="false" ht="13.5" hidden="false" customHeight="false" outlineLevel="0" collapsed="false">
      <c r="A11" s="0" t="s">
        <v>74</v>
      </c>
      <c r="B11" s="1" t="n">
        <v>43871</v>
      </c>
    </row>
    <row r="12" customFormat="false" ht="13.5" hidden="false" customHeight="false" outlineLevel="0" collapsed="false">
      <c r="A12" s="0" t="s">
        <v>74</v>
      </c>
      <c r="B12" s="1" t="n">
        <v>43872</v>
      </c>
    </row>
    <row r="13" customFormat="false" ht="13.5" hidden="false" customHeight="false" outlineLevel="0" collapsed="false">
      <c r="A13" s="0" t="s">
        <v>74</v>
      </c>
      <c r="B13" s="1" t="n">
        <v>43873</v>
      </c>
    </row>
    <row r="14" customFormat="false" ht="13.5" hidden="false" customHeight="false" outlineLevel="0" collapsed="false">
      <c r="A14" s="0" t="s">
        <v>74</v>
      </c>
      <c r="B14" s="1" t="n">
        <v>43874</v>
      </c>
    </row>
    <row r="15" customFormat="false" ht="13.5" hidden="false" customHeight="false" outlineLevel="0" collapsed="false">
      <c r="A15" s="0" t="s">
        <v>74</v>
      </c>
      <c r="B15" s="1" t="n">
        <v>43875</v>
      </c>
    </row>
    <row r="16" customFormat="false" ht="13.5" hidden="false" customHeight="false" outlineLevel="0" collapsed="false">
      <c r="A16" s="0" t="s">
        <v>74</v>
      </c>
      <c r="B16" s="1" t="n">
        <v>43876</v>
      </c>
    </row>
    <row r="17" customFormat="false" ht="13.5" hidden="false" customHeight="false" outlineLevel="0" collapsed="false">
      <c r="A17" s="0" t="s">
        <v>74</v>
      </c>
      <c r="B17" s="1" t="n">
        <v>43877</v>
      </c>
    </row>
    <row r="18" customFormat="false" ht="13.5" hidden="false" customHeight="false" outlineLevel="0" collapsed="false">
      <c r="A18" s="0" t="s">
        <v>74</v>
      </c>
      <c r="B18" s="1" t="n">
        <v>43878</v>
      </c>
    </row>
    <row r="19" customFormat="false" ht="13.5" hidden="false" customHeight="false" outlineLevel="0" collapsed="false">
      <c r="A19" s="0" t="s">
        <v>74</v>
      </c>
      <c r="B19" s="1" t="n">
        <v>43879</v>
      </c>
    </row>
    <row r="20" customFormat="false" ht="13.5" hidden="false" customHeight="false" outlineLevel="0" collapsed="false">
      <c r="A20" s="0" t="s">
        <v>74</v>
      </c>
      <c r="B20" s="1" t="n">
        <v>43880</v>
      </c>
    </row>
    <row r="21" customFormat="false" ht="13.5" hidden="false" customHeight="false" outlineLevel="0" collapsed="false">
      <c r="A21" s="0" t="s">
        <v>74</v>
      </c>
      <c r="B21" s="1" t="n">
        <v>43881</v>
      </c>
    </row>
    <row r="22" customFormat="false" ht="13.5" hidden="false" customHeight="false" outlineLevel="0" collapsed="false">
      <c r="A22" s="0" t="s">
        <v>74</v>
      </c>
      <c r="B22" s="1" t="n">
        <v>43882</v>
      </c>
    </row>
    <row r="23" customFormat="false" ht="13.5" hidden="false" customHeight="false" outlineLevel="0" collapsed="false">
      <c r="A23" s="0" t="s">
        <v>74</v>
      </c>
      <c r="B23" s="1" t="n">
        <v>43883</v>
      </c>
    </row>
    <row r="24" customFormat="false" ht="13.5" hidden="false" customHeight="false" outlineLevel="0" collapsed="false">
      <c r="A24" s="0" t="s">
        <v>74</v>
      </c>
      <c r="B24" s="1" t="n">
        <v>43884</v>
      </c>
    </row>
    <row r="25" customFormat="false" ht="13.5" hidden="false" customHeight="false" outlineLevel="0" collapsed="false">
      <c r="A25" s="0" t="s">
        <v>74</v>
      </c>
      <c r="B25" s="1" t="n">
        <v>43885</v>
      </c>
    </row>
    <row r="26" customFormat="false" ht="13.5" hidden="false" customHeight="false" outlineLevel="0" collapsed="false">
      <c r="A26" s="0" t="s">
        <v>74</v>
      </c>
      <c r="B26" s="1" t="n">
        <v>43886</v>
      </c>
    </row>
    <row r="27" customFormat="false" ht="13.5" hidden="false" customHeight="false" outlineLevel="0" collapsed="false">
      <c r="A27" s="0" t="s">
        <v>74</v>
      </c>
      <c r="B27" s="1" t="n">
        <v>43887</v>
      </c>
    </row>
    <row r="28" customFormat="false" ht="13.5" hidden="false" customHeight="false" outlineLevel="0" collapsed="false">
      <c r="A28" s="0" t="s">
        <v>74</v>
      </c>
      <c r="B28" s="1" t="n">
        <v>43888</v>
      </c>
    </row>
    <row r="29" customFormat="false" ht="13.5" hidden="false" customHeight="false" outlineLevel="0" collapsed="false">
      <c r="A29" s="0" t="s">
        <v>74</v>
      </c>
      <c r="B29" s="1" t="n">
        <v>43889</v>
      </c>
    </row>
    <row r="30" customFormat="false" ht="13.5" hidden="false" customHeight="false" outlineLevel="0" collapsed="false">
      <c r="A30" s="0" t="s">
        <v>74</v>
      </c>
      <c r="B30" s="1" t="n">
        <v>43890</v>
      </c>
    </row>
    <row r="31" customFormat="false" ht="13.5" hidden="false" customHeight="false" outlineLevel="0" collapsed="false">
      <c r="A31" s="0" t="s">
        <v>74</v>
      </c>
      <c r="B31" s="1" t="n">
        <v>43891</v>
      </c>
    </row>
    <row r="32" customFormat="false" ht="13.5" hidden="false" customHeight="false" outlineLevel="0" collapsed="false">
      <c r="A32" s="0" t="s">
        <v>74</v>
      </c>
      <c r="B32" s="1" t="n">
        <v>43892</v>
      </c>
    </row>
    <row r="33" customFormat="false" ht="13.5" hidden="false" customHeight="false" outlineLevel="0" collapsed="false">
      <c r="A33" s="0" t="s">
        <v>74</v>
      </c>
      <c r="B33" s="1" t="n">
        <v>43893</v>
      </c>
    </row>
    <row r="34" customFormat="false" ht="13.5" hidden="false" customHeight="false" outlineLevel="0" collapsed="false">
      <c r="A34" s="0" t="s">
        <v>74</v>
      </c>
      <c r="B34" s="1" t="n">
        <v>43894</v>
      </c>
    </row>
    <row r="35" customFormat="false" ht="13.5" hidden="false" customHeight="false" outlineLevel="0" collapsed="false">
      <c r="A35" s="0" t="s">
        <v>74</v>
      </c>
      <c r="B35" s="1" t="n">
        <v>43895</v>
      </c>
    </row>
    <row r="36" customFormat="false" ht="13.5" hidden="false" customHeight="false" outlineLevel="0" collapsed="false">
      <c r="A36" s="0" t="s">
        <v>74</v>
      </c>
      <c r="B36" s="1" t="n">
        <v>43896</v>
      </c>
    </row>
    <row r="37" customFormat="false" ht="13.5" hidden="false" customHeight="false" outlineLevel="0" collapsed="false">
      <c r="A37" s="0" t="s">
        <v>74</v>
      </c>
      <c r="B37" s="1" t="n">
        <v>43897</v>
      </c>
      <c r="C37" s="0" t="n">
        <v>4</v>
      </c>
      <c r="H37" s="0" t="n">
        <v>4</v>
      </c>
    </row>
    <row r="38" customFormat="false" ht="13.5" hidden="false" customHeight="false" outlineLevel="0" collapsed="false">
      <c r="A38" s="0" t="s">
        <v>74</v>
      </c>
      <c r="B38" s="1" t="n">
        <v>43898</v>
      </c>
      <c r="C38" s="0" t="n">
        <v>5</v>
      </c>
      <c r="D38" s="0" t="n">
        <v>1</v>
      </c>
      <c r="H38" s="0" t="n">
        <v>5</v>
      </c>
      <c r="J38" s="0" t="n">
        <v>0.5</v>
      </c>
    </row>
    <row r="39" customFormat="false" ht="13.5" hidden="false" customHeight="false" outlineLevel="0" collapsed="false">
      <c r="A39" s="0" t="s">
        <v>74</v>
      </c>
      <c r="B39" s="1" t="n">
        <v>43899</v>
      </c>
      <c r="C39" s="0" t="n">
        <v>7</v>
      </c>
      <c r="D39" s="0" t="n">
        <v>2</v>
      </c>
      <c r="H39" s="0" t="n">
        <v>7</v>
      </c>
      <c r="J39" s="0" t="n">
        <v>0.7</v>
      </c>
    </row>
    <row r="40" customFormat="false" ht="13.5" hidden="false" customHeight="false" outlineLevel="0" collapsed="false">
      <c r="A40" s="0" t="s">
        <v>74</v>
      </c>
      <c r="B40" s="1" t="n">
        <v>43900</v>
      </c>
      <c r="C40" s="0" t="n">
        <v>9</v>
      </c>
      <c r="D40" s="0" t="n">
        <v>2</v>
      </c>
      <c r="H40" s="0" t="n">
        <v>9</v>
      </c>
      <c r="J40" s="0" t="n">
        <v>0.9</v>
      </c>
    </row>
    <row r="41" customFormat="false" ht="13.5" hidden="false" customHeight="false" outlineLevel="0" collapsed="false">
      <c r="A41" s="0" t="s">
        <v>74</v>
      </c>
      <c r="B41" s="1" t="n">
        <v>43901</v>
      </c>
      <c r="C41" s="0" t="n">
        <v>12</v>
      </c>
      <c r="D41" s="0" t="n">
        <v>3</v>
      </c>
      <c r="H41" s="0" t="n">
        <v>12</v>
      </c>
      <c r="J41" s="0" t="n">
        <v>1.2</v>
      </c>
    </row>
    <row r="42" customFormat="false" ht="13.5" hidden="false" customHeight="false" outlineLevel="0" collapsed="false">
      <c r="A42" s="0" t="s">
        <v>74</v>
      </c>
      <c r="B42" s="1" t="n">
        <v>43902</v>
      </c>
      <c r="C42" s="0" t="n">
        <v>13</v>
      </c>
      <c r="D42" s="0" t="n">
        <v>1</v>
      </c>
      <c r="H42" s="0" t="n">
        <v>13</v>
      </c>
      <c r="J42" s="0" t="n">
        <v>1.3</v>
      </c>
    </row>
    <row r="43" customFormat="false" ht="13.5" hidden="false" customHeight="false" outlineLevel="0" collapsed="false">
      <c r="A43" s="0" t="s">
        <v>74</v>
      </c>
      <c r="B43" s="1" t="n">
        <v>43903</v>
      </c>
      <c r="C43" s="0" t="n">
        <v>16</v>
      </c>
      <c r="D43" s="0" t="n">
        <v>3</v>
      </c>
      <c r="H43" s="0" t="n">
        <v>16</v>
      </c>
      <c r="J43" s="0" t="n">
        <v>1.7</v>
      </c>
    </row>
    <row r="44" customFormat="false" ht="13.5" hidden="false" customHeight="false" outlineLevel="0" collapsed="false">
      <c r="A44" s="0" t="s">
        <v>74</v>
      </c>
      <c r="B44" s="1" t="n">
        <v>43904</v>
      </c>
      <c r="C44" s="0" t="n">
        <v>19</v>
      </c>
      <c r="D44" s="0" t="n">
        <v>3</v>
      </c>
      <c r="H44" s="0" t="n">
        <v>19</v>
      </c>
      <c r="J44" s="0" t="n">
        <v>2</v>
      </c>
    </row>
    <row r="45" customFormat="false" ht="13.5" hidden="false" customHeight="false" outlineLevel="0" collapsed="false">
      <c r="A45" s="0" t="s">
        <v>74</v>
      </c>
      <c r="B45" s="1" t="n">
        <v>43905</v>
      </c>
      <c r="C45" s="0" t="n">
        <v>30</v>
      </c>
      <c r="D45" s="0" t="n">
        <v>11</v>
      </c>
      <c r="G45" s="0" t="n">
        <v>1</v>
      </c>
      <c r="H45" s="0" t="n">
        <v>29</v>
      </c>
      <c r="J45" s="0" t="n">
        <v>3.1</v>
      </c>
    </row>
    <row r="46" customFormat="false" ht="13.5" hidden="false" customHeight="false" outlineLevel="0" collapsed="false">
      <c r="A46" s="0" t="s">
        <v>74</v>
      </c>
      <c r="B46" s="1" t="n">
        <v>43906</v>
      </c>
      <c r="C46" s="0" t="n">
        <v>32</v>
      </c>
      <c r="D46" s="0" t="n">
        <v>2</v>
      </c>
      <c r="E46" s="0" t="n">
        <v>1</v>
      </c>
      <c r="F46" s="0" t="n">
        <v>1</v>
      </c>
      <c r="G46" s="0" t="n">
        <v>1</v>
      </c>
      <c r="H46" s="0" t="n">
        <v>30</v>
      </c>
      <c r="J46" s="0" t="n">
        <v>3.3</v>
      </c>
    </row>
    <row r="47" customFormat="false" ht="13.5" hidden="false" customHeight="false" outlineLevel="0" collapsed="false">
      <c r="A47" s="0" t="s">
        <v>74</v>
      </c>
      <c r="B47" s="1" t="n">
        <v>43907</v>
      </c>
      <c r="C47" s="0" t="n">
        <v>39</v>
      </c>
      <c r="D47" s="0" t="n">
        <v>7</v>
      </c>
      <c r="E47" s="0" t="n">
        <v>1</v>
      </c>
      <c r="G47" s="0" t="n">
        <v>2</v>
      </c>
      <c r="H47" s="0" t="n">
        <v>36</v>
      </c>
      <c r="J47" s="0" t="n">
        <v>4</v>
      </c>
    </row>
    <row r="48" customFormat="false" ht="13.5" hidden="false" customHeight="false" outlineLevel="0" collapsed="false">
      <c r="A48" s="0" t="s">
        <v>74</v>
      </c>
      <c r="B48" s="1" t="n">
        <v>43908</v>
      </c>
      <c r="C48" s="0" t="n">
        <v>50</v>
      </c>
      <c r="D48" s="0" t="n">
        <v>11</v>
      </c>
      <c r="E48" s="0" t="n">
        <v>1</v>
      </c>
      <c r="G48" s="0" t="n">
        <v>2</v>
      </c>
      <c r="H48" s="0" t="n">
        <v>47</v>
      </c>
      <c r="J48" s="0" t="n">
        <v>5.2</v>
      </c>
    </row>
    <row r="49" customFormat="false" ht="13.5" hidden="false" customHeight="false" outlineLevel="0" collapsed="false">
      <c r="A49" s="0" t="s">
        <v>74</v>
      </c>
      <c r="B49" s="1" t="n">
        <v>43909</v>
      </c>
      <c r="C49" s="0" t="n">
        <v>58</v>
      </c>
      <c r="D49" s="0" t="n">
        <v>8</v>
      </c>
      <c r="E49" s="0" t="n">
        <v>1</v>
      </c>
      <c r="G49" s="0" t="n">
        <v>2</v>
      </c>
      <c r="H49" s="0" t="n">
        <v>55</v>
      </c>
      <c r="I49" s="0" t="n">
        <v>4</v>
      </c>
      <c r="J49" s="0" t="n">
        <v>6</v>
      </c>
    </row>
    <row r="50" customFormat="false" ht="13.5" hidden="false" customHeight="false" outlineLevel="0" collapsed="false">
      <c r="A50" s="0" t="s">
        <v>74</v>
      </c>
      <c r="B50" s="1" t="n">
        <v>43910</v>
      </c>
      <c r="C50" s="0" t="n">
        <v>73</v>
      </c>
      <c r="D50" s="0" t="n">
        <v>15</v>
      </c>
      <c r="E50" s="0" t="n">
        <v>1</v>
      </c>
      <c r="G50" s="0" t="n">
        <v>2</v>
      </c>
      <c r="H50" s="0" t="n">
        <v>70</v>
      </c>
      <c r="I50" s="0" t="n">
        <v>4</v>
      </c>
      <c r="J50" s="0" t="n">
        <v>8</v>
      </c>
    </row>
    <row r="51" customFormat="false" ht="13.5" hidden="false" customHeight="false" outlineLevel="0" collapsed="false">
      <c r="A51" s="0" t="s">
        <v>74</v>
      </c>
      <c r="B51" s="1" t="n">
        <v>43911</v>
      </c>
      <c r="C51" s="0" t="n">
        <v>103</v>
      </c>
      <c r="D51" s="0" t="n">
        <v>30</v>
      </c>
      <c r="E51" s="0" t="n">
        <v>4</v>
      </c>
      <c r="G51" s="0" t="n">
        <v>7</v>
      </c>
      <c r="H51" s="0" t="n">
        <v>92</v>
      </c>
      <c r="I51" s="0" t="n">
        <v>6</v>
      </c>
      <c r="J51" s="0" t="n">
        <v>11</v>
      </c>
    </row>
    <row r="52" customFormat="false" ht="13.5" hidden="false" customHeight="false" outlineLevel="0" collapsed="false">
      <c r="A52" s="0" t="s">
        <v>74</v>
      </c>
      <c r="B52" s="1" t="n">
        <v>43912</v>
      </c>
      <c r="C52" s="0" t="n">
        <v>103</v>
      </c>
      <c r="D52" s="0" t="n">
        <v>0</v>
      </c>
      <c r="E52" s="0" t="n">
        <v>4</v>
      </c>
      <c r="G52" s="0" t="n">
        <v>7</v>
      </c>
      <c r="H52" s="0" t="n">
        <v>92</v>
      </c>
      <c r="I52" s="0" t="n">
        <v>6</v>
      </c>
      <c r="J52" s="0" t="n">
        <v>11</v>
      </c>
    </row>
    <row r="53" customFormat="false" ht="13.5" hidden="false" customHeight="false" outlineLevel="0" collapsed="false">
      <c r="A53" s="0" t="s">
        <v>74</v>
      </c>
      <c r="B53" s="1" t="n">
        <v>43913</v>
      </c>
      <c r="C53" s="0" t="n">
        <v>131</v>
      </c>
      <c r="D53" s="0" t="n">
        <v>28</v>
      </c>
      <c r="E53" s="0" t="n">
        <v>6</v>
      </c>
      <c r="F53" s="0" t="n">
        <v>2</v>
      </c>
      <c r="G53" s="0" t="n">
        <v>16</v>
      </c>
      <c r="H53" s="0" t="n">
        <v>109</v>
      </c>
      <c r="I53" s="0" t="n">
        <v>6</v>
      </c>
      <c r="J53" s="0" t="n">
        <v>14</v>
      </c>
    </row>
    <row r="54" customFormat="false" ht="13.5" hidden="false" customHeight="false" outlineLevel="0" collapsed="false">
      <c r="A54" s="0" t="s">
        <v>74</v>
      </c>
      <c r="B54" s="1" t="n">
        <v>43914</v>
      </c>
      <c r="C54" s="0" t="n">
        <v>167</v>
      </c>
      <c r="D54" s="0" t="n">
        <v>36</v>
      </c>
      <c r="E54" s="0" t="n">
        <v>7</v>
      </c>
      <c r="F54" s="0" t="n">
        <v>1</v>
      </c>
      <c r="G54" s="0" t="n">
        <v>16</v>
      </c>
      <c r="H54" s="0" t="n">
        <v>144</v>
      </c>
      <c r="I54" s="0" t="n">
        <v>6</v>
      </c>
      <c r="J54" s="0" t="n">
        <v>17</v>
      </c>
    </row>
    <row r="55" customFormat="false" ht="13.5" hidden="false" customHeight="false" outlineLevel="0" collapsed="false">
      <c r="A55" s="0" t="s">
        <v>74</v>
      </c>
      <c r="B55" s="1" t="n">
        <v>43915</v>
      </c>
      <c r="C55" s="0" t="n">
        <v>187</v>
      </c>
      <c r="D55" s="0" t="n">
        <v>20</v>
      </c>
      <c r="E55" s="0" t="n">
        <v>9</v>
      </c>
      <c r="F55" s="0" t="n">
        <v>1</v>
      </c>
      <c r="G55" s="0" t="n">
        <v>21</v>
      </c>
      <c r="H55" s="0" t="n">
        <v>157</v>
      </c>
      <c r="I55" s="0" t="n">
        <v>6</v>
      </c>
      <c r="J55" s="0" t="n">
        <v>19</v>
      </c>
      <c r="K55" s="0" t="n">
        <v>0.9</v>
      </c>
    </row>
    <row r="56" customFormat="false" ht="13.5" hidden="false" customHeight="false" outlineLevel="0" collapsed="false">
      <c r="A56" s="0" t="s">
        <v>74</v>
      </c>
      <c r="B56" s="1" t="n">
        <v>43916</v>
      </c>
      <c r="C56" s="0" t="n">
        <v>226</v>
      </c>
      <c r="D56" s="0" t="n">
        <v>39</v>
      </c>
      <c r="E56" s="0" t="n">
        <v>10</v>
      </c>
      <c r="F56" s="0" t="n">
        <v>1</v>
      </c>
      <c r="G56" s="0" t="n">
        <v>21</v>
      </c>
      <c r="H56" s="0" t="n">
        <v>195</v>
      </c>
      <c r="I56" s="0" t="n">
        <v>6</v>
      </c>
      <c r="J56" s="0" t="n">
        <v>23</v>
      </c>
      <c r="K56" s="0" t="n">
        <v>1</v>
      </c>
    </row>
    <row r="57" customFormat="false" ht="13.5" hidden="false" customHeight="false" outlineLevel="0" collapsed="false">
      <c r="A57" s="0" t="s">
        <v>74</v>
      </c>
      <c r="B57" s="1" t="n">
        <v>43917</v>
      </c>
      <c r="C57" s="0" t="n">
        <v>261</v>
      </c>
      <c r="D57" s="0" t="n">
        <v>35</v>
      </c>
      <c r="E57" s="0" t="n">
        <v>10</v>
      </c>
      <c r="G57" s="0" t="n">
        <v>28</v>
      </c>
      <c r="H57" s="0" t="n">
        <v>223</v>
      </c>
      <c r="I57" s="0" t="n">
        <v>6</v>
      </c>
      <c r="J57" s="0" t="n">
        <v>27</v>
      </c>
      <c r="K57" s="0" t="n">
        <v>1</v>
      </c>
    </row>
    <row r="58" customFormat="false" ht="13.5" hidden="false" customHeight="false" outlineLevel="0" collapsed="false">
      <c r="A58" s="0" t="s">
        <v>74</v>
      </c>
      <c r="B58" s="1" t="n">
        <v>43918</v>
      </c>
      <c r="C58" s="0" t="n">
        <v>300</v>
      </c>
      <c r="D58" s="0" t="n">
        <v>39</v>
      </c>
      <c r="E58" s="0" t="n">
        <v>10</v>
      </c>
      <c r="G58" s="0" t="n">
        <v>34</v>
      </c>
      <c r="H58" s="0" t="n">
        <v>256</v>
      </c>
      <c r="I58" s="0" t="n">
        <v>6</v>
      </c>
      <c r="J58" s="0" t="n">
        <v>31</v>
      </c>
      <c r="K58" s="0" t="n">
        <v>1</v>
      </c>
    </row>
    <row r="59" customFormat="false" ht="13.5" hidden="false" customHeight="false" outlineLevel="0" collapsed="false">
      <c r="A59" s="0" t="s">
        <v>74</v>
      </c>
      <c r="B59" s="1" t="n">
        <v>43919</v>
      </c>
      <c r="C59" s="0" t="n">
        <v>343</v>
      </c>
      <c r="D59" s="0" t="n">
        <v>43</v>
      </c>
      <c r="E59" s="0" t="n">
        <v>11</v>
      </c>
      <c r="F59" s="0" t="n">
        <v>1</v>
      </c>
      <c r="G59" s="0" t="n">
        <v>34</v>
      </c>
      <c r="H59" s="0" t="n">
        <v>298</v>
      </c>
      <c r="I59" s="0" t="n">
        <v>6</v>
      </c>
      <c r="J59" s="0" t="n">
        <v>36</v>
      </c>
      <c r="K59" s="0" t="n">
        <v>1</v>
      </c>
    </row>
    <row r="60" customFormat="false" ht="13.5" hidden="false" customHeight="false" outlineLevel="0" collapsed="false">
      <c r="A60" s="0" t="s">
        <v>74</v>
      </c>
      <c r="B60" s="1" t="n">
        <v>43920</v>
      </c>
      <c r="C60" s="0" t="n">
        <v>408</v>
      </c>
      <c r="D60" s="0" t="n">
        <v>65</v>
      </c>
      <c r="E60" s="0" t="n">
        <v>13</v>
      </c>
      <c r="F60" s="0" t="n">
        <v>2</v>
      </c>
      <c r="G60" s="0" t="n">
        <v>34</v>
      </c>
      <c r="H60" s="0" t="n">
        <v>361</v>
      </c>
      <c r="I60" s="0" t="n">
        <v>6</v>
      </c>
      <c r="J60" s="0" t="n">
        <v>42</v>
      </c>
      <c r="K60" s="0" t="n">
        <v>1</v>
      </c>
    </row>
    <row r="61" customFormat="false" ht="13.5" hidden="false" customHeight="false" outlineLevel="0" collapsed="false">
      <c r="A61" s="0" t="s">
        <v>74</v>
      </c>
      <c r="B61" s="1" t="n">
        <v>43921</v>
      </c>
      <c r="C61" s="0" t="n">
        <v>447</v>
      </c>
      <c r="D61" s="0" t="n">
        <v>39</v>
      </c>
      <c r="E61" s="0" t="n">
        <v>15</v>
      </c>
      <c r="F61" s="0" t="n">
        <v>2</v>
      </c>
      <c r="G61" s="0" t="n">
        <v>34</v>
      </c>
      <c r="H61" s="0" t="n">
        <v>398</v>
      </c>
      <c r="I61" s="0" t="n">
        <v>6</v>
      </c>
      <c r="J61" s="0" t="n">
        <v>46</v>
      </c>
      <c r="K61" s="0" t="n">
        <v>2</v>
      </c>
    </row>
    <row r="62" customFormat="false" ht="13.5" hidden="false" customHeight="false" outlineLevel="0" collapsed="false">
      <c r="A62" s="0" t="s">
        <v>74</v>
      </c>
      <c r="B62" s="1" t="n">
        <v>43922</v>
      </c>
      <c r="C62" s="0" t="n">
        <v>492</v>
      </c>
      <c r="D62" s="0" t="n">
        <v>45</v>
      </c>
      <c r="E62" s="0" t="n">
        <v>16</v>
      </c>
      <c r="F62" s="0" t="n">
        <v>1</v>
      </c>
      <c r="G62" s="0" t="n">
        <v>37</v>
      </c>
      <c r="H62" s="0" t="n">
        <v>439</v>
      </c>
      <c r="I62" s="0" t="n">
        <v>6</v>
      </c>
      <c r="J62" s="0" t="n">
        <v>51</v>
      </c>
      <c r="K62" s="0" t="n">
        <v>2</v>
      </c>
    </row>
    <row r="63" customFormat="false" ht="13.5" hidden="false" customHeight="false" outlineLevel="0" collapsed="false">
      <c r="A63" s="0" t="s">
        <v>74</v>
      </c>
      <c r="B63" s="1" t="n">
        <v>43923</v>
      </c>
      <c r="C63" s="0" t="n">
        <v>525</v>
      </c>
      <c r="D63" s="0" t="n">
        <v>33</v>
      </c>
      <c r="E63" s="0" t="n">
        <v>20</v>
      </c>
      <c r="F63" s="0" t="n">
        <v>4</v>
      </c>
      <c r="G63" s="0" t="n">
        <v>40</v>
      </c>
      <c r="H63" s="0" t="n">
        <v>465</v>
      </c>
      <c r="I63" s="0" t="n">
        <v>17</v>
      </c>
      <c r="J63" s="0" t="n">
        <v>54</v>
      </c>
      <c r="K63" s="0" t="n">
        <v>2</v>
      </c>
    </row>
    <row r="64" customFormat="false" ht="13.5" hidden="false" customHeight="false" outlineLevel="0" collapsed="false">
      <c r="A64" s="0" t="s">
        <v>74</v>
      </c>
      <c r="B64" s="1" t="n">
        <v>43924</v>
      </c>
      <c r="C64" s="0" t="n">
        <v>585</v>
      </c>
      <c r="D64" s="0" t="n">
        <v>60</v>
      </c>
      <c r="E64" s="0" t="n">
        <v>21</v>
      </c>
      <c r="F64" s="0" t="n">
        <v>1</v>
      </c>
      <c r="G64" s="0" t="n">
        <v>42</v>
      </c>
      <c r="H64" s="0" t="n">
        <v>522</v>
      </c>
      <c r="I64" s="0" t="n">
        <v>17</v>
      </c>
      <c r="J64" s="0" t="n">
        <v>61</v>
      </c>
      <c r="K64" s="0" t="n">
        <v>2</v>
      </c>
    </row>
    <row r="65" customFormat="false" ht="13.5" hidden="false" customHeight="false" outlineLevel="0" collapsed="false">
      <c r="A65" s="0" t="s">
        <v>74</v>
      </c>
      <c r="B65" s="1" t="n">
        <v>43925</v>
      </c>
      <c r="C65" s="0" t="n">
        <v>623</v>
      </c>
      <c r="D65" s="0" t="n">
        <v>38</v>
      </c>
      <c r="E65" s="0" t="n">
        <v>26</v>
      </c>
      <c r="F65" s="0" t="n">
        <v>5</v>
      </c>
      <c r="G65" s="0" t="n">
        <v>43</v>
      </c>
      <c r="H65" s="0" t="n">
        <v>554</v>
      </c>
      <c r="I65" s="0" t="n">
        <v>17</v>
      </c>
      <c r="J65" s="0" t="n">
        <v>64</v>
      </c>
      <c r="K65" s="0" t="n">
        <v>3</v>
      </c>
    </row>
    <row r="66" customFormat="false" ht="13.5" hidden="false" customHeight="false" outlineLevel="0" collapsed="false">
      <c r="A66" s="0" t="s">
        <v>74</v>
      </c>
      <c r="B66" s="1" t="n">
        <v>43926</v>
      </c>
      <c r="C66" s="0" t="n">
        <v>678</v>
      </c>
      <c r="D66" s="0" t="n">
        <v>55</v>
      </c>
      <c r="E66" s="0" t="n">
        <v>32</v>
      </c>
      <c r="F66" s="0" t="n">
        <v>6</v>
      </c>
      <c r="G66" s="0" t="n">
        <v>58</v>
      </c>
      <c r="H66" s="0" t="n">
        <v>588</v>
      </c>
      <c r="I66" s="0" t="n">
        <v>17</v>
      </c>
      <c r="J66" s="0" t="n">
        <v>70</v>
      </c>
      <c r="K66" s="0" t="n">
        <v>3</v>
      </c>
      <c r="L66" s="0" t="n">
        <v>19424</v>
      </c>
      <c r="M66" s="0" t="n">
        <v>2011</v>
      </c>
    </row>
    <row r="67" customFormat="false" ht="13.5" hidden="false" customHeight="false" outlineLevel="0" collapsed="false">
      <c r="A67" s="0" t="s">
        <v>74</v>
      </c>
      <c r="B67" s="1" t="n">
        <v>43927</v>
      </c>
      <c r="C67" s="0" t="n">
        <v>733</v>
      </c>
      <c r="D67" s="0" t="n">
        <v>55</v>
      </c>
      <c r="E67" s="0" t="n">
        <v>34</v>
      </c>
      <c r="F67" s="0" t="n">
        <v>2</v>
      </c>
      <c r="G67" s="0" t="n">
        <v>66</v>
      </c>
      <c r="H67" s="0" t="n">
        <v>633</v>
      </c>
      <c r="I67" s="0" t="n">
        <v>17</v>
      </c>
      <c r="J67" s="0" t="n">
        <v>76</v>
      </c>
      <c r="K67" s="0" t="n">
        <v>4</v>
      </c>
      <c r="L67" s="0" t="n">
        <v>21250</v>
      </c>
      <c r="M67" s="0" t="n">
        <v>2200</v>
      </c>
    </row>
    <row r="68" customFormat="false" ht="13.5" hidden="false" customHeight="false" outlineLevel="0" collapsed="false">
      <c r="A68" s="0" t="s">
        <v>74</v>
      </c>
      <c r="B68" s="1" t="n">
        <v>43928</v>
      </c>
      <c r="C68" s="0" t="n">
        <v>744</v>
      </c>
      <c r="D68" s="0" t="n">
        <v>11</v>
      </c>
      <c r="E68" s="0" t="n">
        <v>38</v>
      </c>
      <c r="F68" s="0" t="n">
        <v>4</v>
      </c>
      <c r="G68" s="0" t="n">
        <v>67</v>
      </c>
      <c r="H68" s="0" t="n">
        <v>639</v>
      </c>
      <c r="I68" s="0" t="n">
        <v>17</v>
      </c>
      <c r="J68" s="0" t="n">
        <v>77</v>
      </c>
      <c r="K68" s="0" t="n">
        <v>4</v>
      </c>
      <c r="L68" s="0" t="n">
        <v>22282</v>
      </c>
      <c r="M68" s="0" t="n">
        <v>2307</v>
      </c>
    </row>
    <row r="69" customFormat="false" ht="13.5" hidden="false" customHeight="false" outlineLevel="0" collapsed="false">
      <c r="A69" s="0" t="s">
        <v>74</v>
      </c>
      <c r="B69" s="1" t="n">
        <v>43929</v>
      </c>
      <c r="C69" s="0" t="n">
        <v>817</v>
      </c>
      <c r="D69" s="0" t="n">
        <v>73</v>
      </c>
      <c r="E69" s="0" t="n">
        <v>47</v>
      </c>
      <c r="F69" s="0" t="n">
        <v>9</v>
      </c>
      <c r="G69" s="0" t="n">
        <v>71</v>
      </c>
      <c r="H69" s="0" t="n">
        <v>699</v>
      </c>
      <c r="I69" s="0" t="n">
        <v>17</v>
      </c>
      <c r="J69" s="0" t="n">
        <v>85</v>
      </c>
      <c r="K69" s="0" t="n">
        <v>5</v>
      </c>
      <c r="L69" s="0" t="n">
        <v>23746</v>
      </c>
      <c r="M69" s="0" t="n">
        <v>2458</v>
      </c>
    </row>
    <row r="70" customFormat="false" ht="13.5" hidden="false" customHeight="false" outlineLevel="0" collapsed="false">
      <c r="A70" s="0" t="s">
        <v>74</v>
      </c>
      <c r="B70" s="1" t="n">
        <v>43930</v>
      </c>
      <c r="C70" s="0" t="n">
        <v>895</v>
      </c>
      <c r="D70" s="0" t="n">
        <v>78</v>
      </c>
      <c r="E70" s="0" t="n">
        <v>58</v>
      </c>
      <c r="F70" s="0" t="n">
        <v>11</v>
      </c>
      <c r="G70" s="0" t="n">
        <v>94</v>
      </c>
      <c r="H70" s="0" t="n">
        <v>743</v>
      </c>
      <c r="I70" s="0" t="n">
        <v>17</v>
      </c>
      <c r="J70" s="0" t="n">
        <v>93</v>
      </c>
      <c r="K70" s="0" t="n">
        <v>6</v>
      </c>
      <c r="L70" s="0" t="n">
        <v>25748</v>
      </c>
      <c r="M70" s="0" t="n">
        <v>2665</v>
      </c>
    </row>
    <row r="71" customFormat="false" ht="13.5" hidden="false" customHeight="false" outlineLevel="0" collapsed="false">
      <c r="A71" s="0" t="s">
        <v>74</v>
      </c>
      <c r="B71" s="1" t="n">
        <v>43931</v>
      </c>
      <c r="C71" s="0" t="n">
        <v>980</v>
      </c>
      <c r="D71" s="0" t="n">
        <v>85</v>
      </c>
      <c r="E71" s="0" t="n">
        <v>66</v>
      </c>
      <c r="F71" s="0" t="n">
        <v>8</v>
      </c>
      <c r="G71" s="0" t="n">
        <v>96</v>
      </c>
      <c r="H71" s="0" t="n">
        <v>818</v>
      </c>
      <c r="I71" s="0" t="n">
        <v>17</v>
      </c>
      <c r="J71" s="0" t="n">
        <v>101</v>
      </c>
      <c r="K71" s="0" t="n">
        <v>7</v>
      </c>
      <c r="L71" s="0" t="n">
        <v>27826</v>
      </c>
      <c r="M71" s="0" t="n">
        <v>2880</v>
      </c>
    </row>
    <row r="72" customFormat="false" ht="13.5" hidden="false" customHeight="false" outlineLevel="0" collapsed="false">
      <c r="A72" s="0" t="s">
        <v>74</v>
      </c>
      <c r="B72" s="1" t="n">
        <v>43932</v>
      </c>
      <c r="C72" s="0" t="n">
        <v>1190</v>
      </c>
      <c r="D72" s="0" t="n">
        <v>210</v>
      </c>
      <c r="E72" s="0" t="n">
        <v>77</v>
      </c>
      <c r="F72" s="0" t="n">
        <v>11</v>
      </c>
      <c r="G72" s="0" t="n">
        <v>112</v>
      </c>
      <c r="H72" s="0" t="n">
        <v>1001</v>
      </c>
      <c r="I72" s="0" t="n">
        <v>17</v>
      </c>
      <c r="J72" s="0" t="n">
        <v>123</v>
      </c>
      <c r="K72" s="0" t="n">
        <v>8</v>
      </c>
      <c r="L72" s="0" t="n">
        <v>29948</v>
      </c>
      <c r="M72" s="0" t="n">
        <v>3100</v>
      </c>
    </row>
    <row r="73" customFormat="false" ht="13.5" hidden="false" customHeight="false" outlineLevel="0" collapsed="false">
      <c r="A73" s="0" t="s">
        <v>74</v>
      </c>
      <c r="B73" s="1" t="n">
        <v>43933</v>
      </c>
      <c r="C73" s="0" t="n">
        <v>1310</v>
      </c>
      <c r="D73" s="0" t="n">
        <v>120</v>
      </c>
      <c r="E73" s="0" t="n">
        <v>85</v>
      </c>
      <c r="F73" s="0" t="n">
        <v>8</v>
      </c>
      <c r="G73" s="0" t="n">
        <v>115</v>
      </c>
      <c r="H73" s="0" t="n">
        <v>1110</v>
      </c>
      <c r="I73" s="0" t="n">
        <v>17</v>
      </c>
      <c r="J73" s="0" t="n">
        <v>136</v>
      </c>
      <c r="K73" s="0" t="n">
        <v>9</v>
      </c>
      <c r="L73" s="0" t="n">
        <v>31961</v>
      </c>
      <c r="M73" s="0" t="n">
        <v>3308</v>
      </c>
    </row>
    <row r="74" customFormat="false" ht="13.5" hidden="false" customHeight="false" outlineLevel="0" collapsed="false">
      <c r="A74" s="0" t="s">
        <v>74</v>
      </c>
      <c r="B74" s="1" t="n">
        <v>43934</v>
      </c>
      <c r="C74" s="0" t="n">
        <v>1410</v>
      </c>
      <c r="D74" s="0" t="n">
        <v>100</v>
      </c>
      <c r="E74" s="0" t="n">
        <v>99</v>
      </c>
      <c r="F74" s="0" t="n">
        <v>14</v>
      </c>
      <c r="G74" s="0" t="n">
        <v>118</v>
      </c>
      <c r="H74" s="0" t="n">
        <v>1193</v>
      </c>
      <c r="I74" s="0" t="n">
        <v>58</v>
      </c>
      <c r="J74" s="0" t="n">
        <v>146</v>
      </c>
      <c r="K74" s="0" t="n">
        <v>10</v>
      </c>
      <c r="L74" s="0" t="n">
        <v>33532</v>
      </c>
      <c r="M74" s="0" t="n">
        <v>3471</v>
      </c>
    </row>
    <row r="75" customFormat="false" ht="13.5" hidden="false" customHeight="false" outlineLevel="0" collapsed="false">
      <c r="A75" s="0" t="s">
        <v>74</v>
      </c>
      <c r="B75" s="1" t="n">
        <v>43935</v>
      </c>
      <c r="C75" s="0" t="n">
        <v>1458</v>
      </c>
      <c r="D75" s="0" t="n">
        <v>48</v>
      </c>
      <c r="E75" s="0" t="n">
        <v>109</v>
      </c>
      <c r="F75" s="0" t="n">
        <v>10</v>
      </c>
      <c r="G75" s="0" t="n">
        <v>120</v>
      </c>
      <c r="H75" s="0" t="n">
        <v>1229</v>
      </c>
      <c r="I75" s="0" t="n">
        <v>58</v>
      </c>
      <c r="J75" s="0" t="n">
        <v>151</v>
      </c>
      <c r="K75" s="0" t="n">
        <v>11</v>
      </c>
      <c r="L75" s="0" t="n">
        <v>34819</v>
      </c>
      <c r="M75" s="0" t="n">
        <v>3604</v>
      </c>
    </row>
    <row r="76" customFormat="false" ht="13.5" hidden="false" customHeight="false" outlineLevel="0" collapsed="false">
      <c r="A76" s="0" t="s">
        <v>74</v>
      </c>
      <c r="B76" s="1" t="n">
        <v>43936</v>
      </c>
      <c r="C76" s="0" t="n">
        <v>1512</v>
      </c>
      <c r="D76" s="0" t="n">
        <v>54</v>
      </c>
      <c r="E76" s="0" t="n">
        <v>122</v>
      </c>
      <c r="F76" s="0" t="n">
        <v>13</v>
      </c>
      <c r="G76" s="0" t="n">
        <v>122</v>
      </c>
      <c r="H76" s="0" t="n">
        <v>1268</v>
      </c>
      <c r="I76" s="0" t="n">
        <v>58</v>
      </c>
      <c r="J76" s="0" t="n">
        <v>157</v>
      </c>
      <c r="K76" s="0" t="n">
        <v>13</v>
      </c>
      <c r="L76" s="0" t="n">
        <v>35825</v>
      </c>
      <c r="M76" s="0" t="n">
        <v>3708</v>
      </c>
    </row>
    <row r="77" customFormat="false" ht="13.5" hidden="false" customHeight="false" outlineLevel="0" collapsed="false">
      <c r="A77" s="0" t="s">
        <v>74</v>
      </c>
      <c r="B77" s="1" t="n">
        <v>43937</v>
      </c>
      <c r="C77" s="0" t="n">
        <v>1579</v>
      </c>
      <c r="D77" s="0" t="n">
        <v>67</v>
      </c>
      <c r="E77" s="0" t="n">
        <v>134</v>
      </c>
      <c r="F77" s="0" t="n">
        <v>12</v>
      </c>
      <c r="G77" s="0" t="n">
        <v>192</v>
      </c>
      <c r="H77" s="0" t="n">
        <v>1253</v>
      </c>
      <c r="I77" s="0" t="n">
        <v>58</v>
      </c>
      <c r="J77" s="0" t="n">
        <v>163</v>
      </c>
      <c r="K77" s="0" t="n">
        <v>14</v>
      </c>
      <c r="L77" s="0" t="n">
        <v>37326</v>
      </c>
      <c r="M77" s="0" t="n">
        <v>3864</v>
      </c>
    </row>
    <row r="78" customFormat="false" ht="13.5" hidden="false" customHeight="false" outlineLevel="0" collapsed="false">
      <c r="A78" s="0" t="s">
        <v>74</v>
      </c>
      <c r="B78" s="1" t="n">
        <v>43938</v>
      </c>
      <c r="C78" s="0" t="n">
        <v>1652</v>
      </c>
      <c r="D78" s="0" t="n">
        <v>73</v>
      </c>
      <c r="E78" s="0" t="n">
        <v>142</v>
      </c>
      <c r="F78" s="0" t="n">
        <v>8</v>
      </c>
      <c r="G78" s="0" t="n">
        <v>199</v>
      </c>
      <c r="H78" s="0" t="n">
        <v>1311</v>
      </c>
      <c r="I78" s="0" t="n">
        <v>60</v>
      </c>
      <c r="J78" s="0" t="n">
        <v>171</v>
      </c>
      <c r="K78" s="0" t="n">
        <v>15</v>
      </c>
      <c r="L78" s="0" t="n">
        <v>38489</v>
      </c>
      <c r="M78" s="0" t="n">
        <v>3984</v>
      </c>
    </row>
    <row r="79" customFormat="false" ht="13.5" hidden="false" customHeight="false" outlineLevel="0" collapsed="false">
      <c r="A79" s="0" t="s">
        <v>74</v>
      </c>
      <c r="B79" s="1" t="n">
        <v>43939</v>
      </c>
      <c r="C79" s="0" t="n">
        <v>1763</v>
      </c>
      <c r="D79" s="0" t="n">
        <v>111</v>
      </c>
      <c r="E79" s="0" t="n">
        <v>156</v>
      </c>
      <c r="F79" s="0" t="n">
        <v>14</v>
      </c>
      <c r="G79" s="0" t="n">
        <v>207</v>
      </c>
      <c r="H79" s="0" t="n">
        <v>1400</v>
      </c>
      <c r="I79" s="0" t="n">
        <v>63</v>
      </c>
      <c r="J79" s="0" t="n">
        <v>182</v>
      </c>
      <c r="K79" s="0" t="n">
        <v>16</v>
      </c>
      <c r="L79" s="0" t="n">
        <v>41590</v>
      </c>
      <c r="M79" s="0" t="n">
        <v>4305</v>
      </c>
    </row>
    <row r="80" customFormat="false" ht="13.5" hidden="false" customHeight="false" outlineLevel="0" collapsed="false">
      <c r="A80" s="0" t="s">
        <v>74</v>
      </c>
      <c r="B80" s="1" t="n">
        <v>43940</v>
      </c>
      <c r="C80" s="0" t="n">
        <v>1834</v>
      </c>
      <c r="D80" s="0" t="n">
        <v>71</v>
      </c>
      <c r="E80" s="0" t="n">
        <v>172</v>
      </c>
      <c r="F80" s="0" t="n">
        <v>16</v>
      </c>
      <c r="G80" s="0" t="n">
        <v>231</v>
      </c>
      <c r="H80" s="0" t="n">
        <v>1431</v>
      </c>
      <c r="I80" s="0" t="n">
        <v>60</v>
      </c>
      <c r="J80" s="0" t="n">
        <v>190</v>
      </c>
      <c r="K80" s="0" t="n">
        <v>18</v>
      </c>
      <c r="L80" s="0" t="n">
        <v>43901</v>
      </c>
      <c r="M80" s="0" t="n">
        <v>4544</v>
      </c>
    </row>
    <row r="81" customFormat="false" ht="13.5" hidden="false" customHeight="false" outlineLevel="0" collapsed="false">
      <c r="A81" s="0" t="s">
        <v>74</v>
      </c>
      <c r="B81" s="1" t="n">
        <v>43941</v>
      </c>
      <c r="C81" s="0" t="n">
        <v>1916</v>
      </c>
      <c r="D81" s="0" t="n">
        <v>82</v>
      </c>
      <c r="E81" s="0" t="n">
        <v>189</v>
      </c>
      <c r="F81" s="0" t="n">
        <v>17</v>
      </c>
      <c r="G81" s="0" t="n">
        <v>250</v>
      </c>
      <c r="H81" s="0" t="n">
        <v>1477</v>
      </c>
      <c r="I81" s="0" t="n">
        <v>61</v>
      </c>
      <c r="J81" s="0" t="n">
        <v>198</v>
      </c>
      <c r="K81" s="0" t="n">
        <v>20</v>
      </c>
      <c r="L81" s="0" t="n">
        <v>46353</v>
      </c>
      <c r="M81" s="0" t="n">
        <v>4798</v>
      </c>
    </row>
    <row r="82" customFormat="false" ht="13.5" hidden="false" customHeight="false" outlineLevel="0" collapsed="false">
      <c r="A82" s="0" t="s">
        <v>74</v>
      </c>
      <c r="B82" s="1" t="n">
        <v>43942</v>
      </c>
      <c r="C82" s="0" t="n">
        <v>1984</v>
      </c>
      <c r="D82" s="0" t="n">
        <v>68</v>
      </c>
      <c r="E82" s="0" t="n">
        <v>199</v>
      </c>
      <c r="F82" s="0" t="n">
        <v>10</v>
      </c>
      <c r="G82" s="0" t="n">
        <v>267</v>
      </c>
      <c r="H82" s="0" t="n">
        <v>1518</v>
      </c>
      <c r="I82" s="0" t="n">
        <v>60</v>
      </c>
      <c r="J82" s="0" t="n">
        <v>205</v>
      </c>
      <c r="K82" s="0" t="n">
        <v>21</v>
      </c>
      <c r="L82" s="0" t="n">
        <v>48057</v>
      </c>
      <c r="M82" s="0" t="n">
        <v>4975</v>
      </c>
    </row>
    <row r="83" customFormat="false" ht="13.5" hidden="false" customHeight="false" outlineLevel="0" collapsed="false">
      <c r="A83" s="0" t="s">
        <v>74</v>
      </c>
      <c r="B83" s="1" t="n">
        <v>43943</v>
      </c>
      <c r="C83" s="0" t="n">
        <v>2098</v>
      </c>
      <c r="D83" s="0" t="n">
        <v>114</v>
      </c>
      <c r="E83" s="0" t="n">
        <v>213</v>
      </c>
      <c r="F83" s="0" t="n">
        <v>14</v>
      </c>
      <c r="G83" s="0" t="n">
        <v>287</v>
      </c>
      <c r="H83" s="0" t="n">
        <v>1598</v>
      </c>
      <c r="I83" s="0" t="n">
        <v>82</v>
      </c>
      <c r="J83" s="0" t="n">
        <v>217</v>
      </c>
      <c r="K83" s="0" t="n">
        <v>22</v>
      </c>
      <c r="L83" s="0" t="n">
        <v>50052</v>
      </c>
      <c r="M83" s="0" t="n">
        <v>5181</v>
      </c>
    </row>
    <row r="84" customFormat="false" ht="13.5" hidden="false" customHeight="false" outlineLevel="0" collapsed="false">
      <c r="A84" s="0" t="s">
        <v>74</v>
      </c>
      <c r="B84" s="1" t="n">
        <v>43944</v>
      </c>
      <c r="C84" s="0" t="n">
        <v>2168</v>
      </c>
      <c r="D84" s="0" t="n">
        <v>70</v>
      </c>
      <c r="E84" s="0" t="n">
        <v>225</v>
      </c>
      <c r="F84" s="0" t="n">
        <v>12</v>
      </c>
      <c r="G84" s="0" t="n">
        <v>295</v>
      </c>
      <c r="H84" s="0" t="n">
        <v>1648</v>
      </c>
      <c r="I84" s="0" t="n">
        <v>82</v>
      </c>
      <c r="J84" s="0" t="n">
        <v>224</v>
      </c>
      <c r="K84" s="0" t="n">
        <v>23</v>
      </c>
      <c r="L84" s="0" t="n">
        <v>52702</v>
      </c>
      <c r="M84" s="0" t="n">
        <v>5455</v>
      </c>
    </row>
    <row r="85" customFormat="false" ht="13.5" hidden="false" customHeight="false" outlineLevel="0" collapsed="false">
      <c r="A85" s="0" t="s">
        <v>74</v>
      </c>
      <c r="B85" s="1" t="n">
        <v>43945</v>
      </c>
      <c r="C85" s="0" t="n">
        <v>2284</v>
      </c>
      <c r="D85" s="0" t="n">
        <v>116</v>
      </c>
      <c r="E85" s="0" t="n">
        <v>239</v>
      </c>
      <c r="F85" s="0" t="n">
        <v>14</v>
      </c>
      <c r="G85" s="0" t="n">
        <v>390</v>
      </c>
      <c r="H85" s="0" t="n">
        <v>1655</v>
      </c>
      <c r="I85" s="0" t="n">
        <v>61</v>
      </c>
      <c r="J85" s="0" t="n">
        <v>236</v>
      </c>
      <c r="K85" s="0" t="n">
        <v>25</v>
      </c>
      <c r="L85" s="0" t="n">
        <v>55390</v>
      </c>
      <c r="M85" s="0" t="n">
        <v>5734</v>
      </c>
    </row>
    <row r="86" customFormat="false" ht="13.5" hidden="false" customHeight="false" outlineLevel="0" collapsed="false">
      <c r="A86" s="0" t="s">
        <v>74</v>
      </c>
      <c r="B86" s="1" t="n">
        <v>43946</v>
      </c>
      <c r="C86" s="0" t="n">
        <v>2383</v>
      </c>
      <c r="D86" s="0" t="n">
        <v>99</v>
      </c>
      <c r="E86" s="0" t="n">
        <v>250</v>
      </c>
      <c r="F86" s="0" t="n">
        <v>11</v>
      </c>
      <c r="G86" s="0" t="n">
        <v>401</v>
      </c>
      <c r="H86" s="0" t="n">
        <v>1732</v>
      </c>
      <c r="I86" s="0" t="n">
        <v>61</v>
      </c>
      <c r="J86" s="0" t="n">
        <v>247</v>
      </c>
      <c r="K86" s="0" t="n">
        <v>26</v>
      </c>
      <c r="L86" s="0" t="n">
        <v>58251</v>
      </c>
      <c r="M86" s="0" t="n">
        <v>6030</v>
      </c>
    </row>
    <row r="87" customFormat="false" ht="13.5" hidden="false" customHeight="false" outlineLevel="0" collapsed="false">
      <c r="A87" s="0" t="s">
        <v>74</v>
      </c>
      <c r="B87" s="1" t="n">
        <v>43947</v>
      </c>
      <c r="C87" s="0" t="n">
        <v>2443</v>
      </c>
      <c r="D87" s="0" t="n">
        <v>60</v>
      </c>
      <c r="E87" s="0" t="n">
        <v>262</v>
      </c>
      <c r="F87" s="0" t="n">
        <v>12</v>
      </c>
      <c r="G87" s="0" t="n">
        <v>458</v>
      </c>
      <c r="H87" s="0" t="n">
        <v>1723</v>
      </c>
      <c r="I87" s="0" t="n">
        <v>61</v>
      </c>
      <c r="J87" s="0" t="n">
        <v>253</v>
      </c>
      <c r="K87" s="0" t="n">
        <v>27</v>
      </c>
      <c r="L87" s="0" t="n">
        <v>60801</v>
      </c>
      <c r="M87" s="0" t="n">
        <v>6294</v>
      </c>
    </row>
    <row r="88" customFormat="false" ht="13.5" hidden="false" customHeight="false" outlineLevel="0" collapsed="false">
      <c r="A88" s="0" t="s">
        <v>74</v>
      </c>
      <c r="B88" s="1" t="n">
        <v>43948</v>
      </c>
      <c r="C88" s="0" t="n">
        <v>2500</v>
      </c>
      <c r="D88" s="0" t="n">
        <v>57</v>
      </c>
      <c r="E88" s="0" t="n">
        <v>272</v>
      </c>
      <c r="F88" s="0" t="n">
        <v>10</v>
      </c>
      <c r="G88" s="0" t="n">
        <v>485</v>
      </c>
      <c r="H88" s="0" t="n">
        <v>1743</v>
      </c>
      <c r="I88" s="0" t="n">
        <v>61</v>
      </c>
      <c r="J88" s="0" t="n">
        <v>259</v>
      </c>
      <c r="K88" s="0" t="n">
        <v>28</v>
      </c>
      <c r="L88" s="0" t="n">
        <v>63505</v>
      </c>
      <c r="M88" s="0" t="n">
        <v>6574</v>
      </c>
    </row>
    <row r="89" customFormat="false" ht="13.5" hidden="false" customHeight="false" outlineLevel="0" collapsed="false">
      <c r="A89" s="0" t="s">
        <v>74</v>
      </c>
      <c r="B89" s="1" t="n">
        <v>43949</v>
      </c>
      <c r="C89" s="2" t="n">
        <v>2583</v>
      </c>
      <c r="D89" s="2" t="n">
        <v>83</v>
      </c>
      <c r="E89" s="2" t="n">
        <v>280</v>
      </c>
      <c r="F89" s="2" t="n">
        <v>8</v>
      </c>
      <c r="G89" s="2" t="n">
        <v>498</v>
      </c>
      <c r="H89" s="2" t="n">
        <v>1805</v>
      </c>
      <c r="I89" s="2" t="n">
        <v>61</v>
      </c>
      <c r="J89" s="2" t="n">
        <v>267</v>
      </c>
      <c r="K89" s="2" t="n">
        <v>29</v>
      </c>
      <c r="L89" s="2" t="n">
        <v>65625</v>
      </c>
      <c r="M89" s="2" t="n">
        <v>6793</v>
      </c>
    </row>
    <row r="90" customFormat="false" ht="13.5" hidden="false" customHeight="false" outlineLevel="0" collapsed="false">
      <c r="A90" s="0" t="s">
        <v>74</v>
      </c>
      <c r="B90" s="1" t="n">
        <v>43950</v>
      </c>
      <c r="C90" s="2" t="n">
        <v>2649</v>
      </c>
      <c r="D90" s="2" t="n">
        <v>66</v>
      </c>
      <c r="E90" s="2" t="n">
        <v>291</v>
      </c>
      <c r="F90" s="2" t="n">
        <v>11</v>
      </c>
      <c r="G90" s="2" t="n">
        <v>516</v>
      </c>
      <c r="H90" s="2" t="n">
        <v>1842</v>
      </c>
      <c r="I90" s="2" t="n">
        <v>49</v>
      </c>
      <c r="J90" s="2" t="n">
        <v>274</v>
      </c>
      <c r="K90" s="2" t="n">
        <v>30</v>
      </c>
      <c r="L90" s="2" t="n">
        <v>67172</v>
      </c>
      <c r="M90" s="2" t="n">
        <v>6953</v>
      </c>
    </row>
    <row r="91" customFormat="false" ht="13.5" hidden="false" customHeight="false" outlineLevel="0" collapsed="false">
      <c r="A91" s="0" t="s">
        <v>74</v>
      </c>
      <c r="B91" s="1" t="n">
        <v>43951</v>
      </c>
      <c r="C91" s="2" t="n">
        <v>2727</v>
      </c>
      <c r="D91" s="2" t="n">
        <v>78</v>
      </c>
      <c r="E91" s="2" t="n">
        <v>300</v>
      </c>
      <c r="F91" s="2" t="n">
        <v>9</v>
      </c>
      <c r="G91" s="2" t="n">
        <v>536</v>
      </c>
      <c r="H91" s="2" t="n">
        <v>1891</v>
      </c>
      <c r="I91" s="2" t="n">
        <v>50</v>
      </c>
      <c r="J91" s="2" t="n">
        <v>282</v>
      </c>
      <c r="K91" s="2" t="n">
        <v>31</v>
      </c>
      <c r="L91" s="2" t="n">
        <v>70300</v>
      </c>
      <c r="M91" s="2" t="n">
        <v>7277</v>
      </c>
    </row>
    <row r="92" customFormat="false" ht="13.5" hidden="false" customHeight="false" outlineLevel="0" collapsed="false">
      <c r="A92" s="0" t="s">
        <v>74</v>
      </c>
      <c r="B92" s="1" t="n">
        <v>43952</v>
      </c>
      <c r="C92" s="2" t="n">
        <v>2775</v>
      </c>
      <c r="D92" s="2" t="n">
        <v>48</v>
      </c>
      <c r="E92" s="2" t="n">
        <v>312</v>
      </c>
      <c r="F92" s="2" t="n">
        <v>12</v>
      </c>
      <c r="G92" s="2" t="n">
        <v>581</v>
      </c>
      <c r="H92" s="2" t="n">
        <v>1882</v>
      </c>
      <c r="I92" s="2" t="n">
        <v>54</v>
      </c>
      <c r="J92" s="2" t="n">
        <v>287</v>
      </c>
      <c r="K92" s="2" t="n">
        <v>32</v>
      </c>
      <c r="L92" s="2" t="n">
        <v>72951</v>
      </c>
      <c r="M92" s="2" t="n">
        <v>7552</v>
      </c>
    </row>
    <row r="93" customFormat="false" ht="13.5" hidden="false" customHeight="false" outlineLevel="0" collapsed="false">
      <c r="A93" s="0" t="s">
        <v>74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74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74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74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74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74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74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74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74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74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74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74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74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74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74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74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74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74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74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74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74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74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74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74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74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74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74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74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74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74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74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74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74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74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74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74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74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74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74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74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74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74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74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74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74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74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74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74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74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74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74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74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74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74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74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74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74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74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74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74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74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74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74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74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74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74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74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74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74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74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74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74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74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74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74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74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74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74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74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74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74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74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74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74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74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74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74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74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74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74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74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74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74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74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74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6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1" min="1" style="0" width="10.75"/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75</v>
      </c>
      <c r="B2" s="1" t="n">
        <v>43862</v>
      </c>
    </row>
    <row r="3" customFormat="false" ht="13.5" hidden="false" customHeight="false" outlineLevel="0" collapsed="false">
      <c r="A3" s="0" t="s">
        <v>75</v>
      </c>
      <c r="B3" s="1" t="n">
        <v>43863</v>
      </c>
    </row>
    <row r="4" customFormat="false" ht="13.5" hidden="false" customHeight="false" outlineLevel="0" collapsed="false">
      <c r="A4" s="0" t="s">
        <v>75</v>
      </c>
      <c r="B4" s="1" t="n">
        <v>43864</v>
      </c>
    </row>
    <row r="5" customFormat="false" ht="13.5" hidden="false" customHeight="false" outlineLevel="0" collapsed="false">
      <c r="A5" s="0" t="s">
        <v>75</v>
      </c>
      <c r="B5" s="1" t="n">
        <v>43865</v>
      </c>
    </row>
    <row r="6" customFormat="false" ht="13.5" hidden="false" customHeight="false" outlineLevel="0" collapsed="false">
      <c r="A6" s="0" t="s">
        <v>75</v>
      </c>
      <c r="B6" s="1" t="n">
        <v>43866</v>
      </c>
    </row>
    <row r="7" customFormat="false" ht="13.5" hidden="false" customHeight="false" outlineLevel="0" collapsed="false">
      <c r="A7" s="0" t="s">
        <v>75</v>
      </c>
      <c r="B7" s="1" t="n">
        <v>43867</v>
      </c>
    </row>
    <row r="8" customFormat="false" ht="13.5" hidden="false" customHeight="false" outlineLevel="0" collapsed="false">
      <c r="A8" s="0" t="s">
        <v>75</v>
      </c>
      <c r="B8" s="1" t="n">
        <v>43868</v>
      </c>
    </row>
    <row r="9" customFormat="false" ht="13.5" hidden="false" customHeight="false" outlineLevel="0" collapsed="false">
      <c r="A9" s="0" t="s">
        <v>75</v>
      </c>
      <c r="B9" s="1" t="n">
        <v>43869</v>
      </c>
    </row>
    <row r="10" customFormat="false" ht="13.5" hidden="false" customHeight="false" outlineLevel="0" collapsed="false">
      <c r="A10" s="0" t="s">
        <v>75</v>
      </c>
      <c r="B10" s="1" t="n">
        <v>43870</v>
      </c>
    </row>
    <row r="11" customFormat="false" ht="13.5" hidden="false" customHeight="false" outlineLevel="0" collapsed="false">
      <c r="A11" s="0" t="s">
        <v>75</v>
      </c>
      <c r="B11" s="1" t="n">
        <v>43871</v>
      </c>
    </row>
    <row r="12" customFormat="false" ht="13.5" hidden="false" customHeight="false" outlineLevel="0" collapsed="false">
      <c r="A12" s="0" t="s">
        <v>75</v>
      </c>
      <c r="B12" s="1" t="n">
        <v>43872</v>
      </c>
    </row>
    <row r="13" customFormat="false" ht="13.5" hidden="false" customHeight="false" outlineLevel="0" collapsed="false">
      <c r="A13" s="0" t="s">
        <v>75</v>
      </c>
      <c r="B13" s="1" t="n">
        <v>43873</v>
      </c>
    </row>
    <row r="14" customFormat="false" ht="13.5" hidden="false" customHeight="false" outlineLevel="0" collapsed="false">
      <c r="A14" s="0" t="s">
        <v>75</v>
      </c>
      <c r="B14" s="1" t="n">
        <v>43874</v>
      </c>
    </row>
    <row r="15" customFormat="false" ht="13.5" hidden="false" customHeight="false" outlineLevel="0" collapsed="false">
      <c r="A15" s="0" t="s">
        <v>75</v>
      </c>
      <c r="B15" s="1" t="n">
        <v>43875</v>
      </c>
    </row>
    <row r="16" customFormat="false" ht="13.5" hidden="false" customHeight="false" outlineLevel="0" collapsed="false">
      <c r="A16" s="0" t="s">
        <v>75</v>
      </c>
      <c r="B16" s="1" t="n">
        <v>43876</v>
      </c>
    </row>
    <row r="17" customFormat="false" ht="13.5" hidden="false" customHeight="false" outlineLevel="0" collapsed="false">
      <c r="A17" s="0" t="s">
        <v>75</v>
      </c>
      <c r="B17" s="1" t="n">
        <v>43877</v>
      </c>
    </row>
    <row r="18" customFormat="false" ht="13.5" hidden="false" customHeight="false" outlineLevel="0" collapsed="false">
      <c r="A18" s="0" t="s">
        <v>75</v>
      </c>
      <c r="B18" s="1" t="n">
        <v>43878</v>
      </c>
    </row>
    <row r="19" customFormat="false" ht="13.5" hidden="false" customHeight="false" outlineLevel="0" collapsed="false">
      <c r="A19" s="0" t="s">
        <v>75</v>
      </c>
      <c r="B19" s="1" t="n">
        <v>43879</v>
      </c>
    </row>
    <row r="20" customFormat="false" ht="13.5" hidden="false" customHeight="false" outlineLevel="0" collapsed="false">
      <c r="A20" s="0" t="s">
        <v>75</v>
      </c>
      <c r="B20" s="1" t="n">
        <v>43880</v>
      </c>
    </row>
    <row r="21" customFormat="false" ht="13.5" hidden="false" customHeight="false" outlineLevel="0" collapsed="false">
      <c r="A21" s="0" t="s">
        <v>75</v>
      </c>
      <c r="B21" s="1" t="n">
        <v>43881</v>
      </c>
    </row>
    <row r="22" customFormat="false" ht="13.5" hidden="false" customHeight="false" outlineLevel="0" collapsed="false">
      <c r="A22" s="0" t="s">
        <v>75</v>
      </c>
      <c r="B22" s="1" t="n">
        <v>43882</v>
      </c>
    </row>
    <row r="23" customFormat="false" ht="13.5" hidden="false" customHeight="false" outlineLevel="0" collapsed="false">
      <c r="A23" s="0" t="s">
        <v>75</v>
      </c>
      <c r="B23" s="1" t="n">
        <v>43883</v>
      </c>
    </row>
    <row r="24" customFormat="false" ht="13.5" hidden="false" customHeight="false" outlineLevel="0" collapsed="false">
      <c r="A24" s="0" t="s">
        <v>75</v>
      </c>
      <c r="B24" s="1" t="n">
        <v>43884</v>
      </c>
    </row>
    <row r="25" customFormat="false" ht="13.5" hidden="false" customHeight="false" outlineLevel="0" collapsed="false">
      <c r="A25" s="0" t="s">
        <v>75</v>
      </c>
      <c r="B25" s="1" t="n">
        <v>43885</v>
      </c>
    </row>
    <row r="26" customFormat="false" ht="13.5" hidden="false" customHeight="false" outlineLevel="0" collapsed="false">
      <c r="A26" s="0" t="s">
        <v>75</v>
      </c>
      <c r="B26" s="1" t="n">
        <v>43886</v>
      </c>
    </row>
    <row r="27" customFormat="false" ht="13.5" hidden="false" customHeight="false" outlineLevel="0" collapsed="false">
      <c r="A27" s="0" t="s">
        <v>75</v>
      </c>
      <c r="B27" s="1" t="n">
        <v>43887</v>
      </c>
    </row>
    <row r="28" customFormat="false" ht="13.5" hidden="false" customHeight="false" outlineLevel="0" collapsed="false">
      <c r="A28" s="0" t="s">
        <v>75</v>
      </c>
      <c r="B28" s="1" t="n">
        <v>43888</v>
      </c>
    </row>
    <row r="29" customFormat="false" ht="13.5" hidden="false" customHeight="false" outlineLevel="0" collapsed="false">
      <c r="A29" s="0" t="s">
        <v>75</v>
      </c>
      <c r="B29" s="1" t="n">
        <v>43889</v>
      </c>
    </row>
    <row r="30" customFormat="false" ht="13.5" hidden="false" customHeight="false" outlineLevel="0" collapsed="false">
      <c r="A30" s="0" t="s">
        <v>75</v>
      </c>
      <c r="B30" s="1" t="n">
        <v>43890</v>
      </c>
    </row>
    <row r="31" customFormat="false" ht="13.5" hidden="false" customHeight="false" outlineLevel="0" collapsed="false">
      <c r="A31" s="0" t="s">
        <v>75</v>
      </c>
      <c r="B31" s="1" t="n">
        <v>43891</v>
      </c>
    </row>
    <row r="32" customFormat="false" ht="13.5" hidden="false" customHeight="false" outlineLevel="0" collapsed="false">
      <c r="A32" s="0" t="s">
        <v>75</v>
      </c>
      <c r="B32" s="1" t="n">
        <v>43892</v>
      </c>
    </row>
    <row r="33" customFormat="false" ht="13.5" hidden="false" customHeight="false" outlineLevel="0" collapsed="false">
      <c r="A33" s="0" t="s">
        <v>75</v>
      </c>
      <c r="B33" s="1" t="n">
        <v>43893</v>
      </c>
    </row>
    <row r="34" customFormat="false" ht="13.5" hidden="false" customHeight="false" outlineLevel="0" collapsed="false">
      <c r="A34" s="0" t="s">
        <v>75</v>
      </c>
      <c r="B34" s="1" t="n">
        <v>43894</v>
      </c>
    </row>
    <row r="35" customFormat="false" ht="13.5" hidden="false" customHeight="false" outlineLevel="0" collapsed="false">
      <c r="A35" s="0" t="s">
        <v>75</v>
      </c>
      <c r="B35" s="1" t="n">
        <v>43895</v>
      </c>
    </row>
    <row r="36" customFormat="false" ht="13.5" hidden="false" customHeight="false" outlineLevel="0" collapsed="false">
      <c r="A36" s="0" t="s">
        <v>75</v>
      </c>
      <c r="B36" s="1" t="n">
        <v>43896</v>
      </c>
    </row>
    <row r="37" customFormat="false" ht="13.5" hidden="false" customHeight="false" outlineLevel="0" collapsed="false">
      <c r="A37" s="0" t="s">
        <v>75</v>
      </c>
      <c r="B37" s="1" t="n">
        <v>43897</v>
      </c>
    </row>
    <row r="38" customFormat="false" ht="13.5" hidden="false" customHeight="false" outlineLevel="0" collapsed="false">
      <c r="A38" s="0" t="s">
        <v>75</v>
      </c>
      <c r="B38" s="1" t="n">
        <v>43898</v>
      </c>
    </row>
    <row r="39" customFormat="false" ht="13.5" hidden="false" customHeight="false" outlineLevel="0" collapsed="false">
      <c r="A39" s="0" t="s">
        <v>75</v>
      </c>
      <c r="B39" s="1" t="n">
        <v>43899</v>
      </c>
    </row>
    <row r="40" customFormat="false" ht="13.5" hidden="false" customHeight="false" outlineLevel="0" collapsed="false">
      <c r="A40" s="0" t="s">
        <v>75</v>
      </c>
      <c r="B40" s="1" t="n">
        <v>43900</v>
      </c>
    </row>
    <row r="41" customFormat="false" ht="13.5" hidden="false" customHeight="false" outlineLevel="0" collapsed="false">
      <c r="A41" s="0" t="s">
        <v>75</v>
      </c>
      <c r="B41" s="1" t="n">
        <v>43901</v>
      </c>
    </row>
    <row r="42" customFormat="false" ht="13.5" hidden="false" customHeight="false" outlineLevel="0" collapsed="false">
      <c r="A42" s="0" t="s">
        <v>75</v>
      </c>
      <c r="B42" s="1" t="n">
        <v>43902</v>
      </c>
    </row>
    <row r="43" customFormat="false" ht="13.5" hidden="false" customHeight="false" outlineLevel="0" collapsed="false">
      <c r="A43" s="0" t="s">
        <v>75</v>
      </c>
      <c r="B43" s="1" t="n">
        <v>43903</v>
      </c>
    </row>
    <row r="44" customFormat="false" ht="13.5" hidden="false" customHeight="false" outlineLevel="0" collapsed="false">
      <c r="A44" s="0" t="s">
        <v>75</v>
      </c>
      <c r="B44" s="1" t="n">
        <v>43904</v>
      </c>
      <c r="C44" s="0" t="n">
        <v>4</v>
      </c>
      <c r="D44" s="0" t="n">
        <v>4</v>
      </c>
      <c r="H44" s="0" t="n">
        <v>4</v>
      </c>
      <c r="J44" s="0" t="n">
        <v>0.2</v>
      </c>
    </row>
    <row r="45" customFormat="false" ht="13.5" hidden="false" customHeight="false" outlineLevel="0" collapsed="false">
      <c r="A45" s="0" t="s">
        <v>75</v>
      </c>
      <c r="B45" s="1" t="n">
        <v>43905</v>
      </c>
      <c r="C45" s="0" t="n">
        <v>6</v>
      </c>
      <c r="D45" s="0" t="n">
        <v>2</v>
      </c>
      <c r="H45" s="0" t="n">
        <v>6</v>
      </c>
      <c r="J45" s="0" t="n">
        <v>0.3</v>
      </c>
    </row>
    <row r="46" customFormat="false" ht="13.5" hidden="false" customHeight="false" outlineLevel="0" collapsed="false">
      <c r="A46" s="0" t="s">
        <v>75</v>
      </c>
      <c r="B46" s="1" t="n">
        <v>43906</v>
      </c>
      <c r="C46" s="0" t="n">
        <v>9</v>
      </c>
      <c r="D46" s="0" t="n">
        <v>3</v>
      </c>
      <c r="H46" s="0" t="n">
        <v>9</v>
      </c>
      <c r="J46" s="0" t="n">
        <v>0.5</v>
      </c>
    </row>
    <row r="47" customFormat="false" ht="13.5" hidden="false" customHeight="false" outlineLevel="0" collapsed="false">
      <c r="A47" s="0" t="s">
        <v>75</v>
      </c>
      <c r="B47" s="1" t="n">
        <v>43907</v>
      </c>
      <c r="C47" s="0" t="n">
        <v>10</v>
      </c>
      <c r="D47" s="0" t="n">
        <v>1</v>
      </c>
      <c r="H47" s="0" t="n">
        <v>10</v>
      </c>
      <c r="J47" s="0" t="n">
        <v>0.5</v>
      </c>
    </row>
    <row r="48" customFormat="false" ht="13.5" hidden="false" customHeight="false" outlineLevel="0" collapsed="false">
      <c r="A48" s="0" t="s">
        <v>75</v>
      </c>
      <c r="B48" s="1" t="n">
        <v>43908</v>
      </c>
      <c r="C48" s="0" t="n">
        <v>33</v>
      </c>
      <c r="D48" s="0" t="n">
        <v>23</v>
      </c>
      <c r="H48" s="0" t="n">
        <v>33</v>
      </c>
      <c r="J48" s="0" t="n">
        <v>1.8</v>
      </c>
    </row>
    <row r="49" customFormat="false" ht="13.5" hidden="false" customHeight="false" outlineLevel="0" collapsed="false">
      <c r="A49" s="0" t="s">
        <v>75</v>
      </c>
      <c r="B49" s="1" t="n">
        <v>43909</v>
      </c>
      <c r="C49" s="0" t="n">
        <v>36</v>
      </c>
      <c r="D49" s="0" t="n">
        <v>3</v>
      </c>
      <c r="H49" s="0" t="n">
        <v>36</v>
      </c>
      <c r="J49" s="0" t="n">
        <v>2</v>
      </c>
    </row>
    <row r="50" customFormat="false" ht="13.5" hidden="false" customHeight="false" outlineLevel="0" collapsed="false">
      <c r="A50" s="0" t="s">
        <v>75</v>
      </c>
      <c r="B50" s="1" t="n">
        <v>43910</v>
      </c>
      <c r="C50" s="0" t="n">
        <v>44</v>
      </c>
      <c r="D50" s="0" t="n">
        <v>8</v>
      </c>
      <c r="E50" s="0" t="n">
        <v>3</v>
      </c>
      <c r="F50" s="0" t="n">
        <v>3</v>
      </c>
      <c r="H50" s="0" t="n">
        <v>41</v>
      </c>
      <c r="J50" s="0" t="n">
        <v>2</v>
      </c>
    </row>
    <row r="51" customFormat="false" ht="13.5" hidden="false" customHeight="false" outlineLevel="0" collapsed="false">
      <c r="A51" s="0" t="s">
        <v>75</v>
      </c>
      <c r="B51" s="1" t="n">
        <v>43911</v>
      </c>
      <c r="C51" s="0" t="n">
        <v>53</v>
      </c>
      <c r="D51" s="0" t="n">
        <v>9</v>
      </c>
      <c r="H51" s="0" t="n">
        <v>53</v>
      </c>
      <c r="J51" s="0" t="n">
        <v>3</v>
      </c>
    </row>
    <row r="52" customFormat="false" ht="13.5" hidden="false" customHeight="false" outlineLevel="0" collapsed="false">
      <c r="A52" s="0" t="s">
        <v>75</v>
      </c>
      <c r="B52" s="1" t="n">
        <v>43912</v>
      </c>
      <c r="C52" s="0" t="n">
        <v>54</v>
      </c>
      <c r="D52" s="0" t="n">
        <v>1</v>
      </c>
      <c r="H52" s="0" t="n">
        <v>54</v>
      </c>
      <c r="J52" s="0" t="n">
        <v>3</v>
      </c>
    </row>
    <row r="53" customFormat="false" ht="13.5" hidden="false" customHeight="false" outlineLevel="0" collapsed="false">
      <c r="A53" s="0" t="s">
        <v>75</v>
      </c>
      <c r="B53" s="1" t="n">
        <v>43913</v>
      </c>
      <c r="C53" s="0" t="n">
        <v>59</v>
      </c>
      <c r="D53" s="0" t="n">
        <v>5</v>
      </c>
      <c r="H53" s="0" t="n">
        <v>59</v>
      </c>
      <c r="J53" s="0" t="n">
        <v>3</v>
      </c>
    </row>
    <row r="54" customFormat="false" ht="13.5" hidden="false" customHeight="false" outlineLevel="0" collapsed="false">
      <c r="A54" s="0" t="s">
        <v>75</v>
      </c>
      <c r="B54" s="1" t="n">
        <v>43914</v>
      </c>
      <c r="C54" s="0" t="n">
        <v>62</v>
      </c>
      <c r="D54" s="0" t="n">
        <v>3</v>
      </c>
      <c r="H54" s="0" t="n">
        <v>62</v>
      </c>
      <c r="J54" s="0" t="n">
        <v>3</v>
      </c>
    </row>
    <row r="55" customFormat="false" ht="13.5" hidden="false" customHeight="false" outlineLevel="0" collapsed="false">
      <c r="A55" s="0" t="s">
        <v>75</v>
      </c>
      <c r="B55" s="1" t="n">
        <v>43915</v>
      </c>
      <c r="C55" s="0" t="n">
        <v>72</v>
      </c>
      <c r="D55" s="0" t="n">
        <v>10</v>
      </c>
      <c r="H55" s="0" t="n">
        <v>72</v>
      </c>
      <c r="J55" s="0" t="n">
        <v>4</v>
      </c>
    </row>
    <row r="56" customFormat="false" ht="13.5" hidden="false" customHeight="false" outlineLevel="0" collapsed="false">
      <c r="A56" s="0" t="s">
        <v>75</v>
      </c>
      <c r="B56" s="1" t="n">
        <v>43916</v>
      </c>
      <c r="C56" s="0" t="n">
        <v>81</v>
      </c>
      <c r="D56" s="0" t="n">
        <v>9</v>
      </c>
      <c r="H56" s="0" t="n">
        <v>81</v>
      </c>
      <c r="J56" s="0" t="n">
        <v>4</v>
      </c>
    </row>
    <row r="57" customFormat="false" ht="13.5" hidden="false" customHeight="false" outlineLevel="0" collapsed="false">
      <c r="A57" s="0" t="s">
        <v>75</v>
      </c>
      <c r="B57" s="1" t="n">
        <v>43917</v>
      </c>
      <c r="C57" s="0" t="n">
        <v>111</v>
      </c>
      <c r="D57" s="0" t="n">
        <v>30</v>
      </c>
      <c r="E57" s="0" t="n">
        <v>1</v>
      </c>
      <c r="F57" s="0" t="n">
        <v>1</v>
      </c>
      <c r="G57" s="0" t="n">
        <v>2</v>
      </c>
      <c r="H57" s="0" t="n">
        <v>108</v>
      </c>
      <c r="J57" s="0" t="n">
        <v>6</v>
      </c>
      <c r="K57" s="0" t="n">
        <v>0.05</v>
      </c>
    </row>
    <row r="58" customFormat="false" ht="13.5" hidden="false" customHeight="false" outlineLevel="0" collapsed="false">
      <c r="A58" s="0" t="s">
        <v>75</v>
      </c>
      <c r="B58" s="1" t="n">
        <v>43918</v>
      </c>
      <c r="C58" s="0" t="n">
        <v>150</v>
      </c>
      <c r="D58" s="0" t="n">
        <v>39</v>
      </c>
      <c r="E58" s="0" t="n">
        <v>1</v>
      </c>
      <c r="G58" s="0" t="n">
        <v>3</v>
      </c>
      <c r="H58" s="0" t="n">
        <v>146</v>
      </c>
      <c r="J58" s="0" t="n">
        <v>8</v>
      </c>
      <c r="K58" s="0" t="n">
        <v>0.05</v>
      </c>
    </row>
    <row r="59" customFormat="false" ht="13.5" hidden="false" customHeight="false" outlineLevel="0" collapsed="false">
      <c r="A59" s="0" t="s">
        <v>75</v>
      </c>
      <c r="B59" s="1" t="n">
        <v>43919</v>
      </c>
      <c r="C59" s="0" t="n">
        <v>228</v>
      </c>
      <c r="D59" s="0" t="n">
        <v>78</v>
      </c>
      <c r="E59" s="0" t="n">
        <v>1</v>
      </c>
      <c r="G59" s="0" t="n">
        <v>16</v>
      </c>
      <c r="H59" s="0" t="n">
        <v>211</v>
      </c>
      <c r="J59" s="0" t="n">
        <v>12</v>
      </c>
      <c r="K59" s="0" t="n">
        <v>0.05</v>
      </c>
    </row>
    <row r="60" customFormat="false" ht="13.5" hidden="false" customHeight="false" outlineLevel="0" collapsed="false">
      <c r="A60" s="0" t="s">
        <v>75</v>
      </c>
      <c r="B60" s="1" t="n">
        <v>43920</v>
      </c>
      <c r="C60" s="0" t="n">
        <v>284</v>
      </c>
      <c r="D60" s="0" t="n">
        <v>56</v>
      </c>
      <c r="E60" s="0" t="n">
        <v>1</v>
      </c>
      <c r="G60" s="0" t="n">
        <v>20</v>
      </c>
      <c r="H60" s="0" t="n">
        <v>263</v>
      </c>
      <c r="J60" s="0" t="n">
        <v>15</v>
      </c>
      <c r="K60" s="0" t="n">
        <v>0.05</v>
      </c>
    </row>
    <row r="61" customFormat="false" ht="13.5" hidden="false" customHeight="false" outlineLevel="0" collapsed="false">
      <c r="A61" s="0" t="s">
        <v>75</v>
      </c>
      <c r="B61" s="1" t="n">
        <v>43921</v>
      </c>
      <c r="C61" s="0" t="n">
        <v>302</v>
      </c>
      <c r="D61" s="0" t="n">
        <v>18</v>
      </c>
      <c r="E61" s="0" t="n">
        <v>1</v>
      </c>
      <c r="G61" s="0" t="n">
        <v>21</v>
      </c>
      <c r="H61" s="0" t="n">
        <v>280</v>
      </c>
      <c r="J61" s="0" t="n">
        <v>16</v>
      </c>
      <c r="K61" s="0" t="n">
        <v>0.05</v>
      </c>
    </row>
    <row r="62" customFormat="false" ht="13.5" hidden="false" customHeight="false" outlineLevel="0" collapsed="false">
      <c r="A62" s="0" t="s">
        <v>75</v>
      </c>
      <c r="B62" s="1" t="n">
        <v>43922</v>
      </c>
      <c r="C62" s="0" t="n">
        <v>343</v>
      </c>
      <c r="D62" s="0" t="n">
        <v>41</v>
      </c>
      <c r="E62" s="0" t="n">
        <v>2</v>
      </c>
      <c r="F62" s="0" t="n">
        <v>1</v>
      </c>
      <c r="G62" s="0" t="n">
        <v>24</v>
      </c>
      <c r="H62" s="0" t="n">
        <v>317</v>
      </c>
      <c r="I62" s="0" t="n">
        <v>6</v>
      </c>
      <c r="J62" s="0" t="n">
        <v>18</v>
      </c>
      <c r="K62" s="0" t="n">
        <v>0.1</v>
      </c>
    </row>
    <row r="63" customFormat="false" ht="13.5" hidden="false" customHeight="false" outlineLevel="0" collapsed="false">
      <c r="A63" s="0" t="s">
        <v>75</v>
      </c>
      <c r="B63" s="1" t="n">
        <v>43923</v>
      </c>
      <c r="C63" s="0" t="n">
        <v>380</v>
      </c>
      <c r="D63" s="0" t="n">
        <v>37</v>
      </c>
      <c r="E63" s="0" t="n">
        <v>3</v>
      </c>
      <c r="F63" s="0" t="n">
        <v>1</v>
      </c>
      <c r="G63" s="0" t="n">
        <v>26</v>
      </c>
      <c r="H63" s="0" t="n">
        <v>351</v>
      </c>
      <c r="I63" s="0" t="n">
        <v>6</v>
      </c>
      <c r="J63" s="0" t="n">
        <v>20</v>
      </c>
      <c r="K63" s="0" t="n">
        <v>0.2</v>
      </c>
    </row>
    <row r="64" customFormat="false" ht="13.5" hidden="false" customHeight="false" outlineLevel="0" collapsed="false">
      <c r="A64" s="0" t="s">
        <v>75</v>
      </c>
      <c r="B64" s="1" t="n">
        <v>43924</v>
      </c>
      <c r="C64" s="0" t="n">
        <v>435</v>
      </c>
      <c r="D64" s="0" t="n">
        <v>55</v>
      </c>
      <c r="E64" s="0" t="n">
        <v>3</v>
      </c>
      <c r="G64" s="0" t="n">
        <v>27</v>
      </c>
      <c r="H64" s="0" t="n">
        <v>405</v>
      </c>
      <c r="I64" s="0" t="n">
        <v>6</v>
      </c>
      <c r="J64" s="0" t="n">
        <v>23</v>
      </c>
      <c r="K64" s="0" t="n">
        <v>0.2</v>
      </c>
    </row>
    <row r="65" customFormat="false" ht="13.5" hidden="false" customHeight="false" outlineLevel="0" collapsed="false">
      <c r="A65" s="0" t="s">
        <v>75</v>
      </c>
      <c r="B65" s="1" t="n">
        <v>43925</v>
      </c>
      <c r="C65" s="0" t="n">
        <v>464</v>
      </c>
      <c r="D65" s="0" t="n">
        <v>29</v>
      </c>
      <c r="E65" s="0" t="n">
        <v>6</v>
      </c>
      <c r="F65" s="0" t="n">
        <v>3</v>
      </c>
      <c r="G65" s="0" t="n">
        <v>29</v>
      </c>
      <c r="H65" s="0" t="n">
        <v>429</v>
      </c>
      <c r="I65" s="0" t="n">
        <v>6</v>
      </c>
      <c r="J65" s="0" t="n">
        <v>25</v>
      </c>
      <c r="K65" s="0" t="n">
        <v>0.3</v>
      </c>
    </row>
    <row r="66" customFormat="false" ht="13.5" hidden="false" customHeight="false" outlineLevel="0" collapsed="false">
      <c r="A66" s="0" t="s">
        <v>75</v>
      </c>
      <c r="B66" s="1" t="n">
        <v>43926</v>
      </c>
      <c r="C66" s="0" t="n">
        <v>531</v>
      </c>
      <c r="D66" s="0" t="n">
        <v>67</v>
      </c>
      <c r="E66" s="0" t="n">
        <v>5</v>
      </c>
      <c r="F66" s="0" t="n">
        <v>2</v>
      </c>
      <c r="G66" s="0" t="n">
        <v>36</v>
      </c>
      <c r="H66" s="0" t="n">
        <v>490</v>
      </c>
      <c r="I66" s="0" t="n">
        <v>6</v>
      </c>
      <c r="J66" s="0" t="n">
        <v>28</v>
      </c>
      <c r="K66" s="0" t="n">
        <v>0.3</v>
      </c>
      <c r="L66" s="0" t="n">
        <v>316</v>
      </c>
      <c r="M66" s="0" t="n">
        <v>17</v>
      </c>
    </row>
    <row r="67" customFormat="false" ht="13.5" hidden="false" customHeight="false" outlineLevel="0" collapsed="false">
      <c r="A67" s="0" t="s">
        <v>75</v>
      </c>
      <c r="B67" s="1" t="n">
        <v>43927</v>
      </c>
      <c r="C67" s="0" t="n">
        <v>584</v>
      </c>
      <c r="D67" s="0" t="n">
        <v>53</v>
      </c>
      <c r="E67" s="0" t="n">
        <v>6</v>
      </c>
      <c r="F67" s="0" t="n">
        <v>1</v>
      </c>
      <c r="G67" s="0" t="n">
        <v>42</v>
      </c>
      <c r="H67" s="0" t="n">
        <v>536</v>
      </c>
      <c r="I67" s="0" t="n">
        <v>6</v>
      </c>
      <c r="J67" s="0" t="n">
        <v>31</v>
      </c>
      <c r="K67" s="0" t="n">
        <v>0.3</v>
      </c>
      <c r="L67" s="0" t="n">
        <v>5093</v>
      </c>
      <c r="M67" s="0" t="n">
        <v>271</v>
      </c>
    </row>
    <row r="68" customFormat="false" ht="13.5" hidden="false" customHeight="false" outlineLevel="0" collapsed="false">
      <c r="A68" s="0" t="s">
        <v>75</v>
      </c>
      <c r="B68" s="1" t="n">
        <v>43928</v>
      </c>
      <c r="C68" s="0" t="n">
        <v>662</v>
      </c>
      <c r="D68" s="0" t="n">
        <v>78</v>
      </c>
      <c r="E68" s="0" t="n">
        <v>6</v>
      </c>
      <c r="G68" s="0" t="n">
        <v>46</v>
      </c>
      <c r="H68" s="0" t="n">
        <v>610</v>
      </c>
      <c r="I68" s="0" t="n">
        <v>16</v>
      </c>
      <c r="J68" s="0" t="n">
        <v>35</v>
      </c>
      <c r="K68" s="0" t="n">
        <v>0.3</v>
      </c>
      <c r="L68" s="0" t="n">
        <v>5093</v>
      </c>
      <c r="M68" s="0" t="n">
        <v>271</v>
      </c>
    </row>
    <row r="69" customFormat="false" ht="13.5" hidden="false" customHeight="false" outlineLevel="0" collapsed="false">
      <c r="A69" s="0" t="s">
        <v>75</v>
      </c>
      <c r="B69" s="1" t="n">
        <v>43929</v>
      </c>
      <c r="C69" s="0" t="n">
        <v>697</v>
      </c>
      <c r="D69" s="0" t="n">
        <v>35</v>
      </c>
      <c r="E69" s="0" t="n">
        <v>6</v>
      </c>
      <c r="G69" s="0" t="n">
        <v>51</v>
      </c>
      <c r="H69" s="0" t="n">
        <v>640</v>
      </c>
      <c r="I69" s="0" t="n">
        <v>16</v>
      </c>
      <c r="J69" s="0" t="n">
        <v>37</v>
      </c>
      <c r="K69" s="0" t="n">
        <v>0.3</v>
      </c>
      <c r="L69" s="0" t="n">
        <v>54767</v>
      </c>
      <c r="M69" s="0" t="n">
        <v>2917</v>
      </c>
    </row>
    <row r="70" customFormat="false" ht="13.5" hidden="false" customHeight="false" outlineLevel="0" collapsed="false">
      <c r="A70" s="0" t="s">
        <v>75</v>
      </c>
      <c r="B70" s="1" t="n">
        <v>43930</v>
      </c>
      <c r="C70" s="0" t="n">
        <v>727</v>
      </c>
      <c r="D70" s="0" t="n">
        <v>30</v>
      </c>
      <c r="E70" s="0" t="n">
        <v>7</v>
      </c>
      <c r="F70" s="0" t="n">
        <v>1</v>
      </c>
      <c r="G70" s="0" t="n">
        <v>54</v>
      </c>
      <c r="H70" s="0" t="n">
        <v>666</v>
      </c>
      <c r="I70" s="0" t="n">
        <v>21</v>
      </c>
      <c r="J70" s="0" t="n">
        <v>39</v>
      </c>
      <c r="K70" s="0" t="n">
        <v>0.4</v>
      </c>
      <c r="L70" s="0" t="n">
        <v>56775</v>
      </c>
      <c r="M70" s="0" t="n">
        <v>3024</v>
      </c>
    </row>
    <row r="71" customFormat="false" ht="13.5" hidden="false" customHeight="false" outlineLevel="0" collapsed="false">
      <c r="A71" s="0" t="s">
        <v>75</v>
      </c>
      <c r="B71" s="1" t="n">
        <v>43931</v>
      </c>
      <c r="C71" s="0" t="n">
        <v>764</v>
      </c>
      <c r="D71" s="0" t="n">
        <v>37</v>
      </c>
      <c r="E71" s="0" t="n">
        <v>7</v>
      </c>
      <c r="G71" s="0" t="n">
        <v>60</v>
      </c>
      <c r="H71" s="0" t="n">
        <v>697</v>
      </c>
      <c r="I71" s="0" t="n">
        <v>21</v>
      </c>
      <c r="J71" s="0" t="n">
        <v>41</v>
      </c>
      <c r="K71" s="0" t="n">
        <v>0.4</v>
      </c>
      <c r="L71" s="0" t="n">
        <v>59371</v>
      </c>
      <c r="M71" s="0" t="n">
        <v>3162</v>
      </c>
    </row>
    <row r="72" customFormat="false" ht="13.5" hidden="false" customHeight="false" outlineLevel="0" collapsed="false">
      <c r="A72" s="0" t="s">
        <v>75</v>
      </c>
      <c r="B72" s="1" t="n">
        <v>43932</v>
      </c>
      <c r="C72" s="0" t="n">
        <v>812</v>
      </c>
      <c r="D72" s="0" t="n">
        <v>48</v>
      </c>
      <c r="E72" s="0" t="n">
        <v>10</v>
      </c>
      <c r="F72" s="0" t="n">
        <v>2</v>
      </c>
      <c r="G72" s="0" t="n">
        <v>64</v>
      </c>
      <c r="H72" s="0" t="n">
        <v>738</v>
      </c>
      <c r="I72" s="0" t="n">
        <v>21</v>
      </c>
      <c r="J72" s="0" t="n">
        <v>43</v>
      </c>
      <c r="K72" s="0" t="n">
        <v>0.5</v>
      </c>
      <c r="L72" s="0" t="n">
        <v>61955</v>
      </c>
      <c r="M72" s="0" t="n">
        <v>3300</v>
      </c>
    </row>
    <row r="73" customFormat="false" ht="13.5" hidden="false" customHeight="false" outlineLevel="0" collapsed="false">
      <c r="A73" s="0" t="s">
        <v>75</v>
      </c>
      <c r="B73" s="1" t="n">
        <v>43933</v>
      </c>
      <c r="C73" s="0" t="n">
        <v>865</v>
      </c>
      <c r="D73" s="0" t="n">
        <v>53</v>
      </c>
      <c r="E73" s="0" t="n">
        <v>10</v>
      </c>
      <c r="G73" s="0" t="n">
        <v>81</v>
      </c>
      <c r="H73" s="0" t="n">
        <v>774</v>
      </c>
      <c r="I73" s="0" t="n">
        <v>21</v>
      </c>
      <c r="J73" s="0" t="n">
        <v>46</v>
      </c>
      <c r="K73" s="0" t="n">
        <v>0.5</v>
      </c>
      <c r="L73" s="0" t="n">
        <v>61955</v>
      </c>
      <c r="M73" s="0" t="n">
        <v>3300</v>
      </c>
    </row>
    <row r="74" customFormat="false" ht="13.5" hidden="false" customHeight="false" outlineLevel="0" collapsed="false">
      <c r="A74" s="0" t="s">
        <v>75</v>
      </c>
      <c r="B74" s="1" t="n">
        <v>43934</v>
      </c>
      <c r="C74" s="0" t="n">
        <v>951</v>
      </c>
      <c r="D74" s="0" t="n">
        <v>86</v>
      </c>
      <c r="E74" s="0" t="n">
        <v>10</v>
      </c>
      <c r="G74" s="0" t="n">
        <v>99</v>
      </c>
      <c r="H74" s="0" t="n">
        <v>842</v>
      </c>
      <c r="I74" s="0" t="n">
        <v>21</v>
      </c>
      <c r="J74" s="0" t="n">
        <v>51</v>
      </c>
      <c r="K74" s="0" t="n">
        <v>0.5</v>
      </c>
      <c r="L74" s="0" t="n">
        <v>69304</v>
      </c>
      <c r="M74" s="0" t="n">
        <v>3691</v>
      </c>
    </row>
    <row r="75" customFormat="false" ht="13.5" hidden="false" customHeight="false" outlineLevel="0" collapsed="false">
      <c r="A75" s="0" t="s">
        <v>75</v>
      </c>
      <c r="B75" s="1" t="n">
        <v>43935</v>
      </c>
      <c r="C75" s="0" t="n">
        <v>1091</v>
      </c>
      <c r="D75" s="0" t="n">
        <v>140</v>
      </c>
      <c r="E75" s="0" t="n">
        <v>12</v>
      </c>
      <c r="F75" s="0" t="n">
        <v>2</v>
      </c>
      <c r="G75" s="0" t="n">
        <v>138</v>
      </c>
      <c r="H75" s="0" t="n">
        <v>941</v>
      </c>
      <c r="I75" s="0" t="n">
        <v>21</v>
      </c>
      <c r="J75" s="0" t="n">
        <v>58</v>
      </c>
      <c r="K75" s="0" t="n">
        <v>0.6</v>
      </c>
      <c r="L75" s="0" t="n">
        <v>69304</v>
      </c>
      <c r="M75" s="0" t="n">
        <v>3691</v>
      </c>
    </row>
    <row r="76" customFormat="false" ht="13.5" hidden="false" customHeight="false" outlineLevel="0" collapsed="false">
      <c r="A76" s="0" t="s">
        <v>75</v>
      </c>
      <c r="B76" s="1" t="n">
        <v>43936</v>
      </c>
      <c r="C76" s="0" t="n">
        <v>1232</v>
      </c>
      <c r="D76" s="0" t="n">
        <v>141</v>
      </c>
      <c r="E76" s="0" t="n">
        <v>14</v>
      </c>
      <c r="F76" s="0" t="n">
        <v>2</v>
      </c>
      <c r="G76" s="0" t="n">
        <v>203</v>
      </c>
      <c r="H76" s="0" t="n">
        <v>1015</v>
      </c>
      <c r="I76" s="0" t="n">
        <v>21</v>
      </c>
      <c r="J76" s="0" t="n">
        <v>66</v>
      </c>
      <c r="K76" s="0" t="n">
        <v>0.7</v>
      </c>
      <c r="L76" s="0" t="n">
        <v>76904</v>
      </c>
      <c r="M76" s="0" t="n">
        <v>4096</v>
      </c>
    </row>
    <row r="77" customFormat="false" ht="13.5" hidden="false" customHeight="false" outlineLevel="0" collapsed="false">
      <c r="A77" s="0" t="s">
        <v>75</v>
      </c>
      <c r="B77" s="1" t="n">
        <v>43937</v>
      </c>
      <c r="C77" s="0" t="n">
        <v>1295</v>
      </c>
      <c r="D77" s="0" t="n">
        <v>63</v>
      </c>
      <c r="E77" s="0" t="n">
        <v>16</v>
      </c>
      <c r="F77" s="0" t="n">
        <v>2</v>
      </c>
      <c r="G77" s="0" t="n">
        <v>240</v>
      </c>
      <c r="H77" s="0" t="n">
        <v>1039</v>
      </c>
      <c r="I77" s="0" t="n">
        <v>20</v>
      </c>
      <c r="J77" s="0" t="n">
        <v>69</v>
      </c>
      <c r="K77" s="0" t="n">
        <v>0.9</v>
      </c>
      <c r="L77" s="0" t="n">
        <v>81359</v>
      </c>
      <c r="M77" s="0" t="n">
        <v>4333</v>
      </c>
    </row>
    <row r="78" customFormat="false" ht="13.5" hidden="false" customHeight="false" outlineLevel="0" collapsed="false">
      <c r="A78" s="0" t="s">
        <v>75</v>
      </c>
      <c r="B78" s="1" t="n">
        <v>43938</v>
      </c>
      <c r="C78" s="0" t="n">
        <v>1402</v>
      </c>
      <c r="D78" s="0" t="n">
        <v>107</v>
      </c>
      <c r="E78" s="0" t="n">
        <v>17</v>
      </c>
      <c r="F78" s="0" t="n">
        <v>1</v>
      </c>
      <c r="G78" s="0" t="n">
        <v>277</v>
      </c>
      <c r="H78" s="0" t="n">
        <v>1108</v>
      </c>
      <c r="I78" s="0" t="n">
        <v>22</v>
      </c>
      <c r="J78" s="0" t="n">
        <v>75</v>
      </c>
      <c r="K78" s="0" t="n">
        <v>0.9</v>
      </c>
      <c r="L78" s="0" t="n">
        <v>85735</v>
      </c>
      <c r="M78" s="0" t="n">
        <v>4566</v>
      </c>
    </row>
    <row r="79" customFormat="false" ht="13.5" hidden="false" customHeight="false" outlineLevel="0" collapsed="false">
      <c r="A79" s="0" t="s">
        <v>75</v>
      </c>
      <c r="B79" s="1" t="n">
        <v>43939</v>
      </c>
      <c r="C79" s="0" t="n">
        <v>1546</v>
      </c>
      <c r="D79" s="0" t="n">
        <v>144</v>
      </c>
      <c r="E79" s="0" t="n">
        <v>17</v>
      </c>
      <c r="F79" s="0" t="n">
        <v>0</v>
      </c>
      <c r="G79" s="0" t="n">
        <v>347</v>
      </c>
      <c r="H79" s="0" t="n">
        <v>1182</v>
      </c>
      <c r="I79" s="0" t="n">
        <v>22</v>
      </c>
      <c r="J79" s="0" t="n">
        <v>82</v>
      </c>
      <c r="K79" s="0" t="n">
        <v>0.9</v>
      </c>
      <c r="L79" s="0" t="n">
        <v>85735</v>
      </c>
      <c r="M79" s="0" t="n">
        <v>4566</v>
      </c>
    </row>
    <row r="80" customFormat="false" ht="13.5" hidden="false" customHeight="false" outlineLevel="0" collapsed="false">
      <c r="A80" s="0" t="s">
        <v>75</v>
      </c>
      <c r="B80" s="1" t="n">
        <v>43940</v>
      </c>
      <c r="C80" s="0" t="n">
        <v>1615</v>
      </c>
      <c r="D80" s="0" t="n">
        <v>69</v>
      </c>
      <c r="E80" s="0" t="n">
        <v>17</v>
      </c>
      <c r="F80" s="0" t="n">
        <v>0</v>
      </c>
      <c r="G80" s="0" t="n">
        <v>377</v>
      </c>
      <c r="H80" s="0" t="n">
        <v>1221</v>
      </c>
      <c r="I80" s="0" t="n">
        <v>22</v>
      </c>
      <c r="J80" s="0" t="n">
        <v>86</v>
      </c>
      <c r="K80" s="0" t="n">
        <v>0.9</v>
      </c>
      <c r="L80" s="0" t="n">
        <v>100878</v>
      </c>
      <c r="M80" s="0" t="n">
        <v>5373</v>
      </c>
    </row>
    <row r="81" customFormat="false" ht="13.5" hidden="false" customHeight="false" outlineLevel="0" collapsed="false">
      <c r="A81" s="0" t="s">
        <v>75</v>
      </c>
      <c r="B81" s="1" t="n">
        <v>43941</v>
      </c>
      <c r="C81" s="0" t="n">
        <v>1676</v>
      </c>
      <c r="D81" s="0" t="n">
        <v>61</v>
      </c>
      <c r="E81" s="0" t="n">
        <v>17</v>
      </c>
      <c r="F81" s="0" t="n">
        <v>0</v>
      </c>
      <c r="G81" s="0" t="n">
        <v>400</v>
      </c>
      <c r="H81" s="0" t="n">
        <v>1259</v>
      </c>
      <c r="I81" s="0" t="n">
        <v>22</v>
      </c>
      <c r="J81" s="0" t="n">
        <v>89</v>
      </c>
      <c r="K81" s="0" t="n">
        <v>0.9</v>
      </c>
      <c r="L81" s="0" t="n">
        <v>100878</v>
      </c>
      <c r="M81" s="0" t="n">
        <v>5373</v>
      </c>
    </row>
    <row r="82" customFormat="false" ht="13.5" hidden="false" customHeight="false" outlineLevel="0" collapsed="false">
      <c r="A82" s="0" t="s">
        <v>75</v>
      </c>
      <c r="B82" s="1" t="n">
        <v>43942</v>
      </c>
      <c r="C82" s="0" t="n">
        <v>1852</v>
      </c>
      <c r="D82" s="0" t="n">
        <v>176</v>
      </c>
      <c r="E82" s="0" t="n">
        <v>19</v>
      </c>
      <c r="F82" s="0" t="n">
        <v>2</v>
      </c>
      <c r="G82" s="0" t="n">
        <v>447</v>
      </c>
      <c r="H82" s="0" t="n">
        <v>1386</v>
      </c>
      <c r="I82" s="0" t="n">
        <v>22</v>
      </c>
      <c r="J82" s="0" t="n">
        <v>99</v>
      </c>
      <c r="K82" s="0" t="n">
        <v>1</v>
      </c>
      <c r="L82" s="0" t="n">
        <v>117949</v>
      </c>
      <c r="M82" s="0" t="n">
        <v>6282</v>
      </c>
    </row>
    <row r="83" customFormat="false" ht="13.5" hidden="false" customHeight="false" outlineLevel="0" collapsed="false">
      <c r="A83" s="0" t="s">
        <v>75</v>
      </c>
      <c r="B83" s="1" t="n">
        <v>43943</v>
      </c>
      <c r="C83" s="0" t="n">
        <v>1995</v>
      </c>
      <c r="D83" s="0" t="n">
        <v>143</v>
      </c>
      <c r="E83" s="0" t="n">
        <v>19</v>
      </c>
      <c r="F83" s="0" t="n">
        <v>0</v>
      </c>
      <c r="G83" s="0" t="n">
        <v>489</v>
      </c>
      <c r="H83" s="0" t="n">
        <v>1487</v>
      </c>
      <c r="I83" s="0" t="n">
        <v>22</v>
      </c>
      <c r="J83" s="0" t="n">
        <v>106</v>
      </c>
      <c r="K83" s="0" t="n">
        <v>1</v>
      </c>
      <c r="L83" s="0" t="n">
        <v>126727</v>
      </c>
      <c r="M83" s="0" t="n">
        <v>6749</v>
      </c>
    </row>
    <row r="84" customFormat="false" ht="13.5" hidden="false" customHeight="false" outlineLevel="0" collapsed="false">
      <c r="A84" s="0" t="s">
        <v>75</v>
      </c>
      <c r="B84" s="1" t="n">
        <v>43944</v>
      </c>
      <c r="C84" s="0" t="n">
        <v>2135</v>
      </c>
      <c r="D84" s="0" t="n">
        <v>140</v>
      </c>
      <c r="E84" s="0" t="n">
        <v>19</v>
      </c>
      <c r="F84" s="0" t="n">
        <v>0</v>
      </c>
      <c r="G84" s="0" t="n">
        <v>515</v>
      </c>
      <c r="H84" s="0" t="n">
        <v>1601</v>
      </c>
      <c r="I84" s="0" t="n">
        <v>32</v>
      </c>
      <c r="J84" s="0" t="n">
        <v>114</v>
      </c>
      <c r="K84" s="0" t="n">
        <v>1</v>
      </c>
      <c r="L84" s="0" t="n">
        <v>139207</v>
      </c>
      <c r="M84" s="0" t="n">
        <v>7414</v>
      </c>
    </row>
    <row r="85" customFormat="false" ht="13.5" hidden="false" customHeight="false" outlineLevel="0" collapsed="false">
      <c r="A85" s="0" t="s">
        <v>75</v>
      </c>
      <c r="B85" s="1" t="n">
        <v>43945</v>
      </c>
      <c r="C85" s="0" t="n">
        <v>2289</v>
      </c>
      <c r="D85" s="0" t="n">
        <v>154</v>
      </c>
      <c r="E85" s="0" t="n">
        <v>20</v>
      </c>
      <c r="F85" s="0" t="n">
        <v>1</v>
      </c>
      <c r="G85" s="0" t="n">
        <v>560</v>
      </c>
      <c r="H85" s="0" t="n">
        <v>1709</v>
      </c>
      <c r="I85" s="0" t="n">
        <v>29</v>
      </c>
      <c r="J85" s="0" t="n">
        <v>122</v>
      </c>
      <c r="K85" s="0" t="n">
        <v>1</v>
      </c>
      <c r="L85" s="0" t="n">
        <v>153492</v>
      </c>
      <c r="M85" s="0" t="n">
        <v>8175</v>
      </c>
    </row>
    <row r="86" customFormat="false" ht="13.5" hidden="false" customHeight="false" outlineLevel="0" collapsed="false">
      <c r="A86" s="0" t="s">
        <v>75</v>
      </c>
      <c r="B86" s="1" t="n">
        <v>43946</v>
      </c>
      <c r="C86" s="0" t="n">
        <v>2416</v>
      </c>
      <c r="D86" s="0" t="n">
        <v>127</v>
      </c>
      <c r="E86" s="0" t="n">
        <v>25</v>
      </c>
      <c r="F86" s="0" t="n">
        <v>5</v>
      </c>
      <c r="G86" s="0" t="n">
        <v>604</v>
      </c>
      <c r="H86" s="0" t="n">
        <v>1787</v>
      </c>
      <c r="I86" s="0" t="n">
        <v>29</v>
      </c>
      <c r="J86" s="0" t="n">
        <v>129</v>
      </c>
      <c r="K86" s="0" t="n">
        <v>1</v>
      </c>
      <c r="L86" s="0" t="n">
        <v>153492</v>
      </c>
      <c r="M86" s="0" t="n">
        <v>8175</v>
      </c>
    </row>
    <row r="87" customFormat="false" ht="13.5" hidden="false" customHeight="false" outlineLevel="0" collapsed="false">
      <c r="A87" s="0" t="s">
        <v>75</v>
      </c>
      <c r="B87" s="1" t="n">
        <v>43947</v>
      </c>
      <c r="C87" s="0" t="n">
        <v>2601</v>
      </c>
      <c r="D87" s="0" t="n">
        <v>185</v>
      </c>
      <c r="E87" s="0" t="n">
        <v>25</v>
      </c>
      <c r="F87" s="0" t="n">
        <v>0</v>
      </c>
      <c r="G87" s="0" t="n">
        <v>646</v>
      </c>
      <c r="H87" s="0" t="n">
        <v>1930</v>
      </c>
      <c r="I87" s="0" t="n">
        <v>31</v>
      </c>
      <c r="J87" s="0" t="n">
        <v>139</v>
      </c>
      <c r="K87" s="0" t="n">
        <v>1</v>
      </c>
      <c r="L87" s="0" t="n">
        <v>180502</v>
      </c>
      <c r="M87" s="0" t="n">
        <v>9613</v>
      </c>
    </row>
    <row r="88" customFormat="false" ht="13.5" hidden="false" customHeight="false" outlineLevel="0" collapsed="false">
      <c r="A88" s="0" t="s">
        <v>75</v>
      </c>
      <c r="B88" s="1" t="n">
        <v>43948</v>
      </c>
      <c r="C88" s="0" t="n">
        <v>2693</v>
      </c>
      <c r="D88" s="0" t="n">
        <v>92</v>
      </c>
      <c r="E88" s="0" t="n">
        <v>25</v>
      </c>
      <c r="F88" s="0" t="n">
        <v>0</v>
      </c>
      <c r="G88" s="0" t="n">
        <v>677</v>
      </c>
      <c r="H88" s="0" t="n">
        <v>1991</v>
      </c>
      <c r="I88" s="0" t="n">
        <v>31</v>
      </c>
      <c r="J88" s="0" t="n">
        <v>143</v>
      </c>
      <c r="K88" s="0" t="n">
        <v>1</v>
      </c>
      <c r="L88" s="0" t="n">
        <v>196298</v>
      </c>
      <c r="M88" s="0" t="n">
        <v>10454</v>
      </c>
    </row>
    <row r="89" customFormat="false" ht="13.5" hidden="false" customHeight="false" outlineLevel="0" collapsed="false">
      <c r="A89" s="0" t="s">
        <v>75</v>
      </c>
      <c r="B89" s="1" t="n">
        <v>43949</v>
      </c>
      <c r="C89" s="2" t="n">
        <v>2835</v>
      </c>
      <c r="D89" s="2" t="n">
        <v>142</v>
      </c>
      <c r="E89" s="2" t="n">
        <v>25</v>
      </c>
      <c r="F89" s="2" t="n">
        <v>0</v>
      </c>
      <c r="G89" s="2" t="n">
        <v>720</v>
      </c>
      <c r="H89" s="2" t="n">
        <v>2090</v>
      </c>
      <c r="I89" s="2" t="n">
        <v>35</v>
      </c>
      <c r="J89" s="2" t="n">
        <v>151</v>
      </c>
      <c r="K89" s="2" t="n">
        <v>1</v>
      </c>
      <c r="L89" s="2" t="n">
        <v>205560</v>
      </c>
      <c r="M89" s="2" t="n">
        <v>10948</v>
      </c>
    </row>
    <row r="90" customFormat="false" ht="13.5" hidden="false" customHeight="false" outlineLevel="0" collapsed="false">
      <c r="A90" s="0" t="s">
        <v>75</v>
      </c>
      <c r="B90" s="1" t="n">
        <v>43950</v>
      </c>
      <c r="C90" s="2" t="n">
        <v>3027</v>
      </c>
      <c r="D90" s="2" t="n">
        <v>192</v>
      </c>
      <c r="E90" s="2" t="n">
        <v>25</v>
      </c>
      <c r="F90" s="2" t="n">
        <v>0</v>
      </c>
      <c r="G90" s="2" t="n">
        <v>774</v>
      </c>
      <c r="H90" s="2" t="n">
        <v>2228</v>
      </c>
      <c r="I90" s="2" t="n">
        <v>41</v>
      </c>
      <c r="J90" s="2" t="n">
        <v>161</v>
      </c>
      <c r="K90" s="2" t="n">
        <v>1</v>
      </c>
      <c r="L90" s="2" t="n">
        <v>216276</v>
      </c>
      <c r="M90" s="2" t="n">
        <v>11518</v>
      </c>
    </row>
    <row r="91" customFormat="false" ht="13.5" hidden="false" customHeight="false" outlineLevel="0" collapsed="false">
      <c r="A91" s="0" t="s">
        <v>75</v>
      </c>
      <c r="B91" s="1" t="n">
        <v>43951</v>
      </c>
      <c r="C91" s="2" t="n">
        <v>3138</v>
      </c>
      <c r="D91" s="2" t="n">
        <v>111</v>
      </c>
      <c r="E91" s="2" t="n">
        <v>25</v>
      </c>
      <c r="F91" s="2" t="n">
        <v>0</v>
      </c>
      <c r="G91" s="2" t="n">
        <v>819</v>
      </c>
      <c r="H91" s="2" t="n">
        <v>2294</v>
      </c>
      <c r="I91" s="2" t="n">
        <v>41</v>
      </c>
      <c r="J91" s="2" t="n">
        <v>167</v>
      </c>
      <c r="K91" s="2" t="n">
        <v>1</v>
      </c>
      <c r="L91" s="2" t="n">
        <v>232415</v>
      </c>
      <c r="M91" s="2" t="n">
        <v>12378</v>
      </c>
    </row>
    <row r="92" customFormat="false" ht="13.5" hidden="false" customHeight="false" outlineLevel="0" collapsed="false">
      <c r="A92" s="0" t="s">
        <v>75</v>
      </c>
      <c r="B92" s="1" t="n">
        <v>43952</v>
      </c>
      <c r="C92" s="2" t="n">
        <v>3402</v>
      </c>
      <c r="D92" s="2" t="n">
        <v>264</v>
      </c>
      <c r="E92" s="2" t="n">
        <v>25</v>
      </c>
      <c r="F92" s="2" t="n">
        <v>0</v>
      </c>
      <c r="G92" s="2" t="n">
        <v>866</v>
      </c>
      <c r="H92" s="2" t="n">
        <v>2511</v>
      </c>
      <c r="I92" s="2" t="n">
        <v>41</v>
      </c>
      <c r="J92" s="2" t="n">
        <v>181</v>
      </c>
      <c r="K92" s="2" t="n">
        <v>1</v>
      </c>
      <c r="L92" s="2" t="n">
        <v>249527</v>
      </c>
      <c r="M92" s="2" t="n">
        <v>13289</v>
      </c>
    </row>
    <row r="93" customFormat="false" ht="13.5" hidden="false" customHeight="false" outlineLevel="0" collapsed="false">
      <c r="A93" s="0" t="s">
        <v>75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75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75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75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75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75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75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75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75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75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75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75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75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75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75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75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75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75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75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75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75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75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75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75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75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75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75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75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75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75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75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75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75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75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75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75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75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75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75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75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75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75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75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75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75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75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75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75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75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75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75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75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75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75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75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75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75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75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75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75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75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75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75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75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75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75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75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75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75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75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75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75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75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75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75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75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75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75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75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75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75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75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75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75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75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75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75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75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75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75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75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75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75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75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75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76</v>
      </c>
      <c r="B2" s="1" t="n">
        <v>43862</v>
      </c>
    </row>
    <row r="3" customFormat="false" ht="13.5" hidden="false" customHeight="false" outlineLevel="0" collapsed="false">
      <c r="A3" s="0" t="s">
        <v>76</v>
      </c>
      <c r="B3" s="1" t="n">
        <v>43863</v>
      </c>
    </row>
    <row r="4" customFormat="false" ht="13.5" hidden="false" customHeight="false" outlineLevel="0" collapsed="false">
      <c r="A4" s="0" t="s">
        <v>76</v>
      </c>
      <c r="B4" s="1" t="n">
        <v>43864</v>
      </c>
    </row>
    <row r="5" customFormat="false" ht="13.5" hidden="false" customHeight="false" outlineLevel="0" collapsed="false">
      <c r="A5" s="0" t="s">
        <v>76</v>
      </c>
      <c r="B5" s="1" t="n">
        <v>43865</v>
      </c>
    </row>
    <row r="6" customFormat="false" ht="13.5" hidden="false" customHeight="false" outlineLevel="0" collapsed="false">
      <c r="A6" s="0" t="s">
        <v>76</v>
      </c>
      <c r="B6" s="1" t="n">
        <v>43866</v>
      </c>
    </row>
    <row r="7" customFormat="false" ht="13.5" hidden="false" customHeight="false" outlineLevel="0" collapsed="false">
      <c r="A7" s="0" t="s">
        <v>76</v>
      </c>
      <c r="B7" s="1" t="n">
        <v>43867</v>
      </c>
    </row>
    <row r="8" customFormat="false" ht="13.5" hidden="false" customHeight="false" outlineLevel="0" collapsed="false">
      <c r="A8" s="0" t="s">
        <v>76</v>
      </c>
      <c r="B8" s="1" t="n">
        <v>43868</v>
      </c>
    </row>
    <row r="9" customFormat="false" ht="13.5" hidden="false" customHeight="false" outlineLevel="0" collapsed="false">
      <c r="A9" s="0" t="s">
        <v>76</v>
      </c>
      <c r="B9" s="1" t="n">
        <v>43869</v>
      </c>
    </row>
    <row r="10" customFormat="false" ht="13.5" hidden="false" customHeight="false" outlineLevel="0" collapsed="false">
      <c r="A10" s="0" t="s">
        <v>76</v>
      </c>
      <c r="B10" s="1" t="n">
        <v>43870</v>
      </c>
    </row>
    <row r="11" customFormat="false" ht="13.5" hidden="false" customHeight="false" outlineLevel="0" collapsed="false">
      <c r="A11" s="0" t="s">
        <v>76</v>
      </c>
      <c r="B11" s="1" t="n">
        <v>43871</v>
      </c>
    </row>
    <row r="12" customFormat="false" ht="13.5" hidden="false" customHeight="false" outlineLevel="0" collapsed="false">
      <c r="A12" s="0" t="s">
        <v>76</v>
      </c>
      <c r="B12" s="1" t="n">
        <v>43872</v>
      </c>
    </row>
    <row r="13" customFormat="false" ht="13.5" hidden="false" customHeight="false" outlineLevel="0" collapsed="false">
      <c r="A13" s="0" t="s">
        <v>76</v>
      </c>
      <c r="B13" s="1" t="n">
        <v>43873</v>
      </c>
    </row>
    <row r="14" customFormat="false" ht="13.5" hidden="false" customHeight="false" outlineLevel="0" collapsed="false">
      <c r="A14" s="0" t="s">
        <v>76</v>
      </c>
      <c r="B14" s="1" t="n">
        <v>43874</v>
      </c>
    </row>
    <row r="15" customFormat="false" ht="13.5" hidden="false" customHeight="false" outlineLevel="0" collapsed="false">
      <c r="A15" s="0" t="s">
        <v>76</v>
      </c>
      <c r="B15" s="1" t="n">
        <v>43875</v>
      </c>
    </row>
    <row r="16" customFormat="false" ht="13.5" hidden="false" customHeight="false" outlineLevel="0" collapsed="false">
      <c r="A16" s="0" t="s">
        <v>76</v>
      </c>
      <c r="B16" s="1" t="n">
        <v>43876</v>
      </c>
    </row>
    <row r="17" customFormat="false" ht="13.5" hidden="false" customHeight="false" outlineLevel="0" collapsed="false">
      <c r="A17" s="0" t="s">
        <v>76</v>
      </c>
      <c r="B17" s="1" t="n">
        <v>43877</v>
      </c>
    </row>
    <row r="18" customFormat="false" ht="13.5" hidden="false" customHeight="false" outlineLevel="0" collapsed="false">
      <c r="A18" s="0" t="s">
        <v>76</v>
      </c>
      <c r="B18" s="1" t="n">
        <v>43878</v>
      </c>
    </row>
    <row r="19" customFormat="false" ht="13.5" hidden="false" customHeight="false" outlineLevel="0" collapsed="false">
      <c r="A19" s="0" t="s">
        <v>76</v>
      </c>
      <c r="B19" s="1" t="n">
        <v>43879</v>
      </c>
    </row>
    <row r="20" customFormat="false" ht="13.5" hidden="false" customHeight="false" outlineLevel="0" collapsed="false">
      <c r="A20" s="0" t="s">
        <v>76</v>
      </c>
      <c r="B20" s="1" t="n">
        <v>43880</v>
      </c>
    </row>
    <row r="21" customFormat="false" ht="13.5" hidden="false" customHeight="false" outlineLevel="0" collapsed="false">
      <c r="A21" s="0" t="s">
        <v>76</v>
      </c>
      <c r="B21" s="1" t="n">
        <v>43881</v>
      </c>
    </row>
    <row r="22" customFormat="false" ht="13.5" hidden="false" customHeight="false" outlineLevel="0" collapsed="false">
      <c r="A22" s="0" t="s">
        <v>76</v>
      </c>
      <c r="B22" s="1" t="n">
        <v>43882</v>
      </c>
    </row>
    <row r="23" customFormat="false" ht="13.5" hidden="false" customHeight="false" outlineLevel="0" collapsed="false">
      <c r="A23" s="0" t="s">
        <v>76</v>
      </c>
      <c r="B23" s="1" t="n">
        <v>43883</v>
      </c>
    </row>
    <row r="24" customFormat="false" ht="13.5" hidden="false" customHeight="false" outlineLevel="0" collapsed="false">
      <c r="A24" s="0" t="s">
        <v>76</v>
      </c>
      <c r="B24" s="1" t="n">
        <v>43884</v>
      </c>
    </row>
    <row r="25" customFormat="false" ht="13.5" hidden="false" customHeight="false" outlineLevel="0" collapsed="false">
      <c r="A25" s="0" t="s">
        <v>76</v>
      </c>
      <c r="B25" s="1" t="n">
        <v>43885</v>
      </c>
    </row>
    <row r="26" customFormat="false" ht="13.5" hidden="false" customHeight="false" outlineLevel="0" collapsed="false">
      <c r="A26" s="0" t="s">
        <v>76</v>
      </c>
      <c r="B26" s="1" t="n">
        <v>43886</v>
      </c>
    </row>
    <row r="27" customFormat="false" ht="13.5" hidden="false" customHeight="false" outlineLevel="0" collapsed="false">
      <c r="A27" s="0" t="s">
        <v>76</v>
      </c>
      <c r="B27" s="1" t="n">
        <v>43887</v>
      </c>
    </row>
    <row r="28" customFormat="false" ht="13.5" hidden="false" customHeight="false" outlineLevel="0" collapsed="false">
      <c r="A28" s="0" t="s">
        <v>76</v>
      </c>
      <c r="B28" s="1" t="n">
        <v>43888</v>
      </c>
    </row>
    <row r="29" customFormat="false" ht="13.5" hidden="false" customHeight="false" outlineLevel="0" collapsed="false">
      <c r="A29" s="0" t="s">
        <v>76</v>
      </c>
      <c r="B29" s="1" t="n">
        <v>43889</v>
      </c>
    </row>
    <row r="30" customFormat="false" ht="13.5" hidden="false" customHeight="false" outlineLevel="0" collapsed="false">
      <c r="A30" s="0" t="s">
        <v>76</v>
      </c>
      <c r="B30" s="1" t="n">
        <v>43890</v>
      </c>
    </row>
    <row r="31" customFormat="false" ht="13.5" hidden="false" customHeight="false" outlineLevel="0" collapsed="false">
      <c r="A31" s="0" t="s">
        <v>76</v>
      </c>
      <c r="B31" s="1" t="n">
        <v>43891</v>
      </c>
    </row>
    <row r="32" customFormat="false" ht="13.5" hidden="false" customHeight="false" outlineLevel="0" collapsed="false">
      <c r="A32" s="0" t="s">
        <v>76</v>
      </c>
      <c r="B32" s="1" t="n">
        <v>43892</v>
      </c>
    </row>
    <row r="33" customFormat="false" ht="13.5" hidden="false" customHeight="false" outlineLevel="0" collapsed="false">
      <c r="A33" s="0" t="s">
        <v>76</v>
      </c>
      <c r="B33" s="1" t="n">
        <v>43893</v>
      </c>
    </row>
    <row r="34" customFormat="false" ht="13.5" hidden="false" customHeight="false" outlineLevel="0" collapsed="false">
      <c r="A34" s="0" t="s">
        <v>76</v>
      </c>
      <c r="B34" s="1" t="n">
        <v>43894</v>
      </c>
    </row>
    <row r="35" customFormat="false" ht="13.5" hidden="false" customHeight="false" outlineLevel="0" collapsed="false">
      <c r="A35" s="0" t="s">
        <v>76</v>
      </c>
      <c r="B35" s="1" t="n">
        <v>43895</v>
      </c>
    </row>
    <row r="36" customFormat="false" ht="13.5" hidden="false" customHeight="false" outlineLevel="0" collapsed="false">
      <c r="A36" s="0" t="s">
        <v>76</v>
      </c>
      <c r="B36" s="1" t="n">
        <v>43896</v>
      </c>
    </row>
    <row r="37" customFormat="false" ht="13.5" hidden="false" customHeight="false" outlineLevel="0" collapsed="false">
      <c r="A37" s="0" t="s">
        <v>76</v>
      </c>
      <c r="B37" s="1" t="n">
        <v>43897</v>
      </c>
      <c r="C37" s="0" t="n">
        <v>60</v>
      </c>
      <c r="D37" s="0" t="n">
        <v>5</v>
      </c>
      <c r="E37" s="0" t="n">
        <v>0</v>
      </c>
      <c r="F37" s="0" t="n">
        <v>0</v>
      </c>
      <c r="G37" s="0" t="n">
        <v>4</v>
      </c>
      <c r="H37" s="0" t="n">
        <v>56</v>
      </c>
      <c r="I37" s="0" t="n">
        <v>0</v>
      </c>
    </row>
    <row r="38" customFormat="false" ht="13.5" hidden="false" customHeight="false" outlineLevel="0" collapsed="false">
      <c r="A38" s="0" t="s">
        <v>76</v>
      </c>
      <c r="B38" s="1" t="n">
        <v>43898</v>
      </c>
      <c r="C38" s="0" t="n">
        <v>85</v>
      </c>
      <c r="D38" s="0" t="n">
        <v>25</v>
      </c>
      <c r="E38" s="0" t="n">
        <v>0</v>
      </c>
      <c r="F38" s="0" t="n">
        <v>0</v>
      </c>
      <c r="G38" s="0" t="n">
        <v>6</v>
      </c>
      <c r="H38" s="0" t="n">
        <v>79</v>
      </c>
      <c r="I38" s="0" t="n">
        <v>0</v>
      </c>
      <c r="J38" s="0" t="n">
        <v>50</v>
      </c>
    </row>
    <row r="39" customFormat="false" ht="13.5" hidden="false" customHeight="false" outlineLevel="0" collapsed="false">
      <c r="A39" s="0" t="s">
        <v>76</v>
      </c>
      <c r="B39" s="1" t="n">
        <v>43899</v>
      </c>
      <c r="C39" s="0" t="n">
        <v>85</v>
      </c>
      <c r="D39" s="0" t="n">
        <v>0</v>
      </c>
      <c r="E39" s="0" t="n">
        <v>0</v>
      </c>
      <c r="F39" s="0" t="n">
        <v>0</v>
      </c>
      <c r="G39" s="0" t="n">
        <v>14</v>
      </c>
      <c r="H39" s="0" t="n">
        <v>71</v>
      </c>
      <c r="I39" s="0" t="n">
        <v>0</v>
      </c>
      <c r="J39" s="0" t="n">
        <v>50</v>
      </c>
    </row>
    <row r="40" customFormat="false" ht="13.5" hidden="false" customHeight="false" outlineLevel="0" collapsed="false">
      <c r="A40" s="0" t="s">
        <v>76</v>
      </c>
      <c r="B40" s="1" t="n">
        <v>43900</v>
      </c>
      <c r="C40" s="0" t="n">
        <v>109</v>
      </c>
      <c r="D40" s="0" t="n">
        <v>24</v>
      </c>
      <c r="E40" s="0" t="n">
        <v>0</v>
      </c>
      <c r="F40" s="0" t="n">
        <v>0</v>
      </c>
      <c r="G40" s="0" t="n">
        <v>22</v>
      </c>
      <c r="H40" s="0" t="n">
        <v>87</v>
      </c>
      <c r="I40" s="0" t="n">
        <v>0</v>
      </c>
      <c r="J40" s="0" t="n">
        <v>64.1</v>
      </c>
    </row>
    <row r="41" customFormat="false" ht="13.5" hidden="false" customHeight="false" outlineLevel="0" collapsed="false">
      <c r="A41" s="0" t="s">
        <v>76</v>
      </c>
      <c r="B41" s="1" t="n">
        <v>43901</v>
      </c>
      <c r="C41" s="0" t="n">
        <v>110</v>
      </c>
      <c r="D41" s="0" t="n">
        <v>1</v>
      </c>
      <c r="E41" s="0" t="n">
        <v>0</v>
      </c>
      <c r="F41" s="0" t="n">
        <v>0</v>
      </c>
      <c r="G41" s="0" t="n">
        <v>30</v>
      </c>
      <c r="H41" s="0" t="n">
        <v>80</v>
      </c>
      <c r="I41" s="0" t="n">
        <v>1</v>
      </c>
      <c r="J41" s="0" t="n">
        <v>64.6</v>
      </c>
    </row>
    <row r="42" customFormat="false" ht="13.5" hidden="false" customHeight="false" outlineLevel="0" collapsed="false">
      <c r="A42" s="0" t="s">
        <v>76</v>
      </c>
      <c r="B42" s="1" t="n">
        <v>43902</v>
      </c>
      <c r="C42" s="0" t="n">
        <v>195</v>
      </c>
      <c r="D42" s="0" t="n">
        <v>85</v>
      </c>
      <c r="E42" s="0" t="n">
        <v>0</v>
      </c>
      <c r="F42" s="0" t="n">
        <v>0</v>
      </c>
      <c r="G42" s="0" t="n">
        <v>35</v>
      </c>
      <c r="H42" s="0" t="n">
        <v>160</v>
      </c>
      <c r="I42" s="0" t="n">
        <v>1</v>
      </c>
      <c r="J42" s="0" t="n">
        <v>114.6</v>
      </c>
    </row>
    <row r="43" customFormat="false" ht="13.5" hidden="false" customHeight="false" outlineLevel="0" collapsed="false">
      <c r="A43" s="0" t="s">
        <v>76</v>
      </c>
      <c r="B43" s="1" t="n">
        <v>43903</v>
      </c>
      <c r="C43" s="0" t="n">
        <v>197</v>
      </c>
      <c r="D43" s="0" t="n">
        <v>2</v>
      </c>
      <c r="E43" s="0" t="n">
        <v>0</v>
      </c>
      <c r="F43" s="0" t="n">
        <v>0</v>
      </c>
      <c r="G43" s="0" t="n">
        <v>35</v>
      </c>
      <c r="H43" s="0" t="n">
        <v>162</v>
      </c>
      <c r="I43" s="0" t="n">
        <v>1</v>
      </c>
      <c r="J43" s="0" t="n">
        <v>115.8</v>
      </c>
    </row>
    <row r="44" customFormat="false" ht="13.5" hidden="false" customHeight="false" outlineLevel="0" collapsed="false">
      <c r="A44" s="0" t="s">
        <v>76</v>
      </c>
      <c r="B44" s="1" t="n">
        <v>43904</v>
      </c>
      <c r="C44" s="0" t="n">
        <v>210</v>
      </c>
      <c r="D44" s="0" t="n">
        <v>13</v>
      </c>
      <c r="E44" s="0" t="n">
        <v>0</v>
      </c>
      <c r="F44" s="0" t="n">
        <v>0</v>
      </c>
      <c r="G44" s="0" t="n">
        <v>44</v>
      </c>
      <c r="H44" s="0" t="n">
        <v>166</v>
      </c>
      <c r="I44" s="0" t="n">
        <v>1</v>
      </c>
      <c r="J44" s="0" t="n">
        <v>123.4</v>
      </c>
    </row>
    <row r="45" customFormat="false" ht="13.5" hidden="false" customHeight="false" outlineLevel="0" collapsed="false">
      <c r="A45" s="0" t="s">
        <v>76</v>
      </c>
      <c r="B45" s="1" t="n">
        <v>43905</v>
      </c>
      <c r="C45" s="0" t="n">
        <v>212</v>
      </c>
      <c r="D45" s="0" t="n">
        <v>2</v>
      </c>
      <c r="E45" s="0" t="n">
        <v>0</v>
      </c>
      <c r="F45" s="0" t="n">
        <v>0</v>
      </c>
      <c r="G45" s="0" t="n">
        <v>60</v>
      </c>
      <c r="H45" s="0" t="n">
        <v>152</v>
      </c>
      <c r="I45" s="0" t="n">
        <v>2</v>
      </c>
      <c r="J45" s="0" t="n">
        <v>124.6</v>
      </c>
    </row>
    <row r="46" customFormat="false" ht="13.5" hidden="false" customHeight="false" outlineLevel="0" collapsed="false">
      <c r="A46" s="0" t="s">
        <v>76</v>
      </c>
      <c r="B46" s="1" t="n">
        <v>43906</v>
      </c>
      <c r="C46" s="0" t="n">
        <v>214</v>
      </c>
      <c r="D46" s="0" t="n">
        <v>2</v>
      </c>
      <c r="E46" s="0" t="n">
        <v>0</v>
      </c>
      <c r="F46" s="0" t="n">
        <v>0</v>
      </c>
      <c r="G46" s="0" t="n">
        <v>77</v>
      </c>
      <c r="H46" s="0" t="n">
        <v>137</v>
      </c>
      <c r="I46" s="0" t="n">
        <v>2</v>
      </c>
      <c r="J46" s="0" t="n">
        <v>125.8</v>
      </c>
    </row>
    <row r="47" customFormat="false" ht="13.5" hidden="false" customHeight="false" outlineLevel="0" collapsed="false">
      <c r="A47" s="0" t="s">
        <v>76</v>
      </c>
      <c r="B47" s="1" t="n">
        <v>43907</v>
      </c>
      <c r="C47" s="0" t="n">
        <v>227</v>
      </c>
      <c r="D47" s="0" t="n">
        <v>13</v>
      </c>
      <c r="E47" s="0" t="n">
        <v>1</v>
      </c>
      <c r="F47" s="0" t="n">
        <v>1</v>
      </c>
      <c r="G47" s="0" t="n">
        <v>81</v>
      </c>
      <c r="H47" s="0" t="n">
        <v>145</v>
      </c>
      <c r="I47" s="0" t="n">
        <v>1</v>
      </c>
      <c r="J47" s="0" t="n">
        <v>133.4</v>
      </c>
    </row>
    <row r="48" customFormat="false" ht="13.5" hidden="false" customHeight="false" outlineLevel="0" collapsed="false">
      <c r="A48" s="0" t="s">
        <v>76</v>
      </c>
      <c r="B48" s="1" t="n">
        <v>43908</v>
      </c>
      <c r="C48" s="0" t="n">
        <v>241</v>
      </c>
      <c r="D48" s="0" t="n">
        <v>14</v>
      </c>
      <c r="E48" s="0" t="n">
        <v>1</v>
      </c>
      <c r="F48" s="0" t="n">
        <v>0</v>
      </c>
      <c r="G48" s="0" t="n">
        <v>88</v>
      </c>
      <c r="H48" s="0" t="n">
        <v>152</v>
      </c>
      <c r="I48" s="0" t="n">
        <v>3</v>
      </c>
      <c r="J48" s="0" t="n">
        <v>141.6</v>
      </c>
    </row>
    <row r="49" customFormat="false" ht="13.5" hidden="false" customHeight="false" outlineLevel="0" collapsed="false">
      <c r="A49" s="0" t="s">
        <v>76</v>
      </c>
      <c r="B49" s="1" t="n">
        <v>43909</v>
      </c>
      <c r="C49" s="0" t="n">
        <v>255</v>
      </c>
      <c r="D49" s="0" t="n">
        <v>14</v>
      </c>
      <c r="E49" s="0" t="n">
        <v>1</v>
      </c>
      <c r="F49" s="0" t="n">
        <v>0</v>
      </c>
      <c r="G49" s="0" t="n">
        <v>95</v>
      </c>
      <c r="H49" s="0" t="n">
        <v>159</v>
      </c>
      <c r="I49" s="0" t="n">
        <v>3</v>
      </c>
      <c r="J49" s="0" t="n">
        <v>150</v>
      </c>
    </row>
    <row r="50" customFormat="false" ht="13.5" hidden="false" customHeight="false" outlineLevel="0" collapsed="false">
      <c r="A50" s="0" t="s">
        <v>76</v>
      </c>
      <c r="B50" s="1" t="n">
        <v>43910</v>
      </c>
      <c r="C50" s="0" t="n">
        <v>278</v>
      </c>
      <c r="D50" s="0" t="n">
        <v>23</v>
      </c>
      <c r="E50" s="0" t="n">
        <v>1</v>
      </c>
      <c r="F50" s="0" t="n">
        <v>0</v>
      </c>
      <c r="G50" s="0" t="n">
        <v>110</v>
      </c>
      <c r="H50" s="0" t="n">
        <v>167</v>
      </c>
      <c r="I50" s="0" t="n">
        <v>4</v>
      </c>
      <c r="J50" s="0" t="n">
        <v>163</v>
      </c>
    </row>
    <row r="51" customFormat="false" ht="13.5" hidden="false" customHeight="false" outlineLevel="0" collapsed="false">
      <c r="A51" s="0" t="s">
        <v>76</v>
      </c>
      <c r="B51" s="1" t="n">
        <v>43911</v>
      </c>
      <c r="C51" s="0" t="n">
        <v>298</v>
      </c>
      <c r="D51" s="0" t="n">
        <v>20</v>
      </c>
      <c r="E51" s="0" t="n">
        <v>1</v>
      </c>
      <c r="F51" s="0" t="n">
        <v>0</v>
      </c>
      <c r="G51" s="0" t="n">
        <v>125</v>
      </c>
      <c r="H51" s="0" t="n">
        <v>172</v>
      </c>
      <c r="I51" s="0" t="n">
        <v>4</v>
      </c>
      <c r="J51" s="0" t="n">
        <v>175</v>
      </c>
    </row>
    <row r="52" customFormat="false" ht="13.5" hidden="false" customHeight="false" outlineLevel="0" collapsed="false">
      <c r="A52" s="0" t="s">
        <v>76</v>
      </c>
      <c r="B52" s="1" t="n">
        <v>43912</v>
      </c>
      <c r="C52" s="0" t="n">
        <v>310</v>
      </c>
      <c r="D52" s="0" t="n">
        <v>12</v>
      </c>
      <c r="E52" s="0" t="n">
        <v>1</v>
      </c>
      <c r="F52" s="0" t="n">
        <v>0</v>
      </c>
      <c r="G52" s="0" t="n">
        <v>125</v>
      </c>
      <c r="H52" s="0" t="n">
        <v>184</v>
      </c>
      <c r="I52" s="0" t="n">
        <v>4</v>
      </c>
      <c r="J52" s="0" t="n">
        <v>182</v>
      </c>
    </row>
    <row r="53" customFormat="false" ht="13.5" hidden="false" customHeight="false" outlineLevel="0" collapsed="false">
      <c r="A53" s="0" t="s">
        <v>76</v>
      </c>
      <c r="B53" s="1" t="n">
        <v>43913</v>
      </c>
      <c r="C53" s="0" t="n">
        <v>334</v>
      </c>
      <c r="D53" s="0" t="n">
        <v>24</v>
      </c>
      <c r="E53" s="0" t="n">
        <v>2</v>
      </c>
      <c r="F53" s="0" t="n">
        <v>1</v>
      </c>
      <c r="G53" s="0" t="n">
        <v>149</v>
      </c>
      <c r="H53" s="0" t="n">
        <v>183</v>
      </c>
      <c r="I53" s="0" t="n">
        <v>3</v>
      </c>
      <c r="J53" s="0" t="n">
        <v>196</v>
      </c>
    </row>
    <row r="54" customFormat="false" ht="13.5" hidden="false" customHeight="false" outlineLevel="0" collapsed="false">
      <c r="A54" s="0" t="s">
        <v>76</v>
      </c>
      <c r="B54" s="1" t="n">
        <v>43914</v>
      </c>
      <c r="C54" s="0" t="n">
        <v>377</v>
      </c>
      <c r="D54" s="0" t="n">
        <v>43</v>
      </c>
      <c r="E54" s="0" t="n">
        <v>2</v>
      </c>
      <c r="F54" s="0" t="n">
        <v>0</v>
      </c>
      <c r="G54" s="0" t="n">
        <v>164</v>
      </c>
      <c r="H54" s="0" t="n">
        <v>211</v>
      </c>
      <c r="I54" s="0" t="n">
        <v>3</v>
      </c>
      <c r="J54" s="0" t="n">
        <v>222</v>
      </c>
    </row>
    <row r="55" customFormat="false" ht="13.5" hidden="false" customHeight="false" outlineLevel="0" collapsed="false">
      <c r="A55" s="0" t="s">
        <v>76</v>
      </c>
      <c r="B55" s="1" t="n">
        <v>43915</v>
      </c>
      <c r="C55" s="0" t="n">
        <v>392</v>
      </c>
      <c r="D55" s="0" t="n">
        <v>15</v>
      </c>
      <c r="E55" s="0" t="n">
        <v>3</v>
      </c>
      <c r="F55" s="0" t="n">
        <v>1</v>
      </c>
      <c r="G55" s="0" t="n">
        <v>177</v>
      </c>
      <c r="H55" s="0" t="n">
        <v>212</v>
      </c>
      <c r="I55" s="0" t="n">
        <v>2</v>
      </c>
      <c r="J55" s="0" t="n">
        <v>230</v>
      </c>
      <c r="K55" s="0" t="n">
        <v>2</v>
      </c>
    </row>
    <row r="56" customFormat="false" ht="13.5" hidden="false" customHeight="false" outlineLevel="0" collapsed="false">
      <c r="A56" s="0" t="s">
        <v>76</v>
      </c>
      <c r="B56" s="1" t="n">
        <v>43916</v>
      </c>
      <c r="C56" s="0" t="n">
        <v>419</v>
      </c>
      <c r="D56" s="0" t="n">
        <v>27</v>
      </c>
      <c r="E56" s="0" t="n">
        <v>4</v>
      </c>
      <c r="F56" s="0" t="n">
        <v>1</v>
      </c>
      <c r="G56" s="0" t="n">
        <v>177</v>
      </c>
      <c r="H56" s="0" t="n">
        <v>238</v>
      </c>
      <c r="I56" s="0" t="n">
        <v>2</v>
      </c>
      <c r="J56" s="0" t="n">
        <v>246</v>
      </c>
      <c r="K56" s="0" t="n">
        <v>2</v>
      </c>
    </row>
    <row r="57" customFormat="false" ht="13.5" hidden="false" customHeight="false" outlineLevel="0" collapsed="false">
      <c r="A57" s="0" t="s">
        <v>76</v>
      </c>
      <c r="B57" s="1" t="n">
        <v>43917</v>
      </c>
      <c r="C57" s="0" t="n">
        <v>458</v>
      </c>
      <c r="D57" s="0" t="n">
        <v>39</v>
      </c>
      <c r="E57" s="0" t="n">
        <v>4</v>
      </c>
      <c r="F57" s="0" t="n">
        <v>0</v>
      </c>
      <c r="G57" s="0" t="n">
        <v>204</v>
      </c>
      <c r="H57" s="0" t="n">
        <v>250</v>
      </c>
      <c r="I57" s="0" t="n">
        <v>1</v>
      </c>
      <c r="J57" s="0" t="n">
        <v>269</v>
      </c>
      <c r="K57" s="0" t="n">
        <v>2</v>
      </c>
    </row>
    <row r="58" customFormat="false" ht="13.5" hidden="false" customHeight="false" outlineLevel="0" collapsed="false">
      <c r="A58" s="0" t="s">
        <v>76</v>
      </c>
      <c r="B58" s="1" t="n">
        <v>43918</v>
      </c>
      <c r="C58" s="0" t="n">
        <v>466</v>
      </c>
      <c r="D58" s="0" t="n">
        <v>8</v>
      </c>
      <c r="E58" s="0" t="n">
        <v>4</v>
      </c>
      <c r="F58" s="0" t="n">
        <v>0</v>
      </c>
      <c r="G58" s="0" t="n">
        <v>227</v>
      </c>
      <c r="H58" s="0" t="n">
        <v>235</v>
      </c>
      <c r="I58" s="0" t="n">
        <v>1</v>
      </c>
      <c r="J58" s="0" t="n">
        <v>274</v>
      </c>
      <c r="K58" s="0" t="n">
        <v>2</v>
      </c>
    </row>
    <row r="59" customFormat="false" ht="13.5" hidden="false" customHeight="false" outlineLevel="0" collapsed="false">
      <c r="A59" s="0" t="s">
        <v>76</v>
      </c>
      <c r="B59" s="1" t="n">
        <v>43919</v>
      </c>
      <c r="C59" s="0" t="n">
        <v>476</v>
      </c>
      <c r="D59" s="0" t="n">
        <v>10</v>
      </c>
      <c r="E59" s="0" t="n">
        <v>4</v>
      </c>
      <c r="F59" s="0" t="n">
        <v>0</v>
      </c>
      <c r="G59" s="0" t="n">
        <v>265</v>
      </c>
      <c r="H59" s="0" t="n">
        <v>207</v>
      </c>
      <c r="I59" s="0" t="n">
        <v>1</v>
      </c>
      <c r="J59" s="0" t="n">
        <v>280</v>
      </c>
      <c r="K59" s="0" t="n">
        <v>2</v>
      </c>
    </row>
    <row r="60" customFormat="false" ht="13.5" hidden="false" customHeight="false" outlineLevel="0" collapsed="false">
      <c r="A60" s="0" t="s">
        <v>76</v>
      </c>
      <c r="B60" s="1" t="n">
        <v>43920</v>
      </c>
      <c r="C60" s="0" t="n">
        <v>499</v>
      </c>
      <c r="D60" s="0" t="n">
        <v>23</v>
      </c>
      <c r="E60" s="0" t="n">
        <v>4</v>
      </c>
      <c r="F60" s="0" t="n">
        <v>0</v>
      </c>
      <c r="G60" s="0" t="n">
        <v>272</v>
      </c>
      <c r="H60" s="0" t="n">
        <v>223</v>
      </c>
      <c r="I60" s="0" t="n">
        <v>1</v>
      </c>
      <c r="J60" s="0" t="n">
        <v>293</v>
      </c>
      <c r="K60" s="0" t="n">
        <v>2</v>
      </c>
    </row>
    <row r="61" customFormat="false" ht="13.5" hidden="false" customHeight="false" outlineLevel="0" collapsed="false">
      <c r="A61" s="0" t="s">
        <v>76</v>
      </c>
      <c r="B61" s="1" t="n">
        <v>43921</v>
      </c>
      <c r="C61" s="0" t="n">
        <v>515</v>
      </c>
      <c r="D61" s="0" t="n">
        <v>16</v>
      </c>
      <c r="E61" s="0" t="n">
        <v>4</v>
      </c>
      <c r="F61" s="0" t="n">
        <v>0</v>
      </c>
      <c r="G61" s="0" t="n">
        <v>279</v>
      </c>
      <c r="H61" s="0" t="n">
        <v>232</v>
      </c>
      <c r="I61" s="0" t="n">
        <v>2</v>
      </c>
      <c r="J61" s="0" t="n">
        <v>303</v>
      </c>
      <c r="K61" s="0" t="n">
        <v>2</v>
      </c>
    </row>
    <row r="62" customFormat="false" ht="13.5" hidden="false" customHeight="false" outlineLevel="0" collapsed="false">
      <c r="A62" s="0" t="s">
        <v>76</v>
      </c>
      <c r="B62" s="1" t="n">
        <v>43922</v>
      </c>
      <c r="C62" s="0" t="n">
        <v>567</v>
      </c>
      <c r="D62" s="0" t="n">
        <v>52</v>
      </c>
      <c r="E62" s="0" t="n">
        <v>4</v>
      </c>
      <c r="F62" s="0" t="n">
        <v>0</v>
      </c>
      <c r="G62" s="0" t="n">
        <v>295</v>
      </c>
      <c r="H62" s="0" t="n">
        <v>268</v>
      </c>
      <c r="I62" s="0" t="n">
        <v>2</v>
      </c>
      <c r="J62" s="0" t="n">
        <v>333</v>
      </c>
      <c r="K62" s="0" t="n">
        <v>2</v>
      </c>
    </row>
    <row r="63" customFormat="false" ht="13.5" hidden="false" customHeight="false" outlineLevel="0" collapsed="false">
      <c r="A63" s="0" t="s">
        <v>76</v>
      </c>
      <c r="B63" s="1" t="n">
        <v>43923</v>
      </c>
      <c r="C63" s="0" t="n">
        <v>569</v>
      </c>
      <c r="D63" s="0" t="n">
        <v>2</v>
      </c>
      <c r="E63" s="0" t="n">
        <v>4</v>
      </c>
      <c r="F63" s="0" t="n">
        <v>0</v>
      </c>
      <c r="G63" s="0" t="n">
        <v>337</v>
      </c>
      <c r="H63" s="0" t="n">
        <v>228</v>
      </c>
      <c r="I63" s="0" t="n">
        <v>3</v>
      </c>
      <c r="J63" s="0" t="n">
        <v>334</v>
      </c>
      <c r="K63" s="0" t="n">
        <v>2</v>
      </c>
    </row>
    <row r="64" customFormat="false" ht="13.5" hidden="false" customHeight="false" outlineLevel="0" collapsed="false">
      <c r="A64" s="0" t="s">
        <v>76</v>
      </c>
      <c r="B64" s="1" t="n">
        <v>43924</v>
      </c>
      <c r="C64" s="0" t="n">
        <v>643</v>
      </c>
      <c r="D64" s="0" t="n">
        <v>74</v>
      </c>
      <c r="E64" s="0" t="n">
        <v>4</v>
      </c>
      <c r="F64" s="0" t="n">
        <v>0</v>
      </c>
      <c r="G64" s="0" t="n">
        <v>381</v>
      </c>
      <c r="H64" s="0" t="n">
        <v>258</v>
      </c>
      <c r="I64" s="0" t="n">
        <v>3</v>
      </c>
      <c r="J64" s="0" t="n">
        <v>378</v>
      </c>
      <c r="K64" s="0" t="n">
        <v>2</v>
      </c>
    </row>
    <row r="65" customFormat="false" ht="13.5" hidden="false" customHeight="false" outlineLevel="0" collapsed="false">
      <c r="A65" s="0" t="s">
        <v>76</v>
      </c>
      <c r="B65" s="1" t="n">
        <v>43925</v>
      </c>
      <c r="C65" s="0" t="n">
        <v>672</v>
      </c>
      <c r="D65" s="0" t="n">
        <v>29</v>
      </c>
      <c r="E65" s="0" t="n">
        <v>4</v>
      </c>
      <c r="F65" s="0" t="n">
        <v>0</v>
      </c>
      <c r="G65" s="0" t="n">
        <v>382</v>
      </c>
      <c r="H65" s="0" t="n">
        <v>286</v>
      </c>
      <c r="I65" s="0" t="n">
        <v>3</v>
      </c>
      <c r="J65" s="0" t="n">
        <v>395</v>
      </c>
      <c r="K65" s="0" t="n">
        <v>2</v>
      </c>
    </row>
    <row r="66" customFormat="false" ht="13.5" hidden="false" customHeight="false" outlineLevel="0" collapsed="false">
      <c r="A66" s="0" t="s">
        <v>76</v>
      </c>
      <c r="B66" s="1" t="n">
        <v>43926</v>
      </c>
      <c r="C66" s="0" t="n">
        <v>688</v>
      </c>
      <c r="D66" s="0" t="n">
        <v>16</v>
      </c>
      <c r="E66" s="0" t="n">
        <v>4</v>
      </c>
      <c r="F66" s="0" t="n">
        <v>0</v>
      </c>
      <c r="G66" s="0" t="n">
        <v>423</v>
      </c>
      <c r="H66" s="0" t="n">
        <v>261</v>
      </c>
      <c r="I66" s="0" t="n">
        <v>3</v>
      </c>
      <c r="J66" s="0" t="n">
        <v>404</v>
      </c>
      <c r="K66" s="0" t="n">
        <v>2</v>
      </c>
      <c r="L66" s="0" t="n">
        <v>39379</v>
      </c>
      <c r="M66" s="0" t="n">
        <v>23143</v>
      </c>
    </row>
    <row r="67" customFormat="false" ht="13.5" hidden="false" customHeight="false" outlineLevel="0" collapsed="false">
      <c r="A67" s="0" t="s">
        <v>76</v>
      </c>
      <c r="B67" s="1" t="n">
        <v>43927</v>
      </c>
      <c r="C67" s="0" t="n">
        <v>700</v>
      </c>
      <c r="D67" s="0" t="n">
        <v>12</v>
      </c>
      <c r="E67" s="0" t="n">
        <v>4</v>
      </c>
      <c r="F67" s="0" t="n">
        <v>0</v>
      </c>
      <c r="G67" s="0" t="n">
        <v>431</v>
      </c>
      <c r="H67" s="0" t="n">
        <v>265</v>
      </c>
      <c r="I67" s="0" t="n">
        <v>3</v>
      </c>
      <c r="J67" s="0" t="n">
        <v>411</v>
      </c>
      <c r="K67" s="0" t="n">
        <v>2</v>
      </c>
      <c r="L67" s="0" t="n">
        <v>44386</v>
      </c>
      <c r="M67" s="0" t="n">
        <v>26085</v>
      </c>
    </row>
    <row r="68" customFormat="false" ht="13.5" hidden="false" customHeight="false" outlineLevel="0" collapsed="false">
      <c r="A68" s="0" t="s">
        <v>76</v>
      </c>
      <c r="B68" s="1" t="n">
        <v>43928</v>
      </c>
      <c r="C68" s="0" t="n">
        <v>756</v>
      </c>
      <c r="D68" s="0" t="n">
        <v>56</v>
      </c>
      <c r="E68" s="0" t="n">
        <v>4</v>
      </c>
      <c r="F68" s="0" t="n">
        <v>0</v>
      </c>
      <c r="G68" s="0" t="n">
        <v>458</v>
      </c>
      <c r="H68" s="0" t="n">
        <v>294</v>
      </c>
      <c r="I68" s="0" t="n">
        <v>4</v>
      </c>
      <c r="J68" s="0" t="n">
        <v>444</v>
      </c>
      <c r="K68" s="0" t="n">
        <v>2</v>
      </c>
      <c r="L68" s="0" t="n">
        <v>47684</v>
      </c>
      <c r="M68" s="0" t="n">
        <v>28023</v>
      </c>
    </row>
    <row r="69" customFormat="false" ht="13.5" hidden="false" customHeight="false" outlineLevel="0" collapsed="false">
      <c r="A69" s="0" t="s">
        <v>76</v>
      </c>
      <c r="B69" s="1" t="n">
        <v>43929</v>
      </c>
      <c r="C69" s="0" t="n">
        <v>811</v>
      </c>
      <c r="D69" s="0" t="n">
        <v>55</v>
      </c>
      <c r="E69" s="0" t="n">
        <v>5</v>
      </c>
      <c r="F69" s="0" t="n">
        <v>1</v>
      </c>
      <c r="G69" s="0" t="n">
        <v>458</v>
      </c>
      <c r="H69" s="0" t="n">
        <v>348</v>
      </c>
      <c r="I69" s="0" t="n">
        <v>4</v>
      </c>
      <c r="J69" s="0" t="n">
        <v>477</v>
      </c>
      <c r="K69" s="0" t="n">
        <v>3</v>
      </c>
      <c r="L69" s="0" t="n">
        <v>47684</v>
      </c>
      <c r="M69" s="0" t="n">
        <v>28023</v>
      </c>
    </row>
    <row r="70" customFormat="false" ht="13.5" hidden="false" customHeight="false" outlineLevel="0" collapsed="false">
      <c r="A70" s="0" t="s">
        <v>76</v>
      </c>
      <c r="B70" s="1" t="n">
        <v>43930</v>
      </c>
      <c r="C70" s="0" t="n">
        <v>823</v>
      </c>
      <c r="D70" s="0" t="n">
        <v>12</v>
      </c>
      <c r="E70" s="0" t="n">
        <v>5</v>
      </c>
      <c r="F70" s="0" t="n">
        <v>0</v>
      </c>
      <c r="G70" s="0" t="n">
        <v>477</v>
      </c>
      <c r="H70" s="0" t="n">
        <v>341</v>
      </c>
      <c r="I70" s="0" t="n">
        <v>3</v>
      </c>
      <c r="J70" s="0" t="n">
        <v>484</v>
      </c>
      <c r="K70" s="0" t="n">
        <v>3</v>
      </c>
      <c r="L70" s="0" t="n">
        <v>52351</v>
      </c>
      <c r="M70" s="0" t="n">
        <v>30766</v>
      </c>
    </row>
    <row r="71" customFormat="false" ht="13.5" hidden="false" customHeight="false" outlineLevel="0" collapsed="false">
      <c r="A71" s="0" t="s">
        <v>76</v>
      </c>
      <c r="B71" s="1" t="n">
        <v>43931</v>
      </c>
      <c r="C71" s="0" t="n">
        <v>887</v>
      </c>
      <c r="D71" s="0" t="n">
        <v>64</v>
      </c>
      <c r="E71" s="0" t="n">
        <v>5</v>
      </c>
      <c r="F71" s="0" t="n">
        <v>0</v>
      </c>
      <c r="G71" s="0" t="n">
        <v>519</v>
      </c>
      <c r="H71" s="0" t="n">
        <v>363</v>
      </c>
      <c r="I71" s="0" t="n">
        <v>3</v>
      </c>
      <c r="J71" s="0" t="n">
        <v>521</v>
      </c>
      <c r="K71" s="0" t="n">
        <v>3</v>
      </c>
      <c r="L71" s="0" t="n">
        <v>55096</v>
      </c>
      <c r="M71" s="0" t="n">
        <v>32379</v>
      </c>
    </row>
    <row r="72" customFormat="false" ht="13.5" hidden="false" customHeight="false" outlineLevel="0" collapsed="false">
      <c r="A72" s="0" t="s">
        <v>76</v>
      </c>
      <c r="B72" s="1" t="n">
        <v>43932</v>
      </c>
      <c r="C72" s="0" t="n">
        <v>925</v>
      </c>
      <c r="D72" s="0" t="n">
        <v>38</v>
      </c>
      <c r="E72" s="0" t="n">
        <v>6</v>
      </c>
      <c r="F72" s="0" t="n">
        <v>1</v>
      </c>
      <c r="G72" s="0" t="n">
        <v>539</v>
      </c>
      <c r="H72" s="0" t="n">
        <v>380</v>
      </c>
      <c r="I72" s="0" t="n">
        <v>3</v>
      </c>
      <c r="J72" s="0" t="n">
        <v>544</v>
      </c>
      <c r="K72" s="0" t="n">
        <v>4</v>
      </c>
      <c r="L72" s="0" t="n">
        <v>57681</v>
      </c>
      <c r="M72" s="0" t="n">
        <v>33899</v>
      </c>
    </row>
    <row r="73" customFormat="false" ht="13.5" hidden="false" customHeight="false" outlineLevel="0" collapsed="false">
      <c r="A73" s="0" t="s">
        <v>76</v>
      </c>
      <c r="B73" s="1" t="n">
        <v>43933</v>
      </c>
      <c r="C73" s="0" t="n">
        <v>1040</v>
      </c>
      <c r="D73" s="0" t="n">
        <v>115</v>
      </c>
      <c r="E73" s="0" t="n">
        <v>6</v>
      </c>
      <c r="F73" s="0" t="n">
        <v>0</v>
      </c>
      <c r="G73" s="0" t="n">
        <v>555</v>
      </c>
      <c r="H73" s="0" t="n">
        <v>479</v>
      </c>
      <c r="I73" s="0" t="n">
        <v>3</v>
      </c>
      <c r="J73" s="0" t="n">
        <v>611</v>
      </c>
      <c r="K73" s="0" t="n">
        <v>4</v>
      </c>
      <c r="L73" s="0" t="n">
        <v>60425</v>
      </c>
      <c r="M73" s="0" t="n">
        <v>35511</v>
      </c>
    </row>
    <row r="74" customFormat="false" ht="13.5" hidden="false" customHeight="false" outlineLevel="0" collapsed="false">
      <c r="A74" s="0" t="s">
        <v>76</v>
      </c>
      <c r="B74" s="1" t="n">
        <v>43934</v>
      </c>
      <c r="C74" s="0" t="n">
        <v>1136</v>
      </c>
      <c r="D74" s="0" t="n">
        <v>96</v>
      </c>
      <c r="E74" s="0" t="n">
        <v>6</v>
      </c>
      <c r="F74" s="0" t="n">
        <v>0</v>
      </c>
      <c r="G74" s="0" t="n">
        <v>558</v>
      </c>
      <c r="H74" s="0" t="n">
        <v>572</v>
      </c>
      <c r="I74" s="0" t="n">
        <v>4</v>
      </c>
      <c r="J74" s="0" t="n">
        <v>668</v>
      </c>
      <c r="K74" s="0" t="n">
        <v>4</v>
      </c>
      <c r="L74" s="0" t="n">
        <v>63973</v>
      </c>
      <c r="M74" s="0" t="n">
        <v>37596</v>
      </c>
    </row>
    <row r="75" customFormat="false" ht="13.5" hidden="false" customHeight="false" outlineLevel="0" collapsed="false">
      <c r="A75" s="0" t="s">
        <v>76</v>
      </c>
      <c r="B75" s="1" t="n">
        <v>43935</v>
      </c>
      <c r="C75" s="0" t="n">
        <v>1361</v>
      </c>
      <c r="D75" s="0" t="n">
        <v>225</v>
      </c>
      <c r="E75" s="0" t="n">
        <v>6</v>
      </c>
      <c r="F75" s="0" t="n">
        <v>0</v>
      </c>
      <c r="G75" s="0" t="n">
        <v>591</v>
      </c>
      <c r="H75" s="0" t="n">
        <v>764</v>
      </c>
      <c r="I75" s="0" t="n">
        <v>4</v>
      </c>
      <c r="J75" s="0" t="n">
        <v>800</v>
      </c>
      <c r="K75" s="0" t="n">
        <v>4</v>
      </c>
      <c r="L75" s="0" t="n">
        <v>67327</v>
      </c>
      <c r="M75" s="0" t="n">
        <v>39567</v>
      </c>
    </row>
    <row r="76" customFormat="false" ht="13.5" hidden="false" customHeight="false" outlineLevel="0" collapsed="false">
      <c r="A76" s="0" t="s">
        <v>76</v>
      </c>
      <c r="B76" s="1" t="n">
        <v>43936</v>
      </c>
      <c r="C76" s="0" t="n">
        <v>1528</v>
      </c>
      <c r="D76" s="0" t="n">
        <v>167</v>
      </c>
      <c r="E76" s="0" t="n">
        <v>7</v>
      </c>
      <c r="F76" s="0" t="n">
        <v>1</v>
      </c>
      <c r="G76" s="0" t="n">
        <v>645</v>
      </c>
      <c r="H76" s="0" t="n">
        <v>876</v>
      </c>
      <c r="I76" s="0" t="n">
        <v>3</v>
      </c>
      <c r="J76" s="0" t="n">
        <v>898</v>
      </c>
      <c r="K76" s="0" t="n">
        <v>4</v>
      </c>
      <c r="L76" s="0" t="n">
        <v>69359</v>
      </c>
      <c r="M76" s="0" t="n">
        <v>40762</v>
      </c>
    </row>
    <row r="77" customFormat="false" ht="13.5" hidden="false" customHeight="false" outlineLevel="0" collapsed="false">
      <c r="A77" s="0" t="s">
        <v>76</v>
      </c>
      <c r="B77" s="1" t="n">
        <v>43937</v>
      </c>
      <c r="C77" s="0" t="n">
        <v>1671</v>
      </c>
      <c r="D77" s="0" t="n">
        <v>143</v>
      </c>
      <c r="E77" s="0" t="n">
        <v>7</v>
      </c>
      <c r="F77" s="0" t="n">
        <v>0</v>
      </c>
      <c r="G77" s="0" t="n">
        <v>663</v>
      </c>
      <c r="H77" s="0" t="n">
        <v>1001</v>
      </c>
      <c r="I77" s="0" t="n">
        <v>3</v>
      </c>
      <c r="J77" s="0" t="n">
        <v>982</v>
      </c>
      <c r="K77" s="0" t="n">
        <v>4</v>
      </c>
      <c r="L77" s="0" t="n">
        <v>72647</v>
      </c>
      <c r="M77" s="0" t="n">
        <v>42694</v>
      </c>
    </row>
    <row r="78" customFormat="false" ht="13.5" hidden="false" customHeight="false" outlineLevel="0" collapsed="false">
      <c r="A78" s="0" t="s">
        <v>76</v>
      </c>
      <c r="B78" s="1" t="n">
        <v>43938</v>
      </c>
      <c r="C78" s="0" t="n">
        <v>1700</v>
      </c>
      <c r="D78" s="0" t="n">
        <v>29</v>
      </c>
      <c r="E78" s="0" t="n">
        <v>7</v>
      </c>
      <c r="F78" s="0" t="n">
        <v>0</v>
      </c>
      <c r="G78" s="0" t="n">
        <v>703</v>
      </c>
      <c r="H78" s="0" t="n">
        <v>990</v>
      </c>
      <c r="I78" s="0" t="n">
        <v>3</v>
      </c>
      <c r="J78" s="0" t="n">
        <v>999</v>
      </c>
      <c r="K78" s="0" t="n">
        <v>4</v>
      </c>
      <c r="L78" s="0" t="n">
        <v>76630</v>
      </c>
      <c r="M78" s="0" t="n">
        <v>45035</v>
      </c>
    </row>
    <row r="79" customFormat="false" ht="13.5" hidden="false" customHeight="false" outlineLevel="0" collapsed="false">
      <c r="A79" s="0" t="s">
        <v>76</v>
      </c>
      <c r="B79" s="1" t="n">
        <v>43939</v>
      </c>
      <c r="C79" s="0" t="n">
        <v>1740</v>
      </c>
      <c r="D79" s="0" t="n">
        <v>40</v>
      </c>
      <c r="E79" s="0" t="n">
        <v>7</v>
      </c>
      <c r="F79" s="0" t="n">
        <v>0</v>
      </c>
      <c r="G79" s="0" t="n">
        <v>725</v>
      </c>
      <c r="H79" s="0" t="n">
        <v>1008</v>
      </c>
      <c r="I79" s="0" t="n">
        <v>3</v>
      </c>
      <c r="J79" s="0" t="n">
        <v>1023</v>
      </c>
      <c r="K79" s="0" t="n">
        <v>4</v>
      </c>
      <c r="L79" s="0" t="n">
        <v>79564</v>
      </c>
      <c r="M79" s="0" t="n">
        <v>46759</v>
      </c>
    </row>
    <row r="80" customFormat="false" ht="13.5" hidden="false" customHeight="false" outlineLevel="0" collapsed="false">
      <c r="A80" s="0" t="s">
        <v>76</v>
      </c>
      <c r="B80" s="1" t="n">
        <v>43940</v>
      </c>
      <c r="C80" s="0" t="n">
        <v>1773</v>
      </c>
      <c r="D80" s="0" t="n">
        <v>33</v>
      </c>
      <c r="E80" s="0" t="n">
        <v>7</v>
      </c>
      <c r="F80" s="0" t="n">
        <v>0</v>
      </c>
      <c r="G80" s="0" t="n">
        <v>755</v>
      </c>
      <c r="H80" s="0" t="n">
        <v>1011</v>
      </c>
      <c r="I80" s="0" t="n">
        <v>3</v>
      </c>
      <c r="J80" s="0" t="n">
        <v>1042</v>
      </c>
      <c r="K80" s="0" t="n">
        <v>4</v>
      </c>
      <c r="L80" s="0" t="n">
        <v>82568</v>
      </c>
      <c r="M80" s="0" t="n">
        <v>48524</v>
      </c>
    </row>
    <row r="81" customFormat="false" ht="13.5" hidden="false" customHeight="false" outlineLevel="0" collapsed="false">
      <c r="A81" s="0" t="s">
        <v>76</v>
      </c>
      <c r="B81" s="1" t="n">
        <v>43941</v>
      </c>
      <c r="C81" s="0" t="n">
        <v>1881</v>
      </c>
      <c r="D81" s="0" t="n">
        <v>108</v>
      </c>
      <c r="E81" s="0" t="n">
        <v>7</v>
      </c>
      <c r="F81" s="0" t="n">
        <v>0</v>
      </c>
      <c r="G81" s="0" t="n">
        <v>759</v>
      </c>
      <c r="H81" s="0" t="n">
        <v>1115</v>
      </c>
      <c r="I81" s="0" t="n">
        <v>2</v>
      </c>
      <c r="J81" s="0" t="n">
        <v>1105</v>
      </c>
      <c r="K81" s="0" t="n">
        <v>4</v>
      </c>
      <c r="L81" s="0" t="n">
        <v>85126</v>
      </c>
      <c r="M81" s="0" t="n">
        <v>50028</v>
      </c>
    </row>
    <row r="82" customFormat="false" ht="13.5" hidden="false" customHeight="false" outlineLevel="0" collapsed="false">
      <c r="A82" s="0" t="s">
        <v>76</v>
      </c>
      <c r="B82" s="1" t="n">
        <v>43942</v>
      </c>
      <c r="C82" s="0" t="n">
        <v>1907</v>
      </c>
      <c r="D82" s="0" t="n">
        <v>26</v>
      </c>
      <c r="E82" s="0" t="n">
        <v>7</v>
      </c>
      <c r="F82" s="0" t="n">
        <v>0</v>
      </c>
      <c r="G82" s="0" t="n">
        <v>769</v>
      </c>
      <c r="H82" s="0" t="n">
        <v>1131</v>
      </c>
      <c r="I82" s="0" t="n">
        <v>2</v>
      </c>
      <c r="J82" s="0" t="n">
        <v>1121</v>
      </c>
      <c r="K82" s="0" t="n">
        <v>4</v>
      </c>
      <c r="L82" s="0" t="n">
        <v>89225</v>
      </c>
      <c r="M82" s="0" t="n">
        <v>52437</v>
      </c>
    </row>
    <row r="83" customFormat="false" ht="13.5" hidden="false" customHeight="false" outlineLevel="0" collapsed="false">
      <c r="A83" s="0" t="s">
        <v>76</v>
      </c>
      <c r="B83" s="1" t="n">
        <v>43943</v>
      </c>
      <c r="C83" s="0" t="n">
        <v>1973</v>
      </c>
      <c r="D83" s="0" t="n">
        <v>66</v>
      </c>
      <c r="E83" s="0" t="n">
        <v>7</v>
      </c>
      <c r="F83" s="0" t="n">
        <v>0</v>
      </c>
      <c r="G83" s="0" t="n">
        <v>784</v>
      </c>
      <c r="H83" s="0" t="n">
        <v>1182</v>
      </c>
      <c r="I83" s="0" t="n">
        <v>2</v>
      </c>
      <c r="J83" s="0" t="n">
        <v>1160</v>
      </c>
      <c r="K83" s="0" t="n">
        <v>4</v>
      </c>
      <c r="L83" s="0" t="n">
        <v>94380</v>
      </c>
      <c r="M83" s="0" t="n">
        <v>55466</v>
      </c>
    </row>
    <row r="84" customFormat="false" ht="13.5" hidden="false" customHeight="false" outlineLevel="0" collapsed="false">
      <c r="A84" s="0" t="s">
        <v>76</v>
      </c>
      <c r="B84" s="1" t="n">
        <v>43944</v>
      </c>
      <c r="C84" s="0" t="n">
        <v>2027</v>
      </c>
      <c r="D84" s="0" t="n">
        <v>54</v>
      </c>
      <c r="E84" s="0" t="n">
        <v>7</v>
      </c>
      <c r="F84" s="0" t="n">
        <v>0</v>
      </c>
      <c r="G84" s="0" t="n">
        <v>1026</v>
      </c>
      <c r="H84" s="0" t="n">
        <v>994</v>
      </c>
      <c r="I84" s="0" t="n">
        <v>2</v>
      </c>
      <c r="J84" s="0" t="n">
        <v>1191</v>
      </c>
      <c r="K84" s="0" t="n">
        <v>4</v>
      </c>
      <c r="L84" s="0" t="n">
        <v>97796</v>
      </c>
      <c r="M84" s="0" t="n">
        <v>57474</v>
      </c>
    </row>
    <row r="85" customFormat="false" ht="13.5" hidden="false" customHeight="false" outlineLevel="0" collapsed="false">
      <c r="A85" s="0" t="s">
        <v>76</v>
      </c>
      <c r="B85" s="1" t="n">
        <v>43945</v>
      </c>
      <c r="C85" s="0" t="n">
        <v>2217</v>
      </c>
      <c r="D85" s="0" t="n">
        <v>190</v>
      </c>
      <c r="E85" s="0" t="n">
        <v>8</v>
      </c>
      <c r="F85" s="0" t="n">
        <v>1</v>
      </c>
      <c r="G85" s="0" t="n">
        <v>1082</v>
      </c>
      <c r="H85" s="0" t="n">
        <v>1127</v>
      </c>
      <c r="I85" s="0" t="n">
        <v>2</v>
      </c>
      <c r="J85" s="0" t="n">
        <v>1303</v>
      </c>
      <c r="K85" s="0" t="n">
        <v>5</v>
      </c>
      <c r="L85" s="0" t="n">
        <v>100031</v>
      </c>
      <c r="M85" s="0" t="n">
        <v>58787</v>
      </c>
    </row>
    <row r="86" customFormat="false" ht="13.5" hidden="false" customHeight="false" outlineLevel="0" collapsed="false">
      <c r="A86" s="0" t="s">
        <v>76</v>
      </c>
      <c r="B86" s="1" t="n">
        <v>43946</v>
      </c>
      <c r="C86" s="0" t="n">
        <v>2518</v>
      </c>
      <c r="D86" s="0" t="n">
        <v>301</v>
      </c>
      <c r="E86" s="0" t="n">
        <v>8</v>
      </c>
      <c r="F86" s="0" t="n">
        <v>0</v>
      </c>
      <c r="G86" s="0" t="n">
        <v>1113</v>
      </c>
      <c r="H86" s="0" t="n">
        <v>1397</v>
      </c>
      <c r="I86" s="0" t="n">
        <v>1</v>
      </c>
      <c r="J86" s="0" t="n">
        <v>1480</v>
      </c>
      <c r="K86" s="0" t="n">
        <v>5</v>
      </c>
      <c r="L86" s="0" t="n">
        <v>107273</v>
      </c>
      <c r="M86" s="0" t="n">
        <v>63043</v>
      </c>
    </row>
    <row r="87" customFormat="false" ht="13.5" hidden="false" customHeight="false" outlineLevel="0" collapsed="false">
      <c r="A87" s="0" t="s">
        <v>76</v>
      </c>
      <c r="B87" s="1" t="n">
        <v>43947</v>
      </c>
      <c r="C87" s="0" t="n">
        <v>2588</v>
      </c>
      <c r="D87" s="0" t="n">
        <v>70</v>
      </c>
      <c r="E87" s="0" t="n">
        <v>8</v>
      </c>
      <c r="F87" s="0" t="n">
        <v>0</v>
      </c>
      <c r="G87" s="0" t="n">
        <v>1160</v>
      </c>
      <c r="H87" s="0" t="n">
        <v>1420</v>
      </c>
      <c r="I87" s="0" t="n">
        <v>2</v>
      </c>
      <c r="J87" s="0" t="n">
        <v>1521</v>
      </c>
      <c r="K87" s="0" t="n">
        <v>5</v>
      </c>
      <c r="L87" s="0" t="n">
        <v>110379</v>
      </c>
      <c r="M87" s="0" t="n">
        <v>64869</v>
      </c>
    </row>
    <row r="88" customFormat="false" ht="13.5" hidden="false" customHeight="false" outlineLevel="0" collapsed="false">
      <c r="A88" s="0" t="s">
        <v>76</v>
      </c>
      <c r="B88" s="1" t="n">
        <v>43948</v>
      </c>
      <c r="C88" s="0" t="n">
        <v>2647</v>
      </c>
      <c r="D88" s="0" t="n">
        <v>59</v>
      </c>
      <c r="E88" s="0" t="n">
        <v>8</v>
      </c>
      <c r="F88" s="0" t="n">
        <v>0</v>
      </c>
      <c r="G88" s="0" t="n">
        <v>1189</v>
      </c>
      <c r="H88" s="0" t="n">
        <v>1450</v>
      </c>
      <c r="I88" s="0" t="n">
        <v>2</v>
      </c>
      <c r="J88" s="0" t="n">
        <v>1556</v>
      </c>
      <c r="K88" s="0" t="n">
        <v>5</v>
      </c>
      <c r="L88" s="0" t="n">
        <v>114110</v>
      </c>
      <c r="M88" s="0" t="n">
        <v>67061</v>
      </c>
    </row>
    <row r="89" customFormat="false" ht="13.5" hidden="false" customHeight="false" outlineLevel="0" collapsed="false">
      <c r="A89" s="0" t="s">
        <v>76</v>
      </c>
      <c r="B89" s="1" t="n">
        <v>43949</v>
      </c>
      <c r="C89" s="2" t="n">
        <v>2723</v>
      </c>
      <c r="D89" s="2" t="n">
        <v>76</v>
      </c>
      <c r="E89" s="2" t="n">
        <v>8</v>
      </c>
      <c r="F89" s="2" t="n">
        <v>0</v>
      </c>
      <c r="G89" s="2" t="n">
        <v>1218</v>
      </c>
      <c r="H89" s="2" t="n">
        <v>1497</v>
      </c>
      <c r="I89" s="2" t="n">
        <v>2</v>
      </c>
      <c r="J89" s="2" t="n">
        <v>1600</v>
      </c>
      <c r="K89" s="2" t="n">
        <v>5</v>
      </c>
      <c r="L89" s="2" t="n">
        <v>117374</v>
      </c>
      <c r="M89" s="2" t="n">
        <v>68980</v>
      </c>
    </row>
    <row r="90" customFormat="false" ht="13.5" hidden="false" customHeight="false" outlineLevel="0" collapsed="false">
      <c r="A90" s="0" t="s">
        <v>76</v>
      </c>
      <c r="B90" s="1" t="n">
        <v>43950</v>
      </c>
      <c r="C90" s="2" t="n">
        <v>2811</v>
      </c>
      <c r="D90" s="2" t="n">
        <v>88</v>
      </c>
      <c r="E90" s="2" t="n">
        <v>8</v>
      </c>
      <c r="F90" s="2" t="n">
        <v>0</v>
      </c>
      <c r="G90" s="2" t="n">
        <v>1310</v>
      </c>
      <c r="H90" s="2" t="n">
        <v>1493</v>
      </c>
      <c r="I90" s="2" t="n">
        <v>2</v>
      </c>
      <c r="J90" s="2" t="n">
        <v>1652</v>
      </c>
      <c r="K90" s="2" t="n">
        <v>5</v>
      </c>
      <c r="L90" s="2" t="n">
        <v>121706</v>
      </c>
      <c r="M90" s="2" t="n">
        <v>71525</v>
      </c>
    </row>
    <row r="91" customFormat="false" ht="13.5" hidden="false" customHeight="false" outlineLevel="0" collapsed="false">
      <c r="A91" s="0" t="s">
        <v>76</v>
      </c>
      <c r="B91" s="1" t="n">
        <v>43951</v>
      </c>
      <c r="C91" s="2" t="n">
        <v>2869</v>
      </c>
      <c r="D91" s="2" t="n">
        <v>58</v>
      </c>
      <c r="E91" s="2" t="n">
        <v>8</v>
      </c>
      <c r="F91" s="2" t="n">
        <v>0</v>
      </c>
      <c r="G91" s="2" t="n">
        <v>1370</v>
      </c>
      <c r="H91" s="2" t="n">
        <v>1491</v>
      </c>
      <c r="I91" s="2" t="n">
        <v>2</v>
      </c>
      <c r="J91" s="2" t="n">
        <v>1686</v>
      </c>
      <c r="K91" s="2" t="n">
        <v>5</v>
      </c>
      <c r="L91" s="2" t="n">
        <v>124591</v>
      </c>
      <c r="M91" s="2" t="n">
        <v>73221</v>
      </c>
    </row>
    <row r="92" customFormat="false" ht="13.5" hidden="false" customHeight="false" outlineLevel="0" collapsed="false">
      <c r="A92" s="0" t="s">
        <v>76</v>
      </c>
      <c r="B92" s="1" t="n">
        <v>43952</v>
      </c>
      <c r="C92" s="2" t="n">
        <v>3040</v>
      </c>
      <c r="D92" s="2" t="n">
        <v>171</v>
      </c>
      <c r="E92" s="2" t="n">
        <v>8</v>
      </c>
      <c r="F92" s="2" t="n">
        <v>0</v>
      </c>
      <c r="G92" s="2" t="n">
        <v>1500</v>
      </c>
      <c r="H92" s="2" t="n">
        <v>1532</v>
      </c>
      <c r="I92" s="2" t="n">
        <v>1</v>
      </c>
      <c r="J92" s="2" t="n">
        <v>1787</v>
      </c>
      <c r="K92" s="2" t="n">
        <v>5</v>
      </c>
      <c r="L92" s="2" t="n">
        <v>129694</v>
      </c>
      <c r="M92" s="2" t="n">
        <v>76220</v>
      </c>
    </row>
    <row r="93" customFormat="false" ht="13.5" hidden="false" customHeight="false" outlineLevel="0" collapsed="false">
      <c r="A93" s="0" t="s">
        <v>76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76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76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76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76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76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76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76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76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76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76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76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76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76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76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76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76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76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76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76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76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76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76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76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76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76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76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76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76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76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76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76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76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76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76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76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76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76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76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76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76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76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76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76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76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76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76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76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76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76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76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76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76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76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76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76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76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76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76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76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76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76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76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76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76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76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76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76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76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76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76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76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76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76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76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76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76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76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76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76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76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76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76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76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76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76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76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76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76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76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76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76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76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76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76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3" colorId="64" zoomScale="100" zoomScaleNormal="100" zoomScalePageLayoutView="100" workbookViewId="0">
      <selection pane="topLeft" activeCell="I137" activeCellId="0" sqref="I137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77</v>
      </c>
      <c r="B2" s="1" t="n">
        <v>43862</v>
      </c>
    </row>
    <row r="3" customFormat="false" ht="13.5" hidden="false" customHeight="false" outlineLevel="0" collapsed="false">
      <c r="A3" s="0" t="s">
        <v>77</v>
      </c>
      <c r="B3" s="1" t="n">
        <v>43863</v>
      </c>
    </row>
    <row r="4" customFormat="false" ht="13.5" hidden="false" customHeight="false" outlineLevel="0" collapsed="false">
      <c r="A4" s="0" t="s">
        <v>77</v>
      </c>
      <c r="B4" s="1" t="n">
        <v>43864</v>
      </c>
    </row>
    <row r="5" customFormat="false" ht="13.5" hidden="false" customHeight="false" outlineLevel="0" collapsed="false">
      <c r="A5" s="0" t="s">
        <v>77</v>
      </c>
      <c r="B5" s="1" t="n">
        <v>43865</v>
      </c>
    </row>
    <row r="6" customFormat="false" ht="13.5" hidden="false" customHeight="false" outlineLevel="0" collapsed="false">
      <c r="A6" s="0" t="s">
        <v>77</v>
      </c>
      <c r="B6" s="1" t="n">
        <v>43866</v>
      </c>
    </row>
    <row r="7" customFormat="false" ht="13.5" hidden="false" customHeight="false" outlineLevel="0" collapsed="false">
      <c r="A7" s="0" t="s">
        <v>77</v>
      </c>
      <c r="B7" s="1" t="n">
        <v>43867</v>
      </c>
    </row>
    <row r="8" customFormat="false" ht="13.5" hidden="false" customHeight="false" outlineLevel="0" collapsed="false">
      <c r="A8" s="0" t="s">
        <v>77</v>
      </c>
      <c r="B8" s="1" t="n">
        <v>43868</v>
      </c>
    </row>
    <row r="9" customFormat="false" ht="13.5" hidden="false" customHeight="false" outlineLevel="0" collapsed="false">
      <c r="A9" s="0" t="s">
        <v>77</v>
      </c>
      <c r="B9" s="1" t="n">
        <v>43869</v>
      </c>
    </row>
    <row r="10" customFormat="false" ht="13.5" hidden="false" customHeight="false" outlineLevel="0" collapsed="false">
      <c r="A10" s="0" t="s">
        <v>77</v>
      </c>
      <c r="B10" s="1" t="n">
        <v>43870</v>
      </c>
    </row>
    <row r="11" customFormat="false" ht="13.5" hidden="false" customHeight="false" outlineLevel="0" collapsed="false">
      <c r="A11" s="0" t="s">
        <v>77</v>
      </c>
      <c r="B11" s="1" t="n">
        <v>43871</v>
      </c>
    </row>
    <row r="12" customFormat="false" ht="13.5" hidden="false" customHeight="false" outlineLevel="0" collapsed="false">
      <c r="A12" s="0" t="s">
        <v>77</v>
      </c>
      <c r="B12" s="1" t="n">
        <v>43872</v>
      </c>
    </row>
    <row r="13" customFormat="false" ht="13.5" hidden="false" customHeight="false" outlineLevel="0" collapsed="false">
      <c r="A13" s="0" t="s">
        <v>77</v>
      </c>
      <c r="B13" s="1" t="n">
        <v>43873</v>
      </c>
    </row>
    <row r="14" customFormat="false" ht="13.5" hidden="false" customHeight="false" outlineLevel="0" collapsed="false">
      <c r="A14" s="0" t="s">
        <v>77</v>
      </c>
      <c r="B14" s="1" t="n">
        <v>43874</v>
      </c>
    </row>
    <row r="15" customFormat="false" ht="13.5" hidden="false" customHeight="false" outlineLevel="0" collapsed="false">
      <c r="A15" s="0" t="s">
        <v>77</v>
      </c>
      <c r="B15" s="1" t="n">
        <v>43875</v>
      </c>
    </row>
    <row r="16" customFormat="false" ht="13.5" hidden="false" customHeight="false" outlineLevel="0" collapsed="false">
      <c r="A16" s="0" t="s">
        <v>77</v>
      </c>
      <c r="B16" s="1" t="n">
        <v>43876</v>
      </c>
    </row>
    <row r="17" customFormat="false" ht="13.5" hidden="false" customHeight="false" outlineLevel="0" collapsed="false">
      <c r="A17" s="0" t="s">
        <v>77</v>
      </c>
      <c r="B17" s="1" t="n">
        <v>43877</v>
      </c>
    </row>
    <row r="18" customFormat="false" ht="13.5" hidden="false" customHeight="false" outlineLevel="0" collapsed="false">
      <c r="A18" s="0" t="s">
        <v>77</v>
      </c>
      <c r="B18" s="1" t="n">
        <v>43878</v>
      </c>
    </row>
    <row r="19" customFormat="false" ht="13.5" hidden="false" customHeight="false" outlineLevel="0" collapsed="false">
      <c r="A19" s="0" t="s">
        <v>77</v>
      </c>
      <c r="B19" s="1" t="n">
        <v>43879</v>
      </c>
    </row>
    <row r="20" customFormat="false" ht="13.5" hidden="false" customHeight="false" outlineLevel="0" collapsed="false">
      <c r="A20" s="0" t="s">
        <v>77</v>
      </c>
      <c r="B20" s="1" t="n">
        <v>43880</v>
      </c>
    </row>
    <row r="21" customFormat="false" ht="13.5" hidden="false" customHeight="false" outlineLevel="0" collapsed="false">
      <c r="A21" s="0" t="s">
        <v>77</v>
      </c>
      <c r="B21" s="1" t="n">
        <v>43881</v>
      </c>
    </row>
    <row r="22" customFormat="false" ht="13.5" hidden="false" customHeight="false" outlineLevel="0" collapsed="false">
      <c r="A22" s="0" t="s">
        <v>77</v>
      </c>
      <c r="B22" s="1" t="n">
        <v>43882</v>
      </c>
    </row>
    <row r="23" customFormat="false" ht="13.5" hidden="false" customHeight="false" outlineLevel="0" collapsed="false">
      <c r="A23" s="0" t="s">
        <v>77</v>
      </c>
      <c r="B23" s="1" t="n">
        <v>43883</v>
      </c>
    </row>
    <row r="24" customFormat="false" ht="13.5" hidden="false" customHeight="false" outlineLevel="0" collapsed="false">
      <c r="A24" s="0" t="s">
        <v>77</v>
      </c>
      <c r="B24" s="1" t="n">
        <v>43884</v>
      </c>
    </row>
    <row r="25" customFormat="false" ht="13.5" hidden="false" customHeight="false" outlineLevel="0" collapsed="false">
      <c r="A25" s="0" t="s">
        <v>77</v>
      </c>
      <c r="B25" s="1" t="n">
        <v>43885</v>
      </c>
    </row>
    <row r="26" customFormat="false" ht="13.5" hidden="false" customHeight="false" outlineLevel="0" collapsed="false">
      <c r="A26" s="0" t="s">
        <v>77</v>
      </c>
      <c r="B26" s="1" t="n">
        <v>43886</v>
      </c>
    </row>
    <row r="27" customFormat="false" ht="13.5" hidden="false" customHeight="false" outlineLevel="0" collapsed="false">
      <c r="A27" s="0" t="s">
        <v>77</v>
      </c>
      <c r="B27" s="1" t="n">
        <v>43887</v>
      </c>
    </row>
    <row r="28" customFormat="false" ht="13.5" hidden="false" customHeight="false" outlineLevel="0" collapsed="false">
      <c r="A28" s="0" t="s">
        <v>77</v>
      </c>
      <c r="B28" s="1" t="n">
        <v>43888</v>
      </c>
    </row>
    <row r="29" customFormat="false" ht="13.5" hidden="false" customHeight="false" outlineLevel="0" collapsed="false">
      <c r="A29" s="0" t="s">
        <v>77</v>
      </c>
      <c r="B29" s="1" t="n">
        <v>43889</v>
      </c>
    </row>
    <row r="30" customFormat="false" ht="13.5" hidden="false" customHeight="false" outlineLevel="0" collapsed="false">
      <c r="A30" s="0" t="s">
        <v>77</v>
      </c>
      <c r="B30" s="1" t="n">
        <v>43890</v>
      </c>
    </row>
    <row r="31" customFormat="false" ht="13.5" hidden="false" customHeight="false" outlineLevel="0" collapsed="false">
      <c r="A31" s="0" t="s">
        <v>77</v>
      </c>
      <c r="B31" s="1" t="n">
        <v>43891</v>
      </c>
    </row>
    <row r="32" customFormat="false" ht="13.5" hidden="false" customHeight="false" outlineLevel="0" collapsed="false">
      <c r="A32" s="0" t="s">
        <v>77</v>
      </c>
      <c r="B32" s="1" t="n">
        <v>43892</v>
      </c>
    </row>
    <row r="33" customFormat="false" ht="13.5" hidden="false" customHeight="false" outlineLevel="0" collapsed="false">
      <c r="A33" s="0" t="s">
        <v>77</v>
      </c>
      <c r="B33" s="1" t="n">
        <v>43893</v>
      </c>
    </row>
    <row r="34" customFormat="false" ht="13.5" hidden="false" customHeight="false" outlineLevel="0" collapsed="false">
      <c r="A34" s="0" t="s">
        <v>77</v>
      </c>
      <c r="B34" s="1" t="n">
        <v>43894</v>
      </c>
    </row>
    <row r="35" customFormat="false" ht="13.5" hidden="false" customHeight="false" outlineLevel="0" collapsed="false">
      <c r="A35" s="0" t="s">
        <v>77</v>
      </c>
      <c r="B35" s="1" t="n">
        <v>43895</v>
      </c>
    </row>
    <row r="36" customFormat="false" ht="13.5" hidden="false" customHeight="false" outlineLevel="0" collapsed="false">
      <c r="A36" s="0" t="s">
        <v>77</v>
      </c>
      <c r="B36" s="1" t="n">
        <v>43896</v>
      </c>
    </row>
    <row r="37" customFormat="false" ht="13.5" hidden="false" customHeight="false" outlineLevel="0" collapsed="false">
      <c r="A37" s="0" t="s">
        <v>77</v>
      </c>
      <c r="B37" s="1" t="n">
        <v>43897</v>
      </c>
      <c r="C37" s="0" t="n">
        <v>11</v>
      </c>
      <c r="D37" s="0" t="n">
        <v>1</v>
      </c>
      <c r="H37" s="0" t="n">
        <v>11</v>
      </c>
    </row>
    <row r="38" customFormat="false" ht="13.5" hidden="false" customHeight="false" outlineLevel="0" collapsed="false">
      <c r="A38" s="0" t="s">
        <v>77</v>
      </c>
      <c r="B38" s="1" t="n">
        <v>43898</v>
      </c>
      <c r="C38" s="0" t="n">
        <v>12</v>
      </c>
      <c r="D38" s="0" t="n">
        <v>1</v>
      </c>
      <c r="H38" s="0" t="n">
        <v>12</v>
      </c>
      <c r="J38" s="0" t="n">
        <v>2.9</v>
      </c>
    </row>
    <row r="39" customFormat="false" ht="13.5" hidden="false" customHeight="false" outlineLevel="0" collapsed="false">
      <c r="A39" s="0" t="s">
        <v>77</v>
      </c>
      <c r="B39" s="1" t="n">
        <v>43899</v>
      </c>
      <c r="C39" s="0" t="n">
        <v>12</v>
      </c>
      <c r="D39" s="0" t="n">
        <v>0</v>
      </c>
      <c r="H39" s="0" t="n">
        <v>12</v>
      </c>
      <c r="J39" s="0" t="n">
        <v>2.9</v>
      </c>
    </row>
    <row r="40" customFormat="false" ht="13.5" hidden="false" customHeight="false" outlineLevel="0" collapsed="false">
      <c r="A40" s="0" t="s">
        <v>77</v>
      </c>
      <c r="B40" s="1" t="n">
        <v>43900</v>
      </c>
      <c r="C40" s="0" t="n">
        <v>13</v>
      </c>
      <c r="D40" s="0" t="n">
        <v>1</v>
      </c>
      <c r="H40" s="0" t="n">
        <v>13</v>
      </c>
      <c r="J40" s="0" t="n">
        <v>3.2</v>
      </c>
    </row>
    <row r="41" customFormat="false" ht="13.5" hidden="false" customHeight="false" outlineLevel="0" collapsed="false">
      <c r="A41" s="0" t="s">
        <v>77</v>
      </c>
      <c r="B41" s="1" t="n">
        <v>43901</v>
      </c>
      <c r="C41" s="0" t="n">
        <v>15</v>
      </c>
      <c r="D41" s="0" t="n">
        <v>2</v>
      </c>
      <c r="H41" s="0" t="n">
        <v>15</v>
      </c>
      <c r="J41" s="0" t="n">
        <v>3.7</v>
      </c>
    </row>
    <row r="42" customFormat="false" ht="13.5" hidden="false" customHeight="false" outlineLevel="0" collapsed="false">
      <c r="A42" s="0" t="s">
        <v>77</v>
      </c>
      <c r="B42" s="1" t="n">
        <v>43902</v>
      </c>
      <c r="C42" s="0" t="n">
        <v>19</v>
      </c>
      <c r="D42" s="0" t="n">
        <v>4</v>
      </c>
      <c r="H42" s="0" t="n">
        <v>19</v>
      </c>
      <c r="J42" s="0" t="n">
        <v>4.6</v>
      </c>
    </row>
    <row r="43" customFormat="false" ht="13.5" hidden="false" customHeight="false" outlineLevel="0" collapsed="false">
      <c r="A43" s="0" t="s">
        <v>77</v>
      </c>
      <c r="B43" s="1" t="n">
        <v>43903</v>
      </c>
      <c r="C43" s="0" t="n">
        <v>27</v>
      </c>
      <c r="D43" s="0" t="n">
        <v>8</v>
      </c>
      <c r="G43" s="0" t="n">
        <v>1</v>
      </c>
      <c r="H43" s="0" t="n">
        <v>26</v>
      </c>
      <c r="J43" s="0" t="n">
        <v>6.6</v>
      </c>
    </row>
    <row r="44" customFormat="false" ht="13.5" hidden="false" customHeight="false" outlineLevel="0" collapsed="false">
      <c r="A44" s="0" t="s">
        <v>77</v>
      </c>
      <c r="B44" s="1" t="n">
        <v>43904</v>
      </c>
      <c r="C44" s="0" t="n">
        <v>32</v>
      </c>
      <c r="D44" s="0" t="n">
        <v>5</v>
      </c>
      <c r="G44" s="0" t="n">
        <v>1</v>
      </c>
      <c r="H44" s="0" t="n">
        <v>31</v>
      </c>
      <c r="J44" s="0" t="n">
        <v>7.8</v>
      </c>
    </row>
    <row r="45" customFormat="false" ht="13.5" hidden="false" customHeight="false" outlineLevel="0" collapsed="false">
      <c r="A45" s="0" t="s">
        <v>77</v>
      </c>
      <c r="B45" s="1" t="n">
        <v>43905</v>
      </c>
      <c r="C45" s="0" t="n">
        <v>39</v>
      </c>
      <c r="D45" s="0" t="n">
        <v>7</v>
      </c>
      <c r="G45" s="0" t="n">
        <v>2</v>
      </c>
      <c r="H45" s="0" t="n">
        <v>37</v>
      </c>
      <c r="J45" s="0" t="n">
        <v>9.5</v>
      </c>
    </row>
    <row r="46" customFormat="false" ht="13.5" hidden="false" customHeight="false" outlineLevel="0" collapsed="false">
      <c r="A46" s="0" t="s">
        <v>77</v>
      </c>
      <c r="B46" s="1" t="n">
        <v>43906</v>
      </c>
      <c r="C46" s="0" t="n">
        <v>49</v>
      </c>
      <c r="D46" s="0" t="n">
        <v>10</v>
      </c>
      <c r="G46" s="0" t="n">
        <v>2</v>
      </c>
      <c r="H46" s="0" t="n">
        <v>47</v>
      </c>
      <c r="J46" s="0" t="n">
        <v>11.9</v>
      </c>
    </row>
    <row r="47" customFormat="false" ht="13.5" hidden="false" customHeight="false" outlineLevel="0" collapsed="false">
      <c r="A47" s="0" t="s">
        <v>77</v>
      </c>
      <c r="B47" s="1" t="n">
        <v>43907</v>
      </c>
      <c r="C47" s="0" t="n">
        <v>57</v>
      </c>
      <c r="D47" s="0" t="n">
        <v>8</v>
      </c>
      <c r="G47" s="0" t="n">
        <v>3</v>
      </c>
      <c r="H47" s="0" t="n">
        <v>54</v>
      </c>
      <c r="J47" s="0" t="n">
        <v>13.9</v>
      </c>
    </row>
    <row r="48" customFormat="false" ht="13.5" hidden="false" customHeight="false" outlineLevel="0" collapsed="false">
      <c r="A48" s="0" t="s">
        <v>77</v>
      </c>
      <c r="B48" s="1" t="n">
        <v>43908</v>
      </c>
      <c r="C48" s="0" t="n">
        <v>69</v>
      </c>
      <c r="D48" s="0" t="n">
        <v>12</v>
      </c>
      <c r="G48" s="0" t="n">
        <v>5</v>
      </c>
      <c r="H48" s="0" t="n">
        <v>64</v>
      </c>
      <c r="J48" s="0" t="n">
        <v>16.8</v>
      </c>
    </row>
    <row r="49" customFormat="false" ht="13.5" hidden="false" customHeight="false" outlineLevel="0" collapsed="false">
      <c r="A49" s="0" t="s">
        <v>77</v>
      </c>
      <c r="B49" s="1" t="n">
        <v>43909</v>
      </c>
      <c r="C49" s="0" t="n">
        <v>89</v>
      </c>
      <c r="D49" s="0" t="n">
        <v>20</v>
      </c>
      <c r="G49" s="0" t="n">
        <v>5</v>
      </c>
      <c r="H49" s="0" t="n">
        <v>84</v>
      </c>
      <c r="J49" s="0" t="n">
        <v>22</v>
      </c>
    </row>
    <row r="50" customFormat="false" ht="13.5" hidden="false" customHeight="false" outlineLevel="0" collapsed="false">
      <c r="A50" s="0" t="s">
        <v>77</v>
      </c>
      <c r="B50" s="1" t="n">
        <v>43910</v>
      </c>
      <c r="C50" s="0" t="n">
        <v>110</v>
      </c>
      <c r="D50" s="0" t="n">
        <v>21</v>
      </c>
      <c r="E50" s="0" t="n">
        <v>1</v>
      </c>
      <c r="F50" s="0" t="n">
        <v>1</v>
      </c>
      <c r="G50" s="0" t="n">
        <v>5</v>
      </c>
      <c r="H50" s="0" t="n">
        <v>104</v>
      </c>
      <c r="J50" s="0" t="n">
        <v>27</v>
      </c>
    </row>
    <row r="51" customFormat="false" ht="13.5" hidden="false" customHeight="false" outlineLevel="0" collapsed="false">
      <c r="A51" s="0" t="s">
        <v>77</v>
      </c>
      <c r="B51" s="1" t="n">
        <v>43911</v>
      </c>
      <c r="C51" s="0" t="n">
        <v>168</v>
      </c>
      <c r="D51" s="0" t="n">
        <v>58</v>
      </c>
      <c r="E51" s="0" t="n">
        <v>1</v>
      </c>
      <c r="G51" s="0" t="n">
        <v>5</v>
      </c>
      <c r="H51" s="0" t="n">
        <v>162</v>
      </c>
      <c r="J51" s="0" t="n">
        <v>41</v>
      </c>
    </row>
    <row r="52" customFormat="false" ht="13.5" hidden="false" customHeight="false" outlineLevel="0" collapsed="false">
      <c r="A52" s="0" t="s">
        <v>77</v>
      </c>
      <c r="B52" s="1" t="n">
        <v>43912</v>
      </c>
      <c r="C52" s="0" t="n">
        <v>206</v>
      </c>
      <c r="D52" s="0" t="n">
        <v>38</v>
      </c>
      <c r="E52" s="0" t="n">
        <v>1</v>
      </c>
      <c r="G52" s="0" t="n">
        <v>5</v>
      </c>
      <c r="H52" s="0" t="n">
        <v>200</v>
      </c>
      <c r="J52" s="0" t="n">
        <v>50</v>
      </c>
    </row>
    <row r="53" customFormat="false" ht="13.5" hidden="false" customHeight="false" outlineLevel="0" collapsed="false">
      <c r="A53" s="0" t="s">
        <v>77</v>
      </c>
      <c r="B53" s="1" t="n">
        <v>43913</v>
      </c>
      <c r="C53" s="0" t="n">
        <v>254</v>
      </c>
      <c r="D53" s="0" t="n">
        <v>48</v>
      </c>
      <c r="E53" s="0" t="n">
        <v>1</v>
      </c>
      <c r="G53" s="0" t="n">
        <v>5</v>
      </c>
      <c r="H53" s="0" t="n">
        <v>248</v>
      </c>
      <c r="I53" s="0" t="n">
        <v>5</v>
      </c>
      <c r="J53" s="0" t="n">
        <v>62</v>
      </c>
    </row>
    <row r="54" customFormat="false" ht="13.5" hidden="false" customHeight="false" outlineLevel="0" collapsed="false">
      <c r="A54" s="0" t="s">
        <v>77</v>
      </c>
      <c r="B54" s="1" t="n">
        <v>43914</v>
      </c>
      <c r="C54" s="0" t="n">
        <v>315</v>
      </c>
      <c r="D54" s="0" t="n">
        <v>61</v>
      </c>
      <c r="E54" s="0" t="n">
        <v>1</v>
      </c>
      <c r="G54" s="0" t="n">
        <v>5</v>
      </c>
      <c r="H54" s="0" t="n">
        <v>309</v>
      </c>
      <c r="I54" s="0" t="n">
        <v>5</v>
      </c>
      <c r="J54" s="0" t="n">
        <v>77</v>
      </c>
    </row>
    <row r="55" customFormat="false" ht="13.5" hidden="false" customHeight="false" outlineLevel="0" collapsed="false">
      <c r="A55" s="0" t="s">
        <v>77</v>
      </c>
      <c r="B55" s="1" t="n">
        <v>43915</v>
      </c>
      <c r="C55" s="0" t="n">
        <v>382</v>
      </c>
      <c r="D55" s="0" t="n">
        <v>67</v>
      </c>
      <c r="E55" s="0" t="n">
        <v>1</v>
      </c>
      <c r="G55" s="0" t="n">
        <v>5</v>
      </c>
      <c r="H55" s="0" t="n">
        <v>376</v>
      </c>
      <c r="I55" s="0" t="n">
        <v>6</v>
      </c>
      <c r="J55" s="0" t="n">
        <v>93</v>
      </c>
      <c r="K55" s="0" t="n">
        <v>0.2</v>
      </c>
    </row>
    <row r="56" customFormat="false" ht="13.5" hidden="false" customHeight="false" outlineLevel="0" collapsed="false">
      <c r="A56" s="0" t="s">
        <v>77</v>
      </c>
      <c r="B56" s="1" t="n">
        <v>43916</v>
      </c>
      <c r="C56" s="0" t="n">
        <v>442</v>
      </c>
      <c r="D56" s="0" t="n">
        <v>60</v>
      </c>
      <c r="E56" s="0" t="n">
        <v>1</v>
      </c>
      <c r="G56" s="0" t="n">
        <v>22</v>
      </c>
      <c r="H56" s="0" t="n">
        <v>419</v>
      </c>
      <c r="I56" s="0" t="n">
        <v>6</v>
      </c>
      <c r="J56" s="0" t="n">
        <v>108</v>
      </c>
      <c r="K56" s="0" t="n">
        <v>0.2</v>
      </c>
    </row>
    <row r="57" customFormat="false" ht="13.5" hidden="false" customHeight="false" outlineLevel="0" collapsed="false">
      <c r="A57" s="0" t="s">
        <v>77</v>
      </c>
      <c r="B57" s="1" t="n">
        <v>43917</v>
      </c>
      <c r="C57" s="0" t="n">
        <v>495</v>
      </c>
      <c r="D57" s="0" t="n">
        <v>53</v>
      </c>
      <c r="E57" s="0" t="n">
        <v>3</v>
      </c>
      <c r="F57" s="0" t="n">
        <v>2</v>
      </c>
      <c r="G57" s="0" t="n">
        <v>22</v>
      </c>
      <c r="H57" s="0" t="n">
        <v>470</v>
      </c>
      <c r="I57" s="0" t="n">
        <v>14</v>
      </c>
      <c r="J57" s="0" t="n">
        <v>121</v>
      </c>
      <c r="K57" s="0" t="n">
        <v>0.7</v>
      </c>
    </row>
    <row r="58" customFormat="false" ht="13.5" hidden="false" customHeight="false" outlineLevel="0" collapsed="false">
      <c r="A58" s="0" t="s">
        <v>77</v>
      </c>
      <c r="B58" s="1" t="n">
        <v>43918</v>
      </c>
      <c r="C58" s="0" t="n">
        <v>586</v>
      </c>
      <c r="D58" s="0" t="n">
        <v>91</v>
      </c>
      <c r="E58" s="0" t="n">
        <v>3</v>
      </c>
      <c r="G58" s="0" t="n">
        <v>37</v>
      </c>
      <c r="H58" s="0" t="n">
        <v>546</v>
      </c>
      <c r="I58" s="0" t="n">
        <v>14</v>
      </c>
      <c r="J58" s="0" t="n">
        <v>143</v>
      </c>
      <c r="K58" s="0" t="n">
        <v>0.7</v>
      </c>
    </row>
    <row r="59" customFormat="false" ht="13.5" hidden="false" customHeight="false" outlineLevel="0" collapsed="false">
      <c r="A59" s="0" t="s">
        <v>77</v>
      </c>
      <c r="B59" s="1" t="n">
        <v>43919</v>
      </c>
      <c r="C59" s="0" t="n">
        <v>657</v>
      </c>
      <c r="D59" s="0" t="n">
        <v>71</v>
      </c>
      <c r="E59" s="0" t="n">
        <v>5</v>
      </c>
      <c r="F59" s="0" t="n">
        <v>2</v>
      </c>
      <c r="G59" s="0" t="n">
        <v>45</v>
      </c>
      <c r="H59" s="0" t="n">
        <v>607</v>
      </c>
      <c r="I59" s="0" t="n">
        <v>14</v>
      </c>
      <c r="J59" s="0" t="n">
        <v>160</v>
      </c>
      <c r="K59" s="0" t="n">
        <v>1</v>
      </c>
      <c r="L59" s="0" t="n">
        <v>43885</v>
      </c>
    </row>
    <row r="60" customFormat="false" ht="13.5" hidden="false" customHeight="false" outlineLevel="0" collapsed="false">
      <c r="A60" s="0" t="s">
        <v>77</v>
      </c>
      <c r="B60" s="1" t="n">
        <v>43920</v>
      </c>
      <c r="C60" s="0" t="n">
        <v>713</v>
      </c>
      <c r="D60" s="0" t="n">
        <v>56</v>
      </c>
      <c r="E60" s="0" t="n">
        <v>6</v>
      </c>
      <c r="F60" s="0" t="n">
        <v>1</v>
      </c>
      <c r="G60" s="0" t="n">
        <v>52</v>
      </c>
      <c r="H60" s="0" t="n">
        <v>655</v>
      </c>
      <c r="I60" s="0" t="n">
        <v>26</v>
      </c>
      <c r="J60" s="0" t="n">
        <v>174</v>
      </c>
      <c r="K60" s="0" t="n">
        <v>1</v>
      </c>
      <c r="L60" s="0" t="n">
        <v>43885</v>
      </c>
    </row>
    <row r="61" customFormat="false" ht="13.5" hidden="false" customHeight="false" outlineLevel="0" collapsed="false">
      <c r="A61" s="0" t="s">
        <v>77</v>
      </c>
      <c r="B61" s="1" t="n">
        <v>43921</v>
      </c>
      <c r="C61" s="0" t="n">
        <v>790</v>
      </c>
      <c r="D61" s="0" t="n">
        <v>77</v>
      </c>
      <c r="E61" s="0" t="n">
        <v>6</v>
      </c>
      <c r="G61" s="0" t="n">
        <v>67</v>
      </c>
      <c r="H61" s="0" t="n">
        <v>717</v>
      </c>
      <c r="I61" s="0" t="n">
        <v>27</v>
      </c>
      <c r="J61" s="0" t="n">
        <v>192</v>
      </c>
      <c r="K61" s="0" t="n">
        <v>1</v>
      </c>
      <c r="L61" s="0" t="n">
        <v>43885</v>
      </c>
    </row>
    <row r="62" customFormat="false" ht="13.5" hidden="false" customHeight="false" outlineLevel="0" collapsed="false">
      <c r="A62" s="0" t="s">
        <v>77</v>
      </c>
      <c r="B62" s="1" t="n">
        <v>43922</v>
      </c>
      <c r="C62" s="0" t="n">
        <v>867</v>
      </c>
      <c r="D62" s="0" t="n">
        <v>77</v>
      </c>
      <c r="E62" s="0" t="n">
        <v>6</v>
      </c>
      <c r="G62" s="0" t="n">
        <v>67</v>
      </c>
      <c r="H62" s="0" t="n">
        <v>794</v>
      </c>
      <c r="I62" s="0" t="n">
        <v>32</v>
      </c>
      <c r="J62" s="0" t="n">
        <v>211</v>
      </c>
      <c r="K62" s="0" t="n">
        <v>1</v>
      </c>
      <c r="L62" s="0" t="n">
        <v>43885</v>
      </c>
    </row>
    <row r="63" customFormat="false" ht="13.5" hidden="false" customHeight="false" outlineLevel="0" collapsed="false">
      <c r="A63" s="0" t="s">
        <v>77</v>
      </c>
      <c r="B63" s="1" t="n">
        <v>43923</v>
      </c>
      <c r="C63" s="0" t="n">
        <v>963</v>
      </c>
      <c r="D63" s="0" t="n">
        <v>96</v>
      </c>
      <c r="E63" s="0" t="n">
        <v>6</v>
      </c>
      <c r="G63" s="0" t="n">
        <v>73</v>
      </c>
      <c r="H63" s="0" t="n">
        <v>884</v>
      </c>
      <c r="I63" s="0" t="n">
        <v>34</v>
      </c>
      <c r="J63" s="0" t="n">
        <v>235</v>
      </c>
      <c r="K63" s="0" t="n">
        <v>1</v>
      </c>
      <c r="L63" s="0" t="n">
        <v>43885</v>
      </c>
    </row>
    <row r="64" customFormat="false" ht="13.5" hidden="false" customHeight="false" outlineLevel="0" collapsed="false">
      <c r="A64" s="0" t="s">
        <v>77</v>
      </c>
      <c r="B64" s="1" t="n">
        <v>43924</v>
      </c>
      <c r="C64" s="0" t="n">
        <v>1011</v>
      </c>
      <c r="D64" s="0" t="n">
        <v>48</v>
      </c>
      <c r="E64" s="0" t="n">
        <v>7</v>
      </c>
      <c r="F64" s="0" t="n">
        <v>1</v>
      </c>
      <c r="G64" s="0" t="n">
        <v>88</v>
      </c>
      <c r="H64" s="0" t="n">
        <v>916</v>
      </c>
      <c r="I64" s="0" t="n">
        <v>34</v>
      </c>
      <c r="J64" s="0" t="n">
        <v>246</v>
      </c>
      <c r="K64" s="0" t="n">
        <v>2</v>
      </c>
      <c r="L64" s="0" t="n">
        <v>43885</v>
      </c>
    </row>
    <row r="65" customFormat="false" ht="13.5" hidden="false" customHeight="false" outlineLevel="0" collapsed="false">
      <c r="A65" s="0" t="s">
        <v>77</v>
      </c>
      <c r="B65" s="1" t="n">
        <v>43925</v>
      </c>
      <c r="C65" s="0" t="n">
        <v>1079</v>
      </c>
      <c r="D65" s="0" t="n">
        <v>68</v>
      </c>
      <c r="E65" s="0" t="n">
        <v>8</v>
      </c>
      <c r="F65" s="0" t="n">
        <v>1</v>
      </c>
      <c r="G65" s="0" t="n">
        <v>92</v>
      </c>
      <c r="H65" s="0" t="n">
        <v>979</v>
      </c>
      <c r="I65" s="0" t="n">
        <v>39</v>
      </c>
      <c r="J65" s="0" t="n">
        <v>263</v>
      </c>
      <c r="K65" s="0" t="n">
        <v>2</v>
      </c>
    </row>
    <row r="66" customFormat="false" ht="13.5" hidden="false" customHeight="false" outlineLevel="0" collapsed="false">
      <c r="A66" s="0" t="s">
        <v>77</v>
      </c>
      <c r="B66" s="1" t="n">
        <v>43926</v>
      </c>
      <c r="C66" s="0" t="n">
        <v>1126</v>
      </c>
      <c r="D66" s="0" t="n">
        <v>47</v>
      </c>
      <c r="E66" s="0" t="n">
        <v>12</v>
      </c>
      <c r="F66" s="0" t="n">
        <v>4</v>
      </c>
      <c r="G66" s="0" t="n">
        <v>119</v>
      </c>
      <c r="H66" s="0" t="n">
        <v>995</v>
      </c>
      <c r="I66" s="0" t="n">
        <v>39</v>
      </c>
      <c r="J66" s="0" t="n">
        <v>274</v>
      </c>
      <c r="K66" s="0" t="n">
        <v>3</v>
      </c>
      <c r="L66" s="0" t="n">
        <v>9833</v>
      </c>
      <c r="M66" s="0" t="n">
        <v>2395</v>
      </c>
    </row>
    <row r="67" customFormat="false" ht="13.5" hidden="false" customHeight="false" outlineLevel="0" collapsed="false">
      <c r="A67" s="0" t="s">
        <v>77</v>
      </c>
      <c r="B67" s="1" t="n">
        <v>43927</v>
      </c>
      <c r="C67" s="0" t="n">
        <v>1182</v>
      </c>
      <c r="D67" s="0" t="n">
        <v>56</v>
      </c>
      <c r="E67" s="0" t="n">
        <v>15</v>
      </c>
      <c r="F67" s="0" t="n">
        <v>3</v>
      </c>
      <c r="G67" s="0" t="n">
        <v>125</v>
      </c>
      <c r="H67" s="0" t="n">
        <v>1042</v>
      </c>
      <c r="I67" s="0" t="n">
        <v>39</v>
      </c>
      <c r="J67" s="0" t="n">
        <v>288</v>
      </c>
      <c r="K67" s="0" t="n">
        <v>4</v>
      </c>
      <c r="L67" s="0" t="n">
        <v>10847</v>
      </c>
      <c r="M67" s="0" t="n">
        <v>2642</v>
      </c>
    </row>
    <row r="68" customFormat="false" ht="13.5" hidden="false" customHeight="false" outlineLevel="0" collapsed="false">
      <c r="A68" s="0" t="s">
        <v>77</v>
      </c>
      <c r="B68" s="1" t="n">
        <v>43928</v>
      </c>
      <c r="C68" s="0" t="n">
        <v>1222</v>
      </c>
      <c r="D68" s="0" t="n">
        <v>40</v>
      </c>
      <c r="E68" s="0" t="n">
        <v>16</v>
      </c>
      <c r="F68" s="0" t="n">
        <v>1</v>
      </c>
      <c r="G68" s="0" t="n">
        <v>130</v>
      </c>
      <c r="H68" s="0" t="n">
        <v>1076</v>
      </c>
      <c r="I68" s="0" t="n">
        <v>36</v>
      </c>
      <c r="J68" s="0" t="n">
        <v>298</v>
      </c>
      <c r="K68" s="0" t="n">
        <v>4</v>
      </c>
      <c r="L68" s="0" t="n">
        <v>11464</v>
      </c>
      <c r="M68" s="0" t="n">
        <v>2793</v>
      </c>
    </row>
    <row r="69" customFormat="false" ht="13.5" hidden="false" customHeight="false" outlineLevel="0" collapsed="false">
      <c r="A69" s="0" t="s">
        <v>77</v>
      </c>
      <c r="B69" s="1" t="n">
        <v>43929</v>
      </c>
      <c r="C69" s="0" t="n">
        <v>1282</v>
      </c>
      <c r="D69" s="0" t="n">
        <v>60</v>
      </c>
      <c r="E69" s="0" t="n">
        <v>18</v>
      </c>
      <c r="F69" s="0" t="n">
        <v>2</v>
      </c>
      <c r="G69" s="0" t="n">
        <v>167</v>
      </c>
      <c r="H69" s="0" t="n">
        <v>1097</v>
      </c>
      <c r="I69" s="0" t="n">
        <v>35</v>
      </c>
      <c r="J69" s="0" t="n">
        <v>312</v>
      </c>
      <c r="K69" s="0" t="n">
        <v>4</v>
      </c>
      <c r="L69" s="0" t="n">
        <v>12322</v>
      </c>
      <c r="M69" s="0" t="n">
        <v>3002</v>
      </c>
    </row>
    <row r="70" customFormat="false" ht="13.5" hidden="false" customHeight="false" outlineLevel="0" collapsed="false">
      <c r="A70" s="0" t="s">
        <v>77</v>
      </c>
      <c r="B70" s="1" t="n">
        <v>43930</v>
      </c>
      <c r="C70" s="0" t="n">
        <v>1343</v>
      </c>
      <c r="D70" s="0" t="n">
        <v>61</v>
      </c>
      <c r="E70" s="0" t="n">
        <v>19</v>
      </c>
      <c r="F70" s="0" t="n">
        <v>1</v>
      </c>
      <c r="G70" s="0" t="n">
        <v>179</v>
      </c>
      <c r="H70" s="0" t="n">
        <v>1145</v>
      </c>
      <c r="I70" s="0" t="n">
        <v>36</v>
      </c>
      <c r="J70" s="0" t="n">
        <v>327</v>
      </c>
      <c r="K70" s="0" t="n">
        <v>5</v>
      </c>
      <c r="L70" s="0" t="n">
        <v>13125</v>
      </c>
      <c r="M70" s="0" t="n">
        <v>3197</v>
      </c>
    </row>
    <row r="71" customFormat="false" ht="13.5" hidden="false" customHeight="false" outlineLevel="0" collapsed="false">
      <c r="A71" s="0" t="s">
        <v>77</v>
      </c>
      <c r="B71" s="1" t="n">
        <v>43931</v>
      </c>
      <c r="C71" s="0" t="n">
        <v>1407</v>
      </c>
      <c r="D71" s="0" t="n">
        <v>64</v>
      </c>
      <c r="E71" s="0" t="n">
        <v>20</v>
      </c>
      <c r="F71" s="0" t="n">
        <v>1</v>
      </c>
      <c r="G71" s="0" t="n">
        <v>219</v>
      </c>
      <c r="H71" s="0" t="n">
        <v>1168</v>
      </c>
      <c r="I71" s="0" t="n">
        <v>34</v>
      </c>
      <c r="J71" s="0" t="n">
        <v>343</v>
      </c>
      <c r="K71" s="0" t="n">
        <v>5</v>
      </c>
      <c r="L71" s="0" t="n">
        <v>13680</v>
      </c>
      <c r="M71" s="0" t="n">
        <v>3332</v>
      </c>
    </row>
    <row r="72" customFormat="false" ht="13.5" hidden="false" customHeight="false" outlineLevel="0" collapsed="false">
      <c r="A72" s="0" t="s">
        <v>77</v>
      </c>
      <c r="B72" s="1" t="n">
        <v>43932</v>
      </c>
      <c r="C72" s="0" t="n">
        <v>1495</v>
      </c>
      <c r="D72" s="0" t="n">
        <v>88</v>
      </c>
      <c r="E72" s="0" t="n">
        <v>21</v>
      </c>
      <c r="F72" s="0" t="n">
        <v>1</v>
      </c>
      <c r="G72" s="0" t="n">
        <v>231</v>
      </c>
      <c r="H72" s="0" t="n">
        <v>1243</v>
      </c>
      <c r="I72" s="0" t="n">
        <v>34</v>
      </c>
      <c r="J72" s="0" t="n">
        <v>364</v>
      </c>
      <c r="K72" s="0" t="n">
        <v>5</v>
      </c>
      <c r="L72" s="0" t="n">
        <v>14612</v>
      </c>
      <c r="M72" s="0" t="n">
        <v>3559</v>
      </c>
    </row>
    <row r="73" customFormat="false" ht="13.5" hidden="false" customHeight="false" outlineLevel="0" collapsed="false">
      <c r="A73" s="0" t="s">
        <v>77</v>
      </c>
      <c r="B73" s="1" t="n">
        <v>43933</v>
      </c>
      <c r="C73" s="0" t="n">
        <v>1534</v>
      </c>
      <c r="D73" s="0" t="n">
        <v>39</v>
      </c>
      <c r="E73" s="0" t="n">
        <v>21</v>
      </c>
      <c r="F73" s="0" t="n">
        <v>0</v>
      </c>
      <c r="G73" s="0" t="n">
        <v>323</v>
      </c>
      <c r="H73" s="0" t="n">
        <v>1190</v>
      </c>
      <c r="I73" s="0" t="n">
        <v>32</v>
      </c>
      <c r="J73" s="0" t="n">
        <v>374</v>
      </c>
      <c r="K73" s="0" t="n">
        <v>5</v>
      </c>
      <c r="L73" s="0" t="n">
        <v>15691</v>
      </c>
      <c r="M73" s="0" t="n">
        <v>3822</v>
      </c>
    </row>
    <row r="74" customFormat="false" ht="13.5" hidden="false" customHeight="false" outlineLevel="0" collapsed="false">
      <c r="A74" s="0" t="s">
        <v>77</v>
      </c>
      <c r="B74" s="1" t="n">
        <v>43934</v>
      </c>
      <c r="C74" s="0" t="n">
        <v>1600</v>
      </c>
      <c r="D74" s="0" t="n">
        <v>66</v>
      </c>
      <c r="E74" s="0" t="n">
        <v>23</v>
      </c>
      <c r="F74" s="0" t="n">
        <v>2</v>
      </c>
      <c r="G74" s="0" t="n">
        <v>373</v>
      </c>
      <c r="H74" s="0" t="n">
        <v>1204</v>
      </c>
      <c r="I74" s="0" t="n">
        <v>34</v>
      </c>
      <c r="J74" s="0" t="n">
        <v>390</v>
      </c>
      <c r="K74" s="0" t="n">
        <v>6</v>
      </c>
      <c r="L74" s="0" t="n">
        <v>16381</v>
      </c>
      <c r="M74" s="0" t="n">
        <v>3990</v>
      </c>
    </row>
    <row r="75" customFormat="false" ht="13.5" hidden="false" customHeight="false" outlineLevel="0" collapsed="false">
      <c r="A75" s="0" t="s">
        <v>77</v>
      </c>
      <c r="B75" s="1" t="n">
        <v>43935</v>
      </c>
      <c r="C75" s="0" t="n">
        <v>1650</v>
      </c>
      <c r="D75" s="0" t="n">
        <v>50</v>
      </c>
      <c r="E75" s="0" t="n">
        <v>25</v>
      </c>
      <c r="F75" s="0" t="n">
        <v>2</v>
      </c>
      <c r="G75" s="0" t="n">
        <v>400</v>
      </c>
      <c r="H75" s="0" t="n">
        <v>1225</v>
      </c>
      <c r="I75" s="0" t="n">
        <v>34</v>
      </c>
      <c r="J75" s="0" t="n">
        <v>402</v>
      </c>
      <c r="K75" s="0" t="n">
        <v>6</v>
      </c>
      <c r="L75" s="0" t="n">
        <v>17790</v>
      </c>
      <c r="M75" s="0" t="n">
        <v>4333</v>
      </c>
    </row>
    <row r="76" customFormat="false" ht="13.5" hidden="false" customHeight="false" outlineLevel="0" collapsed="false">
      <c r="A76" s="0" t="s">
        <v>77</v>
      </c>
      <c r="B76" s="1" t="n">
        <v>43936</v>
      </c>
      <c r="C76" s="0" t="n">
        <v>1704</v>
      </c>
      <c r="D76" s="0" t="n">
        <v>54</v>
      </c>
      <c r="E76" s="0" t="n">
        <v>31</v>
      </c>
      <c r="F76" s="0" t="n">
        <v>6</v>
      </c>
      <c r="G76" s="0" t="n">
        <v>415</v>
      </c>
      <c r="H76" s="0" t="n">
        <v>1258</v>
      </c>
      <c r="I76" s="0" t="n">
        <v>34</v>
      </c>
      <c r="J76" s="0" t="n">
        <v>415</v>
      </c>
      <c r="K76" s="0" t="n">
        <v>8</v>
      </c>
      <c r="L76" s="0" t="n">
        <v>18359</v>
      </c>
      <c r="M76" s="0" t="n">
        <v>4472</v>
      </c>
    </row>
    <row r="77" customFormat="false" ht="13.5" hidden="false" customHeight="false" outlineLevel="0" collapsed="false">
      <c r="A77" s="0" t="s">
        <v>77</v>
      </c>
      <c r="B77" s="1" t="n">
        <v>43937</v>
      </c>
      <c r="C77" s="0" t="n">
        <v>1741</v>
      </c>
      <c r="D77" s="0" t="n">
        <v>37</v>
      </c>
      <c r="E77" s="0" t="n">
        <v>33</v>
      </c>
      <c r="F77" s="0" t="n">
        <v>2</v>
      </c>
      <c r="G77" s="0" t="n">
        <v>473</v>
      </c>
      <c r="H77" s="0" t="n">
        <v>1235</v>
      </c>
      <c r="I77" s="0" t="n">
        <v>31</v>
      </c>
      <c r="J77" s="0" t="n">
        <v>424</v>
      </c>
      <c r="K77" s="0" t="n">
        <v>8</v>
      </c>
      <c r="L77" s="0" t="n">
        <v>19256</v>
      </c>
      <c r="M77" s="0" t="n">
        <v>4691</v>
      </c>
    </row>
    <row r="78" customFormat="false" ht="13.5" hidden="false" customHeight="false" outlineLevel="0" collapsed="false">
      <c r="A78" s="0" t="s">
        <v>77</v>
      </c>
      <c r="B78" s="1" t="n">
        <v>43938</v>
      </c>
      <c r="C78" s="0" t="n">
        <v>1791</v>
      </c>
      <c r="D78" s="0" t="n">
        <v>50</v>
      </c>
      <c r="E78" s="0" t="n">
        <v>35</v>
      </c>
      <c r="F78" s="0" t="n">
        <v>2</v>
      </c>
      <c r="G78" s="0" t="n">
        <v>529</v>
      </c>
      <c r="H78" s="0" t="n">
        <v>1227</v>
      </c>
      <c r="I78" s="0" t="n">
        <v>31</v>
      </c>
      <c r="J78" s="0" t="n">
        <v>436</v>
      </c>
      <c r="K78" s="0" t="n">
        <v>9</v>
      </c>
      <c r="L78" s="0" t="n">
        <v>20158</v>
      </c>
      <c r="M78" s="0" t="n">
        <v>4910</v>
      </c>
    </row>
    <row r="79" customFormat="false" ht="13.5" hidden="false" customHeight="false" outlineLevel="0" collapsed="false">
      <c r="A79" s="0" t="s">
        <v>77</v>
      </c>
      <c r="B79" s="1" t="n">
        <v>43939</v>
      </c>
      <c r="C79" s="0" t="n">
        <v>1814</v>
      </c>
      <c r="D79" s="0" t="n">
        <v>23</v>
      </c>
      <c r="E79" s="0" t="n">
        <v>36</v>
      </c>
      <c r="F79" s="0" t="n">
        <v>1</v>
      </c>
      <c r="G79" s="0" t="n">
        <v>600</v>
      </c>
      <c r="H79" s="0" t="n">
        <v>1178</v>
      </c>
      <c r="I79" s="0" t="n">
        <v>30</v>
      </c>
      <c r="J79" s="0" t="n">
        <v>442</v>
      </c>
      <c r="K79" s="0" t="n">
        <v>9</v>
      </c>
      <c r="L79" s="0" t="n">
        <v>20953</v>
      </c>
      <c r="M79" s="0" t="n">
        <v>5104</v>
      </c>
    </row>
    <row r="80" customFormat="false" ht="13.5" hidden="false" customHeight="false" outlineLevel="0" collapsed="false">
      <c r="A80" s="0" t="s">
        <v>77</v>
      </c>
      <c r="B80" s="1" t="n">
        <v>43940</v>
      </c>
      <c r="C80" s="0" t="n">
        <v>1832</v>
      </c>
      <c r="D80" s="0" t="n">
        <v>18</v>
      </c>
      <c r="E80" s="0" t="n">
        <v>39</v>
      </c>
      <c r="F80" s="0" t="n">
        <v>3</v>
      </c>
      <c r="G80" s="0" t="n">
        <v>615</v>
      </c>
      <c r="H80" s="0" t="n">
        <v>1178</v>
      </c>
      <c r="I80" s="0" t="n">
        <v>27</v>
      </c>
      <c r="J80" s="0" t="n">
        <v>446</v>
      </c>
      <c r="K80" s="0" t="n">
        <v>9</v>
      </c>
      <c r="L80" s="0" t="n">
        <v>21647</v>
      </c>
      <c r="M80" s="0" t="n">
        <v>5273</v>
      </c>
    </row>
    <row r="81" customFormat="false" ht="13.5" hidden="false" customHeight="false" outlineLevel="0" collapsed="false">
      <c r="A81" s="0" t="s">
        <v>77</v>
      </c>
      <c r="B81" s="1" t="n">
        <v>43941</v>
      </c>
      <c r="C81" s="0" t="n">
        <v>1871</v>
      </c>
      <c r="D81" s="0" t="n">
        <v>39</v>
      </c>
      <c r="E81" s="0" t="n">
        <v>47</v>
      </c>
      <c r="F81" s="0" t="n">
        <v>8</v>
      </c>
      <c r="G81" s="0" t="n">
        <v>709</v>
      </c>
      <c r="H81" s="0" t="n">
        <v>1115</v>
      </c>
      <c r="I81" s="0" t="n">
        <v>23</v>
      </c>
      <c r="J81" s="0" t="n">
        <v>456</v>
      </c>
      <c r="K81" s="0" t="n">
        <v>11</v>
      </c>
      <c r="L81" s="0" t="n">
        <v>24186</v>
      </c>
      <c r="M81" s="0" t="n">
        <v>5891</v>
      </c>
    </row>
    <row r="82" customFormat="false" ht="13.5" hidden="false" customHeight="false" outlineLevel="0" collapsed="false">
      <c r="A82" s="0" t="s">
        <v>77</v>
      </c>
      <c r="B82" s="1" t="n">
        <v>43942</v>
      </c>
      <c r="C82" s="0" t="n">
        <v>1881</v>
      </c>
      <c r="D82" s="0" t="n">
        <v>10</v>
      </c>
      <c r="E82" s="0" t="n">
        <v>47</v>
      </c>
      <c r="F82" s="0" t="n">
        <v>0</v>
      </c>
      <c r="G82" s="0" t="n">
        <v>771</v>
      </c>
      <c r="H82" s="0" t="n">
        <v>1063</v>
      </c>
      <c r="I82" s="0" t="n">
        <v>18</v>
      </c>
      <c r="J82" s="0" t="n">
        <v>458</v>
      </c>
      <c r="K82" s="0" t="n">
        <v>11</v>
      </c>
      <c r="L82" s="0" t="n">
        <v>26610</v>
      </c>
      <c r="M82" s="0" t="n">
        <v>6482</v>
      </c>
    </row>
    <row r="83" customFormat="false" ht="13.5" hidden="false" customHeight="false" outlineLevel="0" collapsed="false">
      <c r="A83" s="0" t="s">
        <v>77</v>
      </c>
      <c r="B83" s="1" t="n">
        <v>43943</v>
      </c>
      <c r="C83" s="0" t="n">
        <v>1908</v>
      </c>
      <c r="D83" s="0" t="n">
        <v>27</v>
      </c>
      <c r="E83" s="0" t="n">
        <v>48</v>
      </c>
      <c r="F83" s="0" t="n">
        <v>1</v>
      </c>
      <c r="G83" s="0" t="n">
        <v>801</v>
      </c>
      <c r="H83" s="0" t="n">
        <v>1059</v>
      </c>
      <c r="I83" s="0" t="n">
        <v>18</v>
      </c>
      <c r="J83" s="0" t="n">
        <v>465</v>
      </c>
      <c r="K83" s="0" t="n">
        <v>12</v>
      </c>
      <c r="L83" s="0" t="n">
        <v>26610</v>
      </c>
      <c r="M83" s="0" t="n">
        <v>6482</v>
      </c>
    </row>
    <row r="84" customFormat="false" ht="13.5" hidden="false" customHeight="false" outlineLevel="0" collapsed="false">
      <c r="A84" s="0" t="s">
        <v>77</v>
      </c>
      <c r="B84" s="1" t="n">
        <v>43944</v>
      </c>
      <c r="C84" s="0" t="n">
        <v>1950</v>
      </c>
      <c r="D84" s="0" t="n">
        <v>42</v>
      </c>
      <c r="E84" s="0" t="n">
        <v>48</v>
      </c>
      <c r="F84" s="0" t="n">
        <v>0</v>
      </c>
      <c r="G84" s="0" t="n">
        <v>869</v>
      </c>
      <c r="H84" s="0" t="n">
        <v>1033</v>
      </c>
      <c r="I84" s="0" t="n">
        <v>19</v>
      </c>
      <c r="J84" s="0" t="n">
        <v>475</v>
      </c>
      <c r="K84" s="0" t="n">
        <v>12</v>
      </c>
      <c r="L84" s="0" t="n">
        <v>27614</v>
      </c>
      <c r="M84" s="0" t="n">
        <v>6726</v>
      </c>
    </row>
    <row r="85" customFormat="false" ht="13.5" hidden="false" customHeight="false" outlineLevel="0" collapsed="false">
      <c r="A85" s="0" t="s">
        <v>77</v>
      </c>
      <c r="B85" s="1" t="n">
        <v>43945</v>
      </c>
      <c r="C85" s="0" t="n">
        <v>1981</v>
      </c>
      <c r="D85" s="0" t="n">
        <v>31</v>
      </c>
      <c r="E85" s="0" t="n">
        <v>50</v>
      </c>
      <c r="F85" s="0" t="n">
        <v>2</v>
      </c>
      <c r="G85" s="0" t="n">
        <v>883</v>
      </c>
      <c r="H85" s="0" t="n">
        <v>1048</v>
      </c>
      <c r="I85" s="0" t="n">
        <v>19</v>
      </c>
      <c r="J85" s="0" t="n">
        <v>483</v>
      </c>
      <c r="K85" s="0" t="n">
        <v>12</v>
      </c>
      <c r="L85" s="0" t="n">
        <v>28853</v>
      </c>
      <c r="M85" s="0" t="n">
        <v>7028</v>
      </c>
    </row>
    <row r="86" customFormat="false" ht="13.5" hidden="false" customHeight="false" outlineLevel="0" collapsed="false">
      <c r="A86" s="0" t="s">
        <v>77</v>
      </c>
      <c r="B86" s="1" t="n">
        <v>43946</v>
      </c>
      <c r="C86" s="0" t="n">
        <v>2009</v>
      </c>
      <c r="D86" s="0" t="n">
        <v>28</v>
      </c>
      <c r="E86" s="0" t="n">
        <v>51</v>
      </c>
      <c r="F86" s="0" t="n">
        <v>1</v>
      </c>
      <c r="G86" s="0" t="n">
        <v>982</v>
      </c>
      <c r="H86" s="0" t="n">
        <v>976</v>
      </c>
      <c r="I86" s="0" t="n">
        <v>19</v>
      </c>
      <c r="J86" s="0" t="n">
        <v>489</v>
      </c>
      <c r="K86" s="0" t="n">
        <v>12</v>
      </c>
      <c r="L86" s="0" t="n">
        <v>30213</v>
      </c>
      <c r="M86" s="0" t="n">
        <v>7360</v>
      </c>
    </row>
    <row r="87" customFormat="false" ht="13.5" hidden="false" customHeight="false" outlineLevel="0" collapsed="false">
      <c r="A87" s="0" t="s">
        <v>77</v>
      </c>
      <c r="B87" s="1" t="n">
        <v>43947</v>
      </c>
      <c r="C87" s="0" t="n">
        <v>2016</v>
      </c>
      <c r="D87" s="0" t="n">
        <v>7</v>
      </c>
      <c r="E87" s="0" t="n">
        <v>54</v>
      </c>
      <c r="F87" s="0" t="n">
        <v>3</v>
      </c>
      <c r="G87" s="0" t="n">
        <v>1034</v>
      </c>
      <c r="H87" s="0" t="n">
        <v>928</v>
      </c>
      <c r="I87" s="0" t="n">
        <v>21</v>
      </c>
      <c r="J87" s="0" t="n">
        <v>491</v>
      </c>
      <c r="K87" s="0" t="n">
        <v>13</v>
      </c>
      <c r="L87" s="0" t="n">
        <v>30913</v>
      </c>
      <c r="M87" s="0" t="n">
        <v>7530</v>
      </c>
    </row>
    <row r="88" customFormat="false" ht="13.5" hidden="false" customHeight="false" outlineLevel="0" collapsed="false">
      <c r="A88" s="0" t="s">
        <v>77</v>
      </c>
      <c r="B88" s="1" t="n">
        <v>43948</v>
      </c>
      <c r="C88" s="0" t="n">
        <v>2030</v>
      </c>
      <c r="D88" s="0" t="n">
        <v>14</v>
      </c>
      <c r="E88" s="0" t="n">
        <v>55</v>
      </c>
      <c r="F88" s="0" t="n">
        <v>1</v>
      </c>
      <c r="G88" s="0" t="n">
        <v>1103</v>
      </c>
      <c r="H88" s="0" t="n">
        <v>872</v>
      </c>
      <c r="I88" s="0" t="n">
        <v>23</v>
      </c>
      <c r="J88" s="0" t="n">
        <v>494</v>
      </c>
      <c r="K88" s="0" t="n">
        <v>13</v>
      </c>
      <c r="L88" s="0" t="n">
        <v>31622</v>
      </c>
      <c r="M88" s="0" t="n">
        <v>7703</v>
      </c>
    </row>
    <row r="89" customFormat="false" ht="13.5" hidden="false" customHeight="false" outlineLevel="0" collapsed="false">
      <c r="A89" s="0" t="s">
        <v>77</v>
      </c>
      <c r="B89" s="1" t="n">
        <v>43949</v>
      </c>
      <c r="C89" s="2" t="n">
        <v>2039</v>
      </c>
      <c r="D89" s="2" t="n">
        <v>9</v>
      </c>
      <c r="E89" s="2" t="n">
        <v>59</v>
      </c>
      <c r="F89" s="2" t="n">
        <v>4</v>
      </c>
      <c r="G89" s="2" t="n">
        <v>1166</v>
      </c>
      <c r="H89" s="2" t="n">
        <v>814</v>
      </c>
      <c r="I89" s="2" t="n">
        <v>21</v>
      </c>
      <c r="J89" s="2" t="n">
        <v>497</v>
      </c>
      <c r="K89" s="2" t="n">
        <v>14</v>
      </c>
      <c r="L89" s="2" t="n">
        <v>32817</v>
      </c>
      <c r="M89" s="2" t="n">
        <v>7994</v>
      </c>
    </row>
    <row r="90" customFormat="false" ht="13.5" hidden="false" customHeight="false" outlineLevel="0" collapsed="false">
      <c r="A90" s="0" t="s">
        <v>77</v>
      </c>
      <c r="B90" s="1" t="n">
        <v>43950</v>
      </c>
      <c r="C90" s="2" t="n">
        <v>2047</v>
      </c>
      <c r="D90" s="2" t="n">
        <v>8</v>
      </c>
      <c r="E90" s="2" t="n">
        <v>63</v>
      </c>
      <c r="F90" s="2" t="n">
        <v>4</v>
      </c>
      <c r="G90" s="2" t="n">
        <v>1232</v>
      </c>
      <c r="H90" s="2" t="n">
        <v>752</v>
      </c>
      <c r="I90" s="2" t="n">
        <v>21</v>
      </c>
      <c r="J90" s="2" t="n">
        <v>499</v>
      </c>
      <c r="K90" s="2" t="n">
        <v>15</v>
      </c>
      <c r="L90" s="2" t="n">
        <v>33577</v>
      </c>
      <c r="M90" s="2" t="n">
        <v>8179</v>
      </c>
    </row>
    <row r="91" customFormat="false" ht="13.5" hidden="false" customHeight="false" outlineLevel="0" collapsed="false">
      <c r="A91" s="0" t="s">
        <v>77</v>
      </c>
      <c r="B91" s="1" t="n">
        <v>43951</v>
      </c>
      <c r="C91" s="2" t="n">
        <v>2062</v>
      </c>
      <c r="D91" s="2" t="n">
        <v>15</v>
      </c>
      <c r="E91" s="2" t="n">
        <v>67</v>
      </c>
      <c r="F91" s="2" t="n">
        <v>4</v>
      </c>
      <c r="G91" s="2" t="n">
        <v>1288</v>
      </c>
      <c r="H91" s="2" t="n">
        <v>707</v>
      </c>
      <c r="I91" s="2" t="n">
        <v>19</v>
      </c>
      <c r="J91" s="2" t="n">
        <v>502</v>
      </c>
      <c r="K91" s="2" t="n">
        <v>16</v>
      </c>
      <c r="L91" s="2" t="n">
        <v>34476</v>
      </c>
      <c r="M91" s="2" t="n">
        <v>8398</v>
      </c>
    </row>
    <row r="92" customFormat="false" ht="13.5" hidden="false" customHeight="false" outlineLevel="0" collapsed="false">
      <c r="A92" s="0" t="s">
        <v>77</v>
      </c>
      <c r="B92" s="1" t="n">
        <v>43952</v>
      </c>
      <c r="C92" s="2" t="n">
        <v>2076</v>
      </c>
      <c r="D92" s="2" t="n">
        <v>14</v>
      </c>
      <c r="E92" s="2" t="n">
        <v>69</v>
      </c>
      <c r="F92" s="2" t="n">
        <v>2</v>
      </c>
      <c r="G92" s="2" t="n">
        <v>1348</v>
      </c>
      <c r="H92" s="2" t="n">
        <v>659</v>
      </c>
      <c r="I92" s="2" t="n">
        <v>20</v>
      </c>
      <c r="J92" s="2" t="n">
        <v>506</v>
      </c>
      <c r="K92" s="2" t="n">
        <v>17</v>
      </c>
      <c r="L92" s="2" t="n">
        <v>36221</v>
      </c>
      <c r="M92" s="2" t="n">
        <v>8823</v>
      </c>
    </row>
    <row r="93" customFormat="false" ht="13.5" hidden="false" customHeight="false" outlineLevel="0" collapsed="false">
      <c r="A93" s="0" t="s">
        <v>77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77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77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77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77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77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77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77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77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77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77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77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77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77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77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77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77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77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77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77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77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77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77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77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77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77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77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77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77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77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77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77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77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77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77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77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77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77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77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77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77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77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77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77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77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n">
        <v>0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77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77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77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77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77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77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77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77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77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77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77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77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77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77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77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77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77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77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77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77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77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77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77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77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77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77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77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77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77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77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77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77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77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77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77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77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77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77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77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77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77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77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77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77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77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77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77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77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77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77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78</v>
      </c>
      <c r="B2" s="1" t="n">
        <v>43862</v>
      </c>
    </row>
    <row r="3" customFormat="false" ht="13.5" hidden="false" customHeight="false" outlineLevel="0" collapsed="false">
      <c r="A3" s="0" t="s">
        <v>78</v>
      </c>
      <c r="B3" s="1" t="n">
        <v>43863</v>
      </c>
    </row>
    <row r="4" customFormat="false" ht="13.5" hidden="false" customHeight="false" outlineLevel="0" collapsed="false">
      <c r="A4" s="0" t="s">
        <v>78</v>
      </c>
      <c r="B4" s="1" t="n">
        <v>43864</v>
      </c>
    </row>
    <row r="5" customFormat="false" ht="13.5" hidden="false" customHeight="false" outlineLevel="0" collapsed="false">
      <c r="A5" s="0" t="s">
        <v>78</v>
      </c>
      <c r="B5" s="1" t="n">
        <v>43865</v>
      </c>
    </row>
    <row r="6" customFormat="false" ht="13.5" hidden="false" customHeight="false" outlineLevel="0" collapsed="false">
      <c r="A6" s="0" t="s">
        <v>78</v>
      </c>
      <c r="B6" s="1" t="n">
        <v>43866</v>
      </c>
    </row>
    <row r="7" customFormat="false" ht="13.5" hidden="false" customHeight="false" outlineLevel="0" collapsed="false">
      <c r="A7" s="0" t="s">
        <v>78</v>
      </c>
      <c r="B7" s="1" t="n">
        <v>43867</v>
      </c>
    </row>
    <row r="8" customFormat="false" ht="13.5" hidden="false" customHeight="false" outlineLevel="0" collapsed="false">
      <c r="A8" s="0" t="s">
        <v>78</v>
      </c>
      <c r="B8" s="1" t="n">
        <v>43868</v>
      </c>
    </row>
    <row r="9" customFormat="false" ht="13.5" hidden="false" customHeight="false" outlineLevel="0" collapsed="false">
      <c r="A9" s="0" t="s">
        <v>78</v>
      </c>
      <c r="B9" s="1" t="n">
        <v>43869</v>
      </c>
    </row>
    <row r="10" customFormat="false" ht="13.5" hidden="false" customHeight="false" outlineLevel="0" collapsed="false">
      <c r="A10" s="0" t="s">
        <v>78</v>
      </c>
      <c r="B10" s="1" t="n">
        <v>43870</v>
      </c>
    </row>
    <row r="11" customFormat="false" ht="13.5" hidden="false" customHeight="false" outlineLevel="0" collapsed="false">
      <c r="A11" s="0" t="s">
        <v>78</v>
      </c>
      <c r="B11" s="1" t="n">
        <v>43871</v>
      </c>
    </row>
    <row r="12" customFormat="false" ht="13.5" hidden="false" customHeight="false" outlineLevel="0" collapsed="false">
      <c r="A12" s="0" t="s">
        <v>78</v>
      </c>
      <c r="B12" s="1" t="n">
        <v>43872</v>
      </c>
    </row>
    <row r="13" customFormat="false" ht="13.5" hidden="false" customHeight="false" outlineLevel="0" collapsed="false">
      <c r="A13" s="0" t="s">
        <v>78</v>
      </c>
      <c r="B13" s="1" t="n">
        <v>43873</v>
      </c>
    </row>
    <row r="14" customFormat="false" ht="13.5" hidden="false" customHeight="false" outlineLevel="0" collapsed="false">
      <c r="A14" s="0" t="s">
        <v>78</v>
      </c>
      <c r="B14" s="1" t="n">
        <v>43874</v>
      </c>
    </row>
    <row r="15" customFormat="false" ht="13.5" hidden="false" customHeight="false" outlineLevel="0" collapsed="false">
      <c r="A15" s="0" t="s">
        <v>78</v>
      </c>
      <c r="B15" s="1" t="n">
        <v>43875</v>
      </c>
    </row>
    <row r="16" customFormat="false" ht="13.5" hidden="false" customHeight="false" outlineLevel="0" collapsed="false">
      <c r="A16" s="0" t="s">
        <v>78</v>
      </c>
      <c r="B16" s="1" t="n">
        <v>43876</v>
      </c>
    </row>
    <row r="17" customFormat="false" ht="13.5" hidden="false" customHeight="false" outlineLevel="0" collapsed="false">
      <c r="A17" s="0" t="s">
        <v>78</v>
      </c>
      <c r="B17" s="1" t="n">
        <v>43877</v>
      </c>
    </row>
    <row r="18" customFormat="false" ht="13.5" hidden="false" customHeight="false" outlineLevel="0" collapsed="false">
      <c r="A18" s="0" t="s">
        <v>78</v>
      </c>
      <c r="B18" s="1" t="n">
        <v>43878</v>
      </c>
    </row>
    <row r="19" customFormat="false" ht="13.5" hidden="false" customHeight="false" outlineLevel="0" collapsed="false">
      <c r="A19" s="0" t="s">
        <v>78</v>
      </c>
      <c r="B19" s="1" t="n">
        <v>43879</v>
      </c>
    </row>
    <row r="20" customFormat="false" ht="13.5" hidden="false" customHeight="false" outlineLevel="0" collapsed="false">
      <c r="A20" s="0" t="s">
        <v>78</v>
      </c>
      <c r="B20" s="1" t="n">
        <v>43880</v>
      </c>
    </row>
    <row r="21" customFormat="false" ht="13.5" hidden="false" customHeight="false" outlineLevel="0" collapsed="false">
      <c r="A21" s="0" t="s">
        <v>78</v>
      </c>
      <c r="B21" s="1" t="n">
        <v>43881</v>
      </c>
    </row>
    <row r="22" customFormat="false" ht="13.5" hidden="false" customHeight="false" outlineLevel="0" collapsed="false">
      <c r="A22" s="0" t="s">
        <v>78</v>
      </c>
      <c r="B22" s="1" t="n">
        <v>43882</v>
      </c>
    </row>
    <row r="23" customFormat="false" ht="13.5" hidden="false" customHeight="false" outlineLevel="0" collapsed="false">
      <c r="A23" s="0" t="s">
        <v>78</v>
      </c>
      <c r="B23" s="1" t="n">
        <v>43883</v>
      </c>
    </row>
    <row r="24" customFormat="false" ht="13.5" hidden="false" customHeight="false" outlineLevel="0" collapsed="false">
      <c r="A24" s="0" t="s">
        <v>78</v>
      </c>
      <c r="B24" s="1" t="n">
        <v>43884</v>
      </c>
    </row>
    <row r="25" customFormat="false" ht="13.5" hidden="false" customHeight="false" outlineLevel="0" collapsed="false">
      <c r="A25" s="0" t="s">
        <v>78</v>
      </c>
      <c r="B25" s="1" t="n">
        <v>43885</v>
      </c>
    </row>
    <row r="26" customFormat="false" ht="13.5" hidden="false" customHeight="false" outlineLevel="0" collapsed="false">
      <c r="A26" s="0" t="s">
        <v>78</v>
      </c>
      <c r="B26" s="1" t="n">
        <v>43886</v>
      </c>
    </row>
    <row r="27" customFormat="false" ht="13.5" hidden="false" customHeight="false" outlineLevel="0" collapsed="false">
      <c r="A27" s="0" t="s">
        <v>78</v>
      </c>
      <c r="B27" s="1" t="n">
        <v>43887</v>
      </c>
    </row>
    <row r="28" customFormat="false" ht="13.5" hidden="false" customHeight="false" outlineLevel="0" collapsed="false">
      <c r="A28" s="0" t="s">
        <v>78</v>
      </c>
      <c r="B28" s="1" t="n">
        <v>43888</v>
      </c>
    </row>
    <row r="29" customFormat="false" ht="13.5" hidden="false" customHeight="false" outlineLevel="0" collapsed="false">
      <c r="A29" s="0" t="s">
        <v>78</v>
      </c>
      <c r="B29" s="1" t="n">
        <v>43889</v>
      </c>
    </row>
    <row r="30" customFormat="false" ht="13.5" hidden="false" customHeight="false" outlineLevel="0" collapsed="false">
      <c r="A30" s="0" t="s">
        <v>78</v>
      </c>
      <c r="B30" s="1" t="n">
        <v>43890</v>
      </c>
    </row>
    <row r="31" customFormat="false" ht="13.5" hidden="false" customHeight="false" outlineLevel="0" collapsed="false">
      <c r="A31" s="0" t="s">
        <v>78</v>
      </c>
      <c r="B31" s="1" t="n">
        <v>43891</v>
      </c>
    </row>
    <row r="32" customFormat="false" ht="13.5" hidden="false" customHeight="false" outlineLevel="0" collapsed="false">
      <c r="A32" s="0" t="s">
        <v>78</v>
      </c>
      <c r="B32" s="1" t="n">
        <v>43892</v>
      </c>
    </row>
    <row r="33" customFormat="false" ht="13.5" hidden="false" customHeight="false" outlineLevel="0" collapsed="false">
      <c r="A33" s="0" t="s">
        <v>78</v>
      </c>
      <c r="B33" s="1" t="n">
        <v>43893</v>
      </c>
    </row>
    <row r="34" customFormat="false" ht="13.5" hidden="false" customHeight="false" outlineLevel="0" collapsed="false">
      <c r="A34" s="0" t="s">
        <v>78</v>
      </c>
      <c r="B34" s="1" t="n">
        <v>43894</v>
      </c>
    </row>
    <row r="35" customFormat="false" ht="13.5" hidden="false" customHeight="false" outlineLevel="0" collapsed="false">
      <c r="A35" s="0" t="s">
        <v>78</v>
      </c>
      <c r="B35" s="1" t="n">
        <v>43895</v>
      </c>
    </row>
    <row r="36" customFormat="false" ht="13.5" hidden="false" customHeight="false" outlineLevel="0" collapsed="false">
      <c r="A36" s="0" t="s">
        <v>78</v>
      </c>
      <c r="B36" s="1" t="n">
        <v>43896</v>
      </c>
    </row>
    <row r="37" customFormat="false" ht="13.5" hidden="false" customHeight="false" outlineLevel="0" collapsed="false">
      <c r="A37" s="0" t="s">
        <v>78</v>
      </c>
      <c r="B37" s="1" t="n">
        <v>43897</v>
      </c>
      <c r="C37" s="0" t="n">
        <v>16</v>
      </c>
      <c r="G37" s="0" t="n">
        <v>2</v>
      </c>
      <c r="H37" s="0" t="n">
        <v>14</v>
      </c>
    </row>
    <row r="38" customFormat="false" ht="13.5" hidden="false" customHeight="false" outlineLevel="0" collapsed="false">
      <c r="A38" s="0" t="s">
        <v>78</v>
      </c>
      <c r="B38" s="1" t="n">
        <v>43898</v>
      </c>
      <c r="C38" s="0" t="n">
        <v>16</v>
      </c>
      <c r="D38" s="0" t="n">
        <v>0</v>
      </c>
      <c r="G38" s="0" t="n">
        <v>2</v>
      </c>
      <c r="H38" s="0" t="n">
        <v>14</v>
      </c>
      <c r="J38" s="0" t="n">
        <v>3.1</v>
      </c>
    </row>
    <row r="39" customFormat="false" ht="13.5" hidden="false" customHeight="false" outlineLevel="0" collapsed="false">
      <c r="A39" s="0" t="s">
        <v>78</v>
      </c>
      <c r="B39" s="1" t="n">
        <v>43899</v>
      </c>
      <c r="C39" s="0" t="n">
        <v>16</v>
      </c>
      <c r="D39" s="0" t="n">
        <v>0</v>
      </c>
      <c r="G39" s="0" t="n">
        <v>2</v>
      </c>
      <c r="H39" s="0" t="n">
        <v>14</v>
      </c>
      <c r="J39" s="0" t="n">
        <v>3.1</v>
      </c>
    </row>
    <row r="40" customFormat="false" ht="13.5" hidden="false" customHeight="false" outlineLevel="0" collapsed="false">
      <c r="A40" s="0" t="s">
        <v>78</v>
      </c>
      <c r="B40" s="1" t="n">
        <v>43900</v>
      </c>
      <c r="C40" s="0" t="n">
        <v>18</v>
      </c>
      <c r="D40" s="0" t="n">
        <v>2</v>
      </c>
      <c r="G40" s="0" t="n">
        <v>9</v>
      </c>
      <c r="H40" s="0" t="n">
        <v>9</v>
      </c>
      <c r="J40" s="0" t="n">
        <v>3.5</v>
      </c>
    </row>
    <row r="41" customFormat="false" ht="13.5" hidden="false" customHeight="false" outlineLevel="0" collapsed="false">
      <c r="A41" s="0" t="s">
        <v>78</v>
      </c>
      <c r="B41" s="1" t="n">
        <v>43901</v>
      </c>
      <c r="C41" s="0" t="n">
        <v>18</v>
      </c>
      <c r="D41" s="0" t="n">
        <v>0</v>
      </c>
      <c r="G41" s="0" t="n">
        <v>9</v>
      </c>
      <c r="H41" s="0" t="n">
        <v>9</v>
      </c>
      <c r="J41" s="0" t="n">
        <v>3.5</v>
      </c>
    </row>
    <row r="42" customFormat="false" ht="13.5" hidden="false" customHeight="false" outlineLevel="0" collapsed="false">
      <c r="A42" s="0" t="s">
        <v>78</v>
      </c>
      <c r="B42" s="1" t="n">
        <v>43902</v>
      </c>
      <c r="C42" s="0" t="n">
        <v>18</v>
      </c>
      <c r="D42" s="0" t="n">
        <v>0</v>
      </c>
      <c r="G42" s="0" t="n">
        <v>9</v>
      </c>
      <c r="H42" s="0" t="n">
        <v>9</v>
      </c>
      <c r="J42" s="0" t="n">
        <v>3.5</v>
      </c>
    </row>
    <row r="43" customFormat="false" ht="13.5" hidden="false" customHeight="false" outlineLevel="0" collapsed="false">
      <c r="A43" s="0" t="s">
        <v>78</v>
      </c>
      <c r="B43" s="1" t="n">
        <v>43903</v>
      </c>
      <c r="C43" s="0" t="n">
        <v>18</v>
      </c>
      <c r="D43" s="0" t="n">
        <v>0</v>
      </c>
      <c r="G43" s="0" t="n">
        <v>9</v>
      </c>
      <c r="H43" s="0" t="n">
        <v>9</v>
      </c>
      <c r="J43" s="0" t="n">
        <v>3.5</v>
      </c>
    </row>
    <row r="44" customFormat="false" ht="13.5" hidden="false" customHeight="false" outlineLevel="0" collapsed="false">
      <c r="A44" s="0" t="s">
        <v>78</v>
      </c>
      <c r="B44" s="1" t="n">
        <v>43904</v>
      </c>
      <c r="C44" s="0" t="n">
        <v>19</v>
      </c>
      <c r="D44" s="0" t="n">
        <v>1</v>
      </c>
      <c r="G44" s="0" t="n">
        <v>9</v>
      </c>
      <c r="H44" s="0" t="n">
        <v>10</v>
      </c>
      <c r="J44" s="0" t="n">
        <v>3.7</v>
      </c>
    </row>
    <row r="45" customFormat="false" ht="13.5" hidden="false" customHeight="false" outlineLevel="0" collapsed="false">
      <c r="A45" s="0" t="s">
        <v>78</v>
      </c>
      <c r="B45" s="1" t="n">
        <v>43905</v>
      </c>
      <c r="C45" s="0" t="n">
        <v>19</v>
      </c>
      <c r="D45" s="0" t="n">
        <v>0</v>
      </c>
      <c r="G45" s="0" t="n">
        <v>9</v>
      </c>
      <c r="H45" s="0" t="n">
        <v>10</v>
      </c>
      <c r="J45" s="0" t="n">
        <v>3.7</v>
      </c>
    </row>
    <row r="46" customFormat="false" ht="13.5" hidden="false" customHeight="false" outlineLevel="0" collapsed="false">
      <c r="A46" s="0" t="s">
        <v>78</v>
      </c>
      <c r="B46" s="1" t="n">
        <v>43906</v>
      </c>
      <c r="C46" s="0" t="n">
        <v>22</v>
      </c>
      <c r="D46" s="0" t="n">
        <v>3</v>
      </c>
      <c r="G46" s="0" t="n">
        <v>9</v>
      </c>
      <c r="H46" s="0" t="n">
        <v>13</v>
      </c>
      <c r="J46" s="0" t="n">
        <v>4.3</v>
      </c>
    </row>
    <row r="47" customFormat="false" ht="13.5" hidden="false" customHeight="false" outlineLevel="0" collapsed="false">
      <c r="A47" s="0" t="s">
        <v>78</v>
      </c>
      <c r="B47" s="1" t="n">
        <v>43907</v>
      </c>
      <c r="C47" s="0" t="n">
        <v>22</v>
      </c>
      <c r="D47" s="0" t="n">
        <v>0</v>
      </c>
      <c r="G47" s="0" t="n">
        <v>9</v>
      </c>
      <c r="H47" s="0" t="n">
        <v>13</v>
      </c>
      <c r="J47" s="0" t="n">
        <v>4.3</v>
      </c>
    </row>
    <row r="48" customFormat="false" ht="13.5" hidden="false" customHeight="false" outlineLevel="0" collapsed="false">
      <c r="A48" s="0" t="s">
        <v>78</v>
      </c>
      <c r="B48" s="1" t="n">
        <v>43908</v>
      </c>
      <c r="C48" s="0" t="n">
        <v>33</v>
      </c>
      <c r="D48" s="0" t="n">
        <v>11</v>
      </c>
      <c r="G48" s="0" t="n">
        <v>12</v>
      </c>
      <c r="H48" s="0" t="n">
        <v>21</v>
      </c>
      <c r="J48" s="0" t="n">
        <v>6.5</v>
      </c>
    </row>
    <row r="49" customFormat="false" ht="13.5" hidden="false" customHeight="false" outlineLevel="0" collapsed="false">
      <c r="A49" s="0" t="s">
        <v>78</v>
      </c>
      <c r="B49" s="1" t="n">
        <v>43909</v>
      </c>
      <c r="C49" s="0" t="n">
        <v>39</v>
      </c>
      <c r="D49" s="0" t="n">
        <v>6</v>
      </c>
      <c r="G49" s="0" t="n">
        <v>13</v>
      </c>
      <c r="H49" s="0" t="n">
        <v>26</v>
      </c>
      <c r="J49" s="0" t="n">
        <v>8</v>
      </c>
    </row>
    <row r="50" customFormat="false" ht="13.5" hidden="false" customHeight="false" outlineLevel="0" collapsed="false">
      <c r="A50" s="0" t="s">
        <v>78</v>
      </c>
      <c r="B50" s="1" t="n">
        <v>43910</v>
      </c>
      <c r="C50" s="0" t="n">
        <v>48</v>
      </c>
      <c r="D50" s="0" t="n">
        <v>9</v>
      </c>
      <c r="G50" s="0" t="n">
        <v>13</v>
      </c>
      <c r="H50" s="0" t="n">
        <v>35</v>
      </c>
      <c r="J50" s="0" t="n">
        <v>9</v>
      </c>
    </row>
    <row r="51" customFormat="false" ht="13.5" hidden="false" customHeight="false" outlineLevel="0" collapsed="false">
      <c r="A51" s="0" t="s">
        <v>78</v>
      </c>
      <c r="B51" s="1" t="n">
        <v>43911</v>
      </c>
      <c r="C51" s="0" t="n">
        <v>52</v>
      </c>
      <c r="D51" s="0" t="n">
        <v>4</v>
      </c>
      <c r="G51" s="0" t="n">
        <v>13</v>
      </c>
      <c r="H51" s="0" t="n">
        <v>39</v>
      </c>
      <c r="J51" s="0" t="n">
        <v>10</v>
      </c>
    </row>
    <row r="52" customFormat="false" ht="13.5" hidden="false" customHeight="false" outlineLevel="0" collapsed="false">
      <c r="A52" s="0" t="s">
        <v>78</v>
      </c>
      <c r="B52" s="1" t="n">
        <v>43912</v>
      </c>
      <c r="C52" s="0" t="n">
        <v>52</v>
      </c>
      <c r="D52" s="0" t="n">
        <v>0</v>
      </c>
      <c r="G52" s="0" t="n">
        <v>13</v>
      </c>
      <c r="H52" s="0" t="n">
        <v>39</v>
      </c>
      <c r="J52" s="0" t="n">
        <v>10</v>
      </c>
    </row>
    <row r="53" customFormat="false" ht="13.5" hidden="false" customHeight="false" outlineLevel="0" collapsed="false">
      <c r="A53" s="0" t="s">
        <v>78</v>
      </c>
      <c r="B53" s="1" t="n">
        <v>43913</v>
      </c>
      <c r="C53" s="0" t="n">
        <v>55</v>
      </c>
      <c r="D53" s="0" t="n">
        <v>3</v>
      </c>
      <c r="G53" s="0" t="n">
        <v>17</v>
      </c>
      <c r="H53" s="0" t="n">
        <v>38</v>
      </c>
      <c r="J53" s="0" t="n">
        <v>11</v>
      </c>
    </row>
    <row r="54" customFormat="false" ht="13.5" hidden="false" customHeight="false" outlineLevel="0" collapsed="false">
      <c r="A54" s="0" t="s">
        <v>78</v>
      </c>
      <c r="B54" s="1" t="n">
        <v>43914</v>
      </c>
      <c r="C54" s="0" t="n">
        <v>66</v>
      </c>
      <c r="D54" s="0" t="n">
        <v>11</v>
      </c>
      <c r="G54" s="0" t="n">
        <v>17</v>
      </c>
      <c r="H54" s="0" t="n">
        <v>49</v>
      </c>
      <c r="J54" s="0" t="n">
        <v>13</v>
      </c>
    </row>
    <row r="55" customFormat="false" ht="13.5" hidden="false" customHeight="false" outlineLevel="0" collapsed="false">
      <c r="A55" s="0" t="s">
        <v>78</v>
      </c>
      <c r="B55" s="1" t="n">
        <v>43915</v>
      </c>
      <c r="C55" s="0" t="n">
        <v>84</v>
      </c>
      <c r="D55" s="0" t="n">
        <v>18</v>
      </c>
      <c r="G55" s="0" t="n">
        <v>17</v>
      </c>
      <c r="H55" s="0" t="n">
        <v>67</v>
      </c>
      <c r="J55" s="0" t="n">
        <v>16</v>
      </c>
    </row>
    <row r="56" customFormat="false" ht="13.5" hidden="false" customHeight="false" outlineLevel="0" collapsed="false">
      <c r="A56" s="0" t="s">
        <v>78</v>
      </c>
      <c r="B56" s="1" t="n">
        <v>43916</v>
      </c>
      <c r="C56" s="0" t="n">
        <v>99</v>
      </c>
      <c r="D56" s="0" t="n">
        <v>15</v>
      </c>
      <c r="G56" s="0" t="n">
        <v>17</v>
      </c>
      <c r="H56" s="0" t="n">
        <v>82</v>
      </c>
      <c r="J56" s="0" t="n">
        <v>19</v>
      </c>
    </row>
    <row r="57" customFormat="false" ht="13.5" hidden="false" customHeight="false" outlineLevel="0" collapsed="false">
      <c r="A57" s="0" t="s">
        <v>78</v>
      </c>
      <c r="B57" s="1" t="n">
        <v>43917</v>
      </c>
      <c r="C57" s="0" t="n">
        <v>109</v>
      </c>
      <c r="D57" s="0" t="n">
        <v>10</v>
      </c>
      <c r="G57" s="0" t="n">
        <v>23</v>
      </c>
      <c r="H57" s="0" t="n">
        <v>86</v>
      </c>
      <c r="J57" s="0" t="n">
        <v>21</v>
      </c>
    </row>
    <row r="58" customFormat="false" ht="13.5" hidden="false" customHeight="false" outlineLevel="0" collapsed="false">
      <c r="A58" s="0" t="s">
        <v>78</v>
      </c>
      <c r="B58" s="1" t="n">
        <v>43918</v>
      </c>
      <c r="C58" s="0" t="n">
        <v>131</v>
      </c>
      <c r="D58" s="0" t="n">
        <v>22</v>
      </c>
      <c r="G58" s="0" t="n">
        <v>23</v>
      </c>
      <c r="H58" s="0" t="n">
        <v>108</v>
      </c>
      <c r="J58" s="0" t="n">
        <v>26</v>
      </c>
    </row>
    <row r="59" customFormat="false" ht="13.5" hidden="false" customHeight="false" outlineLevel="0" collapsed="false">
      <c r="A59" s="0" t="s">
        <v>78</v>
      </c>
      <c r="B59" s="1" t="n">
        <v>43919</v>
      </c>
      <c r="C59" s="0" t="n">
        <v>152</v>
      </c>
      <c r="D59" s="0" t="n">
        <v>21</v>
      </c>
      <c r="G59" s="0" t="n">
        <v>23</v>
      </c>
      <c r="H59" s="0" t="n">
        <v>129</v>
      </c>
      <c r="J59" s="0" t="n">
        <v>30</v>
      </c>
    </row>
    <row r="60" customFormat="false" ht="13.5" hidden="false" customHeight="false" outlineLevel="0" collapsed="false">
      <c r="A60" s="0" t="s">
        <v>78</v>
      </c>
      <c r="B60" s="1" t="n">
        <v>43920</v>
      </c>
      <c r="C60" s="0" t="n">
        <v>167</v>
      </c>
      <c r="D60" s="0" t="n">
        <v>15</v>
      </c>
      <c r="G60" s="0" t="n">
        <v>23</v>
      </c>
      <c r="H60" s="0" t="n">
        <v>144</v>
      </c>
      <c r="J60" s="0" t="n">
        <v>33</v>
      </c>
    </row>
    <row r="61" customFormat="false" ht="13.5" hidden="false" customHeight="false" outlineLevel="0" collapsed="false">
      <c r="A61" s="0" t="s">
        <v>78</v>
      </c>
      <c r="B61" s="1" t="n">
        <v>43921</v>
      </c>
      <c r="C61" s="0" t="n">
        <v>179</v>
      </c>
      <c r="D61" s="0" t="n">
        <v>12</v>
      </c>
      <c r="G61" s="0" t="n">
        <v>29</v>
      </c>
      <c r="H61" s="0" t="n">
        <v>150</v>
      </c>
      <c r="I61" s="0" t="n">
        <v>3</v>
      </c>
      <c r="J61" s="0" t="n">
        <v>35</v>
      </c>
    </row>
    <row r="62" customFormat="false" ht="13.5" hidden="false" customHeight="false" outlineLevel="0" collapsed="false">
      <c r="A62" s="0" t="s">
        <v>78</v>
      </c>
      <c r="B62" s="1" t="n">
        <v>43922</v>
      </c>
      <c r="C62" s="0" t="n">
        <v>192</v>
      </c>
      <c r="D62" s="0" t="n">
        <v>13</v>
      </c>
      <c r="E62" s="0" t="n">
        <v>1</v>
      </c>
      <c r="F62" s="0" t="n">
        <v>1</v>
      </c>
      <c r="G62" s="0" t="n">
        <v>34</v>
      </c>
      <c r="H62" s="0" t="n">
        <v>157</v>
      </c>
      <c r="I62" s="0" t="n">
        <v>3</v>
      </c>
      <c r="J62" s="0" t="n">
        <v>38</v>
      </c>
      <c r="K62" s="0" t="n">
        <v>0.2</v>
      </c>
    </row>
    <row r="63" customFormat="false" ht="13.5" hidden="false" customHeight="false" outlineLevel="0" collapsed="false">
      <c r="A63" s="0" t="s">
        <v>78</v>
      </c>
      <c r="B63" s="1" t="n">
        <v>43923</v>
      </c>
      <c r="C63" s="0" t="n">
        <v>210</v>
      </c>
      <c r="D63" s="0" t="n">
        <v>18</v>
      </c>
      <c r="E63" s="0" t="n">
        <v>1</v>
      </c>
      <c r="G63" s="0" t="n">
        <v>34</v>
      </c>
      <c r="H63" s="0" t="n">
        <v>175</v>
      </c>
      <c r="I63" s="0" t="n">
        <v>3</v>
      </c>
      <c r="J63" s="0" t="n">
        <v>41</v>
      </c>
      <c r="K63" s="0" t="n">
        <v>0.2</v>
      </c>
    </row>
    <row r="64" customFormat="false" ht="13.5" hidden="false" customHeight="false" outlineLevel="0" collapsed="false">
      <c r="A64" s="0" t="s">
        <v>78</v>
      </c>
      <c r="B64" s="1" t="n">
        <v>43924</v>
      </c>
      <c r="C64" s="0" t="n">
        <v>231</v>
      </c>
      <c r="D64" s="0" t="n">
        <v>21</v>
      </c>
      <c r="E64" s="0" t="n">
        <v>1</v>
      </c>
      <c r="G64" s="0" t="n">
        <v>57</v>
      </c>
      <c r="H64" s="0" t="n">
        <v>173</v>
      </c>
      <c r="I64" s="0" t="n">
        <v>3</v>
      </c>
      <c r="J64" s="0" t="n">
        <v>45</v>
      </c>
      <c r="K64" s="0" t="n">
        <v>0.2</v>
      </c>
    </row>
    <row r="65" customFormat="false" ht="13.5" hidden="false" customHeight="false" outlineLevel="0" collapsed="false">
      <c r="A65" s="0" t="s">
        <v>78</v>
      </c>
      <c r="B65" s="1" t="n">
        <v>43925</v>
      </c>
      <c r="C65" s="0" t="n">
        <v>252</v>
      </c>
      <c r="D65" s="0" t="n">
        <v>21</v>
      </c>
      <c r="E65" s="0" t="n">
        <v>1</v>
      </c>
      <c r="G65" s="0" t="n">
        <v>57</v>
      </c>
      <c r="H65" s="0" t="n">
        <v>194</v>
      </c>
      <c r="I65" s="0" t="n">
        <v>3</v>
      </c>
      <c r="J65" s="0" t="n">
        <v>49</v>
      </c>
      <c r="K65" s="0" t="n">
        <v>0.2</v>
      </c>
    </row>
    <row r="66" customFormat="false" ht="13.5" hidden="false" customHeight="false" outlineLevel="0" collapsed="false">
      <c r="A66" s="0" t="s">
        <v>78</v>
      </c>
      <c r="B66" s="1" t="n">
        <v>43926</v>
      </c>
      <c r="C66" s="0" t="n">
        <v>277</v>
      </c>
      <c r="D66" s="0" t="n">
        <v>25</v>
      </c>
      <c r="E66" s="0" t="n">
        <v>2</v>
      </c>
      <c r="F66" s="0" t="n">
        <v>1</v>
      </c>
      <c r="G66" s="0" t="n">
        <v>61</v>
      </c>
      <c r="H66" s="0" t="n">
        <v>214</v>
      </c>
      <c r="I66" s="0" t="n">
        <v>3</v>
      </c>
      <c r="J66" s="0" t="n">
        <v>54</v>
      </c>
      <c r="K66" s="0" t="n">
        <v>0.4</v>
      </c>
    </row>
    <row r="67" customFormat="false" ht="13.5" hidden="false" customHeight="false" outlineLevel="0" collapsed="false">
      <c r="A67" s="0" t="s">
        <v>78</v>
      </c>
      <c r="B67" s="1" t="n">
        <v>43927</v>
      </c>
      <c r="C67" s="0" t="n">
        <v>298</v>
      </c>
      <c r="D67" s="0" t="n">
        <v>21</v>
      </c>
      <c r="E67" s="0" t="n">
        <v>2</v>
      </c>
      <c r="G67" s="0" t="n">
        <v>61</v>
      </c>
      <c r="H67" s="0" t="n">
        <v>235</v>
      </c>
      <c r="I67" s="0" t="n">
        <v>3</v>
      </c>
      <c r="J67" s="0" t="n">
        <v>58</v>
      </c>
      <c r="K67" s="0" t="n">
        <v>0.4</v>
      </c>
    </row>
    <row r="68" customFormat="false" ht="13.5" hidden="false" customHeight="false" outlineLevel="0" collapsed="false">
      <c r="A68" s="0" t="s">
        <v>78</v>
      </c>
      <c r="B68" s="1" t="n">
        <v>43928</v>
      </c>
      <c r="C68" s="0" t="n">
        <v>331</v>
      </c>
      <c r="D68" s="0" t="n">
        <v>33</v>
      </c>
      <c r="E68" s="0" t="n">
        <v>2</v>
      </c>
      <c r="G68" s="0" t="n">
        <v>61</v>
      </c>
      <c r="H68" s="0" t="n">
        <v>268</v>
      </c>
      <c r="I68" s="0" t="n">
        <v>3</v>
      </c>
      <c r="J68" s="0" t="n">
        <v>65</v>
      </c>
      <c r="K68" s="0" t="n">
        <v>0.4</v>
      </c>
    </row>
    <row r="69" customFormat="false" ht="13.5" hidden="false" customHeight="false" outlineLevel="0" collapsed="false">
      <c r="A69" s="0" t="s">
        <v>78</v>
      </c>
      <c r="B69" s="1" t="n">
        <v>43929</v>
      </c>
      <c r="C69" s="0" t="n">
        <v>371</v>
      </c>
      <c r="D69" s="0" t="n">
        <v>40</v>
      </c>
      <c r="E69" s="0" t="n">
        <v>2</v>
      </c>
      <c r="G69" s="0" t="n">
        <v>67</v>
      </c>
      <c r="H69" s="0" t="n">
        <v>302</v>
      </c>
      <c r="I69" s="0" t="n">
        <v>3</v>
      </c>
      <c r="J69" s="0" t="n">
        <v>73</v>
      </c>
      <c r="K69" s="0" t="n">
        <v>0.4</v>
      </c>
    </row>
    <row r="70" customFormat="false" ht="13.5" hidden="false" customHeight="false" outlineLevel="0" collapsed="false">
      <c r="A70" s="0" t="s">
        <v>78</v>
      </c>
      <c r="B70" s="1" t="n">
        <v>43930</v>
      </c>
      <c r="C70" s="0" t="n">
        <v>419</v>
      </c>
      <c r="D70" s="0" t="n">
        <v>48</v>
      </c>
      <c r="E70" s="0" t="n">
        <v>2</v>
      </c>
      <c r="G70" s="0" t="n">
        <v>72</v>
      </c>
      <c r="H70" s="0" t="n">
        <v>345</v>
      </c>
      <c r="I70" s="0" t="n">
        <v>3</v>
      </c>
      <c r="J70" s="0" t="n">
        <v>82</v>
      </c>
      <c r="K70" s="0" t="n">
        <v>0.4</v>
      </c>
    </row>
    <row r="71" customFormat="false" ht="13.5" hidden="false" customHeight="false" outlineLevel="0" collapsed="false">
      <c r="A71" s="0" t="s">
        <v>78</v>
      </c>
      <c r="B71" s="1" t="n">
        <v>43931</v>
      </c>
      <c r="C71" s="0" t="n">
        <v>457</v>
      </c>
      <c r="D71" s="0" t="n">
        <v>38</v>
      </c>
      <c r="E71" s="0" t="n">
        <v>3</v>
      </c>
      <c r="F71" s="0" t="n">
        <v>1</v>
      </c>
      <c r="G71" s="0" t="n">
        <v>109</v>
      </c>
      <c r="H71" s="0" t="n">
        <v>345</v>
      </c>
      <c r="I71" s="0" t="n">
        <v>3</v>
      </c>
      <c r="J71" s="0" t="n">
        <v>89</v>
      </c>
      <c r="K71" s="0" t="n">
        <v>0.6</v>
      </c>
    </row>
    <row r="72" customFormat="false" ht="13.5" hidden="false" customHeight="false" outlineLevel="0" collapsed="false">
      <c r="A72" s="0" t="s">
        <v>78</v>
      </c>
      <c r="B72" s="1" t="n">
        <v>43932</v>
      </c>
      <c r="C72" s="0" t="n">
        <v>484</v>
      </c>
      <c r="D72" s="0" t="n">
        <v>27</v>
      </c>
      <c r="E72" s="0" t="n">
        <v>3</v>
      </c>
      <c r="G72" s="0" t="n">
        <v>109</v>
      </c>
      <c r="H72" s="0" t="n">
        <v>372</v>
      </c>
      <c r="I72" s="0" t="n">
        <v>3</v>
      </c>
      <c r="J72" s="0" t="n">
        <v>95</v>
      </c>
      <c r="K72" s="0" t="n">
        <v>0.6</v>
      </c>
    </row>
    <row r="73" customFormat="false" ht="13.5" hidden="false" customHeight="false" outlineLevel="0" collapsed="false">
      <c r="A73" s="0" t="s">
        <v>78</v>
      </c>
      <c r="B73" s="1" t="n">
        <v>43933</v>
      </c>
      <c r="C73" s="0" t="n">
        <v>546</v>
      </c>
      <c r="D73" s="0" t="n">
        <v>62</v>
      </c>
      <c r="E73" s="0" t="n">
        <v>3</v>
      </c>
      <c r="G73" s="0" t="n">
        <v>109</v>
      </c>
      <c r="H73" s="0" t="n">
        <v>434</v>
      </c>
      <c r="I73" s="0" t="n">
        <v>3</v>
      </c>
      <c r="J73" s="0" t="n">
        <v>107</v>
      </c>
      <c r="K73" s="0" t="n">
        <v>0.6</v>
      </c>
    </row>
    <row r="74" customFormat="false" ht="13.5" hidden="false" customHeight="false" outlineLevel="0" collapsed="false">
      <c r="A74" s="0" t="s">
        <v>78</v>
      </c>
      <c r="B74" s="1" t="n">
        <v>43934</v>
      </c>
      <c r="C74" s="0" t="n">
        <v>599</v>
      </c>
      <c r="D74" s="0" t="n">
        <v>53</v>
      </c>
      <c r="E74" s="0" t="n">
        <v>4</v>
      </c>
      <c r="F74" s="0" t="n">
        <v>1</v>
      </c>
      <c r="G74" s="0" t="n">
        <v>109</v>
      </c>
      <c r="H74" s="0" t="n">
        <v>486</v>
      </c>
      <c r="I74" s="0" t="n">
        <v>3</v>
      </c>
      <c r="J74" s="0" t="n">
        <v>117</v>
      </c>
      <c r="K74" s="0" t="n">
        <v>0.8</v>
      </c>
    </row>
    <row r="75" customFormat="false" ht="13.5" hidden="false" customHeight="false" outlineLevel="0" collapsed="false">
      <c r="A75" s="0" t="s">
        <v>78</v>
      </c>
      <c r="B75" s="1" t="n">
        <v>43935</v>
      </c>
      <c r="C75" s="0" t="n">
        <v>727</v>
      </c>
      <c r="D75" s="0" t="n">
        <v>128</v>
      </c>
      <c r="E75" s="0" t="n">
        <v>4</v>
      </c>
      <c r="F75" s="0" t="n">
        <v>0</v>
      </c>
      <c r="G75" s="0" t="n">
        <v>124</v>
      </c>
      <c r="H75" s="0" t="n">
        <v>599</v>
      </c>
      <c r="I75" s="0" t="n">
        <v>3</v>
      </c>
      <c r="J75" s="0" t="n">
        <v>142</v>
      </c>
      <c r="K75" s="0" t="n">
        <v>0.8</v>
      </c>
    </row>
    <row r="76" customFormat="false" ht="13.5" hidden="false" customHeight="false" outlineLevel="0" collapsed="false">
      <c r="A76" s="0" t="s">
        <v>78</v>
      </c>
      <c r="B76" s="1" t="n">
        <v>43936</v>
      </c>
      <c r="C76" s="0" t="n">
        <v>813</v>
      </c>
      <c r="D76" s="0" t="n">
        <v>86</v>
      </c>
      <c r="E76" s="0" t="n">
        <v>4</v>
      </c>
      <c r="F76" s="0" t="n">
        <v>0</v>
      </c>
      <c r="G76" s="0" t="n">
        <v>130</v>
      </c>
      <c r="H76" s="0" t="n">
        <v>679</v>
      </c>
      <c r="I76" s="0" t="n">
        <v>3</v>
      </c>
      <c r="J76" s="0" t="n">
        <v>159</v>
      </c>
      <c r="K76" s="0" t="n">
        <v>0.8</v>
      </c>
    </row>
    <row r="77" customFormat="false" ht="13.5" hidden="false" customHeight="false" outlineLevel="0" collapsed="false">
      <c r="A77" s="0" t="s">
        <v>78</v>
      </c>
      <c r="B77" s="1" t="n">
        <v>43937</v>
      </c>
      <c r="C77" s="0" t="n">
        <v>910</v>
      </c>
      <c r="D77" s="0" t="n">
        <v>97</v>
      </c>
      <c r="E77" s="0" t="n">
        <v>4</v>
      </c>
      <c r="F77" s="0" t="n">
        <v>0</v>
      </c>
      <c r="G77" s="0" t="n">
        <v>131</v>
      </c>
      <c r="H77" s="0" t="n">
        <v>775</v>
      </c>
      <c r="I77" s="0" t="n">
        <v>3</v>
      </c>
      <c r="J77" s="0" t="n">
        <v>178</v>
      </c>
      <c r="K77" s="0" t="n">
        <v>0.8</v>
      </c>
    </row>
    <row r="78" customFormat="false" ht="13.5" hidden="false" customHeight="false" outlineLevel="0" collapsed="false">
      <c r="A78" s="0" t="s">
        <v>78</v>
      </c>
      <c r="B78" s="1" t="n">
        <v>43938</v>
      </c>
      <c r="C78" s="0" t="n">
        <v>1019</v>
      </c>
      <c r="D78" s="0" t="n">
        <v>109</v>
      </c>
      <c r="E78" s="0" t="n">
        <v>4</v>
      </c>
      <c r="F78" s="0" t="n">
        <v>0</v>
      </c>
      <c r="G78" s="0" t="n">
        <v>176</v>
      </c>
      <c r="H78" s="0" t="n">
        <v>839</v>
      </c>
      <c r="I78" s="0" t="n">
        <v>3</v>
      </c>
      <c r="J78" s="0" t="n">
        <v>200</v>
      </c>
      <c r="K78" s="0" t="n">
        <v>0.8</v>
      </c>
    </row>
    <row r="79" customFormat="false" ht="13.5" hidden="false" customHeight="false" outlineLevel="0" collapsed="false">
      <c r="A79" s="0" t="s">
        <v>78</v>
      </c>
      <c r="B79" s="1" t="n">
        <v>43939</v>
      </c>
      <c r="C79" s="0" t="n">
        <v>1069</v>
      </c>
      <c r="D79" s="0" t="n">
        <v>50</v>
      </c>
      <c r="E79" s="0" t="n">
        <v>6</v>
      </c>
      <c r="F79" s="0" t="n">
        <v>2</v>
      </c>
      <c r="G79" s="0" t="n">
        <v>176</v>
      </c>
      <c r="H79" s="0" t="n">
        <v>887</v>
      </c>
      <c r="I79" s="0" t="n">
        <v>3</v>
      </c>
      <c r="J79" s="0" t="n">
        <v>209</v>
      </c>
      <c r="K79" s="0" t="n">
        <v>1</v>
      </c>
    </row>
    <row r="80" customFormat="false" ht="13.5" hidden="false" customHeight="false" outlineLevel="0" collapsed="false">
      <c r="A80" s="0" t="s">
        <v>78</v>
      </c>
      <c r="B80" s="1" t="n">
        <v>43940</v>
      </c>
      <c r="C80" s="0" t="n">
        <v>1180</v>
      </c>
      <c r="D80" s="0" t="n">
        <v>111</v>
      </c>
      <c r="E80" s="0" t="n">
        <v>6</v>
      </c>
      <c r="F80" s="0" t="n">
        <v>0</v>
      </c>
      <c r="G80" s="0" t="n">
        <v>176</v>
      </c>
      <c r="H80" s="0" t="n">
        <v>998</v>
      </c>
      <c r="I80" s="0" t="n">
        <v>3</v>
      </c>
      <c r="J80" s="0" t="n">
        <v>231</v>
      </c>
      <c r="K80" s="0" t="n">
        <v>1</v>
      </c>
    </row>
    <row r="81" customFormat="false" ht="13.5" hidden="false" customHeight="false" outlineLevel="0" collapsed="false">
      <c r="A81" s="0" t="s">
        <v>78</v>
      </c>
      <c r="B81" s="1" t="n">
        <v>43941</v>
      </c>
      <c r="C81" s="0" t="n">
        <v>1266</v>
      </c>
      <c r="D81" s="0" t="n">
        <v>86</v>
      </c>
      <c r="E81" s="0" t="n">
        <v>7</v>
      </c>
      <c r="F81" s="0" t="n">
        <v>1</v>
      </c>
      <c r="G81" s="0" t="n">
        <v>233</v>
      </c>
      <c r="H81" s="0" t="n">
        <v>1026</v>
      </c>
      <c r="I81" s="0" t="n">
        <v>3</v>
      </c>
      <c r="J81" s="0" t="n">
        <v>248</v>
      </c>
      <c r="K81" s="0" t="n">
        <v>1</v>
      </c>
    </row>
    <row r="82" customFormat="false" ht="13.5" hidden="false" customHeight="false" outlineLevel="0" collapsed="false">
      <c r="A82" s="0" t="s">
        <v>78</v>
      </c>
      <c r="B82" s="1" t="n">
        <v>43942</v>
      </c>
      <c r="C82" s="0" t="n">
        <v>1410</v>
      </c>
      <c r="D82" s="0" t="n">
        <v>144</v>
      </c>
      <c r="E82" s="0" t="n">
        <v>7</v>
      </c>
      <c r="F82" s="0" t="n">
        <v>0</v>
      </c>
      <c r="G82" s="0" t="n">
        <v>238</v>
      </c>
      <c r="H82" s="0" t="n">
        <v>1165</v>
      </c>
      <c r="I82" s="0" t="n">
        <v>3</v>
      </c>
      <c r="J82" s="0" t="n">
        <v>276</v>
      </c>
      <c r="K82" s="0" t="n">
        <v>1</v>
      </c>
    </row>
    <row r="83" customFormat="false" ht="13.5" hidden="false" customHeight="false" outlineLevel="0" collapsed="false">
      <c r="A83" s="0" t="s">
        <v>78</v>
      </c>
      <c r="B83" s="1" t="n">
        <v>43943</v>
      </c>
      <c r="C83" s="0" t="n">
        <v>1508</v>
      </c>
      <c r="D83" s="0" t="n">
        <v>98</v>
      </c>
      <c r="E83" s="0" t="n">
        <v>8</v>
      </c>
      <c r="F83" s="0" t="n">
        <v>1</v>
      </c>
      <c r="G83" s="0" t="n">
        <v>238</v>
      </c>
      <c r="H83" s="0" t="n">
        <v>1262</v>
      </c>
      <c r="I83" s="0" t="n">
        <v>3</v>
      </c>
      <c r="J83" s="0" t="n">
        <v>295</v>
      </c>
      <c r="K83" s="0" t="n">
        <v>2</v>
      </c>
    </row>
    <row r="84" customFormat="false" ht="13.5" hidden="false" customHeight="false" outlineLevel="0" collapsed="false">
      <c r="A84" s="0" t="s">
        <v>78</v>
      </c>
      <c r="B84" s="1" t="n">
        <v>43944</v>
      </c>
      <c r="C84" s="0" t="n">
        <v>1614</v>
      </c>
      <c r="D84" s="0" t="n">
        <v>106</v>
      </c>
      <c r="E84" s="0" t="n">
        <v>8</v>
      </c>
      <c r="F84" s="0" t="n">
        <v>0</v>
      </c>
      <c r="G84" s="0" t="n">
        <v>238</v>
      </c>
      <c r="H84" s="0" t="n">
        <v>1368</v>
      </c>
      <c r="I84" s="0" t="n">
        <v>3</v>
      </c>
      <c r="J84" s="0" t="n">
        <v>316</v>
      </c>
      <c r="K84" s="0" t="n">
        <v>2</v>
      </c>
    </row>
    <row r="85" customFormat="false" ht="13.5" hidden="false" customHeight="false" outlineLevel="0" collapsed="false">
      <c r="A85" s="0" t="s">
        <v>78</v>
      </c>
      <c r="B85" s="1" t="n">
        <v>43945</v>
      </c>
      <c r="C85" s="0" t="n">
        <v>1716</v>
      </c>
      <c r="D85" s="0" t="n">
        <v>102</v>
      </c>
      <c r="E85" s="0" t="n">
        <v>9</v>
      </c>
      <c r="F85" s="0" t="n">
        <v>1</v>
      </c>
      <c r="G85" s="0" t="n">
        <v>307</v>
      </c>
      <c r="H85" s="0" t="n">
        <v>1400</v>
      </c>
      <c r="I85" s="0" t="n">
        <v>3</v>
      </c>
      <c r="J85" s="0" t="n">
        <v>336</v>
      </c>
      <c r="K85" s="0" t="n">
        <v>2</v>
      </c>
    </row>
    <row r="86" customFormat="false" ht="13.5" hidden="false" customHeight="false" outlineLevel="0" collapsed="false">
      <c r="A86" s="0" t="s">
        <v>78</v>
      </c>
      <c r="B86" s="1" t="n">
        <v>43946</v>
      </c>
      <c r="C86" s="0" t="n">
        <v>1790</v>
      </c>
      <c r="D86" s="0" t="n">
        <v>74</v>
      </c>
      <c r="E86" s="0" t="n">
        <v>10</v>
      </c>
      <c r="F86" s="0" t="n">
        <v>1</v>
      </c>
      <c r="G86" s="0" t="n">
        <v>325</v>
      </c>
      <c r="H86" s="0" t="n">
        <v>1455</v>
      </c>
      <c r="I86" s="0" t="n">
        <v>3</v>
      </c>
      <c r="J86" s="0" t="n">
        <v>351</v>
      </c>
      <c r="K86" s="0" t="n">
        <v>2</v>
      </c>
    </row>
    <row r="87" customFormat="false" ht="13.5" hidden="false" customHeight="false" outlineLevel="0" collapsed="false">
      <c r="A87" s="0" t="s">
        <v>78</v>
      </c>
      <c r="B87" s="1" t="n">
        <v>43947</v>
      </c>
      <c r="C87" s="0" t="n">
        <v>1905</v>
      </c>
      <c r="D87" s="0" t="n">
        <v>115</v>
      </c>
      <c r="E87" s="0" t="n">
        <v>10</v>
      </c>
      <c r="F87" s="0" t="n">
        <v>0</v>
      </c>
      <c r="G87" s="0" t="n">
        <v>329</v>
      </c>
      <c r="H87" s="0" t="n">
        <v>1566</v>
      </c>
      <c r="I87" s="0" t="n">
        <v>3</v>
      </c>
      <c r="J87" s="0" t="n">
        <v>373</v>
      </c>
      <c r="K87" s="0" t="n">
        <v>2</v>
      </c>
    </row>
    <row r="88" customFormat="false" ht="13.5" hidden="false" customHeight="false" outlineLevel="0" collapsed="false">
      <c r="A88" s="0" t="s">
        <v>78</v>
      </c>
      <c r="B88" s="1" t="n">
        <v>43948</v>
      </c>
      <c r="C88" s="0" t="n">
        <v>1998</v>
      </c>
      <c r="D88" s="0" t="n">
        <v>93</v>
      </c>
      <c r="E88" s="0" t="n">
        <v>10</v>
      </c>
      <c r="F88" s="0" t="n">
        <v>0</v>
      </c>
      <c r="G88" s="0" t="n">
        <v>333</v>
      </c>
      <c r="H88" s="0" t="n">
        <v>1655</v>
      </c>
      <c r="I88" s="0" t="n">
        <v>3</v>
      </c>
      <c r="J88" s="0" t="n">
        <v>391</v>
      </c>
      <c r="K88" s="0" t="n">
        <v>2</v>
      </c>
    </row>
    <row r="89" customFormat="false" ht="13.5" hidden="false" customHeight="false" outlineLevel="0" collapsed="false">
      <c r="A89" s="0" t="s">
        <v>78</v>
      </c>
      <c r="B89" s="1" t="n">
        <v>43949</v>
      </c>
      <c r="C89" s="0" t="n">
        <v>2049</v>
      </c>
      <c r="D89" s="0" t="n">
        <v>51</v>
      </c>
      <c r="E89" s="0" t="n">
        <v>10</v>
      </c>
      <c r="F89" s="0" t="n">
        <v>0</v>
      </c>
      <c r="G89" s="0" t="n">
        <v>364</v>
      </c>
      <c r="H89" s="0" t="n">
        <v>1675</v>
      </c>
      <c r="I89" s="0" t="n">
        <v>3</v>
      </c>
      <c r="J89" s="0" t="n">
        <v>401</v>
      </c>
      <c r="K89" s="0" t="n">
        <v>2</v>
      </c>
    </row>
    <row r="90" customFormat="false" ht="13.5" hidden="false" customHeight="false" outlineLevel="0" collapsed="false">
      <c r="A90" s="0" t="s">
        <v>78</v>
      </c>
      <c r="B90" s="1" t="n">
        <v>43950</v>
      </c>
      <c r="C90" s="2" t="n">
        <v>2131</v>
      </c>
      <c r="D90" s="2" t="n">
        <v>82</v>
      </c>
      <c r="E90" s="2" t="n">
        <v>10</v>
      </c>
      <c r="F90" s="2" t="n">
        <v>0</v>
      </c>
      <c r="G90" s="2" t="n">
        <v>364</v>
      </c>
      <c r="H90" s="2" t="n">
        <v>1757</v>
      </c>
      <c r="I90" s="2" t="n">
        <v>3</v>
      </c>
      <c r="J90" s="2" t="n">
        <v>417</v>
      </c>
      <c r="K90" s="2" t="n">
        <v>2</v>
      </c>
    </row>
    <row r="91" customFormat="false" ht="13.5" hidden="false" customHeight="false" outlineLevel="0" collapsed="false">
      <c r="A91" s="0" t="s">
        <v>78</v>
      </c>
      <c r="B91" s="1" t="n">
        <v>43951</v>
      </c>
      <c r="C91" s="2" t="n">
        <v>2274</v>
      </c>
      <c r="D91" s="2" t="n">
        <v>143</v>
      </c>
      <c r="E91" s="2" t="n">
        <v>10</v>
      </c>
      <c r="F91" s="2" t="n">
        <v>0</v>
      </c>
      <c r="G91" s="2" t="n">
        <v>364</v>
      </c>
      <c r="H91" s="2" t="n">
        <v>1900</v>
      </c>
      <c r="I91" s="2" t="n">
        <v>3</v>
      </c>
      <c r="J91" s="2" t="n">
        <v>445</v>
      </c>
      <c r="K91" s="2" t="n">
        <v>2</v>
      </c>
    </row>
    <row r="92" customFormat="false" ht="13.5" hidden="false" customHeight="false" outlineLevel="0" collapsed="false">
      <c r="A92" s="0" t="s">
        <v>78</v>
      </c>
      <c r="B92" s="1" t="n">
        <v>43952</v>
      </c>
      <c r="C92" s="2" t="n">
        <v>2348</v>
      </c>
      <c r="D92" s="2" t="n">
        <v>74</v>
      </c>
      <c r="E92" s="2" t="n">
        <v>11</v>
      </c>
      <c r="F92" s="2" t="n">
        <v>1</v>
      </c>
      <c r="G92" s="2" t="n">
        <v>495</v>
      </c>
      <c r="H92" s="2" t="n">
        <v>1842</v>
      </c>
      <c r="I92" s="2" t="n">
        <v>17</v>
      </c>
      <c r="J92" s="2" t="n">
        <v>460</v>
      </c>
      <c r="K92" s="2" t="n">
        <v>2</v>
      </c>
      <c r="L92" s="2" t="n">
        <v>40459</v>
      </c>
      <c r="M92" s="2" t="n">
        <v>7923</v>
      </c>
    </row>
    <row r="93" customFormat="false" ht="13.5" hidden="false" customHeight="false" outlineLevel="0" collapsed="false">
      <c r="A93" s="0" t="s">
        <v>78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78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78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78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78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78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78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78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78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78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78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78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78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78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78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78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78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78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78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78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78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78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78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78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78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78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78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78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78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78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78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78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78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78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78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78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78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78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78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78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78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78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78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78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78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78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78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78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78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78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78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78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78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78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78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78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78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78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78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78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78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78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78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78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78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78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78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78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78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78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78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78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78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78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78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78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78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78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78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78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78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78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78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78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78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78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78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78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78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78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78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78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78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78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78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79</v>
      </c>
      <c r="B2" s="1" t="n">
        <v>43862</v>
      </c>
    </row>
    <row r="3" customFormat="false" ht="13.5" hidden="false" customHeight="false" outlineLevel="0" collapsed="false">
      <c r="A3" s="0" t="s">
        <v>79</v>
      </c>
      <c r="B3" s="1" t="n">
        <v>43863</v>
      </c>
    </row>
    <row r="4" customFormat="false" ht="13.5" hidden="false" customHeight="false" outlineLevel="0" collapsed="false">
      <c r="A4" s="0" t="s">
        <v>79</v>
      </c>
      <c r="B4" s="1" t="n">
        <v>43864</v>
      </c>
    </row>
    <row r="5" customFormat="false" ht="13.5" hidden="false" customHeight="false" outlineLevel="0" collapsed="false">
      <c r="A5" s="0" t="s">
        <v>79</v>
      </c>
      <c r="B5" s="1" t="n">
        <v>43865</v>
      </c>
    </row>
    <row r="6" customFormat="false" ht="13.5" hidden="false" customHeight="false" outlineLevel="0" collapsed="false">
      <c r="A6" s="0" t="s">
        <v>79</v>
      </c>
      <c r="B6" s="1" t="n">
        <v>43866</v>
      </c>
    </row>
    <row r="7" customFormat="false" ht="13.5" hidden="false" customHeight="false" outlineLevel="0" collapsed="false">
      <c r="A7" s="0" t="s">
        <v>79</v>
      </c>
      <c r="B7" s="1" t="n">
        <v>43867</v>
      </c>
    </row>
    <row r="8" customFormat="false" ht="13.5" hidden="false" customHeight="false" outlineLevel="0" collapsed="false">
      <c r="A8" s="0" t="s">
        <v>79</v>
      </c>
      <c r="B8" s="1" t="n">
        <v>43868</v>
      </c>
    </row>
    <row r="9" customFormat="false" ht="13.5" hidden="false" customHeight="false" outlineLevel="0" collapsed="false">
      <c r="A9" s="0" t="s">
        <v>79</v>
      </c>
      <c r="B9" s="1" t="n">
        <v>43869</v>
      </c>
    </row>
    <row r="10" customFormat="false" ht="13.5" hidden="false" customHeight="false" outlineLevel="0" collapsed="false">
      <c r="A10" s="0" t="s">
        <v>79</v>
      </c>
      <c r="B10" s="1" t="n">
        <v>43870</v>
      </c>
    </row>
    <row r="11" customFormat="false" ht="13.5" hidden="false" customHeight="false" outlineLevel="0" collapsed="false">
      <c r="A11" s="0" t="s">
        <v>79</v>
      </c>
      <c r="B11" s="1" t="n">
        <v>43871</v>
      </c>
    </row>
    <row r="12" customFormat="false" ht="13.5" hidden="false" customHeight="false" outlineLevel="0" collapsed="false">
      <c r="A12" s="0" t="s">
        <v>79</v>
      </c>
      <c r="B12" s="1" t="n">
        <v>43872</v>
      </c>
    </row>
    <row r="13" customFormat="false" ht="13.5" hidden="false" customHeight="false" outlineLevel="0" collapsed="false">
      <c r="A13" s="0" t="s">
        <v>79</v>
      </c>
      <c r="B13" s="1" t="n">
        <v>43873</v>
      </c>
    </row>
    <row r="14" customFormat="false" ht="13.5" hidden="false" customHeight="false" outlineLevel="0" collapsed="false">
      <c r="A14" s="0" t="s">
        <v>79</v>
      </c>
      <c r="B14" s="1" t="n">
        <v>43874</v>
      </c>
    </row>
    <row r="15" customFormat="false" ht="13.5" hidden="false" customHeight="false" outlineLevel="0" collapsed="false">
      <c r="A15" s="0" t="s">
        <v>79</v>
      </c>
      <c r="B15" s="1" t="n">
        <v>43875</v>
      </c>
    </row>
    <row r="16" customFormat="false" ht="13.5" hidden="false" customHeight="false" outlineLevel="0" collapsed="false">
      <c r="A16" s="0" t="s">
        <v>79</v>
      </c>
      <c r="B16" s="1" t="n">
        <v>43876</v>
      </c>
    </row>
    <row r="17" customFormat="false" ht="13.5" hidden="false" customHeight="false" outlineLevel="0" collapsed="false">
      <c r="A17" s="0" t="s">
        <v>79</v>
      </c>
      <c r="B17" s="1" t="n">
        <v>43877</v>
      </c>
    </row>
    <row r="18" customFormat="false" ht="13.5" hidden="false" customHeight="false" outlineLevel="0" collapsed="false">
      <c r="A18" s="0" t="s">
        <v>79</v>
      </c>
      <c r="B18" s="1" t="n">
        <v>43878</v>
      </c>
    </row>
    <row r="19" customFormat="false" ht="13.5" hidden="false" customHeight="false" outlineLevel="0" collapsed="false">
      <c r="A19" s="0" t="s">
        <v>79</v>
      </c>
      <c r="B19" s="1" t="n">
        <v>43879</v>
      </c>
    </row>
    <row r="20" customFormat="false" ht="13.5" hidden="false" customHeight="false" outlineLevel="0" collapsed="false">
      <c r="A20" s="0" t="s">
        <v>79</v>
      </c>
      <c r="B20" s="1" t="n">
        <v>43880</v>
      </c>
    </row>
    <row r="21" customFormat="false" ht="13.5" hidden="false" customHeight="false" outlineLevel="0" collapsed="false">
      <c r="A21" s="0" t="s">
        <v>79</v>
      </c>
      <c r="B21" s="1" t="n">
        <v>43881</v>
      </c>
    </row>
    <row r="22" customFormat="false" ht="13.5" hidden="false" customHeight="false" outlineLevel="0" collapsed="false">
      <c r="A22" s="0" t="s">
        <v>79</v>
      </c>
      <c r="B22" s="1" t="n">
        <v>43882</v>
      </c>
    </row>
    <row r="23" customFormat="false" ht="13.5" hidden="false" customHeight="false" outlineLevel="0" collapsed="false">
      <c r="A23" s="0" t="s">
        <v>79</v>
      </c>
      <c r="B23" s="1" t="n">
        <v>43883</v>
      </c>
    </row>
    <row r="24" customFormat="false" ht="13.5" hidden="false" customHeight="false" outlineLevel="0" collapsed="false">
      <c r="A24" s="0" t="s">
        <v>79</v>
      </c>
      <c r="B24" s="1" t="n">
        <v>43884</v>
      </c>
    </row>
    <row r="25" customFormat="false" ht="13.5" hidden="false" customHeight="false" outlineLevel="0" collapsed="false">
      <c r="A25" s="0" t="s">
        <v>79</v>
      </c>
      <c r="B25" s="1" t="n">
        <v>43885</v>
      </c>
    </row>
    <row r="26" customFormat="false" ht="13.5" hidden="false" customHeight="false" outlineLevel="0" collapsed="false">
      <c r="A26" s="0" t="s">
        <v>79</v>
      </c>
      <c r="B26" s="1" t="n">
        <v>43886</v>
      </c>
    </row>
    <row r="27" customFormat="false" ht="13.5" hidden="false" customHeight="false" outlineLevel="0" collapsed="false">
      <c r="A27" s="0" t="s">
        <v>79</v>
      </c>
      <c r="B27" s="1" t="n">
        <v>43887</v>
      </c>
    </row>
    <row r="28" customFormat="false" ht="13.5" hidden="false" customHeight="false" outlineLevel="0" collapsed="false">
      <c r="A28" s="0" t="s">
        <v>79</v>
      </c>
      <c r="B28" s="1" t="n">
        <v>43888</v>
      </c>
    </row>
    <row r="29" customFormat="false" ht="13.5" hidden="false" customHeight="false" outlineLevel="0" collapsed="false">
      <c r="A29" s="0" t="s">
        <v>79</v>
      </c>
      <c r="B29" s="1" t="n">
        <v>43889</v>
      </c>
    </row>
    <row r="30" customFormat="false" ht="13.5" hidden="false" customHeight="false" outlineLevel="0" collapsed="false">
      <c r="A30" s="0" t="s">
        <v>79</v>
      </c>
      <c r="B30" s="1" t="n">
        <v>43890</v>
      </c>
    </row>
    <row r="31" customFormat="false" ht="13.5" hidden="false" customHeight="false" outlineLevel="0" collapsed="false">
      <c r="A31" s="0" t="s">
        <v>79</v>
      </c>
      <c r="B31" s="1" t="n">
        <v>43891</v>
      </c>
    </row>
    <row r="32" customFormat="false" ht="13.5" hidden="false" customHeight="false" outlineLevel="0" collapsed="false">
      <c r="A32" s="0" t="s">
        <v>79</v>
      </c>
      <c r="B32" s="1" t="n">
        <v>43892</v>
      </c>
    </row>
    <row r="33" customFormat="false" ht="13.5" hidden="false" customHeight="false" outlineLevel="0" collapsed="false">
      <c r="A33" s="0" t="s">
        <v>79</v>
      </c>
      <c r="B33" s="1" t="n">
        <v>43893</v>
      </c>
    </row>
    <row r="34" customFormat="false" ht="13.5" hidden="false" customHeight="false" outlineLevel="0" collapsed="false">
      <c r="A34" s="0" t="s">
        <v>79</v>
      </c>
      <c r="B34" s="1" t="n">
        <v>43894</v>
      </c>
    </row>
    <row r="35" customFormat="false" ht="13.5" hidden="false" customHeight="false" outlineLevel="0" collapsed="false">
      <c r="A35" s="0" t="s">
        <v>79</v>
      </c>
      <c r="B35" s="1" t="n">
        <v>43895</v>
      </c>
    </row>
    <row r="36" customFormat="false" ht="13.5" hidden="false" customHeight="false" outlineLevel="0" collapsed="false">
      <c r="A36" s="0" t="s">
        <v>79</v>
      </c>
      <c r="B36" s="1" t="n">
        <v>43896</v>
      </c>
    </row>
    <row r="37" customFormat="false" ht="13.5" hidden="false" customHeight="false" outlineLevel="0" collapsed="false">
      <c r="A37" s="0" t="s">
        <v>79</v>
      </c>
      <c r="B37" s="1" t="n">
        <v>43897</v>
      </c>
      <c r="C37" s="0" t="n">
        <v>48</v>
      </c>
      <c r="D37" s="0" t="n">
        <v>8</v>
      </c>
      <c r="E37" s="0" t="n">
        <v>4</v>
      </c>
      <c r="F37" s="0" t="n">
        <v>1</v>
      </c>
      <c r="G37" s="0" t="n">
        <v>1</v>
      </c>
      <c r="H37" s="0" t="n">
        <v>43</v>
      </c>
    </row>
    <row r="38" customFormat="false" ht="13.5" hidden="false" customHeight="false" outlineLevel="0" collapsed="false">
      <c r="A38" s="0" t="s">
        <v>79</v>
      </c>
      <c r="B38" s="1" t="n">
        <v>43898</v>
      </c>
      <c r="C38" s="0" t="n">
        <v>54</v>
      </c>
      <c r="D38" s="0" t="n">
        <v>6</v>
      </c>
      <c r="E38" s="0" t="n">
        <v>4</v>
      </c>
      <c r="F38" s="0" t="n">
        <v>0</v>
      </c>
      <c r="G38" s="0" t="n">
        <v>1</v>
      </c>
      <c r="H38" s="0" t="n">
        <v>49</v>
      </c>
      <c r="J38" s="0" t="n">
        <v>1.3</v>
      </c>
    </row>
    <row r="39" customFormat="false" ht="13.5" hidden="false" customHeight="false" outlineLevel="0" collapsed="false">
      <c r="A39" s="0" t="s">
        <v>79</v>
      </c>
      <c r="B39" s="1" t="n">
        <v>43899</v>
      </c>
      <c r="C39" s="0" t="n">
        <v>60</v>
      </c>
      <c r="D39" s="0" t="n">
        <v>6</v>
      </c>
      <c r="E39" s="0" t="n">
        <v>6</v>
      </c>
      <c r="F39" s="0" t="n">
        <v>2</v>
      </c>
      <c r="G39" s="0" t="n">
        <v>1</v>
      </c>
      <c r="H39" s="0" t="n">
        <v>53</v>
      </c>
      <c r="J39" s="0" t="n">
        <v>1.5</v>
      </c>
    </row>
    <row r="40" customFormat="false" ht="13.5" hidden="false" customHeight="false" outlineLevel="0" collapsed="false">
      <c r="A40" s="0" t="s">
        <v>79</v>
      </c>
      <c r="B40" s="1" t="n">
        <v>43900</v>
      </c>
      <c r="C40" s="0" t="n">
        <v>71</v>
      </c>
      <c r="D40" s="0" t="n">
        <v>11</v>
      </c>
      <c r="E40" s="0" t="n">
        <v>7</v>
      </c>
      <c r="F40" s="0" t="n">
        <v>1</v>
      </c>
      <c r="G40" s="0" t="n">
        <v>3</v>
      </c>
      <c r="H40" s="0" t="n">
        <v>61</v>
      </c>
      <c r="J40" s="0" t="n">
        <v>1.8</v>
      </c>
    </row>
    <row r="41" customFormat="false" ht="13.5" hidden="false" customHeight="false" outlineLevel="0" collapsed="false">
      <c r="A41" s="0" t="s">
        <v>79</v>
      </c>
      <c r="B41" s="1" t="n">
        <v>43901</v>
      </c>
      <c r="C41" s="0" t="n">
        <v>71</v>
      </c>
      <c r="D41" s="0" t="n">
        <v>0</v>
      </c>
      <c r="E41" s="0" t="n">
        <v>7</v>
      </c>
      <c r="F41" s="0" t="n">
        <v>0</v>
      </c>
      <c r="G41" s="0" t="n">
        <v>15</v>
      </c>
      <c r="H41" s="0" t="n">
        <v>49</v>
      </c>
      <c r="J41" s="0" t="n">
        <v>1.8</v>
      </c>
    </row>
    <row r="42" customFormat="false" ht="13.5" hidden="false" customHeight="false" outlineLevel="0" collapsed="false">
      <c r="A42" s="0" t="s">
        <v>79</v>
      </c>
      <c r="B42" s="1" t="n">
        <v>43902</v>
      </c>
      <c r="C42" s="0" t="n">
        <v>71</v>
      </c>
      <c r="D42" s="0" t="n">
        <v>0</v>
      </c>
      <c r="E42" s="0" t="n">
        <v>7</v>
      </c>
      <c r="F42" s="0" t="n">
        <v>0</v>
      </c>
      <c r="G42" s="0" t="n">
        <v>15</v>
      </c>
      <c r="H42" s="0" t="n">
        <v>49</v>
      </c>
      <c r="J42" s="0" t="n">
        <v>1.8</v>
      </c>
    </row>
    <row r="43" customFormat="false" ht="13.5" hidden="false" customHeight="false" outlineLevel="0" collapsed="false">
      <c r="A43" s="0" t="s">
        <v>79</v>
      </c>
      <c r="B43" s="1" t="n">
        <v>43903</v>
      </c>
      <c r="C43" s="0" t="n">
        <v>83</v>
      </c>
      <c r="D43" s="0" t="n">
        <v>12</v>
      </c>
      <c r="E43" s="0" t="n">
        <v>8</v>
      </c>
      <c r="F43" s="0" t="n">
        <v>1</v>
      </c>
      <c r="G43" s="0" t="n">
        <v>24</v>
      </c>
      <c r="H43" s="0" t="n">
        <v>51</v>
      </c>
      <c r="J43" s="0" t="n">
        <v>2.1</v>
      </c>
    </row>
    <row r="44" customFormat="false" ht="13.5" hidden="false" customHeight="false" outlineLevel="0" collapsed="false">
      <c r="A44" s="0" t="s">
        <v>79</v>
      </c>
      <c r="B44" s="1" t="n">
        <v>43904</v>
      </c>
      <c r="C44" s="0" t="n">
        <v>101</v>
      </c>
      <c r="D44" s="0" t="n">
        <v>18</v>
      </c>
      <c r="E44" s="0" t="n">
        <v>9</v>
      </c>
      <c r="F44" s="0" t="n">
        <v>1</v>
      </c>
      <c r="G44" s="0" t="n">
        <v>24</v>
      </c>
      <c r="H44" s="0" t="n">
        <v>68</v>
      </c>
      <c r="J44" s="0" t="n">
        <v>2.5</v>
      </c>
    </row>
    <row r="45" customFormat="false" ht="13.5" hidden="false" customHeight="false" outlineLevel="0" collapsed="false">
      <c r="A45" s="0" t="s">
        <v>79</v>
      </c>
      <c r="B45" s="1" t="n">
        <v>43905</v>
      </c>
      <c r="C45" s="0" t="n">
        <v>110</v>
      </c>
      <c r="D45" s="0" t="n">
        <v>9</v>
      </c>
      <c r="E45" s="0" t="n">
        <v>10</v>
      </c>
      <c r="F45" s="0" t="n">
        <v>1</v>
      </c>
      <c r="G45" s="0" t="n">
        <v>26</v>
      </c>
      <c r="H45" s="0" t="n">
        <v>74</v>
      </c>
      <c r="J45" s="0" t="n">
        <v>2.7</v>
      </c>
    </row>
    <row r="46" customFormat="false" ht="13.5" hidden="false" customHeight="false" outlineLevel="0" collapsed="false">
      <c r="A46" s="0" t="s">
        <v>79</v>
      </c>
      <c r="B46" s="1" t="n">
        <v>43906</v>
      </c>
      <c r="C46" s="0" t="n">
        <v>124</v>
      </c>
      <c r="D46" s="0" t="n">
        <v>14</v>
      </c>
      <c r="E46" s="0" t="n">
        <v>10</v>
      </c>
      <c r="F46" s="0" t="n">
        <v>0</v>
      </c>
      <c r="G46" s="0" t="n">
        <v>26</v>
      </c>
      <c r="H46" s="0" t="n">
        <v>88</v>
      </c>
      <c r="J46" s="0" t="n">
        <v>3.1</v>
      </c>
    </row>
    <row r="47" customFormat="false" ht="13.5" hidden="false" customHeight="false" outlineLevel="0" collapsed="false">
      <c r="A47" s="0" t="s">
        <v>79</v>
      </c>
      <c r="B47" s="1" t="n">
        <v>43907</v>
      </c>
      <c r="C47" s="0" t="n">
        <v>133</v>
      </c>
      <c r="D47" s="0" t="n">
        <v>9</v>
      </c>
      <c r="E47" s="0" t="n">
        <v>10</v>
      </c>
      <c r="F47" s="0" t="n">
        <v>0</v>
      </c>
      <c r="G47" s="0" t="n">
        <v>32</v>
      </c>
      <c r="H47" s="0" t="n">
        <v>91</v>
      </c>
      <c r="J47" s="0" t="n">
        <v>3.3</v>
      </c>
    </row>
    <row r="48" customFormat="false" ht="13.5" hidden="false" customHeight="false" outlineLevel="0" collapsed="false">
      <c r="A48" s="0" t="s">
        <v>79</v>
      </c>
      <c r="B48" s="1" t="n">
        <v>43908</v>
      </c>
      <c r="C48" s="0" t="n">
        <v>154</v>
      </c>
      <c r="D48" s="0" t="n">
        <v>21</v>
      </c>
      <c r="E48" s="0" t="n">
        <v>11</v>
      </c>
      <c r="F48" s="0" t="n">
        <v>1</v>
      </c>
      <c r="G48" s="0" t="n">
        <v>41</v>
      </c>
      <c r="H48" s="0" t="n">
        <v>102</v>
      </c>
      <c r="J48" s="0" t="n">
        <v>3.8</v>
      </c>
    </row>
    <row r="49" customFormat="false" ht="13.5" hidden="false" customHeight="false" outlineLevel="0" collapsed="false">
      <c r="A49" s="0" t="s">
        <v>79</v>
      </c>
      <c r="B49" s="1" t="n">
        <v>43909</v>
      </c>
      <c r="C49" s="0" t="n">
        <v>164</v>
      </c>
      <c r="D49" s="0" t="n">
        <v>10</v>
      </c>
      <c r="E49" s="0" t="n">
        <v>12</v>
      </c>
      <c r="F49" s="0" t="n">
        <v>1</v>
      </c>
      <c r="G49" s="0" t="n">
        <v>41</v>
      </c>
      <c r="H49" s="0" t="n">
        <v>111</v>
      </c>
      <c r="J49" s="0" t="n">
        <v>4</v>
      </c>
    </row>
    <row r="50" customFormat="false" ht="13.5" hidden="false" customHeight="false" outlineLevel="0" collapsed="false">
      <c r="A50" s="0" t="s">
        <v>79</v>
      </c>
      <c r="B50" s="1" t="n">
        <v>43910</v>
      </c>
      <c r="C50" s="0" t="n">
        <v>192</v>
      </c>
      <c r="D50" s="0" t="n">
        <v>28</v>
      </c>
      <c r="E50" s="0" t="n">
        <v>13</v>
      </c>
      <c r="F50" s="0" t="n">
        <v>1</v>
      </c>
      <c r="G50" s="0" t="n">
        <v>49</v>
      </c>
      <c r="H50" s="0" t="n">
        <v>130</v>
      </c>
      <c r="J50" s="0" t="n">
        <v>5</v>
      </c>
    </row>
    <row r="51" customFormat="false" ht="13.5" hidden="false" customHeight="false" outlineLevel="0" collapsed="false">
      <c r="A51" s="0" t="s">
        <v>79</v>
      </c>
      <c r="B51" s="1" t="n">
        <v>43911</v>
      </c>
      <c r="C51" s="0" t="n">
        <v>208</v>
      </c>
      <c r="D51" s="0" t="n">
        <v>16</v>
      </c>
      <c r="E51" s="0" t="n">
        <v>17</v>
      </c>
      <c r="F51" s="0" t="n">
        <v>4</v>
      </c>
      <c r="G51" s="0" t="n">
        <v>49</v>
      </c>
      <c r="H51" s="0" t="n">
        <v>142</v>
      </c>
      <c r="J51" s="0" t="n">
        <v>5</v>
      </c>
    </row>
    <row r="52" customFormat="false" ht="13.5" hidden="false" customHeight="false" outlineLevel="0" collapsed="false">
      <c r="A52" s="0" t="s">
        <v>79</v>
      </c>
      <c r="B52" s="1" t="n">
        <v>43912</v>
      </c>
      <c r="C52" s="0" t="n">
        <v>214</v>
      </c>
      <c r="D52" s="0" t="n">
        <v>6</v>
      </c>
      <c r="E52" s="0" t="n">
        <v>17</v>
      </c>
      <c r="F52" s="0" t="n">
        <v>0</v>
      </c>
      <c r="G52" s="0" t="n">
        <v>51</v>
      </c>
      <c r="H52" s="0" t="n">
        <v>146</v>
      </c>
      <c r="J52" s="0" t="n">
        <v>5</v>
      </c>
    </row>
    <row r="53" customFormat="false" ht="13.5" hidden="false" customHeight="false" outlineLevel="0" collapsed="false">
      <c r="A53" s="0" t="s">
        <v>79</v>
      </c>
      <c r="B53" s="1" t="n">
        <v>43913</v>
      </c>
      <c r="C53" s="0" t="n">
        <v>233</v>
      </c>
      <c r="D53" s="0" t="n">
        <v>19</v>
      </c>
      <c r="E53" s="0" t="n">
        <v>20</v>
      </c>
      <c r="F53" s="0" t="n">
        <v>3</v>
      </c>
      <c r="G53" s="0" t="n">
        <v>57</v>
      </c>
      <c r="H53" s="0" t="n">
        <v>156</v>
      </c>
      <c r="J53" s="0" t="n">
        <v>6</v>
      </c>
    </row>
    <row r="54" customFormat="false" ht="13.5" hidden="false" customHeight="false" outlineLevel="0" collapsed="false">
      <c r="A54" s="0" t="s">
        <v>79</v>
      </c>
      <c r="B54" s="1" t="n">
        <v>43914</v>
      </c>
      <c r="C54" s="0" t="n">
        <v>266</v>
      </c>
      <c r="D54" s="0" t="n">
        <v>33</v>
      </c>
      <c r="E54" s="0" t="n">
        <v>23</v>
      </c>
      <c r="F54" s="0" t="n">
        <v>3</v>
      </c>
      <c r="G54" s="0" t="n">
        <v>62</v>
      </c>
      <c r="H54" s="0" t="n">
        <v>181</v>
      </c>
      <c r="J54" s="0" t="n">
        <v>7</v>
      </c>
    </row>
    <row r="55" customFormat="false" ht="13.5" hidden="false" customHeight="false" outlineLevel="0" collapsed="false">
      <c r="A55" s="0" t="s">
        <v>79</v>
      </c>
      <c r="B55" s="1" t="n">
        <v>43915</v>
      </c>
      <c r="C55" s="0" t="n">
        <v>316</v>
      </c>
      <c r="D55" s="0" t="n">
        <v>50</v>
      </c>
      <c r="E55" s="0" t="n">
        <v>27</v>
      </c>
      <c r="F55" s="0" t="n">
        <v>4</v>
      </c>
      <c r="G55" s="0" t="n">
        <v>75</v>
      </c>
      <c r="H55" s="0" t="n">
        <v>214</v>
      </c>
      <c r="J55" s="0" t="n">
        <v>8</v>
      </c>
      <c r="K55" s="0" t="n">
        <v>0.7</v>
      </c>
    </row>
    <row r="56" customFormat="false" ht="13.5" hidden="false" customHeight="false" outlineLevel="0" collapsed="false">
      <c r="A56" s="0" t="s">
        <v>79</v>
      </c>
      <c r="B56" s="1" t="n">
        <v>43916</v>
      </c>
      <c r="C56" s="0" t="n">
        <v>346</v>
      </c>
      <c r="D56" s="0" t="n">
        <v>30</v>
      </c>
      <c r="E56" s="0" t="n">
        <v>29</v>
      </c>
      <c r="F56" s="0" t="n">
        <v>2</v>
      </c>
      <c r="G56" s="0" t="n">
        <v>103</v>
      </c>
      <c r="H56" s="0" t="n">
        <v>214</v>
      </c>
      <c r="J56" s="0" t="n">
        <v>9</v>
      </c>
      <c r="K56" s="0" t="n">
        <v>0.7</v>
      </c>
    </row>
    <row r="57" customFormat="false" ht="13.5" hidden="false" customHeight="false" outlineLevel="0" collapsed="false">
      <c r="A57" s="0" t="s">
        <v>79</v>
      </c>
      <c r="B57" s="1" t="n">
        <v>43917</v>
      </c>
      <c r="C57" s="0" t="n">
        <v>382</v>
      </c>
      <c r="D57" s="0" t="n">
        <v>36</v>
      </c>
      <c r="E57" s="0" t="n">
        <v>36</v>
      </c>
      <c r="F57" s="0" t="n">
        <v>7</v>
      </c>
      <c r="G57" s="0" t="n">
        <v>105</v>
      </c>
      <c r="H57" s="0" t="n">
        <v>241</v>
      </c>
      <c r="J57" s="0" t="n">
        <v>9</v>
      </c>
      <c r="K57" s="0" t="n">
        <v>0.9</v>
      </c>
    </row>
    <row r="58" customFormat="false" ht="13.5" hidden="false" customHeight="false" outlineLevel="0" collapsed="false">
      <c r="A58" s="0" t="s">
        <v>79</v>
      </c>
      <c r="B58" s="1" t="n">
        <v>43918</v>
      </c>
      <c r="C58" s="0" t="n">
        <v>458</v>
      </c>
      <c r="D58" s="0" t="n">
        <v>76</v>
      </c>
      <c r="E58" s="0" t="n">
        <v>40</v>
      </c>
      <c r="F58" s="0" t="n">
        <v>4</v>
      </c>
      <c r="G58" s="0" t="n">
        <v>122</v>
      </c>
      <c r="H58" s="0" t="n">
        <v>296</v>
      </c>
      <c r="J58" s="0" t="n">
        <v>11</v>
      </c>
      <c r="K58" s="0" t="n">
        <v>1</v>
      </c>
    </row>
    <row r="59" customFormat="false" ht="13.5" hidden="false" customHeight="false" outlineLevel="0" collapsed="false">
      <c r="A59" s="0" t="s">
        <v>79</v>
      </c>
      <c r="B59" s="1" t="n">
        <v>43919</v>
      </c>
      <c r="C59" s="0" t="n">
        <v>506</v>
      </c>
      <c r="D59" s="0" t="n">
        <v>48</v>
      </c>
      <c r="E59" s="0" t="n">
        <v>42</v>
      </c>
      <c r="F59" s="0" t="n">
        <v>2</v>
      </c>
      <c r="G59" s="0" t="n">
        <v>131</v>
      </c>
      <c r="H59" s="0" t="n">
        <v>333</v>
      </c>
      <c r="J59" s="0" t="n">
        <v>13</v>
      </c>
      <c r="K59" s="0" t="n">
        <v>1</v>
      </c>
    </row>
    <row r="60" customFormat="false" ht="13.5" hidden="false" customHeight="false" outlineLevel="0" collapsed="false">
      <c r="A60" s="0" t="s">
        <v>79</v>
      </c>
      <c r="B60" s="1" t="n">
        <v>43920</v>
      </c>
      <c r="C60" s="0" t="n">
        <v>547</v>
      </c>
      <c r="D60" s="0" t="n">
        <v>41</v>
      </c>
      <c r="E60" s="0" t="n">
        <v>42</v>
      </c>
      <c r="F60" s="0" t="n">
        <v>0</v>
      </c>
      <c r="G60" s="0" t="n">
        <v>143</v>
      </c>
      <c r="H60" s="0" t="n">
        <v>362</v>
      </c>
      <c r="J60" s="0" t="n">
        <v>14</v>
      </c>
      <c r="K60" s="0" t="n">
        <v>1</v>
      </c>
    </row>
    <row r="61" customFormat="false" ht="13.5" hidden="false" customHeight="false" outlineLevel="0" collapsed="false">
      <c r="A61" s="0" t="s">
        <v>79</v>
      </c>
      <c r="B61" s="1" t="n">
        <v>43921</v>
      </c>
      <c r="C61" s="0" t="n">
        <v>630</v>
      </c>
      <c r="D61" s="0" t="n">
        <v>83</v>
      </c>
      <c r="E61" s="0" t="n">
        <v>46</v>
      </c>
      <c r="F61" s="0" t="n">
        <v>4</v>
      </c>
      <c r="G61" s="0" t="n">
        <v>152</v>
      </c>
      <c r="H61" s="0" t="n">
        <v>432</v>
      </c>
      <c r="J61" s="0" t="n">
        <v>16</v>
      </c>
      <c r="K61" s="0" t="n">
        <v>1</v>
      </c>
    </row>
    <row r="62" customFormat="false" ht="13.5" hidden="false" customHeight="false" outlineLevel="0" collapsed="false">
      <c r="A62" s="0" t="s">
        <v>79</v>
      </c>
      <c r="B62" s="1" t="n">
        <v>43922</v>
      </c>
      <c r="C62" s="0" t="n">
        <v>694</v>
      </c>
      <c r="D62" s="0" t="n">
        <v>64</v>
      </c>
      <c r="E62" s="0" t="n">
        <v>50</v>
      </c>
      <c r="F62" s="0" t="n">
        <v>4</v>
      </c>
      <c r="G62" s="0" t="n">
        <v>170</v>
      </c>
      <c r="H62" s="0" t="n">
        <v>474</v>
      </c>
      <c r="J62" s="0" t="n">
        <v>17</v>
      </c>
      <c r="K62" s="0" t="n">
        <v>1</v>
      </c>
    </row>
    <row r="63" customFormat="false" ht="13.5" hidden="false" customHeight="false" outlineLevel="0" collapsed="false">
      <c r="A63" s="0" t="s">
        <v>79</v>
      </c>
      <c r="B63" s="1" t="n">
        <v>43923</v>
      </c>
      <c r="C63" s="0" t="n">
        <v>728</v>
      </c>
      <c r="D63" s="0" t="n">
        <v>34</v>
      </c>
      <c r="E63" s="0" t="n">
        <v>52</v>
      </c>
      <c r="F63" s="0" t="n">
        <v>2</v>
      </c>
      <c r="G63" s="0" t="n">
        <v>182</v>
      </c>
      <c r="H63" s="0" t="n">
        <v>494</v>
      </c>
      <c r="J63" s="0" t="n">
        <v>18</v>
      </c>
      <c r="K63" s="0" t="n">
        <v>1</v>
      </c>
    </row>
    <row r="64" customFormat="false" ht="13.5" hidden="false" customHeight="false" outlineLevel="0" collapsed="false">
      <c r="A64" s="0" t="s">
        <v>79</v>
      </c>
      <c r="B64" s="1" t="n">
        <v>43924</v>
      </c>
      <c r="C64" s="0" t="n">
        <v>772</v>
      </c>
      <c r="D64" s="0" t="n">
        <v>44</v>
      </c>
      <c r="E64" s="0" t="n">
        <v>54</v>
      </c>
      <c r="F64" s="0" t="n">
        <v>2</v>
      </c>
      <c r="G64" s="0" t="n">
        <v>202</v>
      </c>
      <c r="H64" s="0" t="n">
        <v>516</v>
      </c>
      <c r="J64" s="0" t="n">
        <v>19</v>
      </c>
      <c r="K64" s="0" t="n">
        <v>1</v>
      </c>
    </row>
    <row r="65" customFormat="false" ht="13.5" hidden="false" customHeight="false" outlineLevel="0" collapsed="false">
      <c r="A65" s="0" t="s">
        <v>79</v>
      </c>
      <c r="B65" s="1" t="n">
        <v>43925</v>
      </c>
      <c r="C65" s="0" t="n">
        <v>820</v>
      </c>
      <c r="D65" s="0" t="n">
        <v>48</v>
      </c>
      <c r="E65" s="0" t="n">
        <v>54</v>
      </c>
      <c r="F65" s="0" t="n">
        <v>0</v>
      </c>
      <c r="G65" s="0" t="n">
        <v>226</v>
      </c>
      <c r="H65" s="0" t="n">
        <v>540</v>
      </c>
      <c r="J65" s="0" t="n">
        <v>20</v>
      </c>
      <c r="K65" s="0" t="n">
        <v>1</v>
      </c>
    </row>
    <row r="66" customFormat="false" ht="13.5" hidden="false" customHeight="false" outlineLevel="0" collapsed="false">
      <c r="A66" s="0" t="s">
        <v>79</v>
      </c>
      <c r="B66" s="1" t="n">
        <v>43926</v>
      </c>
      <c r="C66" s="0" t="n">
        <v>878</v>
      </c>
      <c r="D66" s="0" t="n">
        <v>58</v>
      </c>
      <c r="E66" s="0" t="n">
        <v>56</v>
      </c>
      <c r="F66" s="0" t="n">
        <v>2</v>
      </c>
      <c r="G66" s="0" t="n">
        <v>259</v>
      </c>
      <c r="H66" s="0" t="n">
        <v>563</v>
      </c>
      <c r="J66" s="0" t="n">
        <v>22</v>
      </c>
      <c r="K66" s="0" t="n">
        <v>1</v>
      </c>
    </row>
    <row r="67" customFormat="false" ht="13.5" hidden="false" customHeight="false" outlineLevel="0" collapsed="false">
      <c r="A67" s="0" t="s">
        <v>79</v>
      </c>
      <c r="B67" s="1" t="n">
        <v>43927</v>
      </c>
      <c r="C67" s="0" t="n">
        <v>961</v>
      </c>
      <c r="D67" s="0" t="n">
        <v>83</v>
      </c>
      <c r="E67" s="0" t="n">
        <v>61</v>
      </c>
      <c r="F67" s="0" t="n">
        <v>5</v>
      </c>
      <c r="G67" s="0" t="n">
        <v>279</v>
      </c>
      <c r="H67" s="0" t="n">
        <v>621</v>
      </c>
      <c r="J67" s="0" t="n">
        <v>24</v>
      </c>
      <c r="K67" s="0" t="n">
        <v>2</v>
      </c>
    </row>
    <row r="68" customFormat="false" ht="13.5" hidden="false" customHeight="false" outlineLevel="0" collapsed="false">
      <c r="A68" s="0" t="s">
        <v>79</v>
      </c>
      <c r="B68" s="1" t="n">
        <v>43928</v>
      </c>
      <c r="C68" s="0" t="n">
        <v>1031</v>
      </c>
      <c r="D68" s="0" t="n">
        <v>70</v>
      </c>
      <c r="E68" s="0" t="n">
        <v>64</v>
      </c>
      <c r="F68" s="0" t="n">
        <v>3</v>
      </c>
      <c r="G68" s="0" t="n">
        <v>344</v>
      </c>
      <c r="H68" s="0" t="n">
        <v>623</v>
      </c>
      <c r="J68" s="0" t="n">
        <v>26</v>
      </c>
      <c r="K68" s="0" t="n">
        <v>2</v>
      </c>
    </row>
    <row r="69" customFormat="false" ht="13.5" hidden="false" customHeight="false" outlineLevel="0" collapsed="false">
      <c r="A69" s="0" t="s">
        <v>79</v>
      </c>
      <c r="B69" s="1" t="n">
        <v>43929</v>
      </c>
      <c r="C69" s="0" t="n">
        <v>1122</v>
      </c>
      <c r="D69" s="0" t="n">
        <v>91</v>
      </c>
      <c r="E69" s="0" t="n">
        <v>65</v>
      </c>
      <c r="F69" s="0" t="n">
        <v>1</v>
      </c>
      <c r="G69" s="0" t="n">
        <v>373</v>
      </c>
      <c r="H69" s="0" t="n">
        <v>684</v>
      </c>
      <c r="J69" s="0" t="n">
        <v>28</v>
      </c>
      <c r="K69" s="0" t="n">
        <v>2</v>
      </c>
      <c r="L69" s="0" t="n">
        <v>26331</v>
      </c>
      <c r="M69" s="0" t="n">
        <v>655</v>
      </c>
    </row>
    <row r="70" customFormat="false" ht="13.5" hidden="false" customHeight="false" outlineLevel="0" collapsed="false">
      <c r="A70" s="0" t="s">
        <v>79</v>
      </c>
      <c r="B70" s="1" t="n">
        <v>43930</v>
      </c>
      <c r="C70" s="0" t="n">
        <v>1202</v>
      </c>
      <c r="D70" s="0" t="n">
        <v>80</v>
      </c>
      <c r="E70" s="0" t="n">
        <v>69</v>
      </c>
      <c r="F70" s="0" t="n">
        <v>4</v>
      </c>
      <c r="G70" s="0" t="n">
        <v>452</v>
      </c>
      <c r="H70" s="0" t="n">
        <v>681</v>
      </c>
      <c r="J70" s="0" t="n">
        <v>30</v>
      </c>
      <c r="K70" s="0" t="n">
        <v>2</v>
      </c>
      <c r="L70" s="0" t="n">
        <v>28414</v>
      </c>
      <c r="M70" s="0" t="n">
        <v>706</v>
      </c>
    </row>
    <row r="71" customFormat="false" ht="13.5" hidden="false" customHeight="false" outlineLevel="0" collapsed="false">
      <c r="A71" s="0" t="s">
        <v>79</v>
      </c>
      <c r="B71" s="1" t="n">
        <v>43931</v>
      </c>
      <c r="C71" s="0" t="n">
        <v>1232</v>
      </c>
      <c r="D71" s="0" t="n">
        <v>30</v>
      </c>
      <c r="E71" s="0" t="n">
        <v>69</v>
      </c>
      <c r="F71" s="0" t="n">
        <v>0</v>
      </c>
      <c r="G71" s="0" t="n">
        <v>496</v>
      </c>
      <c r="H71" s="0" t="n">
        <v>667</v>
      </c>
      <c r="J71" s="0" t="n">
        <v>31</v>
      </c>
      <c r="K71" s="0" t="n">
        <v>2</v>
      </c>
      <c r="L71" s="0" t="n">
        <v>30466</v>
      </c>
      <c r="M71" s="0" t="n">
        <v>757</v>
      </c>
    </row>
    <row r="72" customFormat="false" ht="13.5" hidden="false" customHeight="false" outlineLevel="0" collapsed="false">
      <c r="A72" s="0" t="s">
        <v>79</v>
      </c>
      <c r="B72" s="1" t="n">
        <v>43932</v>
      </c>
      <c r="C72" s="0" t="n">
        <v>1279</v>
      </c>
      <c r="D72" s="0" t="n">
        <v>47</v>
      </c>
      <c r="E72" s="0" t="n">
        <v>70</v>
      </c>
      <c r="F72" s="0" t="n">
        <v>1</v>
      </c>
      <c r="G72" s="0" t="n">
        <v>550</v>
      </c>
      <c r="H72" s="0" t="n">
        <v>659</v>
      </c>
      <c r="J72" s="0" t="n">
        <v>32</v>
      </c>
      <c r="K72" s="0" t="n">
        <v>2</v>
      </c>
      <c r="L72" s="0" t="n">
        <v>32158</v>
      </c>
      <c r="M72" s="0" t="n">
        <v>800</v>
      </c>
    </row>
    <row r="73" customFormat="false" ht="13.5" hidden="false" customHeight="false" outlineLevel="0" collapsed="false">
      <c r="A73" s="0" t="s">
        <v>79</v>
      </c>
      <c r="B73" s="1" t="n">
        <v>43933</v>
      </c>
      <c r="C73" s="0" t="n">
        <v>1318</v>
      </c>
      <c r="D73" s="0" t="n">
        <v>39</v>
      </c>
      <c r="E73" s="0" t="n">
        <v>72</v>
      </c>
      <c r="F73" s="0" t="n">
        <v>2</v>
      </c>
      <c r="G73" s="0" t="n">
        <v>601</v>
      </c>
      <c r="H73" s="0" t="n">
        <v>645</v>
      </c>
      <c r="J73" s="0" t="n">
        <v>33</v>
      </c>
      <c r="K73" s="0" t="n">
        <v>2</v>
      </c>
      <c r="L73" s="0" t="n">
        <v>33889</v>
      </c>
      <c r="M73" s="0" t="n">
        <v>843</v>
      </c>
    </row>
    <row r="74" customFormat="false" ht="13.5" hidden="false" customHeight="false" outlineLevel="0" collapsed="false">
      <c r="A74" s="0" t="s">
        <v>79</v>
      </c>
      <c r="B74" s="1" t="n">
        <v>43934</v>
      </c>
      <c r="C74" s="0" t="n">
        <v>1352</v>
      </c>
      <c r="D74" s="0" t="n">
        <v>34</v>
      </c>
      <c r="E74" s="0" t="n">
        <v>76</v>
      </c>
      <c r="F74" s="0" t="n">
        <v>4</v>
      </c>
      <c r="G74" s="0" t="n">
        <v>640</v>
      </c>
      <c r="H74" s="0" t="n">
        <v>636</v>
      </c>
      <c r="J74" s="0" t="n">
        <v>34</v>
      </c>
      <c r="K74" s="0" t="n">
        <v>2</v>
      </c>
      <c r="L74" s="0" t="n">
        <v>35415</v>
      </c>
      <c r="M74" s="0" t="n">
        <v>880</v>
      </c>
    </row>
    <row r="75" customFormat="false" ht="13.5" hidden="false" customHeight="false" outlineLevel="0" collapsed="false">
      <c r="A75" s="0" t="s">
        <v>79</v>
      </c>
      <c r="B75" s="1" t="n">
        <v>43935</v>
      </c>
      <c r="C75" s="0" t="n">
        <v>1378</v>
      </c>
      <c r="D75" s="0" t="n">
        <v>26</v>
      </c>
      <c r="E75" s="0" t="n">
        <v>78</v>
      </c>
      <c r="F75" s="0" t="n">
        <v>2</v>
      </c>
      <c r="G75" s="0" t="n">
        <v>717</v>
      </c>
      <c r="H75" s="0" t="n">
        <v>583</v>
      </c>
      <c r="J75" s="0" t="n">
        <v>34</v>
      </c>
      <c r="K75" s="0" t="n">
        <v>2</v>
      </c>
      <c r="L75" s="0" t="n">
        <v>37791</v>
      </c>
      <c r="M75" s="0" t="n">
        <v>940</v>
      </c>
    </row>
    <row r="76" customFormat="false" ht="13.5" hidden="false" customHeight="false" outlineLevel="0" collapsed="false">
      <c r="A76" s="0" t="s">
        <v>79</v>
      </c>
      <c r="B76" s="1" t="n">
        <v>43936</v>
      </c>
      <c r="C76" s="0" t="n">
        <v>1400</v>
      </c>
      <c r="D76" s="0" t="n">
        <v>22</v>
      </c>
      <c r="E76" s="0" t="n">
        <v>78</v>
      </c>
      <c r="F76" s="0" t="n">
        <v>0</v>
      </c>
      <c r="G76" s="0" t="n">
        <v>766</v>
      </c>
      <c r="H76" s="0" t="n">
        <v>556</v>
      </c>
      <c r="J76" s="0" t="n">
        <v>35</v>
      </c>
      <c r="K76" s="0" t="n">
        <v>2</v>
      </c>
      <c r="L76" s="0" t="n">
        <v>45437</v>
      </c>
      <c r="M76" s="0" t="n">
        <v>1130</v>
      </c>
    </row>
    <row r="77" customFormat="false" ht="13.5" hidden="false" customHeight="false" outlineLevel="0" collapsed="false">
      <c r="A77" s="0" t="s">
        <v>79</v>
      </c>
      <c r="B77" s="1" t="n">
        <v>43937</v>
      </c>
      <c r="C77" s="0" t="n">
        <v>1415</v>
      </c>
      <c r="D77" s="0" t="n">
        <v>15</v>
      </c>
      <c r="E77" s="0" t="n">
        <v>79</v>
      </c>
      <c r="F77" s="0" t="n">
        <v>1</v>
      </c>
      <c r="G77" s="0" t="n">
        <v>812</v>
      </c>
      <c r="H77" s="0" t="n">
        <v>524</v>
      </c>
      <c r="J77" s="0" t="n">
        <v>35</v>
      </c>
      <c r="K77" s="0" t="n">
        <v>2</v>
      </c>
      <c r="L77" s="0" t="n">
        <v>46135</v>
      </c>
      <c r="M77" s="0" t="n">
        <v>1147</v>
      </c>
    </row>
    <row r="78" customFormat="false" ht="13.5" hidden="false" customHeight="false" outlineLevel="0" collapsed="false">
      <c r="A78" s="0" t="s">
        <v>79</v>
      </c>
      <c r="B78" s="1" t="n">
        <v>43938</v>
      </c>
      <c r="C78" s="0" t="n">
        <v>1434</v>
      </c>
      <c r="D78" s="0" t="n">
        <v>19</v>
      </c>
      <c r="E78" s="0" t="n">
        <v>80</v>
      </c>
      <c r="F78" s="0" t="n">
        <v>1</v>
      </c>
      <c r="G78" s="0" t="n">
        <v>856</v>
      </c>
      <c r="H78" s="0" t="n">
        <v>498</v>
      </c>
      <c r="J78" s="0" t="n">
        <v>36</v>
      </c>
      <c r="K78" s="0" t="n">
        <v>2</v>
      </c>
      <c r="L78" s="0" t="n">
        <v>49260</v>
      </c>
      <c r="M78" s="0" t="n">
        <v>1225</v>
      </c>
    </row>
    <row r="79" customFormat="false" ht="13.5" hidden="false" customHeight="false" outlineLevel="0" collapsed="false">
      <c r="A79" s="0" t="s">
        <v>79</v>
      </c>
      <c r="B79" s="1" t="n">
        <v>43939</v>
      </c>
      <c r="C79" s="0" t="n">
        <v>1482</v>
      </c>
      <c r="D79" s="0" t="n">
        <v>48</v>
      </c>
      <c r="E79" s="0" t="n">
        <v>81</v>
      </c>
      <c r="F79" s="0" t="n">
        <v>1</v>
      </c>
      <c r="G79" s="0" t="n">
        <v>906</v>
      </c>
      <c r="H79" s="0" t="n">
        <v>495</v>
      </c>
      <c r="J79" s="0" t="n">
        <v>37</v>
      </c>
      <c r="K79" s="0" t="n">
        <v>2</v>
      </c>
      <c r="L79" s="0" t="n">
        <v>51737</v>
      </c>
      <c r="M79" s="0" t="n">
        <v>1286</v>
      </c>
    </row>
    <row r="80" customFormat="false" ht="13.5" hidden="false" customHeight="false" outlineLevel="0" collapsed="false">
      <c r="A80" s="0" t="s">
        <v>79</v>
      </c>
      <c r="B80" s="1" t="n">
        <v>43940</v>
      </c>
      <c r="C80" s="0" t="n">
        <v>1513</v>
      </c>
      <c r="D80" s="0" t="n">
        <v>31</v>
      </c>
      <c r="E80" s="0" t="n">
        <v>82</v>
      </c>
      <c r="F80" s="0" t="n">
        <v>1</v>
      </c>
      <c r="G80" s="0" t="n">
        <v>953</v>
      </c>
      <c r="H80" s="0" t="n">
        <v>478</v>
      </c>
      <c r="J80" s="0" t="n">
        <v>38</v>
      </c>
      <c r="K80" s="0" t="n">
        <v>2</v>
      </c>
      <c r="L80" s="0" t="n">
        <v>53955</v>
      </c>
      <c r="M80" s="0" t="n">
        <v>1341</v>
      </c>
    </row>
    <row r="81" customFormat="false" ht="13.5" hidden="false" customHeight="false" outlineLevel="0" collapsed="false">
      <c r="A81" s="0" t="s">
        <v>79</v>
      </c>
      <c r="B81" s="1" t="n">
        <v>43941</v>
      </c>
      <c r="C81" s="0" t="n">
        <v>1539</v>
      </c>
      <c r="D81" s="0" t="n">
        <v>26</v>
      </c>
      <c r="E81" s="0" t="n">
        <v>82</v>
      </c>
      <c r="F81" s="0" t="n">
        <v>0</v>
      </c>
      <c r="G81" s="0" t="n">
        <v>1009</v>
      </c>
      <c r="H81" s="0" t="n">
        <v>448</v>
      </c>
      <c r="J81" s="0" t="n">
        <v>38</v>
      </c>
      <c r="K81" s="0" t="n">
        <v>2</v>
      </c>
      <c r="L81" s="0" t="n">
        <v>56147</v>
      </c>
      <c r="M81" s="0" t="n">
        <v>1396</v>
      </c>
    </row>
    <row r="82" customFormat="false" ht="13.5" hidden="false" customHeight="false" outlineLevel="0" collapsed="false">
      <c r="A82" s="0" t="s">
        <v>79</v>
      </c>
      <c r="B82" s="1" t="n">
        <v>43942</v>
      </c>
      <c r="C82" s="0" t="n">
        <v>1574</v>
      </c>
      <c r="D82" s="0" t="n">
        <v>35</v>
      </c>
      <c r="E82" s="0" t="n">
        <v>82</v>
      </c>
      <c r="F82" s="0" t="n">
        <v>0</v>
      </c>
      <c r="G82" s="0" t="n">
        <v>1043</v>
      </c>
      <c r="H82" s="0" t="n">
        <v>449</v>
      </c>
      <c r="J82" s="0" t="n">
        <v>39</v>
      </c>
      <c r="K82" s="0" t="n">
        <v>2</v>
      </c>
      <c r="L82" s="0" t="n">
        <v>59055</v>
      </c>
      <c r="M82" s="0" t="n">
        <v>1468</v>
      </c>
    </row>
    <row r="83" customFormat="false" ht="13.5" hidden="false" customHeight="false" outlineLevel="0" collapsed="false">
      <c r="A83" s="0" t="s">
        <v>79</v>
      </c>
      <c r="B83" s="1" t="n">
        <v>43943</v>
      </c>
      <c r="C83" s="0" t="n">
        <v>1602</v>
      </c>
      <c r="D83" s="0" t="n">
        <v>28</v>
      </c>
      <c r="E83" s="0" t="n">
        <v>83</v>
      </c>
      <c r="F83" s="0" t="n">
        <v>1</v>
      </c>
      <c r="G83" s="0" t="n">
        <v>1096</v>
      </c>
      <c r="H83" s="0" t="n">
        <v>423</v>
      </c>
      <c r="J83" s="0" t="n">
        <v>40</v>
      </c>
      <c r="K83" s="0" t="n">
        <v>2</v>
      </c>
      <c r="L83" s="0" t="n">
        <v>60837</v>
      </c>
      <c r="M83" s="0" t="n">
        <v>1513</v>
      </c>
    </row>
    <row r="84" customFormat="false" ht="13.5" hidden="false" customHeight="false" outlineLevel="0" collapsed="false">
      <c r="A84" s="0" t="s">
        <v>79</v>
      </c>
      <c r="B84" s="1" t="n">
        <v>43944</v>
      </c>
      <c r="C84" s="0" t="n">
        <v>1631</v>
      </c>
      <c r="D84" s="0" t="n">
        <v>29</v>
      </c>
      <c r="E84" s="0" t="n">
        <v>83</v>
      </c>
      <c r="F84" s="0" t="n">
        <v>0</v>
      </c>
      <c r="G84" s="0" t="n">
        <v>1146</v>
      </c>
      <c r="H84" s="0" t="n">
        <v>402</v>
      </c>
      <c r="J84" s="0" t="n">
        <v>41</v>
      </c>
      <c r="K84" s="0" t="n">
        <v>2</v>
      </c>
      <c r="L84" s="0" t="n">
        <v>62880</v>
      </c>
      <c r="M84" s="0" t="n">
        <v>1563</v>
      </c>
    </row>
    <row r="85" customFormat="false" ht="13.5" hidden="false" customHeight="false" outlineLevel="0" collapsed="false">
      <c r="A85" s="0" t="s">
        <v>79</v>
      </c>
      <c r="B85" s="1" t="n">
        <v>43945</v>
      </c>
      <c r="C85" s="0" t="n">
        <v>1677</v>
      </c>
      <c r="D85" s="0" t="n">
        <v>46</v>
      </c>
      <c r="E85" s="0" t="n">
        <v>83</v>
      </c>
      <c r="F85" s="0" t="n">
        <v>0</v>
      </c>
      <c r="G85" s="0" t="n">
        <v>1171</v>
      </c>
      <c r="H85" s="0" t="n">
        <v>423</v>
      </c>
      <c r="J85" s="0" t="n">
        <v>42</v>
      </c>
      <c r="K85" s="0" t="n">
        <v>2</v>
      </c>
      <c r="L85" s="0" t="n">
        <v>64882</v>
      </c>
      <c r="M85" s="0" t="n">
        <v>1613</v>
      </c>
    </row>
    <row r="86" customFormat="false" ht="13.5" hidden="false" customHeight="false" outlineLevel="0" collapsed="false">
      <c r="A86" s="0" t="s">
        <v>79</v>
      </c>
      <c r="B86" s="1" t="n">
        <v>43946</v>
      </c>
      <c r="C86" s="0" t="n">
        <v>1708</v>
      </c>
      <c r="D86" s="0" t="n">
        <v>31</v>
      </c>
      <c r="E86" s="0" t="n">
        <v>86</v>
      </c>
      <c r="F86" s="0" t="n">
        <v>3</v>
      </c>
      <c r="G86" s="0" t="n">
        <v>1204</v>
      </c>
      <c r="H86" s="0" t="n">
        <v>418</v>
      </c>
      <c r="J86" s="0" t="n">
        <v>42</v>
      </c>
      <c r="K86" s="0" t="n">
        <v>2</v>
      </c>
      <c r="L86" s="0" t="n">
        <v>67293</v>
      </c>
      <c r="M86" s="0" t="n">
        <v>1673</v>
      </c>
    </row>
    <row r="87" customFormat="false" ht="13.5" hidden="false" customHeight="false" outlineLevel="0" collapsed="false">
      <c r="A87" s="0" t="s">
        <v>79</v>
      </c>
      <c r="B87" s="1" t="n">
        <v>43947</v>
      </c>
      <c r="C87" s="0" t="n">
        <v>1763</v>
      </c>
      <c r="D87" s="0" t="n">
        <v>55</v>
      </c>
      <c r="E87" s="0" t="n">
        <v>86</v>
      </c>
      <c r="F87" s="0" t="n">
        <v>0</v>
      </c>
      <c r="G87" s="0" t="n">
        <v>1224</v>
      </c>
      <c r="H87" s="0" t="n">
        <v>453</v>
      </c>
      <c r="J87" s="0" t="n">
        <v>44</v>
      </c>
      <c r="K87" s="0" t="n">
        <v>2</v>
      </c>
      <c r="L87" s="0" t="n">
        <v>68224</v>
      </c>
      <c r="M87" s="0" t="n">
        <v>1696</v>
      </c>
    </row>
    <row r="88" customFormat="false" ht="13.5" hidden="false" customHeight="false" outlineLevel="0" collapsed="false">
      <c r="A88" s="0" t="s">
        <v>79</v>
      </c>
      <c r="B88" s="1" t="n">
        <v>43948</v>
      </c>
      <c r="C88" s="0" t="n">
        <v>1820</v>
      </c>
      <c r="D88" s="0" t="n">
        <v>57</v>
      </c>
      <c r="E88" s="0" t="n">
        <v>87</v>
      </c>
      <c r="F88" s="0" t="n">
        <v>1</v>
      </c>
      <c r="G88" s="0" t="n">
        <v>1263</v>
      </c>
      <c r="H88" s="0" t="n">
        <v>470</v>
      </c>
      <c r="J88" s="0" t="n">
        <v>45</v>
      </c>
      <c r="K88" s="0" t="n">
        <v>2</v>
      </c>
      <c r="L88" s="0" t="n">
        <v>71471</v>
      </c>
      <c r="M88" s="0" t="n">
        <v>1777</v>
      </c>
    </row>
    <row r="89" customFormat="false" ht="13.5" hidden="false" customHeight="false" outlineLevel="0" collapsed="false">
      <c r="A89" s="0" t="s">
        <v>79</v>
      </c>
      <c r="B89" s="1" t="n">
        <v>43949</v>
      </c>
      <c r="C89" s="0" t="n">
        <v>1847</v>
      </c>
      <c r="D89" s="0" t="n">
        <v>27</v>
      </c>
      <c r="E89" s="0" t="n">
        <v>88</v>
      </c>
      <c r="F89" s="0" t="n">
        <v>1</v>
      </c>
      <c r="G89" s="0" t="n">
        <v>1286</v>
      </c>
      <c r="H89" s="0" t="n">
        <v>473</v>
      </c>
      <c r="J89" s="0" t="n">
        <v>46</v>
      </c>
      <c r="K89" s="0" t="n">
        <v>2</v>
      </c>
      <c r="L89" s="0" t="n">
        <v>73782</v>
      </c>
      <c r="M89" s="0" t="n">
        <v>1834</v>
      </c>
    </row>
    <row r="90" customFormat="false" ht="13.5" hidden="false" customHeight="false" outlineLevel="0" collapsed="false">
      <c r="A90" s="0" t="s">
        <v>79</v>
      </c>
      <c r="B90" s="1" t="n">
        <v>43950</v>
      </c>
      <c r="C90" s="0" t="n">
        <v>1928</v>
      </c>
      <c r="D90" s="0" t="n">
        <v>81</v>
      </c>
      <c r="E90" s="0" t="n">
        <v>90</v>
      </c>
      <c r="F90" s="0" t="n">
        <v>2</v>
      </c>
      <c r="G90" s="0" t="n">
        <v>1319</v>
      </c>
      <c r="H90" s="0" t="n">
        <v>519</v>
      </c>
      <c r="J90" s="0" t="n">
        <v>48</v>
      </c>
      <c r="K90" s="0" t="n">
        <v>2</v>
      </c>
      <c r="L90" s="0" t="n">
        <v>73782</v>
      </c>
      <c r="M90" s="0" t="n">
        <v>1834</v>
      </c>
    </row>
    <row r="91" customFormat="false" ht="13.5" hidden="false" customHeight="false" outlineLevel="0" collapsed="false">
      <c r="A91" s="0" t="s">
        <v>79</v>
      </c>
      <c r="B91" s="1" t="n">
        <v>43951</v>
      </c>
      <c r="C91" s="2" t="n">
        <v>2003</v>
      </c>
      <c r="D91" s="2" t="n">
        <v>75</v>
      </c>
      <c r="E91" s="2" t="n">
        <v>92</v>
      </c>
      <c r="F91" s="2" t="n">
        <v>2</v>
      </c>
      <c r="G91" s="2" t="n">
        <v>1346</v>
      </c>
      <c r="H91" s="2" t="n">
        <v>565</v>
      </c>
      <c r="I91" s="2" t="n">
        <v>0</v>
      </c>
      <c r="J91" s="2" t="n">
        <v>50</v>
      </c>
      <c r="K91" s="2" t="n">
        <v>2</v>
      </c>
      <c r="L91" s="2" t="n">
        <v>86708</v>
      </c>
      <c r="M91" s="2" t="n">
        <v>2156</v>
      </c>
    </row>
    <row r="92" customFormat="false" ht="13.5" hidden="false" customHeight="false" outlineLevel="0" collapsed="false">
      <c r="A92" s="0" t="s">
        <v>79</v>
      </c>
      <c r="B92" s="1" t="n">
        <v>43952</v>
      </c>
      <c r="C92" s="2" t="n">
        <v>2085</v>
      </c>
      <c r="D92" s="2" t="n">
        <v>82</v>
      </c>
      <c r="E92" s="2" t="n">
        <v>93</v>
      </c>
      <c r="F92" s="2" t="n">
        <v>1</v>
      </c>
      <c r="G92" s="2" t="n">
        <v>1375</v>
      </c>
      <c r="H92" s="2" t="n">
        <v>617</v>
      </c>
      <c r="I92" s="2" t="n">
        <v>0</v>
      </c>
      <c r="J92" s="2" t="n">
        <v>52</v>
      </c>
      <c r="K92" s="2" t="n">
        <v>2</v>
      </c>
      <c r="L92" s="2" t="n">
        <v>92061</v>
      </c>
      <c r="M92" s="2" t="n">
        <v>2289</v>
      </c>
    </row>
    <row r="93" customFormat="false" ht="13.5" hidden="false" customHeight="false" outlineLevel="0" collapsed="false">
      <c r="A93" s="0" t="s">
        <v>79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79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79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79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79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79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79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79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79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79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79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79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79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79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79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79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79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79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79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79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79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79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79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79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79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79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79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79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79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79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79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79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79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79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79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79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79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79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79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79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79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79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79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79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79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79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79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79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79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79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79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79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79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79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79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79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79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79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79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79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79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79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79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79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79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79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79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79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79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79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79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79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79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79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79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79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79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79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79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79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79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79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79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79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79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79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79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79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79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79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79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79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79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79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79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1" min="1" style="0" width="11.37"/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80</v>
      </c>
      <c r="B2" s="1" t="n">
        <v>43862</v>
      </c>
    </row>
    <row r="3" customFormat="false" ht="13.5" hidden="false" customHeight="false" outlineLevel="0" collapsed="false">
      <c r="A3" s="0" t="s">
        <v>80</v>
      </c>
      <c r="B3" s="1" t="n">
        <v>43863</v>
      </c>
    </row>
    <row r="4" customFormat="false" ht="13.5" hidden="false" customHeight="false" outlineLevel="0" collapsed="false">
      <c r="A4" s="0" t="s">
        <v>80</v>
      </c>
      <c r="B4" s="1" t="n">
        <v>43864</v>
      </c>
    </row>
    <row r="5" customFormat="false" ht="13.5" hidden="false" customHeight="false" outlineLevel="0" collapsed="false">
      <c r="A5" s="0" t="s">
        <v>80</v>
      </c>
      <c r="B5" s="1" t="n">
        <v>43865</v>
      </c>
    </row>
    <row r="6" customFormat="false" ht="13.5" hidden="false" customHeight="false" outlineLevel="0" collapsed="false">
      <c r="A6" s="0" t="s">
        <v>80</v>
      </c>
      <c r="B6" s="1" t="n">
        <v>43866</v>
      </c>
    </row>
    <row r="7" customFormat="false" ht="13.5" hidden="false" customHeight="false" outlineLevel="0" collapsed="false">
      <c r="A7" s="0" t="s">
        <v>80</v>
      </c>
      <c r="B7" s="1" t="n">
        <v>43867</v>
      </c>
    </row>
    <row r="8" customFormat="false" ht="13.5" hidden="false" customHeight="false" outlineLevel="0" collapsed="false">
      <c r="A8" s="0" t="s">
        <v>80</v>
      </c>
      <c r="B8" s="1" t="n">
        <v>43868</v>
      </c>
    </row>
    <row r="9" customFormat="false" ht="13.5" hidden="false" customHeight="false" outlineLevel="0" collapsed="false">
      <c r="A9" s="0" t="s">
        <v>80</v>
      </c>
      <c r="B9" s="1" t="n">
        <v>43869</v>
      </c>
    </row>
    <row r="10" customFormat="false" ht="13.5" hidden="false" customHeight="false" outlineLevel="0" collapsed="false">
      <c r="A10" s="0" t="s">
        <v>80</v>
      </c>
      <c r="B10" s="1" t="n">
        <v>43870</v>
      </c>
    </row>
    <row r="11" customFormat="false" ht="13.5" hidden="false" customHeight="false" outlineLevel="0" collapsed="false">
      <c r="A11" s="0" t="s">
        <v>80</v>
      </c>
      <c r="B11" s="1" t="n">
        <v>43871</v>
      </c>
    </row>
    <row r="12" customFormat="false" ht="13.5" hidden="false" customHeight="false" outlineLevel="0" collapsed="false">
      <c r="A12" s="0" t="s">
        <v>80</v>
      </c>
      <c r="B12" s="1" t="n">
        <v>43872</v>
      </c>
    </row>
    <row r="13" customFormat="false" ht="13.5" hidden="false" customHeight="false" outlineLevel="0" collapsed="false">
      <c r="A13" s="0" t="s">
        <v>80</v>
      </c>
      <c r="B13" s="1" t="n">
        <v>43873</v>
      </c>
    </row>
    <row r="14" customFormat="false" ht="13.5" hidden="false" customHeight="false" outlineLevel="0" collapsed="false">
      <c r="A14" s="0" t="s">
        <v>80</v>
      </c>
      <c r="B14" s="1" t="n">
        <v>43874</v>
      </c>
    </row>
    <row r="15" customFormat="false" ht="13.5" hidden="false" customHeight="false" outlineLevel="0" collapsed="false">
      <c r="A15" s="0" t="s">
        <v>80</v>
      </c>
      <c r="B15" s="1" t="n">
        <v>43875</v>
      </c>
    </row>
    <row r="16" customFormat="false" ht="13.5" hidden="false" customHeight="false" outlineLevel="0" collapsed="false">
      <c r="A16" s="0" t="s">
        <v>80</v>
      </c>
      <c r="B16" s="1" t="n">
        <v>43876</v>
      </c>
    </row>
    <row r="17" customFormat="false" ht="13.5" hidden="false" customHeight="false" outlineLevel="0" collapsed="false">
      <c r="A17" s="0" t="s">
        <v>80</v>
      </c>
      <c r="B17" s="1" t="n">
        <v>43877</v>
      </c>
    </row>
    <row r="18" customFormat="false" ht="13.5" hidden="false" customHeight="false" outlineLevel="0" collapsed="false">
      <c r="A18" s="0" t="s">
        <v>80</v>
      </c>
      <c r="B18" s="1" t="n">
        <v>43878</v>
      </c>
    </row>
    <row r="19" customFormat="false" ht="13.5" hidden="false" customHeight="false" outlineLevel="0" collapsed="false">
      <c r="A19" s="0" t="s">
        <v>80</v>
      </c>
      <c r="B19" s="1" t="n">
        <v>43879</v>
      </c>
    </row>
    <row r="20" customFormat="false" ht="13.5" hidden="false" customHeight="false" outlineLevel="0" collapsed="false">
      <c r="A20" s="0" t="s">
        <v>80</v>
      </c>
      <c r="B20" s="1" t="n">
        <v>43880</v>
      </c>
    </row>
    <row r="21" customFormat="false" ht="13.5" hidden="false" customHeight="false" outlineLevel="0" collapsed="false">
      <c r="A21" s="0" t="s">
        <v>80</v>
      </c>
      <c r="B21" s="1" t="n">
        <v>43881</v>
      </c>
    </row>
    <row r="22" customFormat="false" ht="13.5" hidden="false" customHeight="false" outlineLevel="0" collapsed="false">
      <c r="A22" s="0" t="s">
        <v>80</v>
      </c>
      <c r="B22" s="1" t="n">
        <v>43882</v>
      </c>
    </row>
    <row r="23" customFormat="false" ht="13.5" hidden="false" customHeight="false" outlineLevel="0" collapsed="false">
      <c r="A23" s="0" t="s">
        <v>80</v>
      </c>
      <c r="B23" s="1" t="n">
        <v>43883</v>
      </c>
    </row>
    <row r="24" customFormat="false" ht="13.5" hidden="false" customHeight="false" outlineLevel="0" collapsed="false">
      <c r="A24" s="0" t="s">
        <v>80</v>
      </c>
      <c r="B24" s="1" t="n">
        <v>43884</v>
      </c>
    </row>
    <row r="25" customFormat="false" ht="13.5" hidden="false" customHeight="false" outlineLevel="0" collapsed="false">
      <c r="A25" s="0" t="s">
        <v>80</v>
      </c>
      <c r="B25" s="1" t="n">
        <v>43885</v>
      </c>
    </row>
    <row r="26" customFormat="false" ht="13.5" hidden="false" customHeight="false" outlineLevel="0" collapsed="false">
      <c r="A26" s="0" t="s">
        <v>80</v>
      </c>
      <c r="B26" s="1" t="n">
        <v>43886</v>
      </c>
    </row>
    <row r="27" customFormat="false" ht="13.5" hidden="false" customHeight="false" outlineLevel="0" collapsed="false">
      <c r="A27" s="0" t="s">
        <v>80</v>
      </c>
      <c r="B27" s="1" t="n">
        <v>43887</v>
      </c>
    </row>
    <row r="28" customFormat="false" ht="13.5" hidden="false" customHeight="false" outlineLevel="0" collapsed="false">
      <c r="A28" s="0" t="s">
        <v>80</v>
      </c>
      <c r="B28" s="1" t="n">
        <v>43888</v>
      </c>
    </row>
    <row r="29" customFormat="false" ht="13.5" hidden="false" customHeight="false" outlineLevel="0" collapsed="false">
      <c r="A29" s="0" t="s">
        <v>80</v>
      </c>
      <c r="B29" s="1" t="n">
        <v>43889</v>
      </c>
    </row>
    <row r="30" customFormat="false" ht="13.5" hidden="false" customHeight="false" outlineLevel="0" collapsed="false">
      <c r="A30" s="0" t="s">
        <v>80</v>
      </c>
      <c r="B30" s="1" t="n">
        <v>43890</v>
      </c>
    </row>
    <row r="31" customFormat="false" ht="13.5" hidden="false" customHeight="false" outlineLevel="0" collapsed="false">
      <c r="A31" s="0" t="s">
        <v>80</v>
      </c>
      <c r="B31" s="1" t="n">
        <v>43891</v>
      </c>
    </row>
    <row r="32" customFormat="false" ht="13.5" hidden="false" customHeight="false" outlineLevel="0" collapsed="false">
      <c r="A32" s="0" t="s">
        <v>80</v>
      </c>
      <c r="B32" s="1" t="n">
        <v>43892</v>
      </c>
    </row>
    <row r="33" customFormat="false" ht="13.5" hidden="false" customHeight="false" outlineLevel="0" collapsed="false">
      <c r="A33" s="0" t="s">
        <v>80</v>
      </c>
      <c r="B33" s="1" t="n">
        <v>43893</v>
      </c>
    </row>
    <row r="34" customFormat="false" ht="13.5" hidden="false" customHeight="false" outlineLevel="0" collapsed="false">
      <c r="A34" s="0" t="s">
        <v>80</v>
      </c>
      <c r="B34" s="1" t="n">
        <v>43894</v>
      </c>
    </row>
    <row r="35" customFormat="false" ht="13.5" hidden="false" customHeight="false" outlineLevel="0" collapsed="false">
      <c r="A35" s="0" t="s">
        <v>80</v>
      </c>
      <c r="B35" s="1" t="n">
        <v>43895</v>
      </c>
    </row>
    <row r="36" customFormat="false" ht="13.5" hidden="false" customHeight="false" outlineLevel="0" collapsed="false">
      <c r="A36" s="0" t="s">
        <v>80</v>
      </c>
      <c r="B36" s="1" t="n">
        <v>43896</v>
      </c>
    </row>
    <row r="37" customFormat="false" ht="13.5" hidden="false" customHeight="false" outlineLevel="0" collapsed="false">
      <c r="A37" s="0" t="s">
        <v>80</v>
      </c>
      <c r="B37" s="1" t="n">
        <v>43897</v>
      </c>
    </row>
    <row r="38" customFormat="false" ht="13.5" hidden="false" customHeight="false" outlineLevel="0" collapsed="false">
      <c r="A38" s="0" t="s">
        <v>80</v>
      </c>
      <c r="B38" s="1" t="n">
        <v>43898</v>
      </c>
    </row>
    <row r="39" customFormat="false" ht="13.5" hidden="false" customHeight="false" outlineLevel="0" collapsed="false">
      <c r="A39" s="0" t="s">
        <v>80</v>
      </c>
      <c r="B39" s="1" t="n">
        <v>43899</v>
      </c>
    </row>
    <row r="40" customFormat="false" ht="13.5" hidden="false" customHeight="false" outlineLevel="0" collapsed="false">
      <c r="A40" s="0" t="s">
        <v>80</v>
      </c>
      <c r="B40" s="1" t="n">
        <v>43900</v>
      </c>
    </row>
    <row r="41" customFormat="false" ht="13.5" hidden="false" customHeight="false" outlineLevel="0" collapsed="false">
      <c r="A41" s="0" t="s">
        <v>80</v>
      </c>
      <c r="B41" s="1" t="n">
        <v>43901</v>
      </c>
    </row>
    <row r="42" customFormat="false" ht="13.5" hidden="false" customHeight="false" outlineLevel="0" collapsed="false">
      <c r="A42" s="0" t="s">
        <v>80</v>
      </c>
      <c r="B42" s="1" t="n">
        <v>43902</v>
      </c>
    </row>
    <row r="43" customFormat="false" ht="13.5" hidden="false" customHeight="false" outlineLevel="0" collapsed="false">
      <c r="A43" s="0" t="s">
        <v>80</v>
      </c>
      <c r="B43" s="1" t="n">
        <v>43903</v>
      </c>
    </row>
    <row r="44" customFormat="false" ht="13.5" hidden="false" customHeight="false" outlineLevel="0" collapsed="false">
      <c r="A44" s="0" t="s">
        <v>80</v>
      </c>
      <c r="B44" s="1" t="n">
        <v>43904</v>
      </c>
    </row>
    <row r="45" customFormat="false" ht="13.5" hidden="false" customHeight="false" outlineLevel="0" collapsed="false">
      <c r="A45" s="0" t="s">
        <v>80</v>
      </c>
      <c r="B45" s="1" t="n">
        <v>43905</v>
      </c>
    </row>
    <row r="46" customFormat="false" ht="13.5" hidden="false" customHeight="false" outlineLevel="0" collapsed="false">
      <c r="A46" s="0" t="s">
        <v>80</v>
      </c>
      <c r="B46" s="1" t="n">
        <v>43906</v>
      </c>
      <c r="C46" s="0" t="n">
        <v>4</v>
      </c>
      <c r="D46" s="0" t="n">
        <v>4</v>
      </c>
      <c r="H46" s="0" t="n">
        <v>4</v>
      </c>
      <c r="J46" s="0" t="n">
        <v>0.1</v>
      </c>
    </row>
    <row r="47" customFormat="false" ht="13.5" hidden="false" customHeight="false" outlineLevel="0" collapsed="false">
      <c r="A47" s="0" t="s">
        <v>80</v>
      </c>
      <c r="B47" s="1" t="n">
        <v>43907</v>
      </c>
      <c r="C47" s="0" t="n">
        <v>8</v>
      </c>
      <c r="D47" s="0" t="n">
        <v>4</v>
      </c>
      <c r="H47" s="0" t="n">
        <v>8</v>
      </c>
      <c r="J47" s="0" t="n">
        <v>0.2</v>
      </c>
    </row>
    <row r="48" customFormat="false" ht="13.5" hidden="false" customHeight="false" outlineLevel="0" collapsed="false">
      <c r="A48" s="0" t="s">
        <v>80</v>
      </c>
      <c r="B48" s="1" t="n">
        <v>43908</v>
      </c>
      <c r="C48" s="0" t="n">
        <v>11</v>
      </c>
      <c r="D48" s="0" t="n">
        <v>3</v>
      </c>
      <c r="H48" s="0" t="n">
        <v>11</v>
      </c>
      <c r="J48" s="0" t="n">
        <v>0.3</v>
      </c>
    </row>
    <row r="49" customFormat="false" ht="13.5" hidden="false" customHeight="false" outlineLevel="0" collapsed="false">
      <c r="A49" s="0" t="s">
        <v>80</v>
      </c>
      <c r="B49" s="1" t="n">
        <v>43909</v>
      </c>
      <c r="C49" s="0" t="n">
        <v>18</v>
      </c>
      <c r="D49" s="0" t="n">
        <v>7</v>
      </c>
      <c r="H49" s="0" t="n">
        <v>18</v>
      </c>
      <c r="J49" s="0" t="n">
        <v>0.5</v>
      </c>
    </row>
    <row r="50" customFormat="false" ht="13.5" hidden="false" customHeight="false" outlineLevel="0" collapsed="false">
      <c r="A50" s="0" t="s">
        <v>80</v>
      </c>
      <c r="B50" s="1" t="n">
        <v>43910</v>
      </c>
      <c r="C50" s="0" t="n">
        <v>23</v>
      </c>
      <c r="D50" s="0" t="n">
        <v>5</v>
      </c>
      <c r="H50" s="0" t="n">
        <v>23</v>
      </c>
      <c r="J50" s="0" t="n">
        <v>0.7</v>
      </c>
    </row>
    <row r="51" customFormat="false" ht="13.5" hidden="false" customHeight="false" outlineLevel="0" collapsed="false">
      <c r="A51" s="0" t="s">
        <v>80</v>
      </c>
      <c r="B51" s="1" t="n">
        <v>43911</v>
      </c>
      <c r="C51" s="0" t="n">
        <v>37</v>
      </c>
      <c r="D51" s="0" t="n">
        <v>14</v>
      </c>
      <c r="H51" s="0" t="n">
        <v>37</v>
      </c>
      <c r="J51" s="0" t="n">
        <v>1</v>
      </c>
    </row>
    <row r="52" customFormat="false" ht="13.5" hidden="false" customHeight="false" outlineLevel="0" collapsed="false">
      <c r="A52" s="0" t="s">
        <v>80</v>
      </c>
      <c r="B52" s="1" t="n">
        <v>43912</v>
      </c>
      <c r="C52" s="0" t="n">
        <v>41</v>
      </c>
      <c r="D52" s="0" t="n">
        <v>4</v>
      </c>
      <c r="H52" s="0" t="n">
        <v>41</v>
      </c>
      <c r="J52" s="0" t="n">
        <v>1</v>
      </c>
    </row>
    <row r="53" customFormat="false" ht="13.5" hidden="false" customHeight="false" outlineLevel="0" collapsed="false">
      <c r="A53" s="0" t="s">
        <v>80</v>
      </c>
      <c r="B53" s="1" t="n">
        <v>43913</v>
      </c>
      <c r="C53" s="0" t="n">
        <v>43</v>
      </c>
      <c r="D53" s="0" t="n">
        <v>2</v>
      </c>
      <c r="H53" s="0" t="n">
        <v>43</v>
      </c>
      <c r="J53" s="0" t="n">
        <v>1</v>
      </c>
    </row>
    <row r="54" customFormat="false" ht="13.5" hidden="false" customHeight="false" outlineLevel="0" collapsed="false">
      <c r="A54" s="0" t="s">
        <v>80</v>
      </c>
      <c r="B54" s="1" t="n">
        <v>43914</v>
      </c>
      <c r="C54" s="0" t="n">
        <v>46</v>
      </c>
      <c r="D54" s="0" t="n">
        <v>3</v>
      </c>
      <c r="H54" s="0" t="n">
        <v>46</v>
      </c>
      <c r="J54" s="0" t="n">
        <v>1</v>
      </c>
    </row>
    <row r="55" customFormat="false" ht="13.5" hidden="false" customHeight="false" outlineLevel="0" collapsed="false">
      <c r="A55" s="0" t="s">
        <v>80</v>
      </c>
      <c r="B55" s="1" t="n">
        <v>43915</v>
      </c>
      <c r="C55" s="0" t="n">
        <v>50</v>
      </c>
      <c r="D55" s="0" t="n">
        <v>4</v>
      </c>
      <c r="H55" s="0" t="n">
        <v>50</v>
      </c>
      <c r="J55" s="0" t="n">
        <v>1</v>
      </c>
    </row>
    <row r="56" customFormat="false" ht="13.5" hidden="false" customHeight="false" outlineLevel="0" collapsed="false">
      <c r="A56" s="0" t="s">
        <v>80</v>
      </c>
      <c r="B56" s="1" t="n">
        <v>43916</v>
      </c>
      <c r="C56" s="0" t="n">
        <v>60</v>
      </c>
      <c r="D56" s="0" t="n">
        <v>10</v>
      </c>
      <c r="H56" s="0" t="n">
        <v>60</v>
      </c>
      <c r="I56" s="0" t="n">
        <v>4</v>
      </c>
      <c r="J56" s="0" t="n">
        <v>2</v>
      </c>
    </row>
    <row r="57" customFormat="false" ht="13.5" hidden="false" customHeight="false" outlineLevel="0" collapsed="false">
      <c r="A57" s="0" t="s">
        <v>80</v>
      </c>
      <c r="B57" s="1" t="n">
        <v>43917</v>
      </c>
      <c r="C57" s="0" t="n">
        <v>75</v>
      </c>
      <c r="D57" s="0" t="n">
        <v>15</v>
      </c>
      <c r="H57" s="0" t="n">
        <v>75</v>
      </c>
      <c r="I57" s="0" t="n">
        <v>4</v>
      </c>
      <c r="J57" s="0" t="n">
        <v>2</v>
      </c>
    </row>
    <row r="58" customFormat="false" ht="13.5" hidden="false" customHeight="false" outlineLevel="0" collapsed="false">
      <c r="A58" s="0" t="s">
        <v>80</v>
      </c>
      <c r="B58" s="1" t="n">
        <v>43918</v>
      </c>
      <c r="C58" s="0" t="n">
        <v>88</v>
      </c>
      <c r="D58" s="0" t="n">
        <v>13</v>
      </c>
      <c r="E58" s="0" t="n">
        <v>1</v>
      </c>
      <c r="F58" s="0" t="n">
        <v>1</v>
      </c>
      <c r="G58" s="0" t="n">
        <v>5</v>
      </c>
      <c r="H58" s="0" t="n">
        <v>82</v>
      </c>
      <c r="I58" s="0" t="n">
        <v>8</v>
      </c>
      <c r="J58" s="0" t="n">
        <v>3</v>
      </c>
      <c r="K58" s="0" t="n">
        <v>0.03</v>
      </c>
    </row>
    <row r="59" customFormat="false" ht="13.5" hidden="false" customHeight="false" outlineLevel="0" collapsed="false">
      <c r="A59" s="0" t="s">
        <v>80</v>
      </c>
      <c r="B59" s="1" t="n">
        <v>43919</v>
      </c>
      <c r="C59" s="0" t="n">
        <v>104</v>
      </c>
      <c r="D59" s="0" t="n">
        <v>16</v>
      </c>
      <c r="E59" s="0" t="n">
        <v>2</v>
      </c>
      <c r="F59" s="0" t="n">
        <v>1</v>
      </c>
      <c r="G59" s="0" t="n">
        <v>5</v>
      </c>
      <c r="H59" s="0" t="n">
        <v>97</v>
      </c>
      <c r="I59" s="0" t="n">
        <v>8</v>
      </c>
      <c r="J59" s="0" t="n">
        <v>3</v>
      </c>
      <c r="K59" s="0" t="n">
        <v>0.06</v>
      </c>
    </row>
    <row r="60" customFormat="false" ht="13.5" hidden="false" customHeight="false" outlineLevel="0" collapsed="false">
      <c r="A60" s="0" t="s">
        <v>80</v>
      </c>
      <c r="B60" s="1" t="n">
        <v>43920</v>
      </c>
      <c r="C60" s="0" t="n">
        <v>144</v>
      </c>
      <c r="D60" s="0" t="n">
        <v>40</v>
      </c>
      <c r="E60" s="0" t="n">
        <v>2</v>
      </c>
      <c r="G60" s="0" t="n">
        <v>7</v>
      </c>
      <c r="H60" s="0" t="n">
        <v>135</v>
      </c>
      <c r="I60" s="0" t="n">
        <v>8</v>
      </c>
      <c r="J60" s="0" t="n">
        <v>4</v>
      </c>
      <c r="K60" s="0" t="n">
        <v>0.06</v>
      </c>
    </row>
    <row r="61" customFormat="false" ht="13.5" hidden="false" customHeight="false" outlineLevel="0" collapsed="false">
      <c r="A61" s="0" t="s">
        <v>80</v>
      </c>
      <c r="B61" s="1" t="n">
        <v>43921</v>
      </c>
      <c r="C61" s="0" t="n">
        <v>149</v>
      </c>
      <c r="D61" s="0" t="n">
        <v>5</v>
      </c>
      <c r="E61" s="0" t="n">
        <v>2</v>
      </c>
      <c r="G61" s="0" t="n">
        <v>7</v>
      </c>
      <c r="H61" s="0" t="n">
        <v>140</v>
      </c>
      <c r="I61" s="0" t="n">
        <v>8</v>
      </c>
      <c r="J61" s="0" t="n">
        <v>4</v>
      </c>
      <c r="K61" s="0" t="n">
        <v>0.06</v>
      </c>
    </row>
    <row r="62" customFormat="false" ht="13.5" hidden="false" customHeight="false" outlineLevel="0" collapsed="false">
      <c r="A62" s="0" t="s">
        <v>80</v>
      </c>
      <c r="B62" s="1" t="n">
        <v>43922</v>
      </c>
      <c r="C62" s="0" t="n">
        <v>172</v>
      </c>
      <c r="D62" s="0" t="n">
        <v>23</v>
      </c>
      <c r="E62" s="0" t="n">
        <v>2</v>
      </c>
      <c r="G62" s="0" t="n">
        <v>7</v>
      </c>
      <c r="H62" s="0" t="n">
        <v>163</v>
      </c>
      <c r="I62" s="0" t="n">
        <v>8</v>
      </c>
      <c r="J62" s="0" t="n">
        <v>5</v>
      </c>
      <c r="K62" s="0" t="n">
        <v>0.06</v>
      </c>
    </row>
    <row r="63" customFormat="false" ht="13.5" hidden="false" customHeight="false" outlineLevel="0" collapsed="false">
      <c r="A63" s="0" t="s">
        <v>80</v>
      </c>
      <c r="B63" s="1" t="n">
        <v>43923</v>
      </c>
      <c r="C63" s="0" t="n">
        <v>181</v>
      </c>
      <c r="D63" s="0" t="n">
        <v>9</v>
      </c>
      <c r="E63" s="0" t="n">
        <v>2</v>
      </c>
      <c r="G63" s="0" t="n">
        <v>12</v>
      </c>
      <c r="H63" s="0" t="n">
        <v>167</v>
      </c>
      <c r="I63" s="0" t="n">
        <v>8</v>
      </c>
      <c r="J63" s="0" t="n">
        <v>5</v>
      </c>
      <c r="K63" s="0" t="n">
        <v>0.06</v>
      </c>
    </row>
    <row r="64" customFormat="false" ht="13.5" hidden="false" customHeight="false" outlineLevel="0" collapsed="false">
      <c r="A64" s="0" t="s">
        <v>80</v>
      </c>
      <c r="B64" s="1" t="n">
        <v>43924</v>
      </c>
      <c r="C64" s="0" t="n">
        <v>205</v>
      </c>
      <c r="D64" s="0" t="n">
        <v>24</v>
      </c>
      <c r="E64" s="0" t="n">
        <v>2</v>
      </c>
      <c r="G64" s="0" t="n">
        <v>25</v>
      </c>
      <c r="H64" s="0" t="n">
        <v>178</v>
      </c>
      <c r="I64" s="0" t="n">
        <v>8</v>
      </c>
      <c r="J64" s="0" t="n">
        <v>6</v>
      </c>
      <c r="K64" s="0" t="n">
        <v>0.06</v>
      </c>
    </row>
    <row r="65" customFormat="false" ht="13.5" hidden="false" customHeight="false" outlineLevel="0" collapsed="false">
      <c r="A65" s="0" t="s">
        <v>80</v>
      </c>
      <c r="B65" s="1" t="n">
        <v>43925</v>
      </c>
      <c r="C65" s="0" t="n">
        <v>227</v>
      </c>
      <c r="D65" s="0" t="n">
        <v>22</v>
      </c>
      <c r="E65" s="0" t="n">
        <v>2</v>
      </c>
      <c r="G65" s="0" t="n">
        <v>25</v>
      </c>
      <c r="H65" s="0" t="n">
        <v>200</v>
      </c>
      <c r="I65" s="0" t="n">
        <v>8</v>
      </c>
      <c r="J65" s="0" t="n">
        <v>7</v>
      </c>
      <c r="K65" s="0" t="n">
        <v>0.06</v>
      </c>
    </row>
    <row r="66" customFormat="false" ht="13.5" hidden="false" customHeight="false" outlineLevel="0" collapsed="false">
      <c r="A66" s="0" t="s">
        <v>80</v>
      </c>
      <c r="B66" s="1" t="n">
        <v>43926</v>
      </c>
      <c r="C66" s="0" t="n">
        <v>266</v>
      </c>
      <c r="D66" s="0" t="n">
        <v>39</v>
      </c>
      <c r="E66" s="0" t="n">
        <v>2</v>
      </c>
      <c r="G66" s="0" t="n">
        <v>25</v>
      </c>
      <c r="H66" s="0" t="n">
        <v>239</v>
      </c>
      <c r="I66" s="0" t="n">
        <v>8</v>
      </c>
      <c r="J66" s="0" t="n">
        <v>8</v>
      </c>
      <c r="K66" s="0" t="n">
        <v>0.06</v>
      </c>
    </row>
    <row r="67" customFormat="false" ht="13.5" hidden="false" customHeight="false" outlineLevel="0" collapsed="false">
      <c r="A67" s="0" t="s">
        <v>80</v>
      </c>
      <c r="B67" s="1" t="n">
        <v>43927</v>
      </c>
      <c r="C67" s="0" t="n">
        <v>342</v>
      </c>
      <c r="D67" s="0" t="n">
        <v>76</v>
      </c>
      <c r="E67" s="0" t="n">
        <v>2</v>
      </c>
      <c r="G67" s="0" t="n">
        <v>30</v>
      </c>
      <c r="H67" s="0" t="n">
        <v>310</v>
      </c>
      <c r="I67" s="0" t="n">
        <v>8</v>
      </c>
      <c r="J67" s="0" t="n">
        <v>10</v>
      </c>
      <c r="K67" s="0" t="n">
        <v>0.06</v>
      </c>
    </row>
    <row r="68" customFormat="false" ht="13.5" hidden="false" customHeight="false" outlineLevel="0" collapsed="false">
      <c r="A68" s="0" t="s">
        <v>80</v>
      </c>
      <c r="B68" s="1" t="n">
        <v>43928</v>
      </c>
      <c r="C68" s="0" t="n">
        <v>457</v>
      </c>
      <c r="D68" s="0" t="n">
        <v>115</v>
      </c>
      <c r="E68" s="0" t="n">
        <v>2</v>
      </c>
      <c r="G68" s="0" t="n">
        <v>30</v>
      </c>
      <c r="H68" s="0" t="n">
        <v>425</v>
      </c>
      <c r="I68" s="0" t="n">
        <v>8</v>
      </c>
      <c r="J68" s="0" t="n">
        <v>14</v>
      </c>
      <c r="K68" s="0" t="n">
        <v>0.06</v>
      </c>
    </row>
    <row r="69" customFormat="false" ht="13.5" hidden="false" customHeight="false" outlineLevel="0" collapsed="false">
      <c r="A69" s="0" t="s">
        <v>80</v>
      </c>
      <c r="B69" s="1" t="n">
        <v>43929</v>
      </c>
      <c r="C69" s="0" t="n">
        <v>504</v>
      </c>
      <c r="D69" s="0" t="n">
        <v>47</v>
      </c>
      <c r="E69" s="0" t="n">
        <v>2</v>
      </c>
      <c r="G69" s="0" t="n">
        <v>30</v>
      </c>
      <c r="H69" s="0" t="n">
        <v>472</v>
      </c>
      <c r="I69" s="0" t="n">
        <v>8</v>
      </c>
      <c r="J69" s="0" t="n">
        <v>15</v>
      </c>
      <c r="K69" s="0" t="n">
        <v>0.06</v>
      </c>
    </row>
    <row r="70" customFormat="false" ht="13.5" hidden="false" customHeight="false" outlineLevel="0" collapsed="false">
      <c r="A70" s="0" t="s">
        <v>80</v>
      </c>
      <c r="B70" s="1" t="n">
        <v>43930</v>
      </c>
      <c r="C70" s="0" t="n">
        <v>545</v>
      </c>
      <c r="D70" s="0" t="n">
        <v>41</v>
      </c>
      <c r="E70" s="0" t="n">
        <v>3</v>
      </c>
      <c r="F70" s="0" t="n">
        <v>1</v>
      </c>
      <c r="G70" s="0" t="n">
        <v>30</v>
      </c>
      <c r="H70" s="0" t="n">
        <v>512</v>
      </c>
      <c r="I70" s="0" t="n">
        <v>8</v>
      </c>
      <c r="J70" s="0" t="n">
        <v>16</v>
      </c>
      <c r="K70" s="0" t="n">
        <v>0.09</v>
      </c>
    </row>
    <row r="71" customFormat="false" ht="13.5" hidden="false" customHeight="false" outlineLevel="0" collapsed="false">
      <c r="A71" s="0" t="s">
        <v>80</v>
      </c>
      <c r="B71" s="1" t="n">
        <v>43931</v>
      </c>
      <c r="C71" s="0" t="n">
        <v>582</v>
      </c>
      <c r="D71" s="0" t="n">
        <v>37</v>
      </c>
      <c r="E71" s="0" t="n">
        <v>3</v>
      </c>
      <c r="G71" s="0" t="n">
        <v>38</v>
      </c>
      <c r="H71" s="0" t="n">
        <v>541</v>
      </c>
      <c r="I71" s="0" t="n">
        <v>8</v>
      </c>
      <c r="J71" s="0" t="n">
        <v>17</v>
      </c>
      <c r="K71" s="0" t="n">
        <v>0.09</v>
      </c>
      <c r="L71" s="0" t="n">
        <v>70000</v>
      </c>
      <c r="M71" s="0" t="n">
        <v>2091</v>
      </c>
    </row>
    <row r="72" customFormat="false" ht="13.5" hidden="false" customHeight="false" outlineLevel="0" collapsed="false">
      <c r="A72" s="0" t="s">
        <v>80</v>
      </c>
      <c r="B72" s="1" t="n">
        <v>43932</v>
      </c>
      <c r="C72" s="0" t="n">
        <v>624</v>
      </c>
      <c r="D72" s="0" t="n">
        <v>42</v>
      </c>
      <c r="E72" s="0" t="n">
        <v>3</v>
      </c>
      <c r="G72" s="0" t="n">
        <v>42</v>
      </c>
      <c r="H72" s="0" t="n">
        <v>579</v>
      </c>
      <c r="I72" s="0" t="n">
        <v>8</v>
      </c>
      <c r="J72" s="0" t="n">
        <v>19</v>
      </c>
      <c r="K72" s="0" t="n">
        <v>0.09</v>
      </c>
      <c r="L72" s="0" t="n">
        <v>70000</v>
      </c>
      <c r="M72" s="0" t="n">
        <v>2091</v>
      </c>
    </row>
    <row r="73" customFormat="false" ht="13.5" hidden="false" customHeight="false" outlineLevel="0" collapsed="false">
      <c r="A73" s="0" t="s">
        <v>80</v>
      </c>
      <c r="B73" s="1" t="n">
        <v>43933</v>
      </c>
      <c r="C73" s="0" t="n">
        <v>767</v>
      </c>
      <c r="D73" s="0" t="n">
        <v>143</v>
      </c>
      <c r="E73" s="0" t="n">
        <v>4</v>
      </c>
      <c r="F73" s="0" t="n">
        <v>1</v>
      </c>
      <c r="G73" s="0" t="n">
        <v>42</v>
      </c>
      <c r="H73" s="0" t="n">
        <v>721</v>
      </c>
      <c r="I73" s="0" t="n">
        <v>8</v>
      </c>
      <c r="J73" s="0" t="n">
        <v>23</v>
      </c>
      <c r="K73" s="0" t="n">
        <v>0.1</v>
      </c>
      <c r="L73" s="0" t="n">
        <v>70000</v>
      </c>
      <c r="M73" s="0" t="n">
        <v>2091</v>
      </c>
    </row>
    <row r="74" customFormat="false" ht="13.5" hidden="false" customHeight="false" outlineLevel="0" collapsed="false">
      <c r="A74" s="0" t="s">
        <v>80</v>
      </c>
      <c r="B74" s="1" t="n">
        <v>43934</v>
      </c>
      <c r="C74" s="0" t="n">
        <v>865</v>
      </c>
      <c r="D74" s="0" t="n">
        <v>98</v>
      </c>
      <c r="E74" s="0" t="n">
        <v>4</v>
      </c>
      <c r="G74" s="0" t="n">
        <v>66</v>
      </c>
      <c r="H74" s="0" t="n">
        <v>795</v>
      </c>
      <c r="I74" s="0" t="n">
        <v>8</v>
      </c>
      <c r="J74" s="0" t="n">
        <v>26</v>
      </c>
      <c r="K74" s="0" t="n">
        <v>0.1</v>
      </c>
      <c r="L74" s="0" t="n">
        <v>70000</v>
      </c>
      <c r="M74" s="0" t="n">
        <v>2091</v>
      </c>
    </row>
    <row r="75" customFormat="false" ht="13.5" hidden="false" customHeight="false" outlineLevel="0" collapsed="false">
      <c r="A75" s="0" t="s">
        <v>80</v>
      </c>
      <c r="B75" s="1" t="n">
        <v>43935</v>
      </c>
      <c r="C75" s="0" t="n">
        <v>998</v>
      </c>
      <c r="D75" s="0" t="n">
        <v>133</v>
      </c>
      <c r="E75" s="0" t="n">
        <v>4</v>
      </c>
      <c r="F75" s="0" t="n">
        <v>0</v>
      </c>
      <c r="G75" s="0" t="n">
        <v>85</v>
      </c>
      <c r="H75" s="0" t="n">
        <v>909</v>
      </c>
      <c r="I75" s="0" t="n">
        <v>8</v>
      </c>
      <c r="J75" s="0" t="n">
        <v>30</v>
      </c>
      <c r="K75" s="0" t="n">
        <v>0.1</v>
      </c>
      <c r="L75" s="0" t="n">
        <v>70000</v>
      </c>
      <c r="M75" s="0" t="n">
        <v>2091</v>
      </c>
    </row>
    <row r="76" customFormat="false" ht="13.5" hidden="false" customHeight="false" outlineLevel="0" collapsed="false">
      <c r="A76" s="0" t="s">
        <v>80</v>
      </c>
      <c r="B76" s="1" t="n">
        <v>43936</v>
      </c>
      <c r="C76" s="0" t="n">
        <v>1165</v>
      </c>
      <c r="D76" s="0" t="n">
        <v>167</v>
      </c>
      <c r="E76" s="0" t="n">
        <v>4</v>
      </c>
      <c r="F76" s="0" t="n">
        <v>0</v>
      </c>
      <c r="G76" s="0" t="n">
        <v>99</v>
      </c>
      <c r="H76" s="0" t="n">
        <v>1062</v>
      </c>
      <c r="I76" s="0" t="n">
        <v>8</v>
      </c>
      <c r="J76" s="0" t="n">
        <v>35</v>
      </c>
      <c r="K76" s="0" t="n">
        <v>0.1</v>
      </c>
      <c r="L76" s="0" t="n">
        <v>70000</v>
      </c>
      <c r="M76" s="0" t="n">
        <v>2091</v>
      </c>
    </row>
    <row r="77" customFormat="false" ht="13.5" hidden="false" customHeight="false" outlineLevel="0" collapsed="false">
      <c r="A77" s="0" t="s">
        <v>80</v>
      </c>
      <c r="B77" s="1" t="n">
        <v>43937</v>
      </c>
      <c r="C77" s="0" t="n">
        <v>1302</v>
      </c>
      <c r="D77" s="0" t="n">
        <v>137</v>
      </c>
      <c r="E77" s="0" t="n">
        <v>4</v>
      </c>
      <c r="F77" s="0" t="n">
        <v>0</v>
      </c>
      <c r="G77" s="0" t="n">
        <v>107</v>
      </c>
      <c r="H77" s="0" t="n">
        <v>1191</v>
      </c>
      <c r="I77" s="0" t="n">
        <v>8</v>
      </c>
      <c r="J77" s="0" t="n">
        <v>39</v>
      </c>
      <c r="K77" s="0" t="n">
        <v>0.1</v>
      </c>
      <c r="L77" s="0" t="n">
        <v>70000</v>
      </c>
      <c r="M77" s="0" t="n">
        <v>2091</v>
      </c>
    </row>
    <row r="78" customFormat="false" ht="13.5" hidden="false" customHeight="false" outlineLevel="0" collapsed="false">
      <c r="A78" s="0" t="s">
        <v>80</v>
      </c>
      <c r="B78" s="1" t="n">
        <v>43938</v>
      </c>
      <c r="C78" s="0" t="n">
        <v>1349</v>
      </c>
      <c r="D78" s="0" t="n">
        <v>47</v>
      </c>
      <c r="E78" s="0" t="n">
        <v>4</v>
      </c>
      <c r="F78" s="0" t="n">
        <v>0</v>
      </c>
      <c r="G78" s="0" t="n">
        <v>129</v>
      </c>
      <c r="H78" s="0" t="n">
        <v>1216</v>
      </c>
      <c r="I78" s="0" t="n">
        <v>8</v>
      </c>
      <c r="J78" s="0" t="n">
        <v>40</v>
      </c>
      <c r="K78" s="0" t="n">
        <v>0.1</v>
      </c>
      <c r="L78" s="0" t="n">
        <v>100000</v>
      </c>
      <c r="M78" s="0" t="n">
        <v>2988</v>
      </c>
    </row>
    <row r="79" customFormat="false" ht="13.5" hidden="false" customHeight="false" outlineLevel="0" collapsed="false">
      <c r="A79" s="0" t="s">
        <v>80</v>
      </c>
      <c r="B79" s="1" t="n">
        <v>43939</v>
      </c>
      <c r="C79" s="0" t="n">
        <v>1405</v>
      </c>
      <c r="D79" s="0" t="n">
        <v>56</v>
      </c>
      <c r="E79" s="0" t="n">
        <v>4</v>
      </c>
      <c r="F79" s="0" t="n">
        <v>0</v>
      </c>
      <c r="G79" s="0" t="n">
        <v>156</v>
      </c>
      <c r="H79" s="0" t="n">
        <v>1245</v>
      </c>
      <c r="I79" s="0" t="n">
        <v>8</v>
      </c>
      <c r="J79" s="0" t="n">
        <v>42</v>
      </c>
      <c r="K79" s="0" t="n">
        <v>0.1</v>
      </c>
      <c r="L79" s="0" t="n">
        <v>136000</v>
      </c>
      <c r="M79" s="0" t="n">
        <v>4063</v>
      </c>
    </row>
    <row r="80" customFormat="false" ht="13.5" hidden="false" customHeight="false" outlineLevel="0" collapsed="false">
      <c r="A80" s="0" t="s">
        <v>80</v>
      </c>
      <c r="B80" s="1" t="n">
        <v>43940</v>
      </c>
      <c r="C80" s="0" t="n">
        <v>1490</v>
      </c>
      <c r="D80" s="0" t="n">
        <v>85</v>
      </c>
      <c r="E80" s="0" t="n">
        <v>5</v>
      </c>
      <c r="F80" s="0" t="n">
        <v>1</v>
      </c>
      <c r="G80" s="0" t="n">
        <v>194</v>
      </c>
      <c r="H80" s="0" t="n">
        <v>1291</v>
      </c>
      <c r="I80" s="0" t="n">
        <v>8</v>
      </c>
      <c r="J80" s="0" t="n">
        <v>45</v>
      </c>
      <c r="K80" s="0" t="n">
        <v>0.1</v>
      </c>
      <c r="L80" s="0" t="n">
        <v>136000</v>
      </c>
      <c r="M80" s="0" t="n">
        <v>4063</v>
      </c>
    </row>
    <row r="81" customFormat="false" ht="13.5" hidden="false" customHeight="false" outlineLevel="0" collapsed="false">
      <c r="A81" s="0" t="s">
        <v>80</v>
      </c>
      <c r="B81" s="1" t="n">
        <v>43941</v>
      </c>
      <c r="C81" s="0" t="n">
        <v>1565</v>
      </c>
      <c r="D81" s="0" t="n">
        <v>75</v>
      </c>
      <c r="E81" s="0" t="n">
        <v>5</v>
      </c>
      <c r="F81" s="0" t="n">
        <v>0</v>
      </c>
      <c r="G81" s="0" t="n">
        <v>225</v>
      </c>
      <c r="H81" s="0" t="n">
        <v>1335</v>
      </c>
      <c r="I81" s="0" t="n">
        <v>8</v>
      </c>
      <c r="J81" s="0" t="n">
        <v>47</v>
      </c>
      <c r="K81" s="0" t="n">
        <v>0.1</v>
      </c>
      <c r="L81" s="0" t="n">
        <v>136000</v>
      </c>
      <c r="M81" s="0" t="n">
        <v>4063</v>
      </c>
    </row>
    <row r="82" customFormat="false" ht="13.5" hidden="false" customHeight="false" outlineLevel="0" collapsed="false">
      <c r="A82" s="0" t="s">
        <v>80</v>
      </c>
      <c r="B82" s="1" t="n">
        <v>43942</v>
      </c>
      <c r="C82" s="0" t="n">
        <v>1627</v>
      </c>
      <c r="D82" s="0" t="n">
        <v>62</v>
      </c>
      <c r="E82" s="0" t="n">
        <v>5</v>
      </c>
      <c r="F82" s="0" t="n">
        <v>0</v>
      </c>
      <c r="G82" s="0" t="n">
        <v>261</v>
      </c>
      <c r="H82" s="0" t="n">
        <v>1361</v>
      </c>
      <c r="I82" s="0" t="n">
        <v>8</v>
      </c>
      <c r="J82" s="0" t="n">
        <v>49</v>
      </c>
      <c r="K82" s="0" t="n">
        <v>0.1</v>
      </c>
      <c r="L82" s="0" t="n">
        <v>136000</v>
      </c>
      <c r="M82" s="0" t="n">
        <v>4063</v>
      </c>
    </row>
    <row r="83" customFormat="false" ht="13.5" hidden="false" customHeight="false" outlineLevel="0" collapsed="false">
      <c r="A83" s="0" t="s">
        <v>80</v>
      </c>
      <c r="B83" s="1" t="n">
        <v>43943</v>
      </c>
      <c r="C83" s="0" t="n">
        <v>1678</v>
      </c>
      <c r="D83" s="0" t="n">
        <v>51</v>
      </c>
      <c r="E83" s="0" t="n">
        <v>6</v>
      </c>
      <c r="F83" s="0" t="n">
        <v>1</v>
      </c>
      <c r="G83" s="0" t="n">
        <v>357</v>
      </c>
      <c r="H83" s="0" t="n">
        <v>1315</v>
      </c>
      <c r="I83" s="0" t="n">
        <v>8</v>
      </c>
      <c r="J83" s="0" t="n">
        <v>50</v>
      </c>
      <c r="K83" s="0" t="n">
        <v>0.2</v>
      </c>
      <c r="L83" s="0" t="n">
        <v>150000</v>
      </c>
      <c r="M83" s="0" t="n">
        <v>4482</v>
      </c>
    </row>
    <row r="84" customFormat="false" ht="13.5" hidden="false" customHeight="false" outlineLevel="0" collapsed="false">
      <c r="A84" s="0" t="s">
        <v>80</v>
      </c>
      <c r="B84" s="1" t="n">
        <v>43944</v>
      </c>
      <c r="C84" s="0" t="n">
        <v>1716</v>
      </c>
      <c r="D84" s="0" t="n">
        <v>38</v>
      </c>
      <c r="E84" s="0" t="n">
        <v>7</v>
      </c>
      <c r="F84" s="0" t="n">
        <v>1</v>
      </c>
      <c r="G84" s="0" t="n">
        <v>450</v>
      </c>
      <c r="H84" s="0" t="n">
        <v>1259</v>
      </c>
      <c r="I84" s="0" t="n">
        <v>8</v>
      </c>
      <c r="J84" s="0" t="n">
        <v>51</v>
      </c>
      <c r="K84" s="0" t="n">
        <v>0.2</v>
      </c>
      <c r="L84" s="0" t="n">
        <v>150000</v>
      </c>
      <c r="M84" s="0" t="n">
        <v>4482</v>
      </c>
    </row>
    <row r="85" customFormat="false" ht="13.5" hidden="false" customHeight="false" outlineLevel="0" collapsed="false">
      <c r="A85" s="0" t="s">
        <v>80</v>
      </c>
      <c r="B85" s="1" t="n">
        <v>43945</v>
      </c>
      <c r="C85" s="0" t="n">
        <v>1758</v>
      </c>
      <c r="D85" s="0" t="n">
        <v>42</v>
      </c>
      <c r="E85" s="0" t="n">
        <v>7</v>
      </c>
      <c r="F85" s="0" t="n">
        <v>0</v>
      </c>
      <c r="G85" s="0" t="n">
        <v>561</v>
      </c>
      <c r="H85" s="0" t="n">
        <v>1190</v>
      </c>
      <c r="I85" s="0" t="n">
        <v>8</v>
      </c>
      <c r="J85" s="0" t="n">
        <v>53</v>
      </c>
      <c r="K85" s="0" t="n">
        <v>0.2</v>
      </c>
      <c r="L85" s="0" t="n">
        <v>210000</v>
      </c>
      <c r="M85" s="0" t="n">
        <v>6274</v>
      </c>
    </row>
    <row r="86" customFormat="false" ht="13.5" hidden="false" customHeight="false" outlineLevel="0" collapsed="false">
      <c r="A86" s="0" t="s">
        <v>80</v>
      </c>
      <c r="B86" s="1" t="n">
        <v>43946</v>
      </c>
      <c r="C86" s="0" t="n">
        <v>1804</v>
      </c>
      <c r="D86" s="0" t="n">
        <v>46</v>
      </c>
      <c r="E86" s="0" t="n">
        <v>8</v>
      </c>
      <c r="F86" s="0" t="n">
        <v>1</v>
      </c>
      <c r="G86" s="0" t="n">
        <v>621</v>
      </c>
      <c r="H86" s="0" t="n">
        <v>1175</v>
      </c>
      <c r="I86" s="0" t="n">
        <v>8</v>
      </c>
      <c r="J86" s="0" t="n">
        <v>54</v>
      </c>
      <c r="K86" s="0" t="n">
        <v>0.2</v>
      </c>
      <c r="L86" s="0" t="n">
        <v>210000</v>
      </c>
      <c r="M86" s="0" t="n">
        <v>6274</v>
      </c>
    </row>
    <row r="87" customFormat="false" ht="13.5" hidden="false" customHeight="false" outlineLevel="0" collapsed="false">
      <c r="A87" s="0" t="s">
        <v>80</v>
      </c>
      <c r="B87" s="1" t="n">
        <v>43947</v>
      </c>
      <c r="C87" s="0" t="n">
        <v>1862</v>
      </c>
      <c r="D87" s="0" t="n">
        <v>58</v>
      </c>
      <c r="E87" s="0" t="n">
        <v>8</v>
      </c>
      <c r="F87" s="0" t="n">
        <v>0</v>
      </c>
      <c r="G87" s="0" t="n">
        <v>707</v>
      </c>
      <c r="H87" s="0" t="n">
        <v>1147</v>
      </c>
      <c r="I87" s="0" t="n">
        <v>8</v>
      </c>
      <c r="J87" s="0" t="n">
        <v>56</v>
      </c>
      <c r="K87" s="0" t="n">
        <v>0.2</v>
      </c>
      <c r="L87" s="0" t="n">
        <v>210000</v>
      </c>
      <c r="M87" s="0" t="n">
        <v>6274</v>
      </c>
    </row>
    <row r="88" customFormat="false" ht="13.5" hidden="false" customHeight="false" outlineLevel="0" collapsed="false">
      <c r="A88" s="0" t="s">
        <v>80</v>
      </c>
      <c r="B88" s="1" t="n">
        <v>43948</v>
      </c>
      <c r="C88" s="0" t="n">
        <v>1869</v>
      </c>
      <c r="D88" s="0" t="n">
        <v>7</v>
      </c>
      <c r="E88" s="0" t="n">
        <v>8</v>
      </c>
      <c r="F88" s="0" t="n">
        <v>0</v>
      </c>
      <c r="G88" s="0" t="n">
        <v>789</v>
      </c>
      <c r="H88" s="0" t="n">
        <v>1072</v>
      </c>
      <c r="I88" s="0" t="n">
        <v>8</v>
      </c>
      <c r="J88" s="0" t="n">
        <v>56</v>
      </c>
      <c r="K88" s="0" t="n">
        <v>0.2</v>
      </c>
      <c r="L88" s="0" t="n">
        <v>242536</v>
      </c>
      <c r="M88" s="0" t="n">
        <v>7247</v>
      </c>
    </row>
    <row r="89" customFormat="false" ht="13.5" hidden="false" customHeight="false" outlineLevel="0" collapsed="false">
      <c r="A89" s="0" t="s">
        <v>80</v>
      </c>
      <c r="B89" s="1" t="n">
        <v>43949</v>
      </c>
      <c r="C89" s="0" t="n">
        <v>1904</v>
      </c>
      <c r="D89" s="0" t="n">
        <v>35</v>
      </c>
      <c r="E89" s="0" t="n">
        <v>8</v>
      </c>
      <c r="F89" s="0" t="n">
        <v>0</v>
      </c>
      <c r="G89" s="0" t="n">
        <v>892</v>
      </c>
      <c r="H89" s="0" t="n">
        <v>1004</v>
      </c>
      <c r="I89" s="0" t="n">
        <v>8</v>
      </c>
      <c r="J89" s="0" t="n">
        <v>57</v>
      </c>
      <c r="K89" s="0" t="n">
        <v>0.2</v>
      </c>
      <c r="L89" s="0" t="n">
        <v>242536</v>
      </c>
      <c r="M89" s="0" t="n">
        <v>7247</v>
      </c>
    </row>
    <row r="90" customFormat="false" ht="13.5" hidden="false" customHeight="false" outlineLevel="0" collapsed="false">
      <c r="A90" s="0" t="s">
        <v>80</v>
      </c>
      <c r="B90" s="1" t="n">
        <v>43950</v>
      </c>
      <c r="C90" s="0" t="n">
        <v>1939</v>
      </c>
      <c r="D90" s="0" t="n">
        <v>35</v>
      </c>
      <c r="E90" s="0" t="n">
        <v>8</v>
      </c>
      <c r="F90" s="0" t="n">
        <v>0</v>
      </c>
      <c r="G90" s="0" t="n">
        <v>992</v>
      </c>
      <c r="H90" s="0" t="n">
        <v>939</v>
      </c>
      <c r="I90" s="0" t="n">
        <v>8</v>
      </c>
      <c r="J90" s="0" t="n">
        <v>58</v>
      </c>
      <c r="K90" s="0" t="n">
        <v>0.2</v>
      </c>
      <c r="L90" s="0" t="n">
        <v>242536</v>
      </c>
      <c r="M90" s="0" t="n">
        <v>7247</v>
      </c>
    </row>
    <row r="91" customFormat="false" ht="13.5" hidden="false" customHeight="false" outlineLevel="0" collapsed="false">
      <c r="A91" s="0" t="s">
        <v>80</v>
      </c>
      <c r="B91" s="1" t="n">
        <v>43951</v>
      </c>
      <c r="C91" s="2" t="n">
        <v>2002</v>
      </c>
      <c r="D91" s="2" t="n">
        <v>63</v>
      </c>
      <c r="E91" s="2" t="n">
        <v>9</v>
      </c>
      <c r="F91" s="2" t="n">
        <v>1</v>
      </c>
      <c r="G91" s="2" t="n">
        <v>1096</v>
      </c>
      <c r="H91" s="2" t="n">
        <v>897</v>
      </c>
      <c r="I91" s="2" t="n">
        <v>8</v>
      </c>
      <c r="J91" s="2" t="n">
        <v>60</v>
      </c>
      <c r="K91" s="2" t="n">
        <v>0.3</v>
      </c>
      <c r="L91" s="2" t="n">
        <v>242536</v>
      </c>
      <c r="M91" s="2" t="n">
        <v>7247</v>
      </c>
    </row>
    <row r="92" customFormat="false" ht="13.5" hidden="false" customHeight="false" outlineLevel="0" collapsed="false">
      <c r="A92" s="0" t="s">
        <v>80</v>
      </c>
      <c r="B92" s="1" t="n">
        <v>43952</v>
      </c>
      <c r="C92" s="0" t="n">
        <v>2039</v>
      </c>
      <c r="D92" s="0" t="n">
        <v>37</v>
      </c>
      <c r="E92" s="0" t="n">
        <v>9</v>
      </c>
      <c r="F92" s="0" t="n">
        <v>0</v>
      </c>
      <c r="G92" s="0" t="n">
        <v>1133</v>
      </c>
      <c r="H92" s="0" t="n">
        <v>897</v>
      </c>
      <c r="I92" s="0" t="n">
        <v>8</v>
      </c>
      <c r="J92" s="0" t="n">
        <v>61</v>
      </c>
      <c r="K92" s="0" t="n">
        <v>0.3</v>
      </c>
      <c r="L92" s="0" t="n">
        <v>242536</v>
      </c>
      <c r="M92" s="0" t="n">
        <v>7247</v>
      </c>
    </row>
    <row r="93" customFormat="false" ht="13.5" hidden="false" customHeight="false" outlineLevel="0" collapsed="false">
      <c r="A93" s="0" t="s">
        <v>80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80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80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80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80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80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80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80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80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80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80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80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80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80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80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80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80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80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80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80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80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80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80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80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80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80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80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80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80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80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80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80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80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80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80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80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80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80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80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80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80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80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80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80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80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80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80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80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80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80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80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80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80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80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80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80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80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80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80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80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80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80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80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80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80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80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80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80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80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80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80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80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80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80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80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80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80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80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80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80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80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80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80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80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80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80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80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80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80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80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80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80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80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80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80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6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81</v>
      </c>
      <c r="B2" s="1" t="n">
        <v>43862</v>
      </c>
    </row>
    <row r="3" customFormat="false" ht="13.5" hidden="false" customHeight="false" outlineLevel="0" collapsed="false">
      <c r="A3" s="0" t="s">
        <v>81</v>
      </c>
      <c r="B3" s="1" t="n">
        <v>43863</v>
      </c>
    </row>
    <row r="4" customFormat="false" ht="13.5" hidden="false" customHeight="false" outlineLevel="0" collapsed="false">
      <c r="A4" s="0" t="s">
        <v>81</v>
      </c>
      <c r="B4" s="1" t="n">
        <v>43864</v>
      </c>
    </row>
    <row r="5" customFormat="false" ht="13.5" hidden="false" customHeight="false" outlineLevel="0" collapsed="false">
      <c r="A5" s="0" t="s">
        <v>81</v>
      </c>
      <c r="B5" s="1" t="n">
        <v>43865</v>
      </c>
    </row>
    <row r="6" customFormat="false" ht="13.5" hidden="false" customHeight="false" outlineLevel="0" collapsed="false">
      <c r="A6" s="0" t="s">
        <v>81</v>
      </c>
      <c r="B6" s="1" t="n">
        <v>43866</v>
      </c>
    </row>
    <row r="7" customFormat="false" ht="13.5" hidden="false" customHeight="false" outlineLevel="0" collapsed="false">
      <c r="A7" s="0" t="s">
        <v>81</v>
      </c>
      <c r="B7" s="1" t="n">
        <v>43867</v>
      </c>
    </row>
    <row r="8" customFormat="false" ht="13.5" hidden="false" customHeight="false" outlineLevel="0" collapsed="false">
      <c r="A8" s="0" t="s">
        <v>81</v>
      </c>
      <c r="B8" s="1" t="n">
        <v>43868</v>
      </c>
    </row>
    <row r="9" customFormat="false" ht="13.5" hidden="false" customHeight="false" outlineLevel="0" collapsed="false">
      <c r="A9" s="0" t="s">
        <v>81</v>
      </c>
      <c r="B9" s="1" t="n">
        <v>43869</v>
      </c>
    </row>
    <row r="10" customFormat="false" ht="13.5" hidden="false" customHeight="false" outlineLevel="0" collapsed="false">
      <c r="A10" s="0" t="s">
        <v>81</v>
      </c>
      <c r="B10" s="1" t="n">
        <v>43870</v>
      </c>
    </row>
    <row r="11" customFormat="false" ht="13.5" hidden="false" customHeight="false" outlineLevel="0" collapsed="false">
      <c r="A11" s="0" t="s">
        <v>81</v>
      </c>
      <c r="B11" s="1" t="n">
        <v>43871</v>
      </c>
    </row>
    <row r="12" customFormat="false" ht="13.5" hidden="false" customHeight="false" outlineLevel="0" collapsed="false">
      <c r="A12" s="0" t="s">
        <v>81</v>
      </c>
      <c r="B12" s="1" t="n">
        <v>43872</v>
      </c>
    </row>
    <row r="13" customFormat="false" ht="13.5" hidden="false" customHeight="false" outlineLevel="0" collapsed="false">
      <c r="A13" s="0" t="s">
        <v>81</v>
      </c>
      <c r="B13" s="1" t="n">
        <v>43873</v>
      </c>
    </row>
    <row r="14" customFormat="false" ht="13.5" hidden="false" customHeight="false" outlineLevel="0" collapsed="false">
      <c r="A14" s="0" t="s">
        <v>81</v>
      </c>
      <c r="B14" s="1" t="n">
        <v>43874</v>
      </c>
    </row>
    <row r="15" customFormat="false" ht="13.5" hidden="false" customHeight="false" outlineLevel="0" collapsed="false">
      <c r="A15" s="0" t="s">
        <v>81</v>
      </c>
      <c r="B15" s="1" t="n">
        <v>43875</v>
      </c>
    </row>
    <row r="16" customFormat="false" ht="13.5" hidden="false" customHeight="false" outlineLevel="0" collapsed="false">
      <c r="A16" s="0" t="s">
        <v>81</v>
      </c>
      <c r="B16" s="1" t="n">
        <v>43876</v>
      </c>
    </row>
    <row r="17" customFormat="false" ht="13.5" hidden="false" customHeight="false" outlineLevel="0" collapsed="false">
      <c r="A17" s="0" t="s">
        <v>81</v>
      </c>
      <c r="B17" s="1" t="n">
        <v>43877</v>
      </c>
    </row>
    <row r="18" customFormat="false" ht="13.5" hidden="false" customHeight="false" outlineLevel="0" collapsed="false">
      <c r="A18" s="0" t="s">
        <v>81</v>
      </c>
      <c r="B18" s="1" t="n">
        <v>43878</v>
      </c>
    </row>
    <row r="19" customFormat="false" ht="13.5" hidden="false" customHeight="false" outlineLevel="0" collapsed="false">
      <c r="A19" s="0" t="s">
        <v>81</v>
      </c>
      <c r="B19" s="1" t="n">
        <v>43879</v>
      </c>
    </row>
    <row r="20" customFormat="false" ht="13.5" hidden="false" customHeight="false" outlineLevel="0" collapsed="false">
      <c r="A20" s="0" t="s">
        <v>81</v>
      </c>
      <c r="B20" s="1" t="n">
        <v>43880</v>
      </c>
    </row>
    <row r="21" customFormat="false" ht="13.5" hidden="false" customHeight="false" outlineLevel="0" collapsed="false">
      <c r="A21" s="0" t="s">
        <v>81</v>
      </c>
      <c r="B21" s="1" t="n">
        <v>43881</v>
      </c>
    </row>
    <row r="22" customFormat="false" ht="13.5" hidden="false" customHeight="false" outlineLevel="0" collapsed="false">
      <c r="A22" s="0" t="s">
        <v>81</v>
      </c>
      <c r="B22" s="1" t="n">
        <v>43882</v>
      </c>
    </row>
    <row r="23" customFormat="false" ht="13.5" hidden="false" customHeight="false" outlineLevel="0" collapsed="false">
      <c r="A23" s="0" t="s">
        <v>81</v>
      </c>
      <c r="B23" s="1" t="n">
        <v>43883</v>
      </c>
    </row>
    <row r="24" customFormat="false" ht="13.5" hidden="false" customHeight="false" outlineLevel="0" collapsed="false">
      <c r="A24" s="0" t="s">
        <v>81</v>
      </c>
      <c r="B24" s="1" t="n">
        <v>43884</v>
      </c>
    </row>
    <row r="25" customFormat="false" ht="13.5" hidden="false" customHeight="false" outlineLevel="0" collapsed="false">
      <c r="A25" s="0" t="s">
        <v>81</v>
      </c>
      <c r="B25" s="1" t="n">
        <v>43885</v>
      </c>
    </row>
    <row r="26" customFormat="false" ht="13.5" hidden="false" customHeight="false" outlineLevel="0" collapsed="false">
      <c r="A26" s="0" t="s">
        <v>81</v>
      </c>
      <c r="B26" s="1" t="n">
        <v>43886</v>
      </c>
    </row>
    <row r="27" customFormat="false" ht="13.5" hidden="false" customHeight="false" outlineLevel="0" collapsed="false">
      <c r="A27" s="0" t="s">
        <v>81</v>
      </c>
      <c r="B27" s="1" t="n">
        <v>43887</v>
      </c>
    </row>
    <row r="28" customFormat="false" ht="13.5" hidden="false" customHeight="false" outlineLevel="0" collapsed="false">
      <c r="A28" s="0" t="s">
        <v>81</v>
      </c>
      <c r="B28" s="1" t="n">
        <v>43888</v>
      </c>
    </row>
    <row r="29" customFormat="false" ht="13.5" hidden="false" customHeight="false" outlineLevel="0" collapsed="false">
      <c r="A29" s="0" t="s">
        <v>81</v>
      </c>
      <c r="B29" s="1" t="n">
        <v>43889</v>
      </c>
    </row>
    <row r="30" customFormat="false" ht="13.5" hidden="false" customHeight="false" outlineLevel="0" collapsed="false">
      <c r="A30" s="0" t="s">
        <v>81</v>
      </c>
      <c r="B30" s="1" t="n">
        <v>43890</v>
      </c>
    </row>
    <row r="31" customFormat="false" ht="13.5" hidden="false" customHeight="false" outlineLevel="0" collapsed="false">
      <c r="A31" s="0" t="s">
        <v>81</v>
      </c>
      <c r="B31" s="1" t="n">
        <v>43891</v>
      </c>
    </row>
    <row r="32" customFormat="false" ht="13.5" hidden="false" customHeight="false" outlineLevel="0" collapsed="false">
      <c r="A32" s="0" t="s">
        <v>81</v>
      </c>
      <c r="B32" s="1" t="n">
        <v>43892</v>
      </c>
    </row>
    <row r="33" customFormat="false" ht="13.5" hidden="false" customHeight="false" outlineLevel="0" collapsed="false">
      <c r="A33" s="0" t="s">
        <v>81</v>
      </c>
      <c r="B33" s="1" t="n">
        <v>43893</v>
      </c>
    </row>
    <row r="34" customFormat="false" ht="13.5" hidden="false" customHeight="false" outlineLevel="0" collapsed="false">
      <c r="A34" s="0" t="s">
        <v>81</v>
      </c>
      <c r="B34" s="1" t="n">
        <v>43894</v>
      </c>
    </row>
    <row r="35" customFormat="false" ht="13.5" hidden="false" customHeight="false" outlineLevel="0" collapsed="false">
      <c r="A35" s="0" t="s">
        <v>81</v>
      </c>
      <c r="B35" s="1" t="n">
        <v>43895</v>
      </c>
    </row>
    <row r="36" customFormat="false" ht="13.5" hidden="false" customHeight="false" outlineLevel="0" collapsed="false">
      <c r="A36" s="0" t="s">
        <v>81</v>
      </c>
      <c r="B36" s="1" t="n">
        <v>43896</v>
      </c>
    </row>
    <row r="37" customFormat="false" ht="13.5" hidden="false" customHeight="false" outlineLevel="0" collapsed="false">
      <c r="A37" s="0" t="s">
        <v>81</v>
      </c>
      <c r="B37" s="1" t="n">
        <v>43897</v>
      </c>
      <c r="C37" s="0" t="n">
        <v>1</v>
      </c>
      <c r="H37" s="0" t="n">
        <v>1</v>
      </c>
    </row>
    <row r="38" customFormat="false" ht="13.5" hidden="false" customHeight="false" outlineLevel="0" collapsed="false">
      <c r="A38" s="0" t="s">
        <v>81</v>
      </c>
      <c r="B38" s="1" t="n">
        <v>43898</v>
      </c>
      <c r="C38" s="0" t="n">
        <v>4</v>
      </c>
      <c r="D38" s="0" t="n">
        <v>3</v>
      </c>
      <c r="H38" s="0" t="n">
        <v>4</v>
      </c>
    </row>
    <row r="39" customFormat="false" ht="13.5" hidden="false" customHeight="false" outlineLevel="0" collapsed="false">
      <c r="A39" s="0" t="s">
        <v>81</v>
      </c>
      <c r="B39" s="1" t="n">
        <v>43899</v>
      </c>
      <c r="C39" s="0" t="n">
        <v>4</v>
      </c>
      <c r="D39" s="0" t="n">
        <v>0</v>
      </c>
      <c r="H39" s="0" t="n">
        <v>4</v>
      </c>
      <c r="J39" s="0" t="n">
        <v>0.1</v>
      </c>
    </row>
    <row r="40" customFormat="false" ht="13.5" hidden="false" customHeight="false" outlineLevel="0" collapsed="false">
      <c r="A40" s="0" t="s">
        <v>81</v>
      </c>
      <c r="B40" s="1" t="n">
        <v>43900</v>
      </c>
      <c r="C40" s="0" t="n">
        <v>4</v>
      </c>
      <c r="D40" s="0" t="n">
        <v>0</v>
      </c>
      <c r="H40" s="0" t="n">
        <v>4</v>
      </c>
      <c r="J40" s="0" t="n">
        <v>0.1</v>
      </c>
    </row>
    <row r="41" customFormat="false" ht="13.5" hidden="false" customHeight="false" outlineLevel="0" collapsed="false">
      <c r="A41" s="0" t="s">
        <v>81</v>
      </c>
      <c r="B41" s="1" t="n">
        <v>43901</v>
      </c>
      <c r="C41" s="0" t="n">
        <v>5</v>
      </c>
      <c r="D41" s="0" t="n">
        <v>1</v>
      </c>
      <c r="H41" s="0" t="n">
        <v>5</v>
      </c>
      <c r="J41" s="0" t="n">
        <v>0.1</v>
      </c>
    </row>
    <row r="42" customFormat="false" ht="13.5" hidden="false" customHeight="false" outlineLevel="0" collapsed="false">
      <c r="A42" s="0" t="s">
        <v>81</v>
      </c>
      <c r="B42" s="1" t="n">
        <v>43902</v>
      </c>
      <c r="C42" s="0" t="n">
        <v>7</v>
      </c>
      <c r="D42" s="0" t="n">
        <v>2</v>
      </c>
      <c r="H42" s="0" t="n">
        <v>7</v>
      </c>
      <c r="J42" s="0" t="n">
        <v>0.2</v>
      </c>
    </row>
    <row r="43" customFormat="false" ht="13.5" hidden="false" customHeight="false" outlineLevel="0" collapsed="false">
      <c r="A43" s="0" t="s">
        <v>81</v>
      </c>
      <c r="B43" s="1" t="n">
        <v>43903</v>
      </c>
      <c r="C43" s="0" t="n">
        <v>7</v>
      </c>
      <c r="D43" s="0" t="n">
        <v>0</v>
      </c>
      <c r="H43" s="0" t="n">
        <v>7</v>
      </c>
      <c r="J43" s="0" t="n">
        <v>0.2</v>
      </c>
    </row>
    <row r="44" customFormat="false" ht="13.5" hidden="false" customHeight="false" outlineLevel="0" collapsed="false">
      <c r="A44" s="0" t="s">
        <v>81</v>
      </c>
      <c r="B44" s="1" t="n">
        <v>43904</v>
      </c>
      <c r="C44" s="0" t="n">
        <v>7</v>
      </c>
      <c r="D44" s="0" t="n">
        <v>0</v>
      </c>
      <c r="H44" s="0" t="n">
        <v>7</v>
      </c>
      <c r="J44" s="0" t="n">
        <v>0.2</v>
      </c>
    </row>
    <row r="45" customFormat="false" ht="13.5" hidden="false" customHeight="false" outlineLevel="0" collapsed="false">
      <c r="A45" s="0" t="s">
        <v>81</v>
      </c>
      <c r="B45" s="1" t="n">
        <v>43905</v>
      </c>
      <c r="C45" s="0" t="n">
        <v>11</v>
      </c>
      <c r="D45" s="0" t="n">
        <v>4</v>
      </c>
      <c r="H45" s="0" t="n">
        <v>11</v>
      </c>
      <c r="J45" s="0" t="n">
        <v>0.3</v>
      </c>
    </row>
    <row r="46" customFormat="false" ht="13.5" hidden="false" customHeight="false" outlineLevel="0" collapsed="false">
      <c r="A46" s="0" t="s">
        <v>81</v>
      </c>
      <c r="B46" s="1" t="n">
        <v>43906</v>
      </c>
      <c r="C46" s="0" t="n">
        <v>16</v>
      </c>
      <c r="D46" s="0" t="n">
        <v>5</v>
      </c>
      <c r="G46" s="0" t="n">
        <v>1</v>
      </c>
      <c r="H46" s="0" t="n">
        <v>15</v>
      </c>
      <c r="J46" s="0" t="n">
        <v>0.4</v>
      </c>
    </row>
    <row r="47" customFormat="false" ht="13.5" hidden="false" customHeight="false" outlineLevel="0" collapsed="false">
      <c r="A47" s="0" t="s">
        <v>81</v>
      </c>
      <c r="B47" s="1" t="n">
        <v>43907</v>
      </c>
      <c r="C47" s="0" t="n">
        <v>21</v>
      </c>
      <c r="D47" s="0" t="n">
        <v>5</v>
      </c>
      <c r="G47" s="0" t="n">
        <v>1</v>
      </c>
      <c r="H47" s="0" t="n">
        <v>20</v>
      </c>
      <c r="J47" s="0" t="n">
        <v>0.5</v>
      </c>
    </row>
    <row r="48" customFormat="false" ht="13.5" hidden="false" customHeight="false" outlineLevel="0" collapsed="false">
      <c r="A48" s="0" t="s">
        <v>81</v>
      </c>
      <c r="B48" s="1" t="n">
        <v>43908</v>
      </c>
      <c r="C48" s="0" t="n">
        <v>22</v>
      </c>
      <c r="D48" s="0" t="n">
        <v>1</v>
      </c>
      <c r="G48" s="0" t="n">
        <v>1</v>
      </c>
      <c r="H48" s="0" t="n">
        <v>21</v>
      </c>
      <c r="J48" s="0" t="n">
        <v>0.6</v>
      </c>
    </row>
    <row r="49" customFormat="false" ht="13.5" hidden="false" customHeight="false" outlineLevel="0" collapsed="false">
      <c r="A49" s="0" t="s">
        <v>81</v>
      </c>
      <c r="B49" s="1" t="n">
        <v>43909</v>
      </c>
      <c r="C49" s="0" t="n">
        <v>22</v>
      </c>
      <c r="D49" s="0" t="n">
        <v>0</v>
      </c>
      <c r="G49" s="0" t="n">
        <v>1</v>
      </c>
      <c r="H49" s="0" t="n">
        <v>21</v>
      </c>
      <c r="J49" s="0" t="n">
        <v>0.6</v>
      </c>
    </row>
    <row r="50" customFormat="false" ht="13.5" hidden="false" customHeight="false" outlineLevel="0" collapsed="false">
      <c r="A50" s="0" t="s">
        <v>81</v>
      </c>
      <c r="B50" s="1" t="n">
        <v>43910</v>
      </c>
      <c r="C50" s="0" t="n">
        <v>22</v>
      </c>
      <c r="D50" s="0" t="n">
        <v>0</v>
      </c>
      <c r="G50" s="0" t="n">
        <v>1</v>
      </c>
      <c r="H50" s="0" t="n">
        <v>21</v>
      </c>
      <c r="J50" s="0" t="n">
        <v>0.6</v>
      </c>
    </row>
    <row r="51" customFormat="false" ht="13.5" hidden="false" customHeight="false" outlineLevel="0" collapsed="false">
      <c r="A51" s="0" t="s">
        <v>81</v>
      </c>
      <c r="B51" s="1" t="n">
        <v>43911</v>
      </c>
      <c r="C51" s="0" t="n">
        <v>24</v>
      </c>
      <c r="D51" s="0" t="n">
        <v>2</v>
      </c>
      <c r="G51" s="0" t="n">
        <v>1</v>
      </c>
      <c r="H51" s="0" t="n">
        <v>23</v>
      </c>
      <c r="J51" s="0" t="n">
        <v>0.6</v>
      </c>
    </row>
    <row r="52" customFormat="false" ht="13.5" hidden="false" customHeight="false" outlineLevel="0" collapsed="false">
      <c r="A52" s="0" t="s">
        <v>81</v>
      </c>
      <c r="B52" s="1" t="n">
        <v>43912</v>
      </c>
      <c r="C52" s="0" t="n">
        <v>24</v>
      </c>
      <c r="D52" s="0" t="n">
        <v>0</v>
      </c>
      <c r="G52" s="0" t="n">
        <v>1</v>
      </c>
      <c r="H52" s="0" t="n">
        <v>23</v>
      </c>
      <c r="J52" s="0" t="n">
        <v>0.6</v>
      </c>
    </row>
    <row r="53" customFormat="false" ht="13.5" hidden="false" customHeight="false" outlineLevel="0" collapsed="false">
      <c r="A53" s="0" t="s">
        <v>81</v>
      </c>
      <c r="B53" s="1" t="n">
        <v>43913</v>
      </c>
      <c r="C53" s="0" t="n">
        <v>40</v>
      </c>
      <c r="D53" s="0" t="n">
        <v>16</v>
      </c>
      <c r="E53" s="0" t="n">
        <v>1</v>
      </c>
      <c r="F53" s="0" t="n">
        <v>1</v>
      </c>
      <c r="G53" s="0" t="n">
        <v>1</v>
      </c>
      <c r="H53" s="0" t="n">
        <v>38</v>
      </c>
      <c r="J53" s="0" t="n">
        <v>1</v>
      </c>
    </row>
    <row r="54" customFormat="false" ht="13.5" hidden="false" customHeight="false" outlineLevel="0" collapsed="false">
      <c r="A54" s="0" t="s">
        <v>81</v>
      </c>
      <c r="B54" s="1" t="n">
        <v>43914</v>
      </c>
      <c r="C54" s="0" t="n">
        <v>40</v>
      </c>
      <c r="D54" s="0" t="n">
        <v>0</v>
      </c>
      <c r="E54" s="0" t="n">
        <v>1</v>
      </c>
      <c r="G54" s="0" t="n">
        <v>1</v>
      </c>
      <c r="H54" s="0" t="n">
        <v>38</v>
      </c>
      <c r="J54" s="0" t="n">
        <v>1</v>
      </c>
    </row>
    <row r="55" customFormat="false" ht="13.5" hidden="false" customHeight="false" outlineLevel="0" collapsed="false">
      <c r="A55" s="0" t="s">
        <v>81</v>
      </c>
      <c r="B55" s="1" t="n">
        <v>43915</v>
      </c>
      <c r="C55" s="0" t="n">
        <v>74</v>
      </c>
      <c r="D55" s="0" t="n">
        <v>34</v>
      </c>
      <c r="E55" s="0" t="n">
        <v>1</v>
      </c>
      <c r="G55" s="0" t="n">
        <v>1</v>
      </c>
      <c r="H55" s="0" t="n">
        <v>72</v>
      </c>
      <c r="J55" s="0" t="n">
        <v>2</v>
      </c>
      <c r="K55" s="0" t="n">
        <v>0.03</v>
      </c>
    </row>
    <row r="56" customFormat="false" ht="13.5" hidden="false" customHeight="false" outlineLevel="0" collapsed="false">
      <c r="A56" s="0" t="s">
        <v>81</v>
      </c>
      <c r="B56" s="1" t="n">
        <v>43916</v>
      </c>
      <c r="C56" s="0" t="n">
        <v>84</v>
      </c>
      <c r="D56" s="0" t="n">
        <v>10</v>
      </c>
      <c r="E56" s="0" t="n">
        <v>2</v>
      </c>
      <c r="F56" s="0" t="n">
        <v>1</v>
      </c>
      <c r="G56" s="0" t="n">
        <v>2</v>
      </c>
      <c r="H56" s="0" t="n">
        <v>80</v>
      </c>
      <c r="J56" s="0" t="n">
        <v>2</v>
      </c>
      <c r="K56" s="0" t="n">
        <v>0.05</v>
      </c>
    </row>
    <row r="57" customFormat="false" ht="13.5" hidden="false" customHeight="false" outlineLevel="0" collapsed="false">
      <c r="A57" s="0" t="s">
        <v>81</v>
      </c>
      <c r="B57" s="1" t="n">
        <v>43917</v>
      </c>
      <c r="C57" s="0" t="n">
        <v>94</v>
      </c>
      <c r="D57" s="0" t="n">
        <v>10</v>
      </c>
      <c r="E57" s="0" t="n">
        <v>4</v>
      </c>
      <c r="F57" s="0" t="n">
        <v>2</v>
      </c>
      <c r="G57" s="0" t="n">
        <v>2</v>
      </c>
      <c r="H57" s="0" t="n">
        <v>88</v>
      </c>
      <c r="J57" s="0" t="n">
        <v>2</v>
      </c>
      <c r="K57" s="0" t="n">
        <v>0.1</v>
      </c>
    </row>
    <row r="58" customFormat="false" ht="13.5" hidden="false" customHeight="false" outlineLevel="0" collapsed="false">
      <c r="A58" s="0" t="s">
        <v>81</v>
      </c>
      <c r="B58" s="1" t="n">
        <v>43918</v>
      </c>
      <c r="C58" s="0" t="n">
        <v>110</v>
      </c>
      <c r="D58" s="0" t="n">
        <v>16</v>
      </c>
      <c r="E58" s="0" t="n">
        <v>4</v>
      </c>
      <c r="G58" s="0" t="n">
        <v>2</v>
      </c>
      <c r="H58" s="0" t="n">
        <v>104</v>
      </c>
      <c r="J58" s="0" t="n">
        <v>3</v>
      </c>
      <c r="K58" s="0" t="n">
        <v>0.1</v>
      </c>
    </row>
    <row r="59" customFormat="false" ht="13.5" hidden="false" customHeight="false" outlineLevel="0" collapsed="false">
      <c r="A59" s="0" t="s">
        <v>81</v>
      </c>
      <c r="B59" s="1" t="n">
        <v>43919</v>
      </c>
      <c r="C59" s="0" t="n">
        <v>110</v>
      </c>
      <c r="D59" s="0" t="n">
        <v>0</v>
      </c>
      <c r="E59" s="0" t="n">
        <v>4</v>
      </c>
      <c r="G59" s="0" t="n">
        <v>2</v>
      </c>
      <c r="H59" s="0" t="n">
        <v>104</v>
      </c>
      <c r="J59" s="0" t="n">
        <v>3</v>
      </c>
      <c r="K59" s="0" t="n">
        <v>0.1</v>
      </c>
    </row>
    <row r="60" customFormat="false" ht="13.5" hidden="false" customHeight="false" outlineLevel="0" collapsed="false">
      <c r="A60" s="0" t="s">
        <v>81</v>
      </c>
      <c r="B60" s="1" t="n">
        <v>43920</v>
      </c>
      <c r="C60" s="0" t="n">
        <v>120</v>
      </c>
      <c r="D60" s="0" t="n">
        <v>10</v>
      </c>
      <c r="E60" s="0" t="n">
        <v>4</v>
      </c>
      <c r="G60" s="0" t="n">
        <v>2</v>
      </c>
      <c r="H60" s="0" t="n">
        <v>114</v>
      </c>
      <c r="J60" s="0" t="n">
        <v>3</v>
      </c>
      <c r="K60" s="0" t="n">
        <v>0.1</v>
      </c>
    </row>
    <row r="61" customFormat="false" ht="13.5" hidden="false" customHeight="false" outlineLevel="0" collapsed="false">
      <c r="A61" s="0" t="s">
        <v>81</v>
      </c>
      <c r="B61" s="1" t="n">
        <v>43921</v>
      </c>
      <c r="C61" s="0" t="n">
        <v>170</v>
      </c>
      <c r="D61" s="0" t="n">
        <v>50</v>
      </c>
      <c r="E61" s="0" t="n">
        <v>4</v>
      </c>
      <c r="G61" s="0" t="n">
        <v>2</v>
      </c>
      <c r="H61" s="0" t="n">
        <v>164</v>
      </c>
      <c r="J61" s="0" t="n">
        <v>4</v>
      </c>
      <c r="K61" s="0" t="n">
        <v>0.1</v>
      </c>
    </row>
    <row r="62" customFormat="false" ht="13.5" hidden="false" customHeight="false" outlineLevel="0" collapsed="false">
      <c r="A62" s="0" t="s">
        <v>81</v>
      </c>
      <c r="B62" s="1" t="n">
        <v>43922</v>
      </c>
      <c r="C62" s="0" t="n">
        <v>174</v>
      </c>
      <c r="D62" s="0" t="n">
        <v>4</v>
      </c>
      <c r="E62" s="0" t="n">
        <v>4</v>
      </c>
      <c r="G62" s="0" t="n">
        <v>5</v>
      </c>
      <c r="H62" s="0" t="n">
        <v>165</v>
      </c>
      <c r="J62" s="0" t="n">
        <v>4</v>
      </c>
      <c r="K62" s="0" t="n">
        <v>0.1</v>
      </c>
    </row>
    <row r="63" customFormat="false" ht="13.5" hidden="false" customHeight="false" outlineLevel="0" collapsed="false">
      <c r="A63" s="0" t="s">
        <v>81</v>
      </c>
      <c r="B63" s="1" t="n">
        <v>43923</v>
      </c>
      <c r="C63" s="0" t="n">
        <v>237</v>
      </c>
      <c r="D63" s="0" t="n">
        <v>63</v>
      </c>
      <c r="E63" s="0" t="n">
        <v>4</v>
      </c>
      <c r="G63" s="0" t="n">
        <v>5</v>
      </c>
      <c r="H63" s="0" t="n">
        <v>228</v>
      </c>
      <c r="J63" s="0" t="n">
        <v>6</v>
      </c>
      <c r="K63" s="0" t="n">
        <v>0.1</v>
      </c>
    </row>
    <row r="64" customFormat="false" ht="13.5" hidden="false" customHeight="false" outlineLevel="0" collapsed="false">
      <c r="A64" s="0" t="s">
        <v>81</v>
      </c>
      <c r="B64" s="1" t="n">
        <v>43924</v>
      </c>
      <c r="C64" s="0" t="n">
        <v>273</v>
      </c>
      <c r="D64" s="0" t="n">
        <v>36</v>
      </c>
      <c r="E64" s="0" t="n">
        <v>6</v>
      </c>
      <c r="F64" s="0" t="n">
        <v>2</v>
      </c>
      <c r="G64" s="0" t="n">
        <v>10</v>
      </c>
      <c r="H64" s="0" t="n">
        <v>257</v>
      </c>
      <c r="J64" s="0" t="n">
        <v>7</v>
      </c>
      <c r="K64" s="0" t="n">
        <v>0.2</v>
      </c>
    </row>
    <row r="65" customFormat="false" ht="13.5" hidden="false" customHeight="false" outlineLevel="0" collapsed="false">
      <c r="A65" s="0" t="s">
        <v>81</v>
      </c>
      <c r="B65" s="1" t="n">
        <v>43925</v>
      </c>
      <c r="C65" s="0" t="n">
        <v>281</v>
      </c>
      <c r="D65" s="0" t="n">
        <v>8</v>
      </c>
      <c r="E65" s="0" t="n">
        <v>6</v>
      </c>
      <c r="G65" s="0" t="n">
        <v>10</v>
      </c>
      <c r="H65" s="0" t="n">
        <v>265</v>
      </c>
      <c r="J65" s="0" t="n">
        <v>7</v>
      </c>
      <c r="K65" s="0" t="n">
        <v>0.2</v>
      </c>
    </row>
    <row r="66" customFormat="false" ht="13.5" hidden="false" customHeight="false" outlineLevel="0" collapsed="false">
      <c r="A66" s="0" t="s">
        <v>81</v>
      </c>
      <c r="B66" s="1" t="n">
        <v>43926</v>
      </c>
      <c r="C66" s="0" t="n">
        <v>299</v>
      </c>
      <c r="D66" s="0" t="n">
        <v>18</v>
      </c>
      <c r="E66" s="0" t="n">
        <v>7</v>
      </c>
      <c r="F66" s="0" t="n">
        <v>1</v>
      </c>
      <c r="G66" s="0" t="n">
        <v>10</v>
      </c>
      <c r="H66" s="0" t="n">
        <v>282</v>
      </c>
      <c r="J66" s="0" t="n">
        <v>8</v>
      </c>
      <c r="K66" s="0" t="n">
        <v>0.2</v>
      </c>
    </row>
    <row r="67" customFormat="false" ht="13.5" hidden="false" customHeight="false" outlineLevel="0" collapsed="false">
      <c r="A67" s="0" t="s">
        <v>81</v>
      </c>
      <c r="B67" s="1" t="n">
        <v>43927</v>
      </c>
      <c r="C67" s="0" t="n">
        <v>349</v>
      </c>
      <c r="D67" s="0" t="n">
        <v>50</v>
      </c>
      <c r="E67" s="0" t="n">
        <v>7</v>
      </c>
      <c r="G67" s="0" t="n">
        <v>15</v>
      </c>
      <c r="H67" s="0" t="n">
        <v>327</v>
      </c>
      <c r="J67" s="0" t="n">
        <v>9</v>
      </c>
      <c r="K67" s="0" t="n">
        <v>0.2</v>
      </c>
    </row>
    <row r="68" customFormat="false" ht="13.5" hidden="false" customHeight="false" outlineLevel="0" collapsed="false">
      <c r="A68" s="0" t="s">
        <v>81</v>
      </c>
      <c r="B68" s="1" t="n">
        <v>43928</v>
      </c>
      <c r="C68" s="0" t="n">
        <v>367</v>
      </c>
      <c r="D68" s="0" t="n">
        <v>18</v>
      </c>
      <c r="E68" s="0" t="n">
        <v>11</v>
      </c>
      <c r="F68" s="0" t="n">
        <v>4</v>
      </c>
      <c r="G68" s="0" t="n">
        <v>18</v>
      </c>
      <c r="H68" s="0" t="n">
        <v>338</v>
      </c>
      <c r="J68" s="0" t="n">
        <v>9</v>
      </c>
      <c r="K68" s="0" t="n">
        <v>0.3</v>
      </c>
    </row>
    <row r="69" customFormat="false" ht="13.5" hidden="false" customHeight="false" outlineLevel="0" collapsed="false">
      <c r="A69" s="0" t="s">
        <v>81</v>
      </c>
      <c r="B69" s="1" t="n">
        <v>43929</v>
      </c>
      <c r="C69" s="0" t="n">
        <v>423</v>
      </c>
      <c r="D69" s="0" t="n">
        <v>56</v>
      </c>
      <c r="E69" s="0" t="n">
        <v>14</v>
      </c>
      <c r="F69" s="0" t="n">
        <v>3</v>
      </c>
      <c r="G69" s="0" t="n">
        <v>18</v>
      </c>
      <c r="H69" s="0" t="n">
        <v>391</v>
      </c>
      <c r="J69" s="0" t="n">
        <v>11</v>
      </c>
      <c r="K69" s="0" t="n">
        <v>0.4</v>
      </c>
    </row>
    <row r="70" customFormat="false" ht="13.5" hidden="false" customHeight="false" outlineLevel="0" collapsed="false">
      <c r="A70" s="0" t="s">
        <v>81</v>
      </c>
      <c r="B70" s="1" t="n">
        <v>43930</v>
      </c>
      <c r="C70" s="0" t="n">
        <v>444</v>
      </c>
      <c r="D70" s="0" t="n">
        <v>21</v>
      </c>
      <c r="E70" s="0" t="n">
        <v>14</v>
      </c>
      <c r="G70" s="0" t="n">
        <v>29</v>
      </c>
      <c r="H70" s="0" t="n">
        <v>401</v>
      </c>
      <c r="J70" s="0" t="n">
        <v>11</v>
      </c>
      <c r="K70" s="0" t="n">
        <v>0.4</v>
      </c>
    </row>
    <row r="71" customFormat="false" ht="13.5" hidden="false" customHeight="false" outlineLevel="0" collapsed="false">
      <c r="A71" s="0" t="s">
        <v>81</v>
      </c>
      <c r="B71" s="1" t="n">
        <v>43931</v>
      </c>
      <c r="C71" s="0" t="n">
        <v>484</v>
      </c>
      <c r="D71" s="0" t="n">
        <v>40</v>
      </c>
      <c r="E71" s="0" t="n">
        <v>15</v>
      </c>
      <c r="F71" s="0" t="n">
        <v>1</v>
      </c>
      <c r="G71" s="0" t="n">
        <v>32</v>
      </c>
      <c r="H71" s="0" t="n">
        <v>437</v>
      </c>
      <c r="J71" s="0" t="n">
        <v>12</v>
      </c>
      <c r="K71" s="0" t="n">
        <v>0.4</v>
      </c>
    </row>
    <row r="72" customFormat="false" ht="13.5" hidden="false" customHeight="false" outlineLevel="0" collapsed="false">
      <c r="A72" s="0" t="s">
        <v>81</v>
      </c>
      <c r="B72" s="1" t="n">
        <v>43932</v>
      </c>
      <c r="C72" s="0" t="n">
        <v>521</v>
      </c>
      <c r="D72" s="0" t="n">
        <v>37</v>
      </c>
      <c r="E72" s="0" t="n">
        <v>15</v>
      </c>
      <c r="G72" s="0" t="n">
        <v>32</v>
      </c>
      <c r="H72" s="0" t="n">
        <v>474</v>
      </c>
      <c r="J72" s="0" t="n">
        <v>13</v>
      </c>
      <c r="K72" s="0" t="n">
        <v>0.4</v>
      </c>
    </row>
    <row r="73" customFormat="false" ht="13.5" hidden="false" customHeight="false" outlineLevel="0" collapsed="false">
      <c r="A73" s="0" t="s">
        <v>81</v>
      </c>
      <c r="B73" s="1" t="n">
        <v>43933</v>
      </c>
      <c r="C73" s="0" t="n">
        <v>555</v>
      </c>
      <c r="D73" s="0" t="n">
        <v>34</v>
      </c>
      <c r="E73" s="0" t="n">
        <v>18</v>
      </c>
      <c r="F73" s="0" t="n">
        <v>3</v>
      </c>
      <c r="G73" s="0" t="n">
        <v>32</v>
      </c>
      <c r="H73" s="0" t="n">
        <v>505</v>
      </c>
      <c r="J73" s="0" t="n">
        <v>14</v>
      </c>
      <c r="K73" s="0" t="n">
        <v>0.5</v>
      </c>
    </row>
    <row r="74" customFormat="false" ht="13.5" hidden="false" customHeight="false" outlineLevel="0" collapsed="false">
      <c r="A74" s="0" t="s">
        <v>81</v>
      </c>
      <c r="B74" s="1" t="n">
        <v>43934</v>
      </c>
      <c r="C74" s="0" t="n">
        <v>607</v>
      </c>
      <c r="D74" s="0" t="n">
        <v>52</v>
      </c>
      <c r="E74" s="0" t="n">
        <v>18</v>
      </c>
      <c r="G74" s="0" t="n">
        <v>32</v>
      </c>
      <c r="H74" s="0" t="n">
        <v>557</v>
      </c>
      <c r="J74" s="0" t="n">
        <v>16</v>
      </c>
      <c r="K74" s="0" t="n">
        <v>0.5</v>
      </c>
    </row>
    <row r="75" customFormat="false" ht="13.5" hidden="false" customHeight="false" outlineLevel="0" collapsed="false">
      <c r="A75" s="0" t="s">
        <v>81</v>
      </c>
      <c r="B75" s="1" t="n">
        <v>43935</v>
      </c>
      <c r="C75" s="0" t="n">
        <v>665</v>
      </c>
      <c r="D75" s="0" t="n">
        <v>58</v>
      </c>
      <c r="E75" s="0" t="n">
        <v>21</v>
      </c>
      <c r="F75" s="0" t="n">
        <v>3</v>
      </c>
      <c r="G75" s="0" t="n">
        <v>32</v>
      </c>
      <c r="H75" s="0" t="n">
        <v>612</v>
      </c>
      <c r="I75" s="0" t="n">
        <v>0</v>
      </c>
      <c r="J75" s="0" t="n">
        <v>17</v>
      </c>
      <c r="K75" s="0" t="n">
        <v>0.5</v>
      </c>
      <c r="L75" s="0" t="n">
        <v>0</v>
      </c>
      <c r="M75" s="0" t="n">
        <v>0</v>
      </c>
    </row>
    <row r="76" customFormat="false" ht="13.5" hidden="false" customHeight="false" outlineLevel="0" collapsed="false">
      <c r="A76" s="0" t="s">
        <v>81</v>
      </c>
      <c r="B76" s="1" t="n">
        <v>43936</v>
      </c>
      <c r="C76" s="0" t="n">
        <v>714</v>
      </c>
      <c r="D76" s="0" t="n">
        <v>49</v>
      </c>
      <c r="E76" s="0" t="n">
        <v>23</v>
      </c>
      <c r="F76" s="0" t="n">
        <v>2</v>
      </c>
      <c r="G76" s="0" t="n">
        <v>40</v>
      </c>
      <c r="H76" s="0" t="n">
        <v>651</v>
      </c>
      <c r="I76" s="0" t="n">
        <v>0</v>
      </c>
      <c r="J76" s="0" t="n">
        <v>18</v>
      </c>
      <c r="K76" s="0" t="n">
        <v>0.6</v>
      </c>
      <c r="L76" s="0" t="n">
        <v>0</v>
      </c>
      <c r="M76" s="0" t="n">
        <v>0</v>
      </c>
    </row>
    <row r="77" customFormat="false" ht="13.5" hidden="false" customHeight="false" outlineLevel="0" collapsed="false">
      <c r="A77" s="0" t="s">
        <v>81</v>
      </c>
      <c r="B77" s="1" t="n">
        <v>43937</v>
      </c>
      <c r="C77" s="0" t="n">
        <v>784</v>
      </c>
      <c r="D77" s="0" t="n">
        <v>70</v>
      </c>
      <c r="E77" s="0" t="n">
        <v>25</v>
      </c>
      <c r="F77" s="0" t="n">
        <v>2</v>
      </c>
      <c r="G77" s="0" t="n">
        <v>43</v>
      </c>
      <c r="H77" s="0" t="n">
        <v>716</v>
      </c>
      <c r="I77" s="0" t="n">
        <v>0</v>
      </c>
      <c r="J77" s="0" t="n">
        <v>20</v>
      </c>
      <c r="K77" s="0" t="n">
        <v>0.6</v>
      </c>
      <c r="L77" s="0" t="n">
        <v>0</v>
      </c>
      <c r="M77" s="0" t="n">
        <v>0</v>
      </c>
    </row>
    <row r="78" customFormat="false" ht="13.5" hidden="false" customHeight="false" outlineLevel="0" collapsed="false">
      <c r="A78" s="0" t="s">
        <v>81</v>
      </c>
      <c r="B78" s="1" t="n">
        <v>43938</v>
      </c>
      <c r="C78" s="0" t="n">
        <v>840</v>
      </c>
      <c r="D78" s="0" t="n">
        <v>56</v>
      </c>
      <c r="E78" s="0" t="n">
        <v>30</v>
      </c>
      <c r="F78" s="0" t="n">
        <v>5</v>
      </c>
      <c r="G78" s="0" t="n">
        <v>54</v>
      </c>
      <c r="H78" s="0" t="n">
        <v>756</v>
      </c>
      <c r="I78" s="0" t="n">
        <v>0</v>
      </c>
      <c r="J78" s="0" t="n">
        <v>22</v>
      </c>
      <c r="K78" s="0" t="n">
        <v>0.8</v>
      </c>
      <c r="L78" s="0" t="n">
        <v>0</v>
      </c>
      <c r="M78" s="0" t="n">
        <v>0</v>
      </c>
    </row>
    <row r="79" customFormat="false" ht="13.5" hidden="false" customHeight="false" outlineLevel="0" collapsed="false">
      <c r="A79" s="0" t="s">
        <v>81</v>
      </c>
      <c r="B79" s="1" t="n">
        <v>43939</v>
      </c>
      <c r="C79" s="0" t="n">
        <v>906</v>
      </c>
      <c r="D79" s="0" t="n">
        <v>66</v>
      </c>
      <c r="E79" s="0" t="n">
        <v>30</v>
      </c>
      <c r="F79" s="0" t="n">
        <v>0</v>
      </c>
      <c r="G79" s="0" t="n">
        <v>99</v>
      </c>
      <c r="H79" s="0" t="n">
        <v>777</v>
      </c>
      <c r="I79" s="0" t="n">
        <v>0</v>
      </c>
      <c r="J79" s="0" t="n">
        <v>23</v>
      </c>
      <c r="K79" s="0" t="n">
        <v>0.8</v>
      </c>
      <c r="L79" s="0" t="n">
        <v>0</v>
      </c>
      <c r="M79" s="0" t="n">
        <v>0</v>
      </c>
    </row>
    <row r="80" customFormat="false" ht="13.5" hidden="false" customHeight="false" outlineLevel="0" collapsed="false">
      <c r="A80" s="0" t="s">
        <v>81</v>
      </c>
      <c r="B80" s="1" t="n">
        <v>43940</v>
      </c>
      <c r="C80" s="0" t="n">
        <v>933</v>
      </c>
      <c r="D80" s="0" t="n">
        <v>27</v>
      </c>
      <c r="E80" s="0" t="n">
        <v>30</v>
      </c>
      <c r="F80" s="0" t="n">
        <v>0</v>
      </c>
      <c r="G80" s="0" t="n">
        <v>112</v>
      </c>
      <c r="H80" s="0" t="n">
        <v>791</v>
      </c>
      <c r="I80" s="0" t="n">
        <v>0</v>
      </c>
      <c r="J80" s="0" t="n">
        <v>24</v>
      </c>
      <c r="K80" s="0" t="n">
        <v>0.8</v>
      </c>
      <c r="L80" s="0" t="n">
        <v>0</v>
      </c>
      <c r="M80" s="0" t="n">
        <v>0</v>
      </c>
    </row>
    <row r="81" customFormat="false" ht="13.5" hidden="false" customHeight="false" outlineLevel="0" collapsed="false">
      <c r="A81" s="0" t="s">
        <v>81</v>
      </c>
      <c r="B81" s="1" t="n">
        <v>43941</v>
      </c>
      <c r="C81" s="0" t="n">
        <v>996</v>
      </c>
      <c r="D81" s="0" t="n">
        <v>63</v>
      </c>
      <c r="E81" s="0" t="n">
        <v>33</v>
      </c>
      <c r="F81" s="0" t="n">
        <v>3</v>
      </c>
      <c r="G81" s="0" t="n">
        <v>131</v>
      </c>
      <c r="H81" s="0" t="n">
        <v>832</v>
      </c>
      <c r="I81" s="0" t="n">
        <v>7</v>
      </c>
      <c r="J81" s="0" t="n">
        <v>26</v>
      </c>
      <c r="K81" s="0" t="n">
        <v>0.8</v>
      </c>
      <c r="L81" s="0" t="n">
        <v>6422</v>
      </c>
      <c r="M81" s="0" t="n">
        <v>165</v>
      </c>
    </row>
    <row r="82" customFormat="false" ht="13.5" hidden="false" customHeight="false" outlineLevel="0" collapsed="false">
      <c r="A82" s="0" t="s">
        <v>81</v>
      </c>
      <c r="B82" s="1" t="n">
        <v>43942</v>
      </c>
      <c r="C82" s="0" t="n">
        <v>1026</v>
      </c>
      <c r="D82" s="0" t="n">
        <v>30</v>
      </c>
      <c r="E82" s="0" t="n">
        <v>36</v>
      </c>
      <c r="F82" s="0" t="n">
        <v>3</v>
      </c>
      <c r="G82" s="0" t="n">
        <v>135</v>
      </c>
      <c r="H82" s="0" t="n">
        <v>855</v>
      </c>
      <c r="I82" s="0" t="n">
        <v>7</v>
      </c>
      <c r="J82" s="0" t="n">
        <v>26</v>
      </c>
      <c r="K82" s="0" t="n">
        <v>0.9</v>
      </c>
      <c r="L82" s="0" t="n">
        <v>6422</v>
      </c>
      <c r="M82" s="0" t="n">
        <v>165</v>
      </c>
    </row>
    <row r="83" customFormat="false" ht="13.5" hidden="false" customHeight="false" outlineLevel="0" collapsed="false">
      <c r="A83" s="0" t="s">
        <v>81</v>
      </c>
      <c r="B83" s="1" t="n">
        <v>43943</v>
      </c>
      <c r="C83" s="0" t="n">
        <v>1092</v>
      </c>
      <c r="D83" s="0" t="n">
        <v>66</v>
      </c>
      <c r="E83" s="0" t="n">
        <v>36</v>
      </c>
      <c r="F83" s="0" t="n">
        <v>0</v>
      </c>
      <c r="G83" s="0" t="n">
        <v>150</v>
      </c>
      <c r="H83" s="0" t="n">
        <v>906</v>
      </c>
      <c r="I83" s="0" t="n">
        <v>7</v>
      </c>
      <c r="J83" s="0" t="n">
        <v>28</v>
      </c>
      <c r="K83" s="0" t="n">
        <v>0.9</v>
      </c>
      <c r="L83" s="0" t="n">
        <v>6422</v>
      </c>
      <c r="M83" s="0" t="n">
        <v>165</v>
      </c>
    </row>
    <row r="84" customFormat="false" ht="13.5" hidden="false" customHeight="false" outlineLevel="0" collapsed="false">
      <c r="A84" s="0" t="s">
        <v>81</v>
      </c>
      <c r="B84" s="1" t="n">
        <v>43944</v>
      </c>
      <c r="C84" s="0" t="n">
        <v>1176</v>
      </c>
      <c r="D84" s="0" t="n">
        <v>84</v>
      </c>
      <c r="E84" s="0" t="n">
        <v>40</v>
      </c>
      <c r="F84" s="0" t="n">
        <v>4</v>
      </c>
      <c r="G84" s="0" t="n">
        <v>166</v>
      </c>
      <c r="H84" s="0" t="n">
        <v>970</v>
      </c>
      <c r="I84" s="0" t="n">
        <v>7</v>
      </c>
      <c r="J84" s="0" t="n">
        <v>30</v>
      </c>
      <c r="K84" s="0" t="n">
        <v>1</v>
      </c>
      <c r="L84" s="0" t="n">
        <v>6422</v>
      </c>
      <c r="M84" s="0" t="n">
        <v>165</v>
      </c>
    </row>
    <row r="85" customFormat="false" ht="13.5" hidden="false" customHeight="false" outlineLevel="0" collapsed="false">
      <c r="A85" s="0" t="s">
        <v>81</v>
      </c>
      <c r="B85" s="1" t="n">
        <v>43945</v>
      </c>
      <c r="C85" s="0" t="n">
        <v>1279</v>
      </c>
      <c r="D85" s="0" t="n">
        <v>103</v>
      </c>
      <c r="E85" s="0" t="n">
        <v>42</v>
      </c>
      <c r="F85" s="0" t="n">
        <v>2</v>
      </c>
      <c r="G85" s="0" t="n">
        <v>179</v>
      </c>
      <c r="H85" s="0" t="n">
        <v>1058</v>
      </c>
      <c r="I85" s="0" t="n">
        <v>7</v>
      </c>
      <c r="J85" s="0" t="n">
        <v>33</v>
      </c>
      <c r="K85" s="0" t="n">
        <v>1</v>
      </c>
      <c r="L85" s="0" t="n">
        <v>6422</v>
      </c>
      <c r="M85" s="0" t="n">
        <v>165</v>
      </c>
    </row>
    <row r="86" customFormat="false" ht="13.5" hidden="false" customHeight="false" outlineLevel="0" collapsed="false">
      <c r="A86" s="0" t="s">
        <v>81</v>
      </c>
      <c r="B86" s="1" t="n">
        <v>43946</v>
      </c>
      <c r="C86" s="0" t="n">
        <v>1351</v>
      </c>
      <c r="D86" s="0" t="n">
        <v>72</v>
      </c>
      <c r="E86" s="0" t="n">
        <v>43</v>
      </c>
      <c r="F86" s="0" t="n">
        <v>1</v>
      </c>
      <c r="G86" s="0" t="n">
        <v>188</v>
      </c>
      <c r="H86" s="0" t="n">
        <v>1120</v>
      </c>
      <c r="I86" s="0" t="n">
        <v>7</v>
      </c>
      <c r="J86" s="0" t="n">
        <v>35</v>
      </c>
      <c r="K86" s="0" t="n">
        <v>1</v>
      </c>
      <c r="L86" s="0" t="n">
        <v>6422</v>
      </c>
      <c r="M86" s="0" t="n">
        <v>165</v>
      </c>
    </row>
    <row r="87" customFormat="false" ht="13.5" hidden="false" customHeight="false" outlineLevel="0" collapsed="false">
      <c r="A87" s="0" t="s">
        <v>81</v>
      </c>
      <c r="B87" s="1" t="n">
        <v>43947</v>
      </c>
      <c r="C87" s="0" t="n">
        <v>1463</v>
      </c>
      <c r="D87" s="0" t="n">
        <v>112</v>
      </c>
      <c r="E87" s="0" t="n">
        <v>47</v>
      </c>
      <c r="F87" s="0" t="n">
        <v>4</v>
      </c>
      <c r="G87" s="0" t="n">
        <v>188</v>
      </c>
      <c r="H87" s="0" t="n">
        <v>1228</v>
      </c>
      <c r="I87" s="0" t="n">
        <v>7</v>
      </c>
      <c r="J87" s="0" t="n">
        <v>38</v>
      </c>
      <c r="K87" s="0" t="n">
        <v>1</v>
      </c>
      <c r="L87" s="0" t="n">
        <v>7425</v>
      </c>
      <c r="M87" s="0" t="n">
        <v>191</v>
      </c>
    </row>
    <row r="88" customFormat="false" ht="13.5" hidden="false" customHeight="false" outlineLevel="0" collapsed="false">
      <c r="A88" s="0" t="s">
        <v>81</v>
      </c>
      <c r="B88" s="1" t="n">
        <v>43948</v>
      </c>
      <c r="C88" s="0" t="n">
        <v>1531</v>
      </c>
      <c r="D88" s="0" t="n">
        <v>68</v>
      </c>
      <c r="E88" s="0" t="n">
        <v>50</v>
      </c>
      <c r="F88" s="0" t="n">
        <v>3</v>
      </c>
      <c r="G88" s="0" t="n">
        <v>207</v>
      </c>
      <c r="H88" s="0" t="n">
        <v>1274</v>
      </c>
      <c r="I88" s="0" t="n">
        <v>7</v>
      </c>
      <c r="J88" s="0" t="n">
        <v>39</v>
      </c>
      <c r="K88" s="0" t="n">
        <v>1</v>
      </c>
      <c r="L88" s="0" t="n">
        <v>8090</v>
      </c>
      <c r="M88" s="0" t="n">
        <v>208</v>
      </c>
    </row>
    <row r="89" customFormat="false" ht="13.5" hidden="false" customHeight="false" outlineLevel="0" collapsed="false">
      <c r="A89" s="0" t="s">
        <v>81</v>
      </c>
      <c r="B89" s="1" t="n">
        <v>43949</v>
      </c>
      <c r="C89" s="0" t="n">
        <v>1703</v>
      </c>
      <c r="D89" s="0" t="n">
        <v>172</v>
      </c>
      <c r="E89" s="0" t="n">
        <v>57</v>
      </c>
      <c r="F89" s="0" t="n">
        <v>7</v>
      </c>
      <c r="G89" s="0" t="n">
        <v>220</v>
      </c>
      <c r="H89" s="0" t="n">
        <v>1426</v>
      </c>
      <c r="I89" s="0" t="n">
        <v>7</v>
      </c>
      <c r="J89" s="0" t="n">
        <v>44</v>
      </c>
      <c r="K89" s="0" t="n">
        <v>1</v>
      </c>
      <c r="L89" s="0" t="n">
        <v>8694</v>
      </c>
      <c r="M89" s="0" t="n">
        <v>223</v>
      </c>
    </row>
    <row r="90" customFormat="false" ht="13.5" hidden="false" customHeight="false" outlineLevel="0" collapsed="false">
      <c r="A90" s="0" t="s">
        <v>81</v>
      </c>
      <c r="B90" s="1" t="n">
        <v>43950</v>
      </c>
      <c r="C90" s="0" t="n">
        <v>1828</v>
      </c>
      <c r="D90" s="0" t="n">
        <v>125</v>
      </c>
      <c r="E90" s="0" t="n">
        <v>58</v>
      </c>
      <c r="F90" s="0" t="n">
        <v>1</v>
      </c>
      <c r="G90" s="0" t="n">
        <v>228</v>
      </c>
      <c r="H90" s="0" t="n">
        <v>1542</v>
      </c>
      <c r="I90" s="0" t="n">
        <v>7</v>
      </c>
      <c r="J90" s="0" t="n">
        <v>47</v>
      </c>
      <c r="K90" s="0" t="n">
        <v>1</v>
      </c>
      <c r="L90" s="0" t="n">
        <v>9000</v>
      </c>
      <c r="M90" s="0" t="n">
        <v>231</v>
      </c>
    </row>
    <row r="91" customFormat="false" ht="13.5" hidden="false" customHeight="false" outlineLevel="0" collapsed="false">
      <c r="A91" s="0" t="s">
        <v>81</v>
      </c>
      <c r="B91" s="1" t="n">
        <v>43951</v>
      </c>
      <c r="C91" s="0" t="n">
        <v>1939</v>
      </c>
      <c r="D91" s="0" t="n">
        <v>111</v>
      </c>
      <c r="E91" s="0" t="n">
        <v>60</v>
      </c>
      <c r="F91" s="0" t="n">
        <v>2</v>
      </c>
      <c r="G91" s="0" t="n">
        <v>252</v>
      </c>
      <c r="H91" s="0" t="n">
        <v>1627</v>
      </c>
      <c r="I91" s="0" t="n">
        <v>7</v>
      </c>
      <c r="J91" s="0" t="n">
        <v>50</v>
      </c>
      <c r="K91" s="0" t="n">
        <v>2</v>
      </c>
      <c r="L91" s="0" t="n">
        <v>9000</v>
      </c>
      <c r="M91" s="0" t="n">
        <v>231</v>
      </c>
    </row>
    <row r="92" customFormat="false" ht="13.5" hidden="false" customHeight="false" outlineLevel="0" collapsed="false">
      <c r="A92" s="0" t="s">
        <v>81</v>
      </c>
      <c r="B92" s="1" t="n">
        <v>43952</v>
      </c>
      <c r="C92" s="0" t="n">
        <v>2171</v>
      </c>
      <c r="D92" s="0" t="n">
        <v>232</v>
      </c>
      <c r="E92" s="0" t="n">
        <v>64</v>
      </c>
      <c r="F92" s="0" t="n">
        <v>4</v>
      </c>
      <c r="G92" s="0" t="n">
        <v>260</v>
      </c>
      <c r="H92" s="0" t="n">
        <v>1847</v>
      </c>
      <c r="I92" s="0" t="n">
        <v>7</v>
      </c>
      <c r="J92" s="0" t="n">
        <v>56</v>
      </c>
      <c r="K92" s="0" t="n">
        <v>2</v>
      </c>
      <c r="L92" s="0" t="n">
        <v>10022</v>
      </c>
      <c r="M92" s="0" t="n">
        <v>257</v>
      </c>
    </row>
    <row r="93" customFormat="false" ht="13.5" hidden="false" customHeight="false" outlineLevel="0" collapsed="false">
      <c r="A93" s="0" t="s">
        <v>81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81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81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81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81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81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81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81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81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81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81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81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81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81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81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81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81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81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81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81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81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81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81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81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81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81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81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81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81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81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81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81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81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81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81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81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81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81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81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81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81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81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81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81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81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81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81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81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81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81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81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81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81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81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81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81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81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81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81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81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81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81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81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81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81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81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81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81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81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81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81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81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81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81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81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81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81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81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81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81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81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81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81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81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81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81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81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81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81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81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81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81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81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81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81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82</v>
      </c>
      <c r="B2" s="1" t="n">
        <v>43862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</row>
    <row r="3" customFormat="false" ht="15.75" hidden="false" customHeight="false" outlineLevel="0" collapsed="false">
      <c r="A3" s="0" t="s">
        <v>82</v>
      </c>
      <c r="B3" s="1" t="n">
        <v>43863</v>
      </c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</row>
    <row r="4" customFormat="false" ht="15.75" hidden="false" customHeight="false" outlineLevel="0" collapsed="false">
      <c r="A4" s="0" t="s">
        <v>82</v>
      </c>
      <c r="B4" s="1" t="n">
        <v>43864</v>
      </c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</row>
    <row r="5" customFormat="false" ht="15.75" hidden="false" customHeight="false" outlineLevel="0" collapsed="false">
      <c r="A5" s="0" t="s">
        <v>82</v>
      </c>
      <c r="B5" s="1" t="n">
        <v>43865</v>
      </c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</row>
    <row r="6" customFormat="false" ht="15.75" hidden="false" customHeight="false" outlineLevel="0" collapsed="false">
      <c r="A6" s="0" t="s">
        <v>82</v>
      </c>
      <c r="B6" s="1" t="n">
        <v>43866</v>
      </c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</row>
    <row r="7" customFormat="false" ht="15.75" hidden="false" customHeight="false" outlineLevel="0" collapsed="false">
      <c r="A7" s="0" t="s">
        <v>82</v>
      </c>
      <c r="B7" s="1" t="n">
        <v>43867</v>
      </c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</row>
    <row r="8" customFormat="false" ht="15.75" hidden="false" customHeight="false" outlineLevel="0" collapsed="false">
      <c r="A8" s="0" t="s">
        <v>82</v>
      </c>
      <c r="B8" s="1" t="n">
        <v>43868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</row>
    <row r="9" customFormat="false" ht="15.75" hidden="false" customHeight="false" outlineLevel="0" collapsed="false">
      <c r="A9" s="0" t="s">
        <v>82</v>
      </c>
      <c r="B9" s="1" t="n">
        <v>43869</v>
      </c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</row>
    <row r="10" customFormat="false" ht="15.75" hidden="false" customHeight="false" outlineLevel="0" collapsed="false">
      <c r="A10" s="0" t="s">
        <v>82</v>
      </c>
      <c r="B10" s="1" t="n">
        <v>43870</v>
      </c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</row>
    <row r="11" customFormat="false" ht="15.75" hidden="false" customHeight="false" outlineLevel="0" collapsed="false">
      <c r="A11" s="0" t="s">
        <v>82</v>
      </c>
      <c r="B11" s="1" t="n">
        <v>43871</v>
      </c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</row>
    <row r="12" customFormat="false" ht="15.75" hidden="false" customHeight="false" outlineLevel="0" collapsed="false">
      <c r="A12" s="0" t="s">
        <v>82</v>
      </c>
      <c r="B12" s="1" t="n">
        <v>43872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</row>
    <row r="13" customFormat="false" ht="15.75" hidden="false" customHeight="false" outlineLevel="0" collapsed="false">
      <c r="A13" s="0" t="s">
        <v>82</v>
      </c>
      <c r="B13" s="1" t="n">
        <v>43873</v>
      </c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</row>
    <row r="14" customFormat="false" ht="15.75" hidden="false" customHeight="false" outlineLevel="0" collapsed="false">
      <c r="A14" s="0" t="s">
        <v>82</v>
      </c>
      <c r="B14" s="1" t="n">
        <v>43874</v>
      </c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</row>
    <row r="15" customFormat="false" ht="15.75" hidden="false" customHeight="false" outlineLevel="0" collapsed="false">
      <c r="A15" s="0" t="s">
        <v>82</v>
      </c>
      <c r="B15" s="1" t="n">
        <v>43875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</row>
    <row r="16" customFormat="false" ht="15.75" hidden="false" customHeight="false" outlineLevel="0" collapsed="false">
      <c r="A16" s="0" t="s">
        <v>82</v>
      </c>
      <c r="B16" s="1" t="n">
        <v>43876</v>
      </c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</row>
    <row r="17" customFormat="false" ht="15.75" hidden="false" customHeight="false" outlineLevel="0" collapsed="false">
      <c r="A17" s="0" t="s">
        <v>82</v>
      </c>
      <c r="B17" s="1" t="n">
        <v>43877</v>
      </c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</row>
    <row r="18" customFormat="false" ht="15.75" hidden="false" customHeight="false" outlineLevel="0" collapsed="false">
      <c r="A18" s="0" t="s">
        <v>82</v>
      </c>
      <c r="B18" s="1" t="n">
        <v>43878</v>
      </c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</row>
    <row r="19" customFormat="false" ht="15.75" hidden="false" customHeight="false" outlineLevel="0" collapsed="false">
      <c r="A19" s="0" t="s">
        <v>82</v>
      </c>
      <c r="B19" s="1" t="n">
        <v>43879</v>
      </c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</row>
    <row r="20" customFormat="false" ht="15.75" hidden="false" customHeight="false" outlineLevel="0" collapsed="false">
      <c r="A20" s="0" t="s">
        <v>82</v>
      </c>
      <c r="B20" s="1" t="n">
        <v>43880</v>
      </c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</row>
    <row r="21" customFormat="false" ht="15.75" hidden="false" customHeight="false" outlineLevel="0" collapsed="false">
      <c r="A21" s="0" t="s">
        <v>82</v>
      </c>
      <c r="B21" s="1" t="n">
        <v>43881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</row>
    <row r="22" customFormat="false" ht="15.75" hidden="false" customHeight="false" outlineLevel="0" collapsed="false">
      <c r="A22" s="0" t="s">
        <v>82</v>
      </c>
      <c r="B22" s="1" t="n">
        <v>43882</v>
      </c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</row>
    <row r="23" customFormat="false" ht="15.75" hidden="false" customHeight="false" outlineLevel="0" collapsed="false">
      <c r="A23" s="0" t="s">
        <v>82</v>
      </c>
      <c r="B23" s="1" t="n">
        <v>43883</v>
      </c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</row>
    <row r="24" customFormat="false" ht="15.75" hidden="false" customHeight="false" outlineLevel="0" collapsed="false">
      <c r="A24" s="0" t="s">
        <v>82</v>
      </c>
      <c r="B24" s="1" t="n">
        <v>43884</v>
      </c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</row>
    <row r="25" customFormat="false" ht="15.75" hidden="false" customHeight="false" outlineLevel="0" collapsed="false">
      <c r="A25" s="0" t="s">
        <v>82</v>
      </c>
      <c r="B25" s="1" t="n">
        <v>43885</v>
      </c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</row>
    <row r="26" customFormat="false" ht="15.75" hidden="false" customHeight="false" outlineLevel="0" collapsed="false">
      <c r="A26" s="0" t="s">
        <v>82</v>
      </c>
      <c r="B26" s="1" t="n">
        <v>43886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</row>
    <row r="27" customFormat="false" ht="15.75" hidden="false" customHeight="false" outlineLevel="0" collapsed="false">
      <c r="A27" s="0" t="s">
        <v>82</v>
      </c>
      <c r="B27" s="1" t="n">
        <v>43887</v>
      </c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</row>
    <row r="28" customFormat="false" ht="15.75" hidden="false" customHeight="false" outlineLevel="0" collapsed="false">
      <c r="A28" s="0" t="s">
        <v>82</v>
      </c>
      <c r="B28" s="1" t="n">
        <v>43888</v>
      </c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</row>
    <row r="29" customFormat="false" ht="15.75" hidden="false" customHeight="false" outlineLevel="0" collapsed="false">
      <c r="A29" s="0" t="s">
        <v>82</v>
      </c>
      <c r="B29" s="1" t="n">
        <v>43889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</row>
    <row r="30" customFormat="false" ht="15.75" hidden="false" customHeight="false" outlineLevel="0" collapsed="false">
      <c r="A30" s="0" t="s">
        <v>82</v>
      </c>
      <c r="B30" s="1" t="n">
        <v>43890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</row>
    <row r="31" customFormat="false" ht="15.75" hidden="false" customHeight="false" outlineLevel="0" collapsed="false">
      <c r="A31" s="0" t="s">
        <v>82</v>
      </c>
      <c r="B31" s="1" t="n">
        <v>43891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</row>
    <row r="32" customFormat="false" ht="15.75" hidden="false" customHeight="false" outlineLevel="0" collapsed="false">
      <c r="A32" s="0" t="s">
        <v>82</v>
      </c>
      <c r="B32" s="1" t="n">
        <v>43892</v>
      </c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</row>
    <row r="33" customFormat="false" ht="15.75" hidden="false" customHeight="false" outlineLevel="0" collapsed="false">
      <c r="A33" s="0" t="s">
        <v>82</v>
      </c>
      <c r="B33" s="1" t="n">
        <v>43893</v>
      </c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</row>
    <row r="34" customFormat="false" ht="15.75" hidden="false" customHeight="false" outlineLevel="0" collapsed="false">
      <c r="A34" s="0" t="s">
        <v>82</v>
      </c>
      <c r="B34" s="1" t="n">
        <v>43894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</row>
    <row r="35" customFormat="false" ht="13.5" hidden="false" customHeight="false" outlineLevel="0" collapsed="false">
      <c r="A35" s="0" t="s">
        <v>82</v>
      </c>
      <c r="B35" s="1" t="n">
        <v>43895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</row>
    <row r="36" customFormat="false" ht="13.5" hidden="false" customHeight="false" outlineLevel="0" collapsed="false">
      <c r="A36" s="0" t="s">
        <v>82</v>
      </c>
      <c r="B36" s="1" t="n">
        <v>43896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</row>
    <row r="37" customFormat="false" ht="13.5" hidden="false" customHeight="false" outlineLevel="0" collapsed="false">
      <c r="A37" s="0" t="s">
        <v>82</v>
      </c>
      <c r="B37" s="1" t="n">
        <v>43897</v>
      </c>
      <c r="C37" s="36" t="n">
        <v>1</v>
      </c>
      <c r="D37" s="36"/>
      <c r="E37" s="36"/>
      <c r="F37" s="36"/>
      <c r="G37" s="36"/>
      <c r="H37" s="36" t="n">
        <v>1</v>
      </c>
      <c r="I37" s="36"/>
      <c r="J37" s="36"/>
      <c r="K37" s="36"/>
      <c r="L37" s="36"/>
      <c r="M37" s="36"/>
    </row>
    <row r="38" customFormat="false" ht="13.5" hidden="false" customHeight="false" outlineLevel="0" collapsed="false">
      <c r="A38" s="0" t="s">
        <v>82</v>
      </c>
      <c r="B38" s="1" t="n">
        <v>43898</v>
      </c>
      <c r="C38" s="36" t="n">
        <v>1</v>
      </c>
      <c r="D38" s="36"/>
      <c r="E38" s="36"/>
      <c r="F38" s="36"/>
      <c r="G38" s="36"/>
      <c r="H38" s="36" t="n">
        <v>1</v>
      </c>
      <c r="I38" s="36"/>
      <c r="J38" s="26"/>
      <c r="K38" s="2"/>
      <c r="L38" s="2"/>
      <c r="M38" s="2"/>
    </row>
    <row r="39" customFormat="false" ht="13.5" hidden="false" customHeight="false" outlineLevel="0" collapsed="false">
      <c r="A39" s="0" t="s">
        <v>82</v>
      </c>
      <c r="B39" s="1" t="n">
        <v>43899</v>
      </c>
      <c r="C39" s="36" t="n">
        <v>1</v>
      </c>
      <c r="D39" s="36"/>
      <c r="E39" s="36"/>
      <c r="F39" s="36"/>
      <c r="G39" s="36"/>
      <c r="H39" s="36" t="n">
        <v>1</v>
      </c>
      <c r="I39" s="36"/>
      <c r="J39" s="26" t="n">
        <v>0.3</v>
      </c>
      <c r="K39" s="2"/>
      <c r="L39" s="2"/>
      <c r="M39" s="2"/>
    </row>
    <row r="40" customFormat="false" ht="13.5" hidden="false" customHeight="false" outlineLevel="0" collapsed="false">
      <c r="A40" s="0" t="s">
        <v>82</v>
      </c>
      <c r="B40" s="1" t="n">
        <v>43900</v>
      </c>
      <c r="C40" s="36" t="n">
        <v>1</v>
      </c>
      <c r="D40" s="36"/>
      <c r="E40" s="36"/>
      <c r="F40" s="36"/>
      <c r="G40" s="36"/>
      <c r="H40" s="36" t="n">
        <v>1</v>
      </c>
      <c r="I40" s="36"/>
      <c r="J40" s="26" t="n">
        <v>0.3</v>
      </c>
      <c r="K40" s="2"/>
      <c r="L40" s="2"/>
      <c r="M40" s="2"/>
    </row>
    <row r="41" customFormat="false" ht="13.5" hidden="false" customHeight="false" outlineLevel="0" collapsed="false">
      <c r="A41" s="0" t="s">
        <v>82</v>
      </c>
      <c r="B41" s="1" t="n">
        <v>43901</v>
      </c>
      <c r="C41" s="36" t="n">
        <v>1</v>
      </c>
      <c r="D41" s="36"/>
      <c r="E41" s="36"/>
      <c r="F41" s="36"/>
      <c r="G41" s="36"/>
      <c r="H41" s="36" t="n">
        <v>1</v>
      </c>
      <c r="I41" s="36"/>
      <c r="J41" s="26" t="n">
        <v>0.3</v>
      </c>
      <c r="K41" s="2"/>
      <c r="L41" s="2"/>
      <c r="M41" s="2"/>
    </row>
    <row r="42" customFormat="false" ht="13.5" hidden="false" customHeight="false" outlineLevel="0" collapsed="false">
      <c r="A42" s="0" t="s">
        <v>82</v>
      </c>
      <c r="B42" s="1" t="n">
        <v>43902</v>
      </c>
      <c r="C42" s="36" t="n">
        <v>1</v>
      </c>
      <c r="D42" s="36"/>
      <c r="E42" s="36"/>
      <c r="F42" s="36"/>
      <c r="G42" s="36"/>
      <c r="H42" s="36" t="n">
        <v>1</v>
      </c>
      <c r="I42" s="36"/>
      <c r="J42" s="26" t="n">
        <v>0.3</v>
      </c>
      <c r="K42" s="2"/>
      <c r="L42" s="2"/>
      <c r="M42" s="2"/>
    </row>
    <row r="43" customFormat="false" ht="13.5" hidden="false" customHeight="false" outlineLevel="0" collapsed="false">
      <c r="A43" s="0" t="s">
        <v>82</v>
      </c>
      <c r="B43" s="1" t="n">
        <v>43903</v>
      </c>
      <c r="C43" s="36" t="n">
        <v>6</v>
      </c>
      <c r="D43" s="36" t="n">
        <v>5</v>
      </c>
      <c r="E43" s="36"/>
      <c r="F43" s="36"/>
      <c r="G43" s="36"/>
      <c r="H43" s="36" t="n">
        <v>6</v>
      </c>
      <c r="I43" s="36"/>
      <c r="J43" s="26" t="n">
        <v>2</v>
      </c>
      <c r="K43" s="2"/>
      <c r="L43" s="2"/>
      <c r="M43" s="2"/>
    </row>
    <row r="44" customFormat="false" ht="13.5" hidden="false" customHeight="false" outlineLevel="0" collapsed="false">
      <c r="A44" s="0" t="s">
        <v>82</v>
      </c>
      <c r="B44" s="1" t="n">
        <v>43904</v>
      </c>
      <c r="C44" s="36" t="n">
        <v>8</v>
      </c>
      <c r="D44" s="36" t="n">
        <v>2</v>
      </c>
      <c r="E44" s="36"/>
      <c r="F44" s="36"/>
      <c r="G44" s="36"/>
      <c r="H44" s="36" t="n">
        <v>8</v>
      </c>
      <c r="I44" s="36"/>
      <c r="J44" s="36" t="n">
        <v>2.7</v>
      </c>
      <c r="K44" s="2"/>
      <c r="L44" s="2"/>
      <c r="M44" s="2"/>
    </row>
    <row r="45" customFormat="false" ht="13.5" hidden="false" customHeight="false" outlineLevel="0" collapsed="false">
      <c r="A45" s="0" t="s">
        <v>82</v>
      </c>
      <c r="B45" s="1" t="n">
        <v>43905</v>
      </c>
      <c r="C45" s="36" t="n">
        <v>18</v>
      </c>
      <c r="D45" s="36" t="n">
        <v>10</v>
      </c>
      <c r="E45" s="36"/>
      <c r="F45" s="36"/>
      <c r="G45" s="36"/>
      <c r="H45" s="36" t="n">
        <v>18</v>
      </c>
      <c r="I45" s="36"/>
      <c r="J45" s="36" t="n">
        <v>6.1</v>
      </c>
      <c r="K45" s="2"/>
      <c r="L45" s="2"/>
      <c r="M45" s="2"/>
    </row>
    <row r="46" customFormat="false" ht="13.5" hidden="false" customHeight="false" outlineLevel="0" collapsed="false">
      <c r="A46" s="0" t="s">
        <v>82</v>
      </c>
      <c r="B46" s="1" t="n">
        <v>43906</v>
      </c>
      <c r="C46" s="36" t="n">
        <v>26</v>
      </c>
      <c r="D46" s="36" t="n">
        <v>8</v>
      </c>
      <c r="E46" s="36"/>
      <c r="F46" s="36"/>
      <c r="G46" s="36"/>
      <c r="H46" s="36" t="n">
        <v>26</v>
      </c>
      <c r="I46" s="36"/>
      <c r="J46" s="36" t="n">
        <v>8.8</v>
      </c>
      <c r="K46" s="2"/>
      <c r="L46" s="2"/>
      <c r="M46" s="2"/>
    </row>
    <row r="47" customFormat="false" ht="13.5" hidden="false" customHeight="false" outlineLevel="0" collapsed="false">
      <c r="A47" s="0" t="s">
        <v>82</v>
      </c>
      <c r="B47" s="1" t="n">
        <v>43907</v>
      </c>
      <c r="C47" s="36" t="n">
        <v>45</v>
      </c>
      <c r="D47" s="36" t="n">
        <v>19</v>
      </c>
      <c r="E47" s="36"/>
      <c r="F47" s="36"/>
      <c r="G47" s="36" t="n">
        <v>1</v>
      </c>
      <c r="H47" s="36" t="n">
        <v>44</v>
      </c>
      <c r="I47" s="36" t="n">
        <v>2</v>
      </c>
      <c r="J47" s="36" t="n">
        <v>15.2</v>
      </c>
      <c r="K47" s="2"/>
      <c r="L47" s="2"/>
      <c r="M47" s="2"/>
    </row>
    <row r="48" customFormat="false" ht="13.5" hidden="false" customHeight="false" outlineLevel="0" collapsed="false">
      <c r="A48" s="0" t="s">
        <v>82</v>
      </c>
      <c r="B48" s="1" t="n">
        <v>43908</v>
      </c>
      <c r="C48" s="36" t="n">
        <v>78</v>
      </c>
      <c r="D48" s="36" t="n">
        <v>33</v>
      </c>
      <c r="E48" s="36"/>
      <c r="F48" s="36"/>
      <c r="G48" s="36" t="n">
        <v>1</v>
      </c>
      <c r="H48" s="36" t="n">
        <v>77</v>
      </c>
      <c r="I48" s="36" t="n">
        <v>2</v>
      </c>
      <c r="J48" s="36" t="n">
        <v>26.3</v>
      </c>
      <c r="K48" s="2"/>
      <c r="L48" s="2"/>
      <c r="M48" s="2"/>
    </row>
    <row r="49" customFormat="false" ht="13.5" hidden="false" customHeight="false" outlineLevel="0" collapsed="false">
      <c r="A49" s="0" t="s">
        <v>82</v>
      </c>
      <c r="B49" s="1" t="n">
        <v>43909</v>
      </c>
      <c r="C49" s="36" t="n">
        <v>110</v>
      </c>
      <c r="D49" s="36" t="n">
        <v>32</v>
      </c>
      <c r="E49" s="36"/>
      <c r="F49" s="36"/>
      <c r="G49" s="36" t="n">
        <v>1</v>
      </c>
      <c r="H49" s="36" t="n">
        <v>109</v>
      </c>
      <c r="I49" s="36" t="n">
        <v>2</v>
      </c>
      <c r="J49" s="36" t="n">
        <v>37</v>
      </c>
      <c r="K49" s="2"/>
      <c r="L49" s="2"/>
      <c r="M49" s="2"/>
    </row>
    <row r="50" customFormat="false" ht="13.5" hidden="false" customHeight="false" outlineLevel="0" collapsed="false">
      <c r="A50" s="0" t="s">
        <v>82</v>
      </c>
      <c r="B50" s="1" t="n">
        <v>43910</v>
      </c>
      <c r="C50" s="36" t="n">
        <v>122</v>
      </c>
      <c r="D50" s="36" t="n">
        <v>12</v>
      </c>
      <c r="E50" s="36"/>
      <c r="F50" s="36"/>
      <c r="G50" s="36" t="n">
        <v>1</v>
      </c>
      <c r="H50" s="36" t="n">
        <v>121</v>
      </c>
      <c r="I50" s="36" t="n">
        <v>2</v>
      </c>
      <c r="J50" s="36" t="n">
        <v>41</v>
      </c>
      <c r="K50" s="2"/>
      <c r="L50" s="2"/>
      <c r="M50" s="2"/>
    </row>
    <row r="51" customFormat="false" ht="13.5" hidden="false" customHeight="false" outlineLevel="0" collapsed="false">
      <c r="A51" s="0" t="s">
        <v>82</v>
      </c>
      <c r="B51" s="1" t="n">
        <v>43911</v>
      </c>
      <c r="C51" s="36" t="n">
        <v>160</v>
      </c>
      <c r="D51" s="36" t="n">
        <v>38</v>
      </c>
      <c r="E51" s="36"/>
      <c r="F51" s="36"/>
      <c r="G51" s="36" t="n">
        <v>1</v>
      </c>
      <c r="H51" s="36" t="n">
        <v>159</v>
      </c>
      <c r="I51" s="36" t="n">
        <v>2</v>
      </c>
      <c r="J51" s="36" t="n">
        <v>54</v>
      </c>
      <c r="K51" s="2"/>
      <c r="L51" s="2"/>
      <c r="M51" s="2"/>
    </row>
    <row r="52" customFormat="false" ht="13.5" hidden="false" customHeight="false" outlineLevel="0" collapsed="false">
      <c r="A52" s="0" t="s">
        <v>82</v>
      </c>
      <c r="B52" s="1" t="n">
        <v>43912</v>
      </c>
      <c r="C52" s="36" t="n">
        <v>160</v>
      </c>
      <c r="D52" s="36" t="n">
        <v>0</v>
      </c>
      <c r="E52" s="36"/>
      <c r="F52" s="36"/>
      <c r="G52" s="36" t="n">
        <v>1</v>
      </c>
      <c r="H52" s="36" t="n">
        <v>159</v>
      </c>
      <c r="I52" s="36" t="n">
        <v>2</v>
      </c>
      <c r="J52" s="36" t="n">
        <v>54</v>
      </c>
      <c r="K52" s="2"/>
      <c r="L52" s="2"/>
      <c r="M52" s="2"/>
    </row>
    <row r="53" customFormat="false" ht="13.5" hidden="false" customHeight="false" outlineLevel="0" collapsed="false">
      <c r="A53" s="0" t="s">
        <v>82</v>
      </c>
      <c r="B53" s="1" t="n">
        <v>43913</v>
      </c>
      <c r="C53" s="36" t="n">
        <v>194</v>
      </c>
      <c r="D53" s="36" t="n">
        <v>34</v>
      </c>
      <c r="E53" s="36"/>
      <c r="F53" s="36"/>
      <c r="G53" s="36" t="n">
        <v>2</v>
      </c>
      <c r="H53" s="36" t="n">
        <v>192</v>
      </c>
      <c r="I53" s="36" t="n">
        <v>6</v>
      </c>
      <c r="J53" s="36" t="n">
        <v>65</v>
      </c>
      <c r="K53" s="2"/>
      <c r="L53" s="2"/>
      <c r="M53" s="2"/>
    </row>
    <row r="54" customFormat="false" ht="13.5" hidden="false" customHeight="false" outlineLevel="0" collapsed="false">
      <c r="A54" s="0" t="s">
        <v>82</v>
      </c>
      <c r="B54" s="1" t="n">
        <v>43914</v>
      </c>
      <c r="C54" s="36" t="n">
        <v>235</v>
      </c>
      <c r="D54" s="36" t="n">
        <v>41</v>
      </c>
      <c r="E54" s="36"/>
      <c r="F54" s="36"/>
      <c r="G54" s="36" t="n">
        <v>2</v>
      </c>
      <c r="H54" s="36" t="n">
        <v>233</v>
      </c>
      <c r="I54" s="36" t="n">
        <v>6</v>
      </c>
      <c r="J54" s="36" t="n">
        <v>79</v>
      </c>
      <c r="K54" s="2"/>
      <c r="L54" s="2"/>
      <c r="M54" s="2"/>
    </row>
    <row r="55" customFormat="false" ht="13.5" hidden="false" customHeight="false" outlineLevel="0" collapsed="false">
      <c r="A55" s="0" t="s">
        <v>82</v>
      </c>
      <c r="B55" s="1" t="n">
        <v>43915</v>
      </c>
      <c r="C55" s="37" t="n">
        <v>249</v>
      </c>
      <c r="D55" s="37" t="n">
        <v>14</v>
      </c>
      <c r="E55" s="37"/>
      <c r="F55" s="37"/>
      <c r="G55" s="37" t="n">
        <v>14</v>
      </c>
      <c r="H55" s="37" t="n">
        <v>235</v>
      </c>
      <c r="I55" s="37" t="n">
        <v>6</v>
      </c>
      <c r="J55" s="37" t="n">
        <v>84</v>
      </c>
      <c r="K55" s="37"/>
      <c r="L55" s="38"/>
      <c r="M55" s="38"/>
    </row>
    <row r="56" customFormat="false" ht="13.5" hidden="false" customHeight="false" outlineLevel="0" collapsed="false">
      <c r="A56" s="0" t="s">
        <v>82</v>
      </c>
      <c r="B56" s="1" t="n">
        <v>43916</v>
      </c>
      <c r="C56" s="36" t="n">
        <v>265</v>
      </c>
      <c r="D56" s="36" t="n">
        <v>16</v>
      </c>
      <c r="E56" s="36"/>
      <c r="F56" s="36"/>
      <c r="G56" s="36" t="n">
        <v>16</v>
      </c>
      <c r="H56" s="36" t="n">
        <v>249</v>
      </c>
      <c r="I56" s="36" t="n">
        <v>6</v>
      </c>
      <c r="J56" s="36" t="n">
        <v>89</v>
      </c>
      <c r="K56" s="36"/>
      <c r="L56" s="2"/>
      <c r="M56" s="2"/>
    </row>
    <row r="57" customFormat="false" ht="13.5" hidden="false" customHeight="false" outlineLevel="0" collapsed="false">
      <c r="A57" s="0" t="s">
        <v>82</v>
      </c>
      <c r="B57" s="1" t="n">
        <v>43917</v>
      </c>
      <c r="C57" s="36" t="n">
        <v>290</v>
      </c>
      <c r="D57" s="36" t="n">
        <v>25</v>
      </c>
      <c r="E57" s="36" t="n">
        <v>1</v>
      </c>
      <c r="F57" s="36" t="n">
        <v>1</v>
      </c>
      <c r="G57" s="36" t="n">
        <v>18</v>
      </c>
      <c r="H57" s="36" t="n">
        <v>271</v>
      </c>
      <c r="I57" s="36" t="n">
        <v>6</v>
      </c>
      <c r="J57" s="36" t="n">
        <v>98</v>
      </c>
      <c r="K57" s="36" t="n">
        <v>0.3</v>
      </c>
      <c r="L57" s="2"/>
      <c r="M57" s="2"/>
    </row>
    <row r="58" customFormat="false" ht="13.5" hidden="false" customHeight="false" outlineLevel="0" collapsed="false">
      <c r="A58" s="0" t="s">
        <v>82</v>
      </c>
      <c r="B58" s="1" t="n">
        <v>43918</v>
      </c>
      <c r="C58" s="36" t="n">
        <v>329</v>
      </c>
      <c r="D58" s="36" t="n">
        <v>39</v>
      </c>
      <c r="E58" s="36" t="n">
        <v>1</v>
      </c>
      <c r="F58" s="36"/>
      <c r="G58" s="36" t="n">
        <v>28</v>
      </c>
      <c r="H58" s="36" t="n">
        <v>300</v>
      </c>
      <c r="I58" s="36" t="n">
        <v>6</v>
      </c>
      <c r="J58" s="36" t="n">
        <v>111</v>
      </c>
      <c r="K58" s="36" t="n">
        <v>0.3</v>
      </c>
      <c r="L58" s="2"/>
      <c r="M58" s="2"/>
    </row>
    <row r="59" customFormat="false" ht="13.5" hidden="false" customHeight="false" outlineLevel="0" collapsed="false">
      <c r="A59" s="0" t="s">
        <v>82</v>
      </c>
      <c r="B59" s="1" t="n">
        <v>43919</v>
      </c>
      <c r="C59" s="36" t="n">
        <v>407</v>
      </c>
      <c r="D59" s="36" t="n">
        <v>78</v>
      </c>
      <c r="E59" s="36" t="n">
        <v>1</v>
      </c>
      <c r="F59" s="36"/>
      <c r="G59" s="36" t="n">
        <v>30</v>
      </c>
      <c r="H59" s="36" t="n">
        <v>376</v>
      </c>
      <c r="I59" s="36" t="n">
        <v>6</v>
      </c>
      <c r="J59" s="36" t="n">
        <v>137</v>
      </c>
      <c r="K59" s="36" t="n">
        <v>0.3</v>
      </c>
      <c r="L59" s="2"/>
      <c r="M59" s="2"/>
    </row>
    <row r="60" customFormat="false" ht="13.5" hidden="false" customHeight="false" outlineLevel="0" collapsed="false">
      <c r="A60" s="0" t="s">
        <v>82</v>
      </c>
      <c r="B60" s="1" t="n">
        <v>43920</v>
      </c>
      <c r="C60" s="36" t="n">
        <v>424</v>
      </c>
      <c r="D60" s="36" t="n">
        <v>17</v>
      </c>
      <c r="E60" s="36" t="n">
        <v>3</v>
      </c>
      <c r="F60" s="36" t="n">
        <v>2</v>
      </c>
      <c r="G60" s="36" t="n">
        <v>30</v>
      </c>
      <c r="H60" s="36" t="n">
        <v>391</v>
      </c>
      <c r="I60" s="36" t="n">
        <v>6</v>
      </c>
      <c r="J60" s="36" t="n">
        <v>143</v>
      </c>
      <c r="K60" s="36" t="n">
        <v>1</v>
      </c>
      <c r="L60" s="2"/>
      <c r="M60" s="2"/>
    </row>
    <row r="61" customFormat="false" ht="13.5" hidden="false" customHeight="false" outlineLevel="0" collapsed="false">
      <c r="A61" s="0" t="s">
        <v>82</v>
      </c>
      <c r="B61" s="1" t="n">
        <v>43921</v>
      </c>
      <c r="C61" s="36" t="n">
        <v>482</v>
      </c>
      <c r="D61" s="36" t="n">
        <v>58</v>
      </c>
      <c r="E61" s="36" t="n">
        <v>3</v>
      </c>
      <c r="F61" s="36"/>
      <c r="G61" s="36" t="n">
        <v>30</v>
      </c>
      <c r="H61" s="36" t="n">
        <v>449</v>
      </c>
      <c r="I61" s="36" t="n">
        <v>15</v>
      </c>
      <c r="J61" s="36" t="n">
        <v>163</v>
      </c>
      <c r="K61" s="36" t="n">
        <v>1</v>
      </c>
      <c r="L61" s="2"/>
      <c r="M61" s="2"/>
    </row>
    <row r="62" customFormat="false" ht="13.5" hidden="false" customHeight="false" outlineLevel="0" collapsed="false">
      <c r="A62" s="0" t="s">
        <v>82</v>
      </c>
      <c r="B62" s="1" t="n">
        <v>43922</v>
      </c>
      <c r="C62" s="36" t="n">
        <v>532</v>
      </c>
      <c r="D62" s="36" t="n">
        <v>50</v>
      </c>
      <c r="E62" s="36" t="n">
        <v>3</v>
      </c>
      <c r="F62" s="36"/>
      <c r="G62" s="36" t="n">
        <v>30</v>
      </c>
      <c r="H62" s="36" t="n">
        <v>499</v>
      </c>
      <c r="I62" s="36" t="n">
        <v>30</v>
      </c>
      <c r="J62" s="36" t="n">
        <v>180</v>
      </c>
      <c r="K62" s="36" t="n">
        <v>1</v>
      </c>
      <c r="L62" s="2"/>
      <c r="M62" s="2"/>
    </row>
    <row r="63" customFormat="false" ht="13.5" hidden="false" customHeight="false" outlineLevel="0" collapsed="false">
      <c r="A63" s="0" t="s">
        <v>82</v>
      </c>
      <c r="B63" s="1" t="n">
        <v>43923</v>
      </c>
      <c r="C63" s="36" t="n">
        <v>571</v>
      </c>
      <c r="D63" s="36" t="n">
        <v>39</v>
      </c>
      <c r="E63" s="36" t="n">
        <v>4</v>
      </c>
      <c r="F63" s="36" t="n">
        <v>1</v>
      </c>
      <c r="G63" s="36" t="n">
        <v>31</v>
      </c>
      <c r="H63" s="36" t="n">
        <v>536</v>
      </c>
      <c r="I63" s="36" t="n">
        <v>30</v>
      </c>
      <c r="J63" s="36" t="n">
        <v>193</v>
      </c>
      <c r="K63" s="36" t="n">
        <v>1</v>
      </c>
      <c r="L63" s="2"/>
      <c r="M63" s="2"/>
    </row>
    <row r="64" customFormat="false" ht="13.5" hidden="false" customHeight="false" outlineLevel="0" collapsed="false">
      <c r="A64" s="0" t="s">
        <v>82</v>
      </c>
      <c r="B64" s="1" t="n">
        <v>43924</v>
      </c>
      <c r="C64" s="36" t="n">
        <v>663</v>
      </c>
      <c r="D64" s="36" t="n">
        <v>92</v>
      </c>
      <c r="E64" s="36" t="n">
        <v>7</v>
      </c>
      <c r="F64" s="36" t="n">
        <v>3</v>
      </c>
      <c r="G64" s="36" t="n">
        <v>33</v>
      </c>
      <c r="H64" s="36" t="n">
        <v>623</v>
      </c>
      <c r="I64" s="36" t="n">
        <v>30</v>
      </c>
      <c r="J64" s="36" t="n">
        <v>224</v>
      </c>
      <c r="K64" s="36" t="n">
        <v>2</v>
      </c>
      <c r="L64" s="2"/>
      <c r="M64" s="2"/>
    </row>
    <row r="65" customFormat="false" ht="13.5" hidden="false" customHeight="false" outlineLevel="0" collapsed="false">
      <c r="A65" s="0" t="s">
        <v>82</v>
      </c>
      <c r="B65" s="1" t="n">
        <v>43925</v>
      </c>
      <c r="C65" s="36" t="n">
        <v>736</v>
      </c>
      <c r="D65" s="36" t="n">
        <v>73</v>
      </c>
      <c r="E65" s="36" t="n">
        <v>7</v>
      </c>
      <c r="F65" s="36"/>
      <c r="G65" s="36" t="n">
        <v>43</v>
      </c>
      <c r="H65" s="36" t="n">
        <v>686</v>
      </c>
      <c r="I65" s="36" t="n">
        <v>30</v>
      </c>
      <c r="J65" s="36" t="n">
        <v>248</v>
      </c>
      <c r="K65" s="36" t="n">
        <v>2</v>
      </c>
      <c r="L65" s="2"/>
      <c r="M65" s="2"/>
    </row>
    <row r="66" customFormat="false" ht="13.5" hidden="false" customHeight="false" outlineLevel="0" collapsed="false">
      <c r="A66" s="0" t="s">
        <v>82</v>
      </c>
      <c r="B66" s="1" t="n">
        <v>43926</v>
      </c>
      <c r="C66" s="36" t="n">
        <v>770</v>
      </c>
      <c r="D66" s="36" t="n">
        <v>34</v>
      </c>
      <c r="E66" s="36" t="n">
        <v>7</v>
      </c>
      <c r="F66" s="36"/>
      <c r="G66" s="36" t="n">
        <v>43</v>
      </c>
      <c r="H66" s="36" t="n">
        <v>720</v>
      </c>
      <c r="I66" s="36" t="n">
        <v>30</v>
      </c>
      <c r="J66" s="36" t="n">
        <v>260</v>
      </c>
      <c r="K66" s="36" t="n">
        <v>2</v>
      </c>
      <c r="L66" s="39" t="n">
        <v>3994</v>
      </c>
      <c r="M66" s="39" t="n">
        <v>1348</v>
      </c>
    </row>
    <row r="67" customFormat="false" ht="13.5" hidden="false" customHeight="false" outlineLevel="0" collapsed="false">
      <c r="A67" s="0" t="s">
        <v>82</v>
      </c>
      <c r="B67" s="1" t="n">
        <v>43927</v>
      </c>
      <c r="C67" s="36" t="n">
        <v>822</v>
      </c>
      <c r="D67" s="36" t="n">
        <v>52</v>
      </c>
      <c r="E67" s="36" t="n">
        <v>7</v>
      </c>
      <c r="F67" s="36"/>
      <c r="G67" s="36" t="n">
        <v>57</v>
      </c>
      <c r="H67" s="36" t="n">
        <v>758</v>
      </c>
      <c r="I67" s="36" t="n">
        <v>30</v>
      </c>
      <c r="J67" s="36" t="n">
        <v>277</v>
      </c>
      <c r="K67" s="36" t="n">
        <v>2</v>
      </c>
      <c r="L67" s="39" t="n">
        <v>4666</v>
      </c>
      <c r="M67" s="39" t="n">
        <v>1575</v>
      </c>
    </row>
    <row r="68" customFormat="false" ht="14.25" hidden="false" customHeight="false" outlineLevel="0" collapsed="false">
      <c r="A68" s="0" t="s">
        <v>82</v>
      </c>
      <c r="B68" s="1" t="n">
        <v>43928</v>
      </c>
      <c r="C68" s="36" t="n">
        <v>833</v>
      </c>
      <c r="D68" s="36" t="n">
        <v>11</v>
      </c>
      <c r="E68" s="36" t="n">
        <v>8</v>
      </c>
      <c r="F68" s="36" t="n">
        <v>1</v>
      </c>
      <c r="G68" s="36" t="n">
        <v>62</v>
      </c>
      <c r="H68" s="36" t="n">
        <v>763</v>
      </c>
      <c r="I68" s="36" t="n">
        <v>30</v>
      </c>
      <c r="J68" s="36" t="n">
        <v>281</v>
      </c>
      <c r="K68" s="36" t="n">
        <v>3</v>
      </c>
      <c r="L68" s="39" t="n">
        <v>4929</v>
      </c>
      <c r="M68" s="39" t="n">
        <v>1663</v>
      </c>
    </row>
    <row r="69" customFormat="false" ht="15.75" hidden="false" customHeight="false" outlineLevel="0" collapsed="false">
      <c r="A69" s="0" t="s">
        <v>82</v>
      </c>
      <c r="B69" s="1" t="n">
        <v>43929</v>
      </c>
      <c r="C69" s="6" t="n">
        <v>853</v>
      </c>
      <c r="D69" s="40" t="n">
        <v>20</v>
      </c>
      <c r="E69" s="6" t="n">
        <v>8</v>
      </c>
      <c r="F69" s="6"/>
      <c r="G69" s="6" t="n">
        <v>87</v>
      </c>
      <c r="H69" s="6" t="n">
        <v>758</v>
      </c>
      <c r="I69" s="6" t="n">
        <v>30</v>
      </c>
      <c r="J69" s="6" t="n">
        <v>288</v>
      </c>
      <c r="K69" s="6" t="n">
        <v>3</v>
      </c>
      <c r="L69" s="7" t="n">
        <v>5140</v>
      </c>
      <c r="M69" s="7" t="n">
        <v>1735</v>
      </c>
    </row>
    <row r="70" customFormat="false" ht="15.75" hidden="false" customHeight="false" outlineLevel="0" collapsed="false">
      <c r="A70" s="0" t="s">
        <v>82</v>
      </c>
      <c r="B70" s="1" t="n">
        <v>43930</v>
      </c>
      <c r="C70" s="6" t="n">
        <v>881</v>
      </c>
      <c r="D70" s="40" t="n">
        <v>28</v>
      </c>
      <c r="E70" s="6" t="n">
        <v>9</v>
      </c>
      <c r="F70" s="41" t="n">
        <v>1</v>
      </c>
      <c r="G70" s="6" t="n">
        <v>114</v>
      </c>
      <c r="H70" s="6" t="n">
        <v>758</v>
      </c>
      <c r="I70" s="6" t="n">
        <v>30</v>
      </c>
      <c r="J70" s="6" t="n">
        <v>297</v>
      </c>
      <c r="K70" s="6" t="n">
        <v>3</v>
      </c>
      <c r="L70" s="7" t="n">
        <v>5452</v>
      </c>
      <c r="M70" s="7" t="n">
        <v>1840</v>
      </c>
    </row>
    <row r="71" customFormat="false" ht="15.75" hidden="false" customHeight="false" outlineLevel="0" collapsed="false">
      <c r="A71" s="0" t="s">
        <v>82</v>
      </c>
      <c r="B71" s="1" t="n">
        <v>43931</v>
      </c>
      <c r="C71" s="6" t="n">
        <v>921</v>
      </c>
      <c r="D71" s="40" t="n">
        <v>40</v>
      </c>
      <c r="E71" s="6" t="n">
        <v>10</v>
      </c>
      <c r="F71" s="41" t="n">
        <v>1</v>
      </c>
      <c r="G71" s="6" t="n">
        <v>138</v>
      </c>
      <c r="H71" s="6" t="n">
        <v>773</v>
      </c>
      <c r="I71" s="6" t="n">
        <v>30</v>
      </c>
      <c r="J71" s="6" t="n">
        <v>311</v>
      </c>
      <c r="K71" s="6" t="n">
        <v>3</v>
      </c>
      <c r="L71" s="7" t="n">
        <v>5823</v>
      </c>
      <c r="M71" s="7" t="n">
        <v>1965</v>
      </c>
    </row>
    <row r="72" customFormat="false" ht="14.25" hidden="false" customHeight="false" outlineLevel="0" collapsed="false">
      <c r="A72" s="0" t="s">
        <v>82</v>
      </c>
      <c r="B72" s="1" t="n">
        <v>43932</v>
      </c>
      <c r="C72" s="36" t="n">
        <v>937</v>
      </c>
      <c r="D72" s="36" t="n">
        <v>16</v>
      </c>
      <c r="E72" s="36" t="n">
        <v>12</v>
      </c>
      <c r="F72" s="36" t="n">
        <v>2</v>
      </c>
      <c r="G72" s="36" t="n">
        <v>149</v>
      </c>
      <c r="H72" s="36" t="n">
        <v>776</v>
      </c>
      <c r="I72" s="36" t="n">
        <v>30</v>
      </c>
      <c r="J72" s="36" t="n">
        <v>316</v>
      </c>
      <c r="K72" s="36" t="n">
        <v>4</v>
      </c>
      <c r="L72" s="39" t="n">
        <v>6081</v>
      </c>
      <c r="M72" s="39" t="n">
        <v>2052</v>
      </c>
    </row>
    <row r="73" customFormat="false" ht="15.75" hidden="false" customHeight="false" outlineLevel="0" collapsed="false">
      <c r="A73" s="0" t="s">
        <v>82</v>
      </c>
      <c r="B73" s="1" t="n">
        <v>43933</v>
      </c>
      <c r="C73" s="6" t="n">
        <v>967</v>
      </c>
      <c r="D73" s="40" t="n">
        <v>30</v>
      </c>
      <c r="E73" s="6" t="n">
        <v>13</v>
      </c>
      <c r="F73" s="41" t="n">
        <v>1</v>
      </c>
      <c r="G73" s="6" t="n">
        <v>173</v>
      </c>
      <c r="H73" s="6" t="n">
        <v>781</v>
      </c>
      <c r="I73" s="6" t="n">
        <v>30</v>
      </c>
      <c r="J73" s="6" t="n">
        <v>326</v>
      </c>
      <c r="K73" s="6" t="n">
        <v>4</v>
      </c>
      <c r="L73" s="7" t="n">
        <v>6484</v>
      </c>
      <c r="M73" s="7" t="n">
        <v>2188</v>
      </c>
    </row>
    <row r="74" customFormat="false" ht="13.5" hidden="false" customHeight="false" outlineLevel="0" collapsed="false">
      <c r="A74" s="0" t="s">
        <v>82</v>
      </c>
      <c r="B74" s="1" t="n">
        <v>43934</v>
      </c>
      <c r="C74" s="2" t="n">
        <v>1013</v>
      </c>
      <c r="D74" s="2" t="n">
        <v>46</v>
      </c>
      <c r="E74" s="2" t="n">
        <v>13</v>
      </c>
      <c r="F74" s="2"/>
      <c r="G74" s="2" t="n">
        <v>197</v>
      </c>
      <c r="H74" s="2" t="n">
        <v>803</v>
      </c>
      <c r="I74" s="2" t="n">
        <v>30</v>
      </c>
      <c r="J74" s="2" t="n">
        <v>342</v>
      </c>
      <c r="K74" s="2" t="n">
        <v>4</v>
      </c>
      <c r="L74" s="2" t="n">
        <v>7164</v>
      </c>
      <c r="M74" s="2" t="n">
        <v>2418</v>
      </c>
    </row>
    <row r="75" customFormat="false" ht="13.5" hidden="false" customHeight="false" outlineLevel="0" collapsed="false">
      <c r="A75" s="0" t="s">
        <v>82</v>
      </c>
      <c r="B75" s="1" t="n">
        <v>43935</v>
      </c>
      <c r="C75" s="2" t="n">
        <v>1039</v>
      </c>
      <c r="D75" s="2" t="n">
        <v>26</v>
      </c>
      <c r="E75" s="2" t="n">
        <v>14</v>
      </c>
      <c r="F75" s="2" t="n">
        <v>1</v>
      </c>
      <c r="G75" s="2" t="n">
        <v>211</v>
      </c>
      <c r="H75" s="2" t="n">
        <v>814</v>
      </c>
      <c r="I75" s="2" t="n">
        <v>30</v>
      </c>
      <c r="J75" s="2" t="n">
        <v>351</v>
      </c>
      <c r="K75" s="2" t="n">
        <v>5</v>
      </c>
      <c r="L75" s="2" t="n">
        <v>7631</v>
      </c>
      <c r="M75" s="2" t="n">
        <v>2575</v>
      </c>
    </row>
    <row r="76" customFormat="false" ht="13.5" hidden="false" customHeight="false" outlineLevel="0" collapsed="false">
      <c r="A76" s="0" t="s">
        <v>82</v>
      </c>
      <c r="B76" s="1" t="n">
        <v>43936</v>
      </c>
      <c r="C76" s="2" t="n">
        <v>1067</v>
      </c>
      <c r="D76" s="2" t="n">
        <v>28</v>
      </c>
      <c r="E76" s="2" t="n">
        <v>16</v>
      </c>
      <c r="F76" s="2" t="n">
        <v>2</v>
      </c>
      <c r="G76" s="2" t="n">
        <v>265</v>
      </c>
      <c r="H76" s="2" t="n">
        <v>786</v>
      </c>
      <c r="I76" s="2" t="n">
        <v>30</v>
      </c>
      <c r="J76" s="2" t="n">
        <v>360</v>
      </c>
      <c r="K76" s="2" t="n">
        <v>5</v>
      </c>
      <c r="L76" s="2" t="n">
        <v>8316</v>
      </c>
      <c r="M76" s="2" t="n">
        <v>2806</v>
      </c>
    </row>
    <row r="77" customFormat="false" ht="13.5" hidden="false" customHeight="false" outlineLevel="0" collapsed="false">
      <c r="A77" s="0" t="s">
        <v>82</v>
      </c>
      <c r="B77" s="1" t="n">
        <v>43937</v>
      </c>
      <c r="C77" s="2" t="n">
        <v>1111</v>
      </c>
      <c r="D77" s="2" t="n">
        <v>44</v>
      </c>
      <c r="E77" s="2" t="n">
        <v>17</v>
      </c>
      <c r="F77" s="2" t="n">
        <v>1</v>
      </c>
      <c r="G77" s="2" t="n">
        <v>297</v>
      </c>
      <c r="H77" s="2" t="n">
        <v>797</v>
      </c>
      <c r="I77" s="2" t="n">
        <v>30</v>
      </c>
      <c r="J77" s="2" t="n">
        <v>375</v>
      </c>
      <c r="K77" s="2" t="n">
        <v>6</v>
      </c>
      <c r="L77" s="2" t="n">
        <v>9095</v>
      </c>
      <c r="M77" s="2" t="n">
        <v>3069</v>
      </c>
    </row>
    <row r="78" customFormat="false" ht="13.5" hidden="false" customHeight="false" outlineLevel="0" collapsed="false">
      <c r="A78" s="0" t="s">
        <v>82</v>
      </c>
      <c r="B78" s="1" t="n">
        <v>43938</v>
      </c>
      <c r="C78" s="2" t="n">
        <v>1159</v>
      </c>
      <c r="D78" s="2" t="n">
        <v>48</v>
      </c>
      <c r="E78" s="2" t="n">
        <v>18</v>
      </c>
      <c r="F78" s="2" t="n">
        <v>1</v>
      </c>
      <c r="G78" s="2" t="n">
        <v>358</v>
      </c>
      <c r="H78" s="2" t="n">
        <v>783</v>
      </c>
      <c r="I78" s="2" t="n">
        <v>30</v>
      </c>
      <c r="J78" s="2" t="n">
        <v>391</v>
      </c>
      <c r="K78" s="2" t="n">
        <v>6</v>
      </c>
      <c r="L78" s="2" t="n">
        <v>9632</v>
      </c>
      <c r="M78" s="2" t="n">
        <v>3250</v>
      </c>
    </row>
    <row r="79" customFormat="false" ht="13.5" hidden="false" customHeight="false" outlineLevel="0" collapsed="false">
      <c r="A79" s="0" t="s">
        <v>82</v>
      </c>
      <c r="B79" s="1" t="n">
        <v>43939</v>
      </c>
      <c r="C79" s="2" t="n">
        <v>1201</v>
      </c>
      <c r="D79" s="2" t="n">
        <v>42</v>
      </c>
      <c r="E79" s="2" t="n">
        <v>19</v>
      </c>
      <c r="F79" s="2" t="n">
        <v>1</v>
      </c>
      <c r="G79" s="2" t="n">
        <v>402</v>
      </c>
      <c r="H79" s="2" t="n">
        <v>780</v>
      </c>
      <c r="I79" s="2" t="n">
        <v>30</v>
      </c>
      <c r="J79" s="2" t="n">
        <v>405</v>
      </c>
      <c r="K79" s="2" t="n">
        <v>6</v>
      </c>
      <c r="L79" s="2" t="n">
        <v>10793</v>
      </c>
      <c r="M79" s="2" t="n">
        <v>3642</v>
      </c>
    </row>
    <row r="80" customFormat="false" ht="13.5" hidden="false" customHeight="false" outlineLevel="0" collapsed="false">
      <c r="A80" s="0" t="s">
        <v>82</v>
      </c>
      <c r="B80" s="1" t="n">
        <v>43940</v>
      </c>
      <c r="C80" s="2" t="n">
        <v>1248</v>
      </c>
      <c r="D80" s="2" t="n">
        <v>47</v>
      </c>
      <c r="E80" s="2" t="n">
        <v>20</v>
      </c>
      <c r="F80" s="2" t="n">
        <v>1</v>
      </c>
      <c r="G80" s="2" t="n">
        <v>523</v>
      </c>
      <c r="H80" s="2" t="n">
        <v>705</v>
      </c>
      <c r="I80" s="2" t="n">
        <v>30</v>
      </c>
      <c r="J80" s="2" t="n">
        <v>421</v>
      </c>
      <c r="K80" s="2" t="n">
        <v>7</v>
      </c>
      <c r="L80" s="2" t="n">
        <v>11796</v>
      </c>
      <c r="M80" s="2" t="n">
        <v>3981</v>
      </c>
    </row>
    <row r="81" customFormat="false" ht="13.5" hidden="false" customHeight="false" outlineLevel="0" collapsed="false">
      <c r="A81" s="0" t="s">
        <v>82</v>
      </c>
      <c r="B81" s="1" t="n">
        <v>43941</v>
      </c>
      <c r="C81" s="2" t="n">
        <v>1291</v>
      </c>
      <c r="D81" s="2" t="n">
        <v>43</v>
      </c>
      <c r="E81" s="2" t="n">
        <v>20</v>
      </c>
      <c r="F81" s="2" t="n">
        <v>0</v>
      </c>
      <c r="G81" s="2" t="n">
        <v>545</v>
      </c>
      <c r="H81" s="2" t="n">
        <v>726</v>
      </c>
      <c r="I81" s="2" t="n">
        <v>30</v>
      </c>
      <c r="J81" s="2" t="n">
        <v>436</v>
      </c>
      <c r="K81" s="2" t="n">
        <v>7</v>
      </c>
      <c r="L81" s="2" t="n">
        <v>12680</v>
      </c>
      <c r="M81" s="2" t="n">
        <v>4279</v>
      </c>
    </row>
    <row r="82" customFormat="false" ht="13.5" hidden="false" customHeight="false" outlineLevel="0" collapsed="false">
      <c r="A82" s="0" t="s">
        <v>82</v>
      </c>
      <c r="B82" s="1" t="n">
        <v>43942</v>
      </c>
      <c r="C82" s="2" t="n">
        <v>1339</v>
      </c>
      <c r="D82" s="2" t="n">
        <v>48</v>
      </c>
      <c r="E82" s="2" t="n">
        <v>22</v>
      </c>
      <c r="F82" s="2" t="n">
        <v>2</v>
      </c>
      <c r="G82" s="2" t="n">
        <v>580</v>
      </c>
      <c r="H82" s="2" t="n">
        <v>737</v>
      </c>
      <c r="I82" s="2" t="n">
        <v>30</v>
      </c>
      <c r="J82" s="2" t="n">
        <v>452</v>
      </c>
      <c r="K82" s="2" t="n">
        <v>7</v>
      </c>
      <c r="L82" s="2" t="n">
        <v>13373</v>
      </c>
      <c r="M82" s="2" t="n">
        <v>4513</v>
      </c>
    </row>
    <row r="83" customFormat="false" ht="13.5" hidden="false" customHeight="false" outlineLevel="0" collapsed="false">
      <c r="A83" s="0" t="s">
        <v>82</v>
      </c>
      <c r="B83" s="1" t="n">
        <v>43943</v>
      </c>
      <c r="C83" s="2" t="n">
        <v>1401</v>
      </c>
      <c r="D83" s="2" t="n">
        <v>62</v>
      </c>
      <c r="E83" s="2" t="n">
        <v>24</v>
      </c>
      <c r="F83" s="2" t="n">
        <v>2</v>
      </c>
      <c r="G83" s="2" t="n">
        <v>609</v>
      </c>
      <c r="H83" s="2" t="n">
        <v>768</v>
      </c>
      <c r="I83" s="2" t="n">
        <v>30</v>
      </c>
      <c r="J83" s="2" t="n">
        <v>473</v>
      </c>
      <c r="K83" s="2" t="n">
        <v>8</v>
      </c>
      <c r="L83" s="2" t="n">
        <v>13929</v>
      </c>
      <c r="M83" s="2" t="n">
        <v>4701</v>
      </c>
    </row>
    <row r="84" customFormat="false" ht="13.5" hidden="false" customHeight="false" outlineLevel="0" collapsed="false">
      <c r="A84" s="0" t="s">
        <v>82</v>
      </c>
      <c r="B84" s="1" t="n">
        <v>43944</v>
      </c>
      <c r="C84" s="2" t="n">
        <v>1473</v>
      </c>
      <c r="D84" s="2" t="n">
        <v>72</v>
      </c>
      <c r="E84" s="2" t="n">
        <v>24</v>
      </c>
      <c r="F84" s="2" t="n">
        <v>0</v>
      </c>
      <c r="G84" s="2" t="n">
        <v>633</v>
      </c>
      <c r="H84" s="2" t="n">
        <v>816</v>
      </c>
      <c r="I84" s="2" t="n">
        <v>30</v>
      </c>
      <c r="J84" s="2" t="n">
        <v>497</v>
      </c>
      <c r="K84" s="2" t="n">
        <v>8</v>
      </c>
      <c r="L84" s="2" t="n">
        <v>14966</v>
      </c>
      <c r="M84" s="2" t="n">
        <v>5051</v>
      </c>
    </row>
    <row r="85" customFormat="false" ht="13.5" hidden="false" customHeight="false" outlineLevel="0" collapsed="false">
      <c r="A85" s="0" t="s">
        <v>82</v>
      </c>
      <c r="B85" s="1" t="n">
        <v>43945</v>
      </c>
      <c r="C85" s="2" t="n">
        <v>1523</v>
      </c>
      <c r="D85" s="2" t="n">
        <v>50</v>
      </c>
      <c r="E85" s="2" t="n">
        <v>24</v>
      </c>
      <c r="F85" s="2" t="n">
        <v>0</v>
      </c>
      <c r="G85" s="2" t="n">
        <v>659</v>
      </c>
      <c r="H85" s="2" t="n">
        <v>840</v>
      </c>
      <c r="I85" s="2" t="n">
        <v>10</v>
      </c>
      <c r="J85" s="2" t="n">
        <v>514</v>
      </c>
      <c r="K85" s="2" t="n">
        <v>8</v>
      </c>
      <c r="L85" s="2" t="n">
        <v>15960</v>
      </c>
      <c r="M85" s="2" t="n">
        <v>5386</v>
      </c>
    </row>
    <row r="86" customFormat="false" ht="13.5" hidden="false" customHeight="false" outlineLevel="0" collapsed="false">
      <c r="A86" s="0" t="s">
        <v>82</v>
      </c>
      <c r="B86" s="1" t="n">
        <v>43946</v>
      </c>
      <c r="C86" s="2" t="n">
        <v>1596</v>
      </c>
      <c r="D86" s="2" t="n">
        <v>73</v>
      </c>
      <c r="E86" s="2" t="n">
        <v>27</v>
      </c>
      <c r="F86" s="2" t="n">
        <v>3</v>
      </c>
      <c r="G86" s="2" t="n">
        <v>728</v>
      </c>
      <c r="H86" s="2" t="n">
        <v>841</v>
      </c>
      <c r="I86" s="2" t="n">
        <v>10</v>
      </c>
      <c r="J86" s="2" t="n">
        <v>539</v>
      </c>
      <c r="K86" s="2" t="n">
        <v>9</v>
      </c>
      <c r="L86" s="2" t="n">
        <v>16552</v>
      </c>
      <c r="M86" s="2" t="n">
        <v>5586</v>
      </c>
    </row>
    <row r="87" customFormat="false" ht="13.5" hidden="false" customHeight="false" outlineLevel="0" collapsed="false">
      <c r="A87" s="0" t="s">
        <v>82</v>
      </c>
      <c r="B87" s="1" t="n">
        <v>43947</v>
      </c>
      <c r="C87" s="2" t="n">
        <v>1677</v>
      </c>
      <c r="D87" s="2" t="n">
        <v>81</v>
      </c>
      <c r="E87" s="2" t="n">
        <v>28</v>
      </c>
      <c r="F87" s="2" t="n">
        <v>1</v>
      </c>
      <c r="G87" s="2" t="n">
        <v>803</v>
      </c>
      <c r="H87" s="2" t="n">
        <v>846</v>
      </c>
      <c r="I87" s="2" t="n">
        <v>10</v>
      </c>
      <c r="J87" s="2" t="n">
        <v>566</v>
      </c>
      <c r="K87" s="2" t="n">
        <v>9</v>
      </c>
      <c r="L87" s="2" t="n">
        <v>17342</v>
      </c>
      <c r="M87" s="2" t="n">
        <v>5852</v>
      </c>
    </row>
    <row r="88" customFormat="false" ht="13.5" hidden="false" customHeight="false" outlineLevel="0" collapsed="false">
      <c r="A88" s="0" t="s">
        <v>82</v>
      </c>
      <c r="B88" s="1" t="n">
        <v>43948</v>
      </c>
      <c r="C88" s="2" t="n">
        <v>1746</v>
      </c>
      <c r="D88" s="2" t="n">
        <v>69</v>
      </c>
      <c r="E88" s="2" t="n">
        <v>28</v>
      </c>
      <c r="F88" s="2" t="n">
        <v>0</v>
      </c>
      <c r="G88" s="2" t="n">
        <v>833</v>
      </c>
      <c r="H88" s="2" t="n">
        <v>885</v>
      </c>
      <c r="I88" s="2" t="n">
        <v>10</v>
      </c>
      <c r="J88" s="2" t="n">
        <v>589</v>
      </c>
      <c r="K88" s="2" t="n">
        <v>9</v>
      </c>
      <c r="L88" s="2" t="n">
        <v>17931</v>
      </c>
      <c r="M88" s="2" t="n">
        <v>6051</v>
      </c>
    </row>
    <row r="89" customFormat="false" ht="13.5" hidden="false" customHeight="false" outlineLevel="0" collapsed="false">
      <c r="A89" s="0" t="s">
        <v>82</v>
      </c>
      <c r="B89" s="1" t="n">
        <v>43949</v>
      </c>
      <c r="C89" s="2" t="n">
        <v>1808</v>
      </c>
      <c r="D89" s="2" t="n">
        <v>62</v>
      </c>
      <c r="E89" s="2" t="n">
        <v>29</v>
      </c>
      <c r="F89" s="2" t="n">
        <v>1</v>
      </c>
      <c r="G89" s="2" t="n">
        <v>848</v>
      </c>
      <c r="H89" s="2" t="n">
        <v>931</v>
      </c>
      <c r="I89" s="2" t="n">
        <v>10</v>
      </c>
      <c r="J89" s="2" t="n">
        <v>610</v>
      </c>
      <c r="K89" s="2" t="n">
        <v>10</v>
      </c>
      <c r="L89" s="2" t="n">
        <v>18547</v>
      </c>
      <c r="M89" s="2" t="n">
        <v>6259</v>
      </c>
    </row>
    <row r="90" customFormat="false" ht="13.5" hidden="false" customHeight="false" outlineLevel="0" collapsed="false">
      <c r="A90" s="0" t="s">
        <v>82</v>
      </c>
      <c r="B90" s="1" t="n">
        <v>43950</v>
      </c>
      <c r="C90" s="2" t="n">
        <v>1867</v>
      </c>
      <c r="D90" s="2" t="n">
        <v>59</v>
      </c>
      <c r="E90" s="2" t="n">
        <v>30</v>
      </c>
      <c r="F90" s="2" t="n">
        <v>1</v>
      </c>
      <c r="G90" s="2" t="n">
        <v>866</v>
      </c>
      <c r="H90" s="2" t="n">
        <v>971</v>
      </c>
      <c r="I90" s="2" t="n">
        <v>10</v>
      </c>
      <c r="J90" s="2" t="n">
        <v>630</v>
      </c>
      <c r="K90" s="2" t="n">
        <v>10</v>
      </c>
      <c r="L90" s="2" t="n">
        <v>19296</v>
      </c>
      <c r="M90" s="2" t="n">
        <v>6512</v>
      </c>
    </row>
    <row r="91" customFormat="false" ht="13.5" hidden="false" customHeight="false" outlineLevel="0" collapsed="false">
      <c r="A91" s="0" t="s">
        <v>82</v>
      </c>
      <c r="B91" s="1" t="n">
        <v>43951</v>
      </c>
      <c r="C91" s="0" t="n">
        <v>1932</v>
      </c>
      <c r="D91" s="0" t="n">
        <v>65</v>
      </c>
      <c r="E91" s="0" t="n">
        <v>30</v>
      </c>
      <c r="G91" s="0" t="n">
        <v>900</v>
      </c>
      <c r="H91" s="0" t="n">
        <v>1002</v>
      </c>
      <c r="I91" s="0" t="n">
        <v>10</v>
      </c>
      <c r="J91" s="0" t="n">
        <v>652</v>
      </c>
      <c r="K91" s="0" t="n">
        <v>10</v>
      </c>
      <c r="L91" s="0" t="n">
        <v>20189</v>
      </c>
      <c r="M91" s="0" t="n">
        <v>6813</v>
      </c>
    </row>
    <row r="92" customFormat="false" ht="13.5" hidden="false" customHeight="false" outlineLevel="0" collapsed="false">
      <c r="A92" s="0" t="s">
        <v>82</v>
      </c>
      <c r="B92" s="1" t="n">
        <v>43952</v>
      </c>
      <c r="C92" s="0" t="n">
        <v>2066</v>
      </c>
      <c r="D92" s="0" t="n">
        <v>134</v>
      </c>
      <c r="E92" s="0" t="n">
        <v>32</v>
      </c>
      <c r="F92" s="0" t="n">
        <v>2</v>
      </c>
      <c r="G92" s="0" t="n">
        <v>929</v>
      </c>
      <c r="H92" s="0" t="n">
        <v>1105</v>
      </c>
      <c r="I92" s="0" t="n">
        <v>10</v>
      </c>
      <c r="J92" s="0" t="n">
        <v>697</v>
      </c>
      <c r="K92" s="0" t="n">
        <v>11</v>
      </c>
      <c r="L92" s="0" t="n">
        <v>21125</v>
      </c>
      <c r="M92" s="0" t="n">
        <v>7129</v>
      </c>
    </row>
    <row r="93" customFormat="false" ht="13.5" hidden="false" customHeight="false" outlineLevel="0" collapsed="false">
      <c r="A93" s="0" t="s">
        <v>82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82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82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82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82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82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82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82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82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82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82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82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82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82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82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82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82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82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82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82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82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82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82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82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82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82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82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82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82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82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82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82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82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82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82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82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82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82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82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82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82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82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82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82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82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82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82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82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82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82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82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82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82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82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82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82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82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82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82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82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82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82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82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82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82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82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82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82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82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82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82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82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82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82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82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82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82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82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82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82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82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82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82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82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82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82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82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82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82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82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82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82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82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82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82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83</v>
      </c>
      <c r="B2" s="1" t="n">
        <v>43862</v>
      </c>
    </row>
    <row r="3" customFormat="false" ht="13.5" hidden="false" customHeight="false" outlineLevel="0" collapsed="false">
      <c r="A3" s="0" t="s">
        <v>83</v>
      </c>
      <c r="B3" s="1" t="n">
        <v>43863</v>
      </c>
    </row>
    <row r="4" customFormat="false" ht="13.5" hidden="false" customHeight="false" outlineLevel="0" collapsed="false">
      <c r="A4" s="0" t="s">
        <v>83</v>
      </c>
      <c r="B4" s="1" t="n">
        <v>43864</v>
      </c>
    </row>
    <row r="5" customFormat="false" ht="13.5" hidden="false" customHeight="false" outlineLevel="0" collapsed="false">
      <c r="A5" s="0" t="s">
        <v>83</v>
      </c>
      <c r="B5" s="1" t="n">
        <v>43865</v>
      </c>
    </row>
    <row r="6" customFormat="false" ht="13.5" hidden="false" customHeight="false" outlineLevel="0" collapsed="false">
      <c r="A6" s="0" t="s">
        <v>83</v>
      </c>
      <c r="B6" s="1" t="n">
        <v>43866</v>
      </c>
    </row>
    <row r="7" customFormat="false" ht="13.5" hidden="false" customHeight="false" outlineLevel="0" collapsed="false">
      <c r="A7" s="0" t="s">
        <v>83</v>
      </c>
      <c r="B7" s="1" t="n">
        <v>43867</v>
      </c>
    </row>
    <row r="8" customFormat="false" ht="13.5" hidden="false" customHeight="false" outlineLevel="0" collapsed="false">
      <c r="A8" s="0" t="s">
        <v>83</v>
      </c>
      <c r="B8" s="1" t="n">
        <v>43868</v>
      </c>
    </row>
    <row r="9" customFormat="false" ht="13.5" hidden="false" customHeight="false" outlineLevel="0" collapsed="false">
      <c r="A9" s="0" t="s">
        <v>83</v>
      </c>
      <c r="B9" s="1" t="n">
        <v>43869</v>
      </c>
    </row>
    <row r="10" customFormat="false" ht="13.5" hidden="false" customHeight="false" outlineLevel="0" collapsed="false">
      <c r="A10" s="0" t="s">
        <v>83</v>
      </c>
      <c r="B10" s="1" t="n">
        <v>43870</v>
      </c>
    </row>
    <row r="11" customFormat="false" ht="13.5" hidden="false" customHeight="false" outlineLevel="0" collapsed="false">
      <c r="A11" s="0" t="s">
        <v>83</v>
      </c>
      <c r="B11" s="1" t="n">
        <v>43871</v>
      </c>
    </row>
    <row r="12" customFormat="false" ht="13.5" hidden="false" customHeight="false" outlineLevel="0" collapsed="false">
      <c r="A12" s="0" t="s">
        <v>83</v>
      </c>
      <c r="B12" s="1" t="n">
        <v>43872</v>
      </c>
    </row>
    <row r="13" customFormat="false" ht="13.5" hidden="false" customHeight="false" outlineLevel="0" collapsed="false">
      <c r="A13" s="0" t="s">
        <v>83</v>
      </c>
      <c r="B13" s="1" t="n">
        <v>43873</v>
      </c>
    </row>
    <row r="14" customFormat="false" ht="13.5" hidden="false" customHeight="false" outlineLevel="0" collapsed="false">
      <c r="A14" s="0" t="s">
        <v>83</v>
      </c>
      <c r="B14" s="1" t="n">
        <v>43874</v>
      </c>
    </row>
    <row r="15" customFormat="false" ht="13.5" hidden="false" customHeight="false" outlineLevel="0" collapsed="false">
      <c r="A15" s="0" t="s">
        <v>83</v>
      </c>
      <c r="B15" s="1" t="n">
        <v>43875</v>
      </c>
    </row>
    <row r="16" customFormat="false" ht="13.5" hidden="false" customHeight="false" outlineLevel="0" collapsed="false">
      <c r="A16" s="0" t="s">
        <v>83</v>
      </c>
      <c r="B16" s="1" t="n">
        <v>43876</v>
      </c>
    </row>
    <row r="17" customFormat="false" ht="13.5" hidden="false" customHeight="false" outlineLevel="0" collapsed="false">
      <c r="A17" s="0" t="s">
        <v>83</v>
      </c>
      <c r="B17" s="1" t="n">
        <v>43877</v>
      </c>
    </row>
    <row r="18" customFormat="false" ht="13.5" hidden="false" customHeight="false" outlineLevel="0" collapsed="false">
      <c r="A18" s="0" t="s">
        <v>83</v>
      </c>
      <c r="B18" s="1" t="n">
        <v>43878</v>
      </c>
    </row>
    <row r="19" customFormat="false" ht="13.5" hidden="false" customHeight="false" outlineLevel="0" collapsed="false">
      <c r="A19" s="0" t="s">
        <v>83</v>
      </c>
      <c r="B19" s="1" t="n">
        <v>43879</v>
      </c>
    </row>
    <row r="20" customFormat="false" ht="13.5" hidden="false" customHeight="false" outlineLevel="0" collapsed="false">
      <c r="A20" s="0" t="s">
        <v>83</v>
      </c>
      <c r="B20" s="1" t="n">
        <v>43880</v>
      </c>
    </row>
    <row r="21" customFormat="false" ht="13.5" hidden="false" customHeight="false" outlineLevel="0" collapsed="false">
      <c r="A21" s="0" t="s">
        <v>83</v>
      </c>
      <c r="B21" s="1" t="n">
        <v>43881</v>
      </c>
    </row>
    <row r="22" customFormat="false" ht="13.5" hidden="false" customHeight="false" outlineLevel="0" collapsed="false">
      <c r="A22" s="0" t="s">
        <v>83</v>
      </c>
      <c r="B22" s="1" t="n">
        <v>43882</v>
      </c>
    </row>
    <row r="23" customFormat="false" ht="13.5" hidden="false" customHeight="false" outlineLevel="0" collapsed="false">
      <c r="A23" s="0" t="s">
        <v>83</v>
      </c>
      <c r="B23" s="1" t="n">
        <v>43883</v>
      </c>
    </row>
    <row r="24" customFormat="false" ht="13.5" hidden="false" customHeight="false" outlineLevel="0" collapsed="false">
      <c r="A24" s="0" t="s">
        <v>83</v>
      </c>
      <c r="B24" s="1" t="n">
        <v>43884</v>
      </c>
    </row>
    <row r="25" customFormat="false" ht="13.5" hidden="false" customHeight="false" outlineLevel="0" collapsed="false">
      <c r="A25" s="0" t="s">
        <v>83</v>
      </c>
      <c r="B25" s="1" t="n">
        <v>43885</v>
      </c>
    </row>
    <row r="26" customFormat="false" ht="13.5" hidden="false" customHeight="false" outlineLevel="0" collapsed="false">
      <c r="A26" s="0" t="s">
        <v>83</v>
      </c>
      <c r="B26" s="1" t="n">
        <v>43886</v>
      </c>
    </row>
    <row r="27" customFormat="false" ht="13.5" hidden="false" customHeight="false" outlineLevel="0" collapsed="false">
      <c r="A27" s="0" t="s">
        <v>83</v>
      </c>
      <c r="B27" s="1" t="n">
        <v>43887</v>
      </c>
    </row>
    <row r="28" customFormat="false" ht="13.5" hidden="false" customHeight="false" outlineLevel="0" collapsed="false">
      <c r="A28" s="0" t="s">
        <v>83</v>
      </c>
      <c r="B28" s="1" t="n">
        <v>43888</v>
      </c>
    </row>
    <row r="29" customFormat="false" ht="13.5" hidden="false" customHeight="false" outlineLevel="0" collapsed="false">
      <c r="A29" s="0" t="s">
        <v>83</v>
      </c>
      <c r="B29" s="1" t="n">
        <v>43889</v>
      </c>
    </row>
    <row r="30" customFormat="false" ht="13.5" hidden="false" customHeight="false" outlineLevel="0" collapsed="false">
      <c r="A30" s="0" t="s">
        <v>83</v>
      </c>
      <c r="B30" s="1" t="n">
        <v>43890</v>
      </c>
    </row>
    <row r="31" customFormat="false" ht="13.5" hidden="false" customHeight="false" outlineLevel="0" collapsed="false">
      <c r="A31" s="0" t="s">
        <v>83</v>
      </c>
      <c r="B31" s="1" t="n">
        <v>43891</v>
      </c>
    </row>
    <row r="32" customFormat="false" ht="13.5" hidden="false" customHeight="false" outlineLevel="0" collapsed="false">
      <c r="A32" s="0" t="s">
        <v>83</v>
      </c>
      <c r="B32" s="1" t="n">
        <v>43892</v>
      </c>
    </row>
    <row r="33" customFormat="false" ht="13.5" hidden="false" customHeight="false" outlineLevel="0" collapsed="false">
      <c r="A33" s="0" t="s">
        <v>83</v>
      </c>
      <c r="B33" s="1" t="n">
        <v>43893</v>
      </c>
    </row>
    <row r="34" customFormat="false" ht="13.5" hidden="false" customHeight="false" outlineLevel="0" collapsed="false">
      <c r="A34" s="0" t="s">
        <v>83</v>
      </c>
      <c r="B34" s="1" t="n">
        <v>43894</v>
      </c>
    </row>
    <row r="35" customFormat="false" ht="13.5" hidden="false" customHeight="false" outlineLevel="0" collapsed="false">
      <c r="A35" s="0" t="s">
        <v>83</v>
      </c>
      <c r="B35" s="1" t="n">
        <v>43895</v>
      </c>
    </row>
    <row r="36" customFormat="false" ht="14.25" hidden="false" customHeight="false" outlineLevel="0" collapsed="false">
      <c r="A36" s="0" t="s">
        <v>83</v>
      </c>
      <c r="B36" s="1" t="n">
        <v>43896</v>
      </c>
    </row>
    <row r="37" customFormat="false" ht="15.75" hidden="false" customHeight="false" outlineLevel="0" collapsed="false">
      <c r="A37" s="0" t="s">
        <v>83</v>
      </c>
      <c r="B37" s="1" t="n">
        <v>43897</v>
      </c>
      <c r="C37" s="42" t="n">
        <v>1</v>
      </c>
      <c r="D37" s="43"/>
      <c r="E37" s="42"/>
      <c r="F37" s="42"/>
      <c r="G37" s="42"/>
      <c r="H37" s="44" t="n">
        <v>1</v>
      </c>
    </row>
    <row r="38" customFormat="false" ht="15.75" hidden="false" customHeight="false" outlineLevel="0" collapsed="false">
      <c r="A38" s="0" t="s">
        <v>83</v>
      </c>
      <c r="B38" s="1" t="n">
        <v>43898</v>
      </c>
      <c r="C38" s="6" t="n">
        <v>1</v>
      </c>
      <c r="D38" s="6"/>
      <c r="E38" s="6"/>
      <c r="F38" s="6"/>
      <c r="G38" s="6"/>
      <c r="H38" s="6" t="n">
        <v>1</v>
      </c>
      <c r="I38" s="6"/>
    </row>
    <row r="39" customFormat="false" ht="15.75" hidden="false" customHeight="false" outlineLevel="0" collapsed="false">
      <c r="A39" s="0" t="s">
        <v>83</v>
      </c>
      <c r="B39" s="1" t="n">
        <v>43899</v>
      </c>
      <c r="C39" s="42" t="n">
        <v>1</v>
      </c>
      <c r="D39" s="43"/>
      <c r="E39" s="42"/>
      <c r="F39" s="42"/>
      <c r="G39" s="42"/>
      <c r="H39" s="44" t="n">
        <v>1</v>
      </c>
    </row>
    <row r="40" customFormat="false" ht="15.75" hidden="false" customHeight="false" outlineLevel="0" collapsed="false">
      <c r="A40" s="0" t="s">
        <v>83</v>
      </c>
      <c r="B40" s="1" t="n">
        <v>43900</v>
      </c>
      <c r="C40" s="6" t="n">
        <v>2</v>
      </c>
      <c r="D40" s="40" t="n">
        <v>1</v>
      </c>
      <c r="E40" s="6"/>
      <c r="F40" s="6"/>
      <c r="G40" s="6"/>
      <c r="H40" s="6" t="n">
        <v>2</v>
      </c>
    </row>
    <row r="41" customFormat="false" ht="15.75" hidden="false" customHeight="false" outlineLevel="0" collapsed="false">
      <c r="A41" s="0" t="s">
        <v>83</v>
      </c>
      <c r="B41" s="1" t="n">
        <v>43901</v>
      </c>
      <c r="C41" s="6" t="n">
        <v>2</v>
      </c>
      <c r="D41" s="6"/>
      <c r="E41" s="6"/>
      <c r="F41" s="6"/>
      <c r="G41" s="6"/>
      <c r="H41" s="6" t="n">
        <v>2</v>
      </c>
    </row>
    <row r="42" customFormat="false" ht="15.75" hidden="false" customHeight="false" outlineLevel="0" collapsed="false">
      <c r="A42" s="0" t="s">
        <v>83</v>
      </c>
      <c r="B42" s="1" t="n">
        <v>43902</v>
      </c>
      <c r="C42" s="6" t="n">
        <v>2</v>
      </c>
      <c r="D42" s="6"/>
      <c r="E42" s="6"/>
      <c r="F42" s="6"/>
      <c r="G42" s="6"/>
      <c r="H42" s="6" t="n">
        <v>2</v>
      </c>
    </row>
    <row r="43" customFormat="false" ht="15.75" hidden="false" customHeight="false" outlineLevel="0" collapsed="false">
      <c r="A43" s="0" t="s">
        <v>83</v>
      </c>
      <c r="B43" s="1" t="n">
        <v>43903</v>
      </c>
      <c r="C43" s="6" t="n">
        <v>2</v>
      </c>
      <c r="D43" s="6"/>
      <c r="E43" s="6"/>
      <c r="F43" s="6"/>
      <c r="G43" s="6"/>
      <c r="H43" s="6" t="n">
        <v>2</v>
      </c>
    </row>
    <row r="44" customFormat="false" ht="15.75" hidden="false" customHeight="false" outlineLevel="0" collapsed="false">
      <c r="A44" s="0" t="s">
        <v>83</v>
      </c>
      <c r="B44" s="1" t="n">
        <v>43904</v>
      </c>
      <c r="C44" s="6" t="n">
        <v>2</v>
      </c>
      <c r="D44" s="6"/>
      <c r="E44" s="6"/>
      <c r="F44" s="6"/>
      <c r="G44" s="6"/>
      <c r="H44" s="6" t="n">
        <v>2</v>
      </c>
    </row>
    <row r="45" customFormat="false" ht="15.75" hidden="false" customHeight="false" outlineLevel="0" collapsed="false">
      <c r="A45" s="0" t="s">
        <v>83</v>
      </c>
      <c r="B45" s="1" t="n">
        <v>43905</v>
      </c>
      <c r="C45" s="6" t="n">
        <v>2</v>
      </c>
      <c r="D45" s="6"/>
      <c r="E45" s="6"/>
      <c r="F45" s="6"/>
      <c r="G45" s="6"/>
      <c r="H45" s="6" t="n">
        <v>2</v>
      </c>
    </row>
    <row r="46" customFormat="false" ht="15.75" hidden="false" customHeight="false" outlineLevel="0" collapsed="false">
      <c r="A46" s="0" t="s">
        <v>83</v>
      </c>
      <c r="B46" s="1" t="n">
        <v>43906</v>
      </c>
      <c r="C46" s="6" t="n">
        <v>2</v>
      </c>
      <c r="D46" s="6"/>
      <c r="E46" s="6"/>
      <c r="F46" s="6"/>
      <c r="G46" s="6" t="n">
        <v>1</v>
      </c>
      <c r="H46" s="6" t="n">
        <v>1</v>
      </c>
    </row>
    <row r="47" customFormat="false" ht="15.75" hidden="false" customHeight="false" outlineLevel="0" collapsed="false">
      <c r="A47" s="0" t="s">
        <v>83</v>
      </c>
      <c r="B47" s="1" t="n">
        <v>43907</v>
      </c>
      <c r="C47" s="6" t="n">
        <v>2</v>
      </c>
      <c r="D47" s="6"/>
      <c r="E47" s="6"/>
      <c r="F47" s="6"/>
      <c r="G47" s="6" t="n">
        <v>1</v>
      </c>
      <c r="H47" s="6" t="n">
        <v>1</v>
      </c>
    </row>
    <row r="48" customFormat="false" ht="15.75" hidden="false" customHeight="false" outlineLevel="0" collapsed="false">
      <c r="A48" s="0" t="s">
        <v>83</v>
      </c>
      <c r="B48" s="1" t="n">
        <v>43908</v>
      </c>
      <c r="C48" s="6" t="n">
        <v>3</v>
      </c>
      <c r="D48" s="40" t="n">
        <v>1</v>
      </c>
      <c r="E48" s="6"/>
      <c r="F48" s="6"/>
      <c r="G48" s="6" t="n">
        <v>1</v>
      </c>
      <c r="H48" s="6" t="n">
        <v>2</v>
      </c>
    </row>
    <row r="49" customFormat="false" ht="15.75" hidden="false" customHeight="false" outlineLevel="0" collapsed="false">
      <c r="A49" s="0" t="s">
        <v>83</v>
      </c>
      <c r="B49" s="1" t="n">
        <v>43909</v>
      </c>
      <c r="C49" s="6" t="n">
        <v>8</v>
      </c>
      <c r="D49" s="40" t="n">
        <v>5</v>
      </c>
      <c r="E49" s="6"/>
      <c r="F49" s="6"/>
      <c r="G49" s="6" t="n">
        <v>1</v>
      </c>
      <c r="H49" s="6" t="n">
        <v>7</v>
      </c>
      <c r="I49" s="6"/>
      <c r="J49" s="6" t="n">
        <v>0.04</v>
      </c>
    </row>
    <row r="50" customFormat="false" ht="15.75" hidden="false" customHeight="false" outlineLevel="0" collapsed="false">
      <c r="A50" s="0" t="s">
        <v>83</v>
      </c>
      <c r="B50" s="1" t="n">
        <v>43910</v>
      </c>
      <c r="C50" s="6" t="n">
        <v>12</v>
      </c>
      <c r="D50" s="40" t="n">
        <v>4</v>
      </c>
      <c r="E50" s="6"/>
      <c r="F50" s="6"/>
      <c r="G50" s="6" t="n">
        <v>1</v>
      </c>
      <c r="H50" s="6" t="n">
        <v>11</v>
      </c>
      <c r="I50" s="6"/>
      <c r="J50" s="6" t="n">
        <v>0.06</v>
      </c>
    </row>
    <row r="51" customFormat="false" ht="15.75" hidden="false" customHeight="false" outlineLevel="0" collapsed="false">
      <c r="A51" s="0" t="s">
        <v>83</v>
      </c>
      <c r="B51" s="1" t="n">
        <v>43911</v>
      </c>
      <c r="C51" s="6" t="n">
        <v>12</v>
      </c>
      <c r="D51" s="6"/>
      <c r="E51" s="6"/>
      <c r="F51" s="6"/>
      <c r="G51" s="6" t="n">
        <v>1</v>
      </c>
      <c r="H51" s="6" t="n">
        <v>11</v>
      </c>
      <c r="I51" s="6"/>
      <c r="J51" s="6" t="n">
        <v>0.06</v>
      </c>
    </row>
    <row r="52" customFormat="false" ht="15.75" hidden="false" customHeight="false" outlineLevel="0" collapsed="false">
      <c r="A52" s="0" t="s">
        <v>83</v>
      </c>
      <c r="B52" s="1" t="n">
        <v>43912</v>
      </c>
      <c r="C52" s="6" t="n">
        <v>22</v>
      </c>
      <c r="D52" s="40" t="n">
        <v>10</v>
      </c>
      <c r="E52" s="6"/>
      <c r="F52" s="6"/>
      <c r="G52" s="6" t="n">
        <v>1</v>
      </c>
      <c r="H52" s="6" t="n">
        <v>21</v>
      </c>
      <c r="I52" s="6"/>
      <c r="J52" s="6" t="n">
        <v>0.1</v>
      </c>
    </row>
    <row r="53" customFormat="false" ht="15.75" hidden="false" customHeight="false" outlineLevel="0" collapsed="false">
      <c r="A53" s="0" t="s">
        <v>83</v>
      </c>
      <c r="B53" s="1" t="n">
        <v>43913</v>
      </c>
      <c r="C53" s="6" t="n">
        <v>30</v>
      </c>
      <c r="D53" s="40" t="n">
        <v>8</v>
      </c>
      <c r="E53" s="6"/>
      <c r="F53" s="6"/>
      <c r="G53" s="6" t="n">
        <v>2</v>
      </c>
      <c r="H53" s="6" t="n">
        <v>28</v>
      </c>
      <c r="I53" s="6"/>
      <c r="J53" s="6" t="n">
        <v>0.1</v>
      </c>
    </row>
    <row r="54" customFormat="false" ht="15.75" hidden="false" customHeight="false" outlineLevel="0" collapsed="false">
      <c r="A54" s="0" t="s">
        <v>83</v>
      </c>
      <c r="B54" s="1" t="n">
        <v>43914</v>
      </c>
      <c r="C54" s="6" t="n">
        <v>40</v>
      </c>
      <c r="D54" s="40" t="n">
        <v>10</v>
      </c>
      <c r="E54" s="6" t="n">
        <v>1</v>
      </c>
      <c r="F54" s="41" t="n">
        <v>1</v>
      </c>
      <c r="G54" s="6" t="n">
        <v>2</v>
      </c>
      <c r="H54" s="6" t="n">
        <v>37</v>
      </c>
      <c r="I54" s="6"/>
      <c r="J54" s="6" t="n">
        <v>0.2</v>
      </c>
    </row>
    <row r="55" customFormat="false" ht="15.75" hidden="false" customHeight="false" outlineLevel="0" collapsed="false">
      <c r="A55" s="0" t="s">
        <v>83</v>
      </c>
      <c r="B55" s="1" t="n">
        <v>43915</v>
      </c>
      <c r="C55" s="6" t="n">
        <v>44</v>
      </c>
      <c r="D55" s="40" t="n">
        <v>4</v>
      </c>
      <c r="E55" s="6" t="n">
        <v>1</v>
      </c>
      <c r="F55" s="6"/>
      <c r="G55" s="6" t="n">
        <v>2</v>
      </c>
      <c r="H55" s="6" t="n">
        <v>41</v>
      </c>
      <c r="I55" s="6"/>
      <c r="J55" s="6" t="n">
        <v>0.2</v>
      </c>
    </row>
    <row r="56" customFormat="false" ht="15.75" hidden="false" customHeight="false" outlineLevel="0" collapsed="false">
      <c r="A56" s="0" t="s">
        <v>83</v>
      </c>
      <c r="B56" s="1" t="n">
        <v>43916</v>
      </c>
      <c r="C56" s="6" t="n">
        <v>46</v>
      </c>
      <c r="D56" s="40" t="n">
        <v>2</v>
      </c>
      <c r="E56" s="6" t="n">
        <v>1</v>
      </c>
      <c r="F56" s="6"/>
      <c r="G56" s="6" t="n">
        <v>2</v>
      </c>
      <c r="H56" s="6" t="n">
        <v>43</v>
      </c>
      <c r="I56" s="6"/>
      <c r="J56" s="6" t="n">
        <v>0.2</v>
      </c>
    </row>
    <row r="57" customFormat="false" ht="14.25" hidden="false" customHeight="false" outlineLevel="0" collapsed="false">
      <c r="A57" s="0" t="s">
        <v>83</v>
      </c>
      <c r="B57" s="1" t="n">
        <v>43917</v>
      </c>
      <c r="C57" s="0" t="n">
        <v>65</v>
      </c>
      <c r="D57" s="0" t="n">
        <v>14</v>
      </c>
      <c r="E57" s="0" t="n">
        <v>1</v>
      </c>
      <c r="G57" s="0" t="n">
        <v>2</v>
      </c>
      <c r="H57" s="0" t="n">
        <v>62</v>
      </c>
      <c r="J57" s="0" t="n">
        <v>0.3</v>
      </c>
    </row>
    <row r="58" customFormat="false" ht="15.75" hidden="false" customHeight="false" outlineLevel="0" collapsed="false">
      <c r="A58" s="0" t="s">
        <v>83</v>
      </c>
      <c r="B58" s="1" t="n">
        <v>43918</v>
      </c>
      <c r="C58" s="6" t="n">
        <v>70</v>
      </c>
      <c r="D58" s="40" t="n">
        <v>5</v>
      </c>
      <c r="E58" s="6" t="n">
        <v>1</v>
      </c>
      <c r="F58" s="6"/>
      <c r="G58" s="6" t="n">
        <v>3</v>
      </c>
      <c r="H58" s="6" t="n">
        <v>66</v>
      </c>
      <c r="I58" s="6"/>
      <c r="J58" s="6" t="n">
        <v>0.3</v>
      </c>
    </row>
    <row r="59" customFormat="false" ht="15.75" hidden="false" customHeight="false" outlineLevel="0" collapsed="false">
      <c r="A59" s="0" t="s">
        <v>83</v>
      </c>
      <c r="B59" s="1" t="n">
        <v>43919</v>
      </c>
      <c r="C59" s="6" t="n">
        <v>89</v>
      </c>
      <c r="D59" s="40" t="n">
        <v>19</v>
      </c>
      <c r="E59" s="6" t="n">
        <v>1</v>
      </c>
      <c r="F59" s="6"/>
      <c r="G59" s="6" t="n">
        <v>3</v>
      </c>
      <c r="H59" s="6" t="n">
        <v>85</v>
      </c>
      <c r="I59" s="6"/>
      <c r="J59" s="6" t="n">
        <v>0.4</v>
      </c>
    </row>
    <row r="60" customFormat="false" ht="15.75" hidden="false" customHeight="false" outlineLevel="0" collapsed="false">
      <c r="A60" s="0" t="s">
        <v>83</v>
      </c>
      <c r="B60" s="1" t="n">
        <v>43920</v>
      </c>
      <c r="C60" s="6" t="n">
        <v>111</v>
      </c>
      <c r="D60" s="40" t="n">
        <v>14</v>
      </c>
      <c r="E60" s="6" t="n">
        <v>1</v>
      </c>
      <c r="F60" s="6"/>
      <c r="G60" s="6" t="n">
        <v>3</v>
      </c>
      <c r="H60" s="6" t="n">
        <v>107</v>
      </c>
      <c r="I60" s="6"/>
      <c r="J60" s="6" t="n">
        <v>0.5</v>
      </c>
    </row>
    <row r="61" customFormat="false" ht="15.75" hidden="false" customHeight="false" outlineLevel="0" collapsed="false">
      <c r="A61" s="0" t="s">
        <v>83</v>
      </c>
      <c r="B61" s="1" t="n">
        <v>43921</v>
      </c>
      <c r="C61" s="6" t="n">
        <v>131</v>
      </c>
      <c r="D61" s="40" t="n">
        <v>20</v>
      </c>
      <c r="E61" s="6" t="n">
        <v>2</v>
      </c>
      <c r="F61" s="41" t="n">
        <v>1</v>
      </c>
      <c r="G61" s="6" t="n">
        <v>8</v>
      </c>
      <c r="H61" s="6" t="n">
        <v>121</v>
      </c>
      <c r="I61" s="6"/>
      <c r="J61" s="6" t="n">
        <v>0.6</v>
      </c>
      <c r="K61" s="6" t="n">
        <v>0.01</v>
      </c>
    </row>
    <row r="62" customFormat="false" ht="15.75" hidden="false" customHeight="false" outlineLevel="0" collapsed="false">
      <c r="A62" s="0" t="s">
        <v>83</v>
      </c>
      <c r="B62" s="1" t="n">
        <v>43922</v>
      </c>
      <c r="C62" s="6" t="n">
        <v>135</v>
      </c>
      <c r="D62" s="40" t="n">
        <v>4</v>
      </c>
      <c r="E62" s="6" t="n">
        <v>2</v>
      </c>
      <c r="F62" s="6"/>
      <c r="G62" s="6" t="n">
        <v>8</v>
      </c>
      <c r="H62" s="6" t="n">
        <v>125</v>
      </c>
      <c r="I62" s="6"/>
      <c r="J62" s="6" t="n">
        <v>0.7</v>
      </c>
      <c r="K62" s="6" t="n">
        <v>0.01</v>
      </c>
    </row>
    <row r="63" customFormat="false" ht="15.75" hidden="false" customHeight="false" outlineLevel="0" collapsed="false">
      <c r="A63" s="0" t="s">
        <v>83</v>
      </c>
      <c r="B63" s="1" t="n">
        <v>43923</v>
      </c>
      <c r="C63" s="6" t="n">
        <v>174</v>
      </c>
      <c r="D63" s="40" t="n">
        <v>39</v>
      </c>
      <c r="E63" s="6" t="n">
        <v>2</v>
      </c>
      <c r="F63" s="6"/>
      <c r="G63" s="6" t="n">
        <v>9</v>
      </c>
      <c r="H63" s="6" t="n">
        <v>163</v>
      </c>
      <c r="I63" s="6"/>
      <c r="J63" s="6" t="n">
        <v>0.8</v>
      </c>
      <c r="K63" s="6" t="n">
        <v>0.01</v>
      </c>
    </row>
    <row r="64" customFormat="false" ht="15.75" hidden="false" customHeight="false" outlineLevel="0" collapsed="false">
      <c r="A64" s="0" t="s">
        <v>83</v>
      </c>
      <c r="B64" s="1" t="n">
        <v>43924</v>
      </c>
      <c r="C64" s="6" t="n">
        <v>184</v>
      </c>
      <c r="D64" s="40" t="n">
        <v>10</v>
      </c>
      <c r="E64" s="6" t="n">
        <v>2</v>
      </c>
      <c r="F64" s="6"/>
      <c r="G64" s="6" t="n">
        <v>20</v>
      </c>
      <c r="H64" s="6" t="n">
        <v>162</v>
      </c>
      <c r="I64" s="6"/>
      <c r="J64" s="6" t="n">
        <v>0.9</v>
      </c>
      <c r="K64" s="6" t="n">
        <v>0.01</v>
      </c>
    </row>
    <row r="65" customFormat="false" ht="15.75" hidden="false" customHeight="false" outlineLevel="0" collapsed="false">
      <c r="A65" s="0" t="s">
        <v>83</v>
      </c>
      <c r="B65" s="1" t="n">
        <v>43925</v>
      </c>
      <c r="C65" s="6" t="n">
        <v>210</v>
      </c>
      <c r="D65" s="40" t="n">
        <v>26</v>
      </c>
      <c r="E65" s="6" t="n">
        <v>4</v>
      </c>
      <c r="F65" s="41" t="n">
        <v>2</v>
      </c>
      <c r="G65" s="6" t="n">
        <v>25</v>
      </c>
      <c r="H65" s="6" t="n">
        <v>181</v>
      </c>
      <c r="I65" s="6"/>
      <c r="J65" s="6" t="n">
        <v>1</v>
      </c>
      <c r="K65" s="6" t="n">
        <v>0.02</v>
      </c>
    </row>
    <row r="66" customFormat="false" ht="15.75" hidden="false" customHeight="false" outlineLevel="0" collapsed="false">
      <c r="A66" s="0" t="s">
        <v>83</v>
      </c>
      <c r="B66" s="1" t="n">
        <v>43926</v>
      </c>
      <c r="C66" s="6" t="n">
        <v>214</v>
      </c>
      <c r="D66" s="40" t="n">
        <v>4</v>
      </c>
      <c r="E66" s="6" t="n">
        <v>4</v>
      </c>
      <c r="F66" s="6"/>
      <c r="G66" s="6" t="n">
        <v>25</v>
      </c>
      <c r="H66" s="6" t="n">
        <v>185</v>
      </c>
      <c r="I66" s="6" t="n">
        <v>2</v>
      </c>
      <c r="J66" s="6" t="n">
        <v>1</v>
      </c>
      <c r="K66" s="6" t="n">
        <v>0.02</v>
      </c>
      <c r="L66" s="7" t="n">
        <v>4000</v>
      </c>
      <c r="M66" s="6" t="n">
        <v>19</v>
      </c>
    </row>
    <row r="67" customFormat="false" ht="15.75" hidden="false" customHeight="false" outlineLevel="0" collapsed="false">
      <c r="A67" s="0" t="s">
        <v>83</v>
      </c>
      <c r="B67" s="1" t="n">
        <v>43927</v>
      </c>
      <c r="C67" s="6" t="n">
        <v>232</v>
      </c>
      <c r="D67" s="40" t="n">
        <v>18</v>
      </c>
      <c r="E67" s="6" t="n">
        <v>5</v>
      </c>
      <c r="F67" s="41" t="n">
        <v>1</v>
      </c>
      <c r="G67" s="6" t="n">
        <v>33</v>
      </c>
      <c r="H67" s="6" t="n">
        <v>194</v>
      </c>
      <c r="I67" s="6" t="n">
        <v>2</v>
      </c>
      <c r="J67" s="6" t="n">
        <v>1</v>
      </c>
      <c r="K67" s="6" t="n">
        <v>0.02</v>
      </c>
      <c r="L67" s="7" t="n">
        <v>4000</v>
      </c>
      <c r="M67" s="6" t="n">
        <v>19</v>
      </c>
    </row>
    <row r="68" customFormat="false" ht="15.75" hidden="false" customHeight="false" outlineLevel="0" collapsed="false">
      <c r="A68" s="0" t="s">
        <v>83</v>
      </c>
      <c r="B68" s="1" t="n">
        <v>43928</v>
      </c>
      <c r="C68" s="6" t="n">
        <v>238</v>
      </c>
      <c r="D68" s="40" t="n">
        <v>6</v>
      </c>
      <c r="E68" s="6" t="n">
        <v>5</v>
      </c>
      <c r="F68" s="6"/>
      <c r="G68" s="6" t="n">
        <v>35</v>
      </c>
      <c r="H68" s="6" t="n">
        <v>198</v>
      </c>
      <c r="I68" s="6" t="n">
        <v>2</v>
      </c>
      <c r="J68" s="6" t="n">
        <v>1</v>
      </c>
      <c r="K68" s="6" t="n">
        <v>0.02</v>
      </c>
      <c r="L68" s="7" t="n">
        <v>5000</v>
      </c>
      <c r="M68" s="6" t="n">
        <v>24</v>
      </c>
    </row>
    <row r="69" customFormat="false" ht="15.75" hidden="false" customHeight="false" outlineLevel="0" collapsed="false">
      <c r="A69" s="0" t="s">
        <v>83</v>
      </c>
      <c r="B69" s="1" t="n">
        <v>43929</v>
      </c>
      <c r="C69" s="6" t="n">
        <v>254</v>
      </c>
      <c r="D69" s="40" t="n">
        <v>16</v>
      </c>
      <c r="E69" s="6" t="n">
        <v>6</v>
      </c>
      <c r="F69" s="41" t="n">
        <v>1</v>
      </c>
      <c r="G69" s="6" t="n">
        <v>44</v>
      </c>
      <c r="H69" s="6" t="n">
        <v>204</v>
      </c>
      <c r="I69" s="6" t="n">
        <v>2</v>
      </c>
      <c r="J69" s="6" t="n">
        <v>1</v>
      </c>
      <c r="K69" s="6" t="n">
        <v>0.03</v>
      </c>
      <c r="L69" s="7" t="n">
        <v>5000</v>
      </c>
      <c r="M69" s="6" t="n">
        <v>24</v>
      </c>
    </row>
    <row r="70" customFormat="false" ht="15.75" hidden="false" customHeight="false" outlineLevel="0" collapsed="false">
      <c r="A70" s="0" t="s">
        <v>83</v>
      </c>
      <c r="B70" s="1" t="n">
        <v>43930</v>
      </c>
      <c r="C70" s="6" t="n">
        <v>276</v>
      </c>
      <c r="D70" s="40" t="n">
        <v>22</v>
      </c>
      <c r="E70" s="6" t="n">
        <v>6</v>
      </c>
      <c r="F70" s="6"/>
      <c r="G70" s="6" t="n">
        <v>44</v>
      </c>
      <c r="H70" s="6" t="n">
        <v>226</v>
      </c>
      <c r="I70" s="6" t="n">
        <v>2</v>
      </c>
      <c r="J70" s="6" t="n">
        <v>1</v>
      </c>
      <c r="K70" s="6" t="n">
        <v>0.03</v>
      </c>
      <c r="L70" s="7" t="n">
        <v>5000</v>
      </c>
      <c r="M70" s="6" t="n">
        <v>24</v>
      </c>
    </row>
    <row r="71" customFormat="false" ht="15.75" hidden="false" customHeight="false" outlineLevel="0" collapsed="false">
      <c r="A71" s="0" t="s">
        <v>83</v>
      </c>
      <c r="B71" s="1" t="n">
        <v>43931</v>
      </c>
      <c r="C71" s="6" t="n">
        <v>276</v>
      </c>
      <c r="D71" s="6"/>
      <c r="E71" s="6" t="n">
        <v>6</v>
      </c>
      <c r="F71" s="6"/>
      <c r="G71" s="6" t="n">
        <v>44</v>
      </c>
      <c r="H71" s="6" t="n">
        <v>226</v>
      </c>
      <c r="I71" s="6" t="n">
        <v>2</v>
      </c>
      <c r="J71" s="6" t="n">
        <v>1</v>
      </c>
      <c r="K71" s="6" t="n">
        <v>0.03</v>
      </c>
      <c r="L71" s="7" t="n">
        <v>5000</v>
      </c>
      <c r="M71" s="6" t="n">
        <v>24</v>
      </c>
    </row>
    <row r="72" customFormat="false" ht="15.75" hidden="false" customHeight="false" outlineLevel="0" collapsed="false">
      <c r="A72" s="0" t="s">
        <v>83</v>
      </c>
      <c r="B72" s="1" t="n">
        <v>43932</v>
      </c>
      <c r="C72" s="6" t="n">
        <v>288</v>
      </c>
      <c r="D72" s="6"/>
      <c r="E72" s="6" t="n">
        <v>7</v>
      </c>
      <c r="F72" s="6"/>
      <c r="G72" s="6" t="n">
        <v>51</v>
      </c>
      <c r="H72" s="6" t="n">
        <v>230</v>
      </c>
      <c r="I72" s="6" t="n">
        <v>2</v>
      </c>
      <c r="J72" s="6" t="n">
        <v>1</v>
      </c>
      <c r="K72" s="6" t="n">
        <v>0.03</v>
      </c>
      <c r="L72" s="7" t="n">
        <v>5000</v>
      </c>
      <c r="M72" s="6" t="n">
        <v>24</v>
      </c>
    </row>
    <row r="73" customFormat="false" ht="15.75" hidden="false" customHeight="false" outlineLevel="0" collapsed="false">
      <c r="A73" s="0" t="s">
        <v>83</v>
      </c>
      <c r="B73" s="1" t="n">
        <v>43933</v>
      </c>
      <c r="C73" s="6" t="n">
        <v>318</v>
      </c>
      <c r="D73" s="40" t="n">
        <v>13</v>
      </c>
      <c r="E73" s="6" t="n">
        <v>10</v>
      </c>
      <c r="F73" s="41" t="n">
        <v>3</v>
      </c>
      <c r="G73" s="6" t="n">
        <v>70</v>
      </c>
      <c r="H73" s="6" t="n">
        <v>238</v>
      </c>
      <c r="I73" s="6" t="n">
        <v>2</v>
      </c>
      <c r="J73" s="6" t="n">
        <v>2</v>
      </c>
      <c r="K73" s="6" t="n">
        <v>0.05</v>
      </c>
      <c r="L73" s="7" t="n">
        <v>5000</v>
      </c>
      <c r="M73" s="6" t="n">
        <v>24</v>
      </c>
    </row>
    <row r="74" customFormat="false" ht="15.75" hidden="false" customHeight="false" outlineLevel="0" collapsed="false">
      <c r="A74" s="0" t="s">
        <v>83</v>
      </c>
      <c r="B74" s="1" t="n">
        <v>43934</v>
      </c>
      <c r="C74" s="6" t="n">
        <v>323</v>
      </c>
      <c r="D74" s="40" t="n">
        <v>5</v>
      </c>
      <c r="E74" s="6" t="n">
        <v>10</v>
      </c>
      <c r="F74" s="6"/>
      <c r="G74" s="6" t="n">
        <v>85</v>
      </c>
      <c r="H74" s="6" t="n">
        <v>228</v>
      </c>
      <c r="I74" s="6" t="n">
        <v>2</v>
      </c>
      <c r="J74" s="6" t="n">
        <v>2</v>
      </c>
      <c r="K74" s="6" t="n">
        <v>0.05</v>
      </c>
      <c r="L74" s="7" t="n">
        <v>5000</v>
      </c>
      <c r="M74" s="6" t="n">
        <v>24</v>
      </c>
    </row>
    <row r="75" customFormat="false" ht="14.25" hidden="false" customHeight="false" outlineLevel="0" collapsed="false">
      <c r="A75" s="0" t="s">
        <v>83</v>
      </c>
      <c r="B75" s="1" t="n">
        <v>43935</v>
      </c>
      <c r="C75" s="45" t="n">
        <v>343</v>
      </c>
      <c r="D75" s="46" t="n">
        <v>20</v>
      </c>
      <c r="E75" s="45" t="n">
        <v>10</v>
      </c>
      <c r="F75" s="45"/>
      <c r="G75" s="45" t="n">
        <v>91</v>
      </c>
      <c r="H75" s="45" t="n">
        <v>242</v>
      </c>
      <c r="I75" s="45" t="n">
        <v>2</v>
      </c>
      <c r="J75" s="45" t="n">
        <v>2</v>
      </c>
      <c r="K75" s="45" t="n">
        <v>0.05</v>
      </c>
      <c r="L75" s="47" t="n">
        <v>5000</v>
      </c>
      <c r="M75" s="45" t="n">
        <v>24</v>
      </c>
    </row>
    <row r="76" customFormat="false" ht="13.5" hidden="false" customHeight="false" outlineLevel="0" collapsed="false">
      <c r="A76" s="0" t="s">
        <v>83</v>
      </c>
      <c r="B76" s="1" t="n">
        <v>43936</v>
      </c>
      <c r="C76" s="2" t="n">
        <v>362</v>
      </c>
      <c r="D76" s="2" t="n">
        <v>19</v>
      </c>
      <c r="E76" s="2" t="n">
        <v>11</v>
      </c>
      <c r="F76" s="2" t="n">
        <v>1</v>
      </c>
      <c r="G76" s="2" t="n">
        <v>99</v>
      </c>
      <c r="H76" s="2" t="n">
        <v>252</v>
      </c>
      <c r="I76" s="2" t="n">
        <v>2</v>
      </c>
      <c r="J76" s="2" t="n">
        <v>2</v>
      </c>
      <c r="K76" s="2" t="n">
        <v>0.05</v>
      </c>
      <c r="L76" s="2" t="n">
        <v>5000</v>
      </c>
      <c r="M76" s="2" t="n">
        <v>24</v>
      </c>
    </row>
    <row r="77" customFormat="false" ht="13.5" hidden="false" customHeight="false" outlineLevel="0" collapsed="false">
      <c r="A77" s="0" t="s">
        <v>83</v>
      </c>
      <c r="B77" s="1" t="n">
        <v>43937</v>
      </c>
      <c r="C77" s="0" t="n">
        <v>373</v>
      </c>
      <c r="D77" s="0" t="n">
        <v>11</v>
      </c>
      <c r="E77" s="0" t="n">
        <v>11</v>
      </c>
      <c r="F77" s="0" t="n">
        <v>0</v>
      </c>
      <c r="G77" s="0" t="n">
        <v>99</v>
      </c>
      <c r="H77" s="0" t="n">
        <v>263</v>
      </c>
      <c r="I77" s="0" t="n">
        <v>2</v>
      </c>
      <c r="J77" s="0" t="n">
        <v>2</v>
      </c>
      <c r="K77" s="0" t="n">
        <v>0.05</v>
      </c>
      <c r="L77" s="0" t="n">
        <v>5000</v>
      </c>
      <c r="M77" s="0" t="n">
        <v>24</v>
      </c>
    </row>
    <row r="78" customFormat="false" ht="13.5" hidden="false" customHeight="false" outlineLevel="0" collapsed="false">
      <c r="A78" s="0" t="s">
        <v>83</v>
      </c>
      <c r="B78" s="1" t="n">
        <v>43938</v>
      </c>
      <c r="C78" s="2" t="n">
        <v>442</v>
      </c>
      <c r="D78" s="2" t="n">
        <v>69</v>
      </c>
      <c r="E78" s="2" t="n">
        <v>13</v>
      </c>
      <c r="F78" s="2" t="n">
        <v>2</v>
      </c>
      <c r="G78" s="2" t="n">
        <v>152</v>
      </c>
      <c r="H78" s="2" t="n">
        <v>277</v>
      </c>
      <c r="I78" s="2" t="n">
        <v>2</v>
      </c>
      <c r="J78" s="2" t="n">
        <v>2</v>
      </c>
      <c r="K78" s="2" t="n">
        <v>0.06</v>
      </c>
      <c r="L78" s="2" t="n">
        <v>5000</v>
      </c>
      <c r="M78" s="2" t="n">
        <v>24</v>
      </c>
    </row>
    <row r="79" customFormat="false" ht="13.5" hidden="false" customHeight="false" outlineLevel="0" collapsed="false">
      <c r="A79" s="0" t="s">
        <v>83</v>
      </c>
      <c r="B79" s="1" t="n">
        <v>43939</v>
      </c>
      <c r="C79" s="2" t="n">
        <v>493</v>
      </c>
      <c r="D79" s="2" t="n">
        <v>51</v>
      </c>
      <c r="E79" s="2" t="n">
        <v>17</v>
      </c>
      <c r="F79" s="2" t="n">
        <v>4</v>
      </c>
      <c r="G79" s="2" t="n">
        <v>159</v>
      </c>
      <c r="H79" s="2" t="n">
        <v>317</v>
      </c>
      <c r="I79" s="2" t="n">
        <v>2</v>
      </c>
      <c r="J79" s="2" t="n">
        <v>2</v>
      </c>
      <c r="K79" s="2" t="n">
        <v>0.08</v>
      </c>
      <c r="L79" s="2" t="n">
        <v>7153</v>
      </c>
      <c r="M79" s="2" t="n">
        <v>35</v>
      </c>
    </row>
    <row r="80" customFormat="false" ht="13.5" hidden="false" customHeight="false" outlineLevel="0" collapsed="false">
      <c r="A80" s="0" t="s">
        <v>83</v>
      </c>
      <c r="B80" s="1" t="n">
        <v>43940</v>
      </c>
      <c r="C80" s="0" t="n">
        <v>493</v>
      </c>
      <c r="D80" s="0" t="n">
        <v>0</v>
      </c>
      <c r="E80" s="0" t="n">
        <v>17</v>
      </c>
      <c r="F80" s="0" t="n">
        <v>0</v>
      </c>
      <c r="G80" s="0" t="n">
        <v>159</v>
      </c>
      <c r="H80" s="0" t="n">
        <v>317</v>
      </c>
      <c r="I80" s="0" t="n">
        <v>2</v>
      </c>
      <c r="J80" s="0" t="n">
        <v>2</v>
      </c>
      <c r="K80" s="0" t="n">
        <v>0.08</v>
      </c>
      <c r="L80" s="0" t="n">
        <v>7153</v>
      </c>
      <c r="M80" s="0" t="n">
        <v>35</v>
      </c>
    </row>
    <row r="81" customFormat="false" ht="13.5" hidden="false" customHeight="false" outlineLevel="0" collapsed="false">
      <c r="A81" s="0" t="s">
        <v>83</v>
      </c>
      <c r="B81" s="1" t="n">
        <v>43941</v>
      </c>
      <c r="C81" s="0" t="n">
        <v>541</v>
      </c>
      <c r="D81" s="0" t="n">
        <v>48</v>
      </c>
      <c r="E81" s="0" t="n">
        <v>19</v>
      </c>
      <c r="F81" s="0" t="n">
        <v>2</v>
      </c>
      <c r="G81" s="0" t="n">
        <v>166</v>
      </c>
      <c r="H81" s="0" t="n">
        <v>356</v>
      </c>
      <c r="I81" s="0" t="n">
        <v>2</v>
      </c>
      <c r="J81" s="0" t="n">
        <v>3</v>
      </c>
      <c r="K81" s="0" t="n">
        <v>0.09</v>
      </c>
      <c r="L81" s="0" t="n">
        <v>7153</v>
      </c>
      <c r="M81" s="0" t="n">
        <v>35</v>
      </c>
    </row>
    <row r="82" customFormat="false" ht="13.5" hidden="false" customHeight="false" outlineLevel="0" collapsed="false">
      <c r="A82" s="0" t="s">
        <v>83</v>
      </c>
      <c r="B82" s="1" t="n">
        <v>43942</v>
      </c>
      <c r="C82" s="0" t="n">
        <v>627</v>
      </c>
      <c r="D82" s="0" t="n">
        <v>86</v>
      </c>
      <c r="E82" s="0" t="n">
        <v>21</v>
      </c>
      <c r="F82" s="0" t="n">
        <v>2</v>
      </c>
      <c r="G82" s="0" t="n">
        <v>170</v>
      </c>
      <c r="H82" s="0" t="n">
        <v>436</v>
      </c>
      <c r="I82" s="0" t="n">
        <v>2</v>
      </c>
      <c r="J82" s="0" t="n">
        <v>3</v>
      </c>
      <c r="K82" s="0" t="n">
        <v>0.1</v>
      </c>
      <c r="L82" s="0" t="n">
        <v>7153</v>
      </c>
      <c r="M82" s="0" t="n">
        <v>35</v>
      </c>
    </row>
    <row r="83" customFormat="false" ht="13.5" hidden="false" customHeight="false" outlineLevel="0" collapsed="false">
      <c r="A83" s="0" t="s">
        <v>83</v>
      </c>
      <c r="B83" s="1" t="n">
        <v>43943</v>
      </c>
      <c r="C83" s="0" t="n">
        <v>665</v>
      </c>
      <c r="D83" s="0" t="n">
        <v>38</v>
      </c>
      <c r="E83" s="0" t="n">
        <v>22</v>
      </c>
      <c r="F83" s="0" t="n">
        <v>1</v>
      </c>
      <c r="G83" s="0" t="n">
        <v>188</v>
      </c>
      <c r="H83" s="0" t="n">
        <v>455</v>
      </c>
      <c r="I83" s="0" t="n">
        <v>2</v>
      </c>
      <c r="J83" s="0" t="n">
        <v>3</v>
      </c>
      <c r="K83" s="0" t="n">
        <v>0.1</v>
      </c>
      <c r="L83" s="0" t="n">
        <v>8003</v>
      </c>
      <c r="M83" s="0" t="n">
        <v>39</v>
      </c>
    </row>
    <row r="84" customFormat="false" ht="13.5" hidden="false" customHeight="false" outlineLevel="0" collapsed="false">
      <c r="A84" s="0" t="s">
        <v>83</v>
      </c>
      <c r="B84" s="1" t="n">
        <v>43944</v>
      </c>
      <c r="C84" s="0" t="n">
        <v>782</v>
      </c>
      <c r="D84" s="0" t="n">
        <v>117</v>
      </c>
      <c r="E84" s="0" t="n">
        <v>25</v>
      </c>
      <c r="F84" s="0" t="n">
        <v>3</v>
      </c>
      <c r="G84" s="0" t="n">
        <v>197</v>
      </c>
      <c r="H84" s="0" t="n">
        <v>560</v>
      </c>
      <c r="I84" s="0" t="n">
        <v>2</v>
      </c>
      <c r="J84" s="0" t="n">
        <v>4</v>
      </c>
      <c r="K84" s="0" t="n">
        <v>0.1</v>
      </c>
      <c r="L84" s="0" t="n">
        <v>8003</v>
      </c>
      <c r="M84" s="0" t="n">
        <v>39</v>
      </c>
    </row>
    <row r="85" customFormat="false" ht="13.5" hidden="false" customHeight="false" outlineLevel="0" collapsed="false">
      <c r="A85" s="0" t="s">
        <v>83</v>
      </c>
      <c r="B85" s="1" t="n">
        <v>43945</v>
      </c>
      <c r="C85" s="0" t="n">
        <v>873</v>
      </c>
      <c r="D85" s="0" t="n">
        <v>91</v>
      </c>
      <c r="E85" s="0" t="n">
        <v>28</v>
      </c>
      <c r="F85" s="0" t="n">
        <v>3</v>
      </c>
      <c r="G85" s="0" t="n">
        <v>197</v>
      </c>
      <c r="H85" s="0" t="n">
        <v>648</v>
      </c>
      <c r="I85" s="0" t="n">
        <v>2</v>
      </c>
      <c r="J85" s="0" t="n">
        <v>4</v>
      </c>
      <c r="K85" s="0" t="n">
        <v>0.1</v>
      </c>
      <c r="L85" s="0" t="n">
        <v>8003</v>
      </c>
      <c r="M85" s="0" t="n">
        <v>39</v>
      </c>
    </row>
    <row r="86" customFormat="false" ht="13.5" hidden="false" customHeight="false" outlineLevel="0" collapsed="false">
      <c r="A86" s="0" t="s">
        <v>83</v>
      </c>
      <c r="B86" s="1" t="n">
        <v>43946</v>
      </c>
      <c r="C86" s="0" t="n">
        <v>981</v>
      </c>
      <c r="D86" s="0" t="n">
        <v>108</v>
      </c>
      <c r="E86" s="0" t="n">
        <v>31</v>
      </c>
      <c r="F86" s="0" t="n">
        <v>3</v>
      </c>
      <c r="G86" s="0" t="n">
        <v>197</v>
      </c>
      <c r="H86" s="0" t="n">
        <v>753</v>
      </c>
      <c r="I86" s="0" t="n">
        <v>2</v>
      </c>
      <c r="J86" s="0" t="n">
        <v>5</v>
      </c>
      <c r="K86" s="0" t="n">
        <v>0.2</v>
      </c>
      <c r="L86" s="0" t="n">
        <v>8003</v>
      </c>
      <c r="M86" s="0" t="n">
        <v>39</v>
      </c>
    </row>
    <row r="87" customFormat="false" ht="13.5" hidden="false" customHeight="false" outlineLevel="0" collapsed="false">
      <c r="A87" s="0" t="s">
        <v>83</v>
      </c>
      <c r="B87" s="1" t="n">
        <v>43947</v>
      </c>
      <c r="C87" s="0" t="n">
        <v>1095</v>
      </c>
      <c r="D87" s="0" t="n">
        <v>114</v>
      </c>
      <c r="E87" s="0" t="n">
        <v>32</v>
      </c>
      <c r="F87" s="0" t="n">
        <v>1</v>
      </c>
      <c r="G87" s="0" t="n">
        <v>208</v>
      </c>
      <c r="H87" s="0" t="n">
        <v>855</v>
      </c>
      <c r="I87" s="0" t="n">
        <v>2</v>
      </c>
      <c r="J87" s="0" t="n">
        <v>5</v>
      </c>
      <c r="K87" s="0" t="n">
        <v>0.2</v>
      </c>
      <c r="L87" s="0" t="n">
        <v>10061</v>
      </c>
      <c r="M87" s="0" t="n">
        <v>49</v>
      </c>
    </row>
    <row r="88" customFormat="false" ht="13.5" hidden="false" customHeight="false" outlineLevel="0" collapsed="false">
      <c r="A88" s="0" t="s">
        <v>83</v>
      </c>
      <c r="B88" s="1" t="n">
        <v>43948</v>
      </c>
      <c r="C88" s="0" t="n">
        <v>1182</v>
      </c>
      <c r="D88" s="0" t="n">
        <v>87</v>
      </c>
      <c r="E88" s="0" t="n">
        <v>35</v>
      </c>
      <c r="F88" s="0" t="n">
        <v>3</v>
      </c>
      <c r="G88" s="0" t="n">
        <v>222</v>
      </c>
      <c r="H88" s="0" t="n">
        <v>925</v>
      </c>
      <c r="I88" s="0" t="n">
        <v>2</v>
      </c>
      <c r="J88" s="0" t="n">
        <v>6</v>
      </c>
      <c r="K88" s="0" t="n">
        <v>0.2</v>
      </c>
      <c r="L88" s="0" t="n">
        <v>10061</v>
      </c>
      <c r="M88" s="0" t="n">
        <v>49</v>
      </c>
    </row>
    <row r="89" customFormat="false" ht="13.5" hidden="false" customHeight="false" outlineLevel="0" collapsed="false">
      <c r="A89" s="0" t="s">
        <v>83</v>
      </c>
      <c r="B89" s="1" t="n">
        <v>43949</v>
      </c>
      <c r="C89" s="0" t="n">
        <v>1273</v>
      </c>
      <c r="D89" s="0" t="n">
        <v>91</v>
      </c>
      <c r="E89" s="0" t="n">
        <v>40</v>
      </c>
      <c r="F89" s="0" t="n">
        <v>5</v>
      </c>
      <c r="G89" s="0" t="n">
        <v>239</v>
      </c>
      <c r="H89" s="0" t="n">
        <v>994</v>
      </c>
      <c r="I89" s="0" t="n">
        <v>2</v>
      </c>
      <c r="J89" s="0" t="n">
        <v>6</v>
      </c>
      <c r="K89" s="0" t="n">
        <v>0.2</v>
      </c>
      <c r="L89" s="0" t="n">
        <v>10918</v>
      </c>
      <c r="M89" s="0" t="n">
        <v>53</v>
      </c>
    </row>
    <row r="90" customFormat="false" ht="13.5" hidden="false" customHeight="false" outlineLevel="0" collapsed="false">
      <c r="A90" s="0" t="s">
        <v>83</v>
      </c>
      <c r="B90" s="1" t="n">
        <v>43950</v>
      </c>
      <c r="C90" s="2" t="n">
        <v>1337</v>
      </c>
      <c r="D90" s="2" t="n">
        <v>64</v>
      </c>
      <c r="E90" s="2" t="n">
        <v>40</v>
      </c>
      <c r="F90" s="2" t="n">
        <v>0</v>
      </c>
      <c r="G90" s="2" t="n">
        <v>255</v>
      </c>
      <c r="H90" s="2" t="n">
        <v>1042</v>
      </c>
      <c r="I90" s="2" t="n">
        <v>2</v>
      </c>
      <c r="J90" s="2" t="n">
        <v>6</v>
      </c>
      <c r="K90" s="2" t="n">
        <v>0.2</v>
      </c>
      <c r="L90" s="2" t="n">
        <v>10918</v>
      </c>
      <c r="M90" s="2" t="n">
        <v>53</v>
      </c>
    </row>
    <row r="91" customFormat="false" ht="13.5" hidden="false" customHeight="false" outlineLevel="0" collapsed="false">
      <c r="A91" s="0" t="s">
        <v>83</v>
      </c>
      <c r="B91" s="1" t="n">
        <v>43951</v>
      </c>
      <c r="C91" s="2" t="n">
        <v>1532</v>
      </c>
      <c r="D91" s="2" t="n">
        <v>195</v>
      </c>
      <c r="E91" s="2" t="n">
        <v>44</v>
      </c>
      <c r="F91" s="2" t="n">
        <v>4</v>
      </c>
      <c r="G91" s="2" t="n">
        <v>255</v>
      </c>
      <c r="H91" s="2" t="n">
        <v>1233</v>
      </c>
      <c r="I91" s="2" t="n">
        <v>2</v>
      </c>
      <c r="J91" s="2" t="n">
        <v>7</v>
      </c>
      <c r="K91" s="2" t="n">
        <v>0.2</v>
      </c>
      <c r="L91" s="2" t="n">
        <v>12828</v>
      </c>
      <c r="M91" s="2" t="n">
        <v>62</v>
      </c>
    </row>
    <row r="92" customFormat="false" ht="13.5" hidden="false" customHeight="false" outlineLevel="0" collapsed="false">
      <c r="A92" s="0" t="s">
        <v>83</v>
      </c>
      <c r="B92" s="1" t="n">
        <v>43952</v>
      </c>
      <c r="C92" s="2" t="n">
        <v>1728</v>
      </c>
      <c r="D92" s="2" t="n">
        <v>196</v>
      </c>
      <c r="E92" s="2" t="n">
        <v>51</v>
      </c>
      <c r="F92" s="2" t="n">
        <v>7</v>
      </c>
      <c r="G92" s="2" t="n">
        <v>307</v>
      </c>
      <c r="H92" s="2" t="n">
        <v>1370</v>
      </c>
      <c r="I92" s="2" t="n">
        <v>2</v>
      </c>
      <c r="J92" s="2" t="n">
        <v>8</v>
      </c>
      <c r="K92" s="2" t="n">
        <v>0.2</v>
      </c>
      <c r="L92" s="2" t="n">
        <v>13689</v>
      </c>
      <c r="M92" s="2" t="n">
        <v>66</v>
      </c>
    </row>
    <row r="93" customFormat="false" ht="13.5" hidden="false" customHeight="false" outlineLevel="0" collapsed="false">
      <c r="A93" s="0" t="s">
        <v>83</v>
      </c>
      <c r="B93" s="1" t="n">
        <v>43953</v>
      </c>
      <c r="C93" s="0" t="n">
        <v>1932</v>
      </c>
      <c r="D93" s="0" t="n">
        <v>204</v>
      </c>
      <c r="E93" s="0" t="n">
        <v>58</v>
      </c>
      <c r="F93" s="0" t="n">
        <v>7</v>
      </c>
      <c r="G93" s="0" t="n">
        <v>319</v>
      </c>
      <c r="H93" s="0" t="n">
        <v>1555</v>
      </c>
      <c r="I93" s="0" t="n">
        <v>2</v>
      </c>
      <c r="J93" s="0" t="n">
        <v>9</v>
      </c>
      <c r="K93" s="0" t="n">
        <v>0.3</v>
      </c>
      <c r="L93" s="0" t="n">
        <v>15759</v>
      </c>
      <c r="M93" s="0" t="n">
        <v>76</v>
      </c>
    </row>
    <row r="94" customFormat="false" ht="13.5" hidden="false" customHeight="false" outlineLevel="0" collapsed="false">
      <c r="A94" s="0" t="s">
        <v>83</v>
      </c>
      <c r="B94" s="1" t="n">
        <v>43954</v>
      </c>
      <c r="C94" s="0" t="n">
        <v>2170</v>
      </c>
      <c r="D94" s="0" t="n">
        <v>238</v>
      </c>
      <c r="E94" s="0" t="n">
        <v>68</v>
      </c>
      <c r="F94" s="0" t="n">
        <v>10</v>
      </c>
      <c r="G94" s="0" t="n">
        <v>351</v>
      </c>
      <c r="H94" s="0" t="n">
        <v>1751</v>
      </c>
      <c r="I94" s="0" t="n">
        <v>2</v>
      </c>
      <c r="J94" s="0" t="n">
        <v>11</v>
      </c>
      <c r="K94" s="0" t="n">
        <v>0.3</v>
      </c>
      <c r="L94" s="0" t="n">
        <v>16588</v>
      </c>
      <c r="M94" s="0" t="n">
        <v>80</v>
      </c>
    </row>
    <row r="95" customFormat="false" ht="13.5" hidden="false" customHeight="false" outlineLevel="0" collapsed="false">
      <c r="A95" s="0" t="s">
        <v>83</v>
      </c>
      <c r="B95" s="1" t="n">
        <v>43955</v>
      </c>
      <c r="C95" s="0" t="e">
        <f aca="false">sheet1!aqt96</f>
        <v>#NAME?</v>
      </c>
      <c r="D95" s="0" t="e">
        <f aca="false">sheet1!aqu96</f>
        <v>#NAME?</v>
      </c>
      <c r="E95" s="0" t="e">
        <f aca="false">sheet1!aqv96</f>
        <v>#NAME?</v>
      </c>
      <c r="F95" s="0" t="e">
        <f aca="false">sheet1!aqw96</f>
        <v>#NAME?</v>
      </c>
      <c r="G95" s="0" t="e">
        <f aca="false">sheet1!aqx96</f>
        <v>#NAME?</v>
      </c>
      <c r="H95" s="0" t="e">
        <f aca="false">sheet1!aqy96</f>
        <v>#NAME?</v>
      </c>
      <c r="I95" s="0" t="e">
        <f aca="false">sheet1!aqz96</f>
        <v>#NAME?</v>
      </c>
      <c r="J95" s="0" t="e">
        <f aca="false">sheet1!ara96</f>
        <v>#NAME?</v>
      </c>
      <c r="K95" s="0" t="e">
        <f aca="false">sheet1!arb96</f>
        <v>#NAME?</v>
      </c>
      <c r="L95" s="0" t="e">
        <f aca="false">sheet1!arc96</f>
        <v>#NAME?</v>
      </c>
      <c r="M95" s="0" t="e">
        <f aca="false">sheet1!ard96</f>
        <v>#NAME?</v>
      </c>
    </row>
    <row r="96" customFormat="false" ht="13.5" hidden="false" customHeight="false" outlineLevel="0" collapsed="false">
      <c r="A96" s="0" t="s">
        <v>83</v>
      </c>
      <c r="B96" s="1" t="n">
        <v>43956</v>
      </c>
      <c r="C96" s="0" t="e">
        <f aca="false">sheet1!aqt97</f>
        <v>#NAME?</v>
      </c>
      <c r="D96" s="0" t="e">
        <f aca="false">sheet1!aqu97</f>
        <v>#NAME?</v>
      </c>
      <c r="E96" s="0" t="e">
        <f aca="false">sheet1!aqv97</f>
        <v>#NAME?</v>
      </c>
      <c r="F96" s="0" t="e">
        <f aca="false">sheet1!aqw97</f>
        <v>#NAME?</v>
      </c>
      <c r="G96" s="0" t="e">
        <f aca="false">sheet1!aqx97</f>
        <v>#NAME?</v>
      </c>
      <c r="H96" s="0" t="e">
        <f aca="false">sheet1!aqy97</f>
        <v>#NAME?</v>
      </c>
      <c r="I96" s="0" t="e">
        <f aca="false">sheet1!aqz97</f>
        <v>#NAME?</v>
      </c>
      <c r="J96" s="0" t="e">
        <f aca="false">sheet1!ara97</f>
        <v>#NAME?</v>
      </c>
      <c r="K96" s="0" t="e">
        <f aca="false">sheet1!arb97</f>
        <v>#NAME?</v>
      </c>
      <c r="L96" s="0" t="e">
        <f aca="false">sheet1!arc97</f>
        <v>#NAME?</v>
      </c>
      <c r="M96" s="0" t="e">
        <f aca="false">sheet1!ard97</f>
        <v>#NAME?</v>
      </c>
    </row>
    <row r="97" customFormat="false" ht="13.5" hidden="false" customHeight="false" outlineLevel="0" collapsed="false">
      <c r="A97" s="0" t="s">
        <v>83</v>
      </c>
      <c r="B97" s="1" t="n">
        <v>43957</v>
      </c>
      <c r="C97" s="0" t="e">
        <f aca="false">sheet1!aqt98</f>
        <v>#NAME?</v>
      </c>
      <c r="D97" s="0" t="e">
        <f aca="false">sheet1!aqu98</f>
        <v>#NAME?</v>
      </c>
      <c r="E97" s="0" t="e">
        <f aca="false">sheet1!aqv98</f>
        <v>#NAME?</v>
      </c>
      <c r="F97" s="0" t="e">
        <f aca="false">sheet1!aqw98</f>
        <v>#NAME?</v>
      </c>
      <c r="G97" s="0" t="e">
        <f aca="false">sheet1!aqx98</f>
        <v>#NAME?</v>
      </c>
      <c r="H97" s="0" t="e">
        <f aca="false">sheet1!aqy98</f>
        <v>#NAME?</v>
      </c>
      <c r="I97" s="0" t="e">
        <f aca="false">sheet1!aqz98</f>
        <v>#NAME?</v>
      </c>
      <c r="J97" s="0" t="e">
        <f aca="false">sheet1!ara98</f>
        <v>#NAME?</v>
      </c>
      <c r="K97" s="0" t="e">
        <f aca="false">sheet1!arb98</f>
        <v>#NAME?</v>
      </c>
      <c r="L97" s="0" t="e">
        <f aca="false">sheet1!arc98</f>
        <v>#NAME?</v>
      </c>
      <c r="M97" s="0" t="e">
        <f aca="false">sheet1!ard98</f>
        <v>#NAME?</v>
      </c>
    </row>
    <row r="98" customFormat="false" ht="13.5" hidden="false" customHeight="false" outlineLevel="0" collapsed="false">
      <c r="A98" s="0" t="s">
        <v>83</v>
      </c>
      <c r="B98" s="1" t="n">
        <v>43958</v>
      </c>
      <c r="C98" s="0" t="e">
        <f aca="false">sheet1!aqt99</f>
        <v>#NAME?</v>
      </c>
      <c r="D98" s="0" t="e">
        <f aca="false">sheet1!aqu99</f>
        <v>#NAME?</v>
      </c>
      <c r="E98" s="0" t="e">
        <f aca="false">sheet1!aqv99</f>
        <v>#NAME?</v>
      </c>
      <c r="F98" s="0" t="e">
        <f aca="false">sheet1!aqw99</f>
        <v>#NAME?</v>
      </c>
      <c r="G98" s="0" t="e">
        <f aca="false">sheet1!aqx99</f>
        <v>#NAME?</v>
      </c>
      <c r="H98" s="0" t="e">
        <f aca="false">sheet1!aqy99</f>
        <v>#NAME?</v>
      </c>
      <c r="I98" s="0" t="e">
        <f aca="false">sheet1!aqz99</f>
        <v>#NAME?</v>
      </c>
      <c r="J98" s="0" t="e">
        <f aca="false">sheet1!ara99</f>
        <v>#NAME?</v>
      </c>
      <c r="K98" s="0" t="e">
        <f aca="false">sheet1!arb99</f>
        <v>#NAME?</v>
      </c>
      <c r="L98" s="0" t="e">
        <f aca="false">sheet1!arc99</f>
        <v>#NAME?</v>
      </c>
      <c r="M98" s="0" t="e">
        <f aca="false">sheet1!ard99</f>
        <v>#NAME?</v>
      </c>
    </row>
    <row r="99" customFormat="false" ht="13.5" hidden="false" customHeight="false" outlineLevel="0" collapsed="false">
      <c r="A99" s="0" t="s">
        <v>83</v>
      </c>
      <c r="B99" s="1" t="n">
        <v>43959</v>
      </c>
      <c r="C99" s="0" t="e">
        <f aca="false">sheet1!aqt100</f>
        <v>#NAME?</v>
      </c>
      <c r="D99" s="0" t="e">
        <f aca="false">sheet1!aqu100</f>
        <v>#NAME?</v>
      </c>
      <c r="E99" s="0" t="e">
        <f aca="false">sheet1!aqv100</f>
        <v>#NAME?</v>
      </c>
      <c r="F99" s="0" t="e">
        <f aca="false">sheet1!aqw100</f>
        <v>#NAME?</v>
      </c>
      <c r="G99" s="0" t="e">
        <f aca="false">sheet1!aqx100</f>
        <v>#NAME?</v>
      </c>
      <c r="H99" s="0" t="e">
        <f aca="false">sheet1!aqy100</f>
        <v>#NAME?</v>
      </c>
      <c r="I99" s="0" t="e">
        <f aca="false">sheet1!aqz100</f>
        <v>#NAME?</v>
      </c>
      <c r="J99" s="0" t="e">
        <f aca="false">sheet1!ara100</f>
        <v>#NAME?</v>
      </c>
      <c r="K99" s="0" t="e">
        <f aca="false">sheet1!arb100</f>
        <v>#NAME?</v>
      </c>
      <c r="L99" s="0" t="e">
        <f aca="false">sheet1!arc100</f>
        <v>#NAME?</v>
      </c>
      <c r="M99" s="0" t="e">
        <f aca="false">sheet1!ard100</f>
        <v>#NAME?</v>
      </c>
    </row>
    <row r="100" customFormat="false" ht="13.5" hidden="false" customHeight="false" outlineLevel="0" collapsed="false">
      <c r="A100" s="0" t="s">
        <v>83</v>
      </c>
      <c r="B100" s="1" t="n">
        <v>43960</v>
      </c>
      <c r="C100" s="0" t="e">
        <f aca="false">sheet1!aqt101</f>
        <v>#NAME?</v>
      </c>
      <c r="D100" s="0" t="e">
        <f aca="false">sheet1!aqu101</f>
        <v>#NAME?</v>
      </c>
      <c r="E100" s="0" t="e">
        <f aca="false">sheet1!aqv101</f>
        <v>#NAME?</v>
      </c>
      <c r="F100" s="0" t="e">
        <f aca="false">sheet1!aqw101</f>
        <v>#NAME?</v>
      </c>
      <c r="G100" s="0" t="e">
        <f aca="false">sheet1!aqx101</f>
        <v>#NAME?</v>
      </c>
      <c r="H100" s="0" t="e">
        <f aca="false">sheet1!aqy101</f>
        <v>#NAME?</v>
      </c>
      <c r="I100" s="0" t="e">
        <f aca="false">sheet1!aqz101</f>
        <v>#NAME?</v>
      </c>
      <c r="J100" s="0" t="e">
        <f aca="false">sheet1!ara101</f>
        <v>#NAME?</v>
      </c>
      <c r="K100" s="0" t="e">
        <f aca="false">sheet1!arb101</f>
        <v>#NAME?</v>
      </c>
      <c r="L100" s="0" t="e">
        <f aca="false">sheet1!arc101</f>
        <v>#NAME?</v>
      </c>
      <c r="M100" s="0" t="e">
        <f aca="false">sheet1!ard101</f>
        <v>#NAME?</v>
      </c>
    </row>
    <row r="101" customFormat="false" ht="13.5" hidden="false" customHeight="false" outlineLevel="0" collapsed="false">
      <c r="A101" s="0" t="s">
        <v>83</v>
      </c>
      <c r="B101" s="1" t="n">
        <v>43961</v>
      </c>
      <c r="C101" s="0" t="e">
        <f aca="false">sheet1!aqt102</f>
        <v>#NAME?</v>
      </c>
      <c r="D101" s="0" t="e">
        <f aca="false">sheet1!aqu102</f>
        <v>#NAME?</v>
      </c>
      <c r="E101" s="0" t="e">
        <f aca="false">sheet1!aqv102</f>
        <v>#NAME?</v>
      </c>
      <c r="F101" s="0" t="e">
        <f aca="false">sheet1!aqw102</f>
        <v>#NAME?</v>
      </c>
      <c r="G101" s="0" t="e">
        <f aca="false">sheet1!aqx102</f>
        <v>#NAME?</v>
      </c>
      <c r="H101" s="0" t="e">
        <f aca="false">sheet1!aqy102</f>
        <v>#NAME?</v>
      </c>
      <c r="I101" s="0" t="e">
        <f aca="false">sheet1!aqz102</f>
        <v>#NAME?</v>
      </c>
      <c r="J101" s="0" t="e">
        <f aca="false">sheet1!ara102</f>
        <v>#NAME?</v>
      </c>
      <c r="K101" s="0" t="e">
        <f aca="false">sheet1!arb102</f>
        <v>#NAME?</v>
      </c>
      <c r="L101" s="0" t="e">
        <f aca="false">sheet1!arc102</f>
        <v>#NAME?</v>
      </c>
      <c r="M101" s="0" t="e">
        <f aca="false">sheet1!ard102</f>
        <v>#NAME?</v>
      </c>
    </row>
    <row r="102" customFormat="false" ht="13.5" hidden="false" customHeight="false" outlineLevel="0" collapsed="false">
      <c r="A102" s="0" t="s">
        <v>83</v>
      </c>
      <c r="B102" s="1" t="n">
        <v>43962</v>
      </c>
      <c r="C102" s="0" t="e">
        <f aca="false">sheet1!aqt103</f>
        <v>#NAME?</v>
      </c>
      <c r="D102" s="0" t="e">
        <f aca="false">sheet1!aqu103</f>
        <v>#NAME?</v>
      </c>
      <c r="E102" s="0" t="e">
        <f aca="false">sheet1!aqv103</f>
        <v>#NAME?</v>
      </c>
      <c r="F102" s="0" t="e">
        <f aca="false">sheet1!aqw103</f>
        <v>#NAME?</v>
      </c>
      <c r="G102" s="0" t="e">
        <f aca="false">sheet1!aqx103</f>
        <v>#NAME?</v>
      </c>
      <c r="H102" s="0" t="e">
        <f aca="false">sheet1!aqy103</f>
        <v>#NAME?</v>
      </c>
      <c r="I102" s="0" t="e">
        <f aca="false">sheet1!aqz103</f>
        <v>#NAME?</v>
      </c>
      <c r="J102" s="0" t="e">
        <f aca="false">sheet1!ara103</f>
        <v>#NAME?</v>
      </c>
      <c r="K102" s="0" t="e">
        <f aca="false">sheet1!arb103</f>
        <v>#NAME?</v>
      </c>
      <c r="L102" s="0" t="e">
        <f aca="false">sheet1!arc103</f>
        <v>#NAME?</v>
      </c>
      <c r="M102" s="0" t="e">
        <f aca="false">sheet1!ard103</f>
        <v>#NAME?</v>
      </c>
    </row>
    <row r="103" customFormat="false" ht="13.5" hidden="false" customHeight="false" outlineLevel="0" collapsed="false">
      <c r="A103" s="0" t="s">
        <v>83</v>
      </c>
      <c r="B103" s="1" t="n">
        <v>43963</v>
      </c>
      <c r="C103" s="0" t="e">
        <f aca="false">sheet1!aqt104</f>
        <v>#NAME?</v>
      </c>
      <c r="D103" s="0" t="e">
        <f aca="false">sheet1!aqu104</f>
        <v>#NAME?</v>
      </c>
      <c r="E103" s="0" t="e">
        <f aca="false">sheet1!aqv104</f>
        <v>#NAME?</v>
      </c>
      <c r="F103" s="0" t="e">
        <f aca="false">sheet1!aqw104</f>
        <v>#NAME?</v>
      </c>
      <c r="G103" s="0" t="e">
        <f aca="false">sheet1!aqx104</f>
        <v>#NAME?</v>
      </c>
      <c r="H103" s="0" t="e">
        <f aca="false">sheet1!aqy104</f>
        <v>#NAME?</v>
      </c>
      <c r="I103" s="0" t="e">
        <f aca="false">sheet1!aqz104</f>
        <v>#NAME?</v>
      </c>
      <c r="J103" s="0" t="e">
        <f aca="false">sheet1!ara104</f>
        <v>#NAME?</v>
      </c>
      <c r="K103" s="0" t="e">
        <f aca="false">sheet1!arb104</f>
        <v>#NAME?</v>
      </c>
      <c r="L103" s="0" t="e">
        <f aca="false">sheet1!arc104</f>
        <v>#NAME?</v>
      </c>
      <c r="M103" s="0" t="e">
        <f aca="false">sheet1!ard104</f>
        <v>#NAME?</v>
      </c>
    </row>
    <row r="104" customFormat="false" ht="13.5" hidden="false" customHeight="false" outlineLevel="0" collapsed="false">
      <c r="A104" s="0" t="s">
        <v>83</v>
      </c>
      <c r="B104" s="1" t="n">
        <v>43964</v>
      </c>
      <c r="C104" s="0" t="e">
        <f aca="false">sheet1!aqt105</f>
        <v>#NAME?</v>
      </c>
      <c r="D104" s="0" t="e">
        <f aca="false">sheet1!aqu105</f>
        <v>#NAME?</v>
      </c>
      <c r="E104" s="0" t="e">
        <f aca="false">sheet1!aqv105</f>
        <v>#NAME?</v>
      </c>
      <c r="F104" s="0" t="e">
        <f aca="false">sheet1!aqw105</f>
        <v>#NAME?</v>
      </c>
      <c r="G104" s="0" t="e">
        <f aca="false">sheet1!aqx105</f>
        <v>#NAME?</v>
      </c>
      <c r="H104" s="0" t="e">
        <f aca="false">sheet1!aqy105</f>
        <v>#NAME?</v>
      </c>
      <c r="I104" s="0" t="e">
        <f aca="false">sheet1!aqz105</f>
        <v>#NAME?</v>
      </c>
      <c r="J104" s="0" t="e">
        <f aca="false">sheet1!ara105</f>
        <v>#NAME?</v>
      </c>
      <c r="K104" s="0" t="e">
        <f aca="false">sheet1!arb105</f>
        <v>#NAME?</v>
      </c>
      <c r="L104" s="0" t="e">
        <f aca="false">sheet1!arc105</f>
        <v>#NAME?</v>
      </c>
      <c r="M104" s="0" t="e">
        <f aca="false">sheet1!ard105</f>
        <v>#NAME?</v>
      </c>
    </row>
    <row r="105" customFormat="false" ht="13.5" hidden="false" customHeight="false" outlineLevel="0" collapsed="false">
      <c r="A105" s="0" t="s">
        <v>83</v>
      </c>
      <c r="B105" s="1" t="n">
        <v>43965</v>
      </c>
      <c r="C105" s="0" t="e">
        <f aca="false">sheet1!aqt106</f>
        <v>#NAME?</v>
      </c>
      <c r="D105" s="0" t="e">
        <f aca="false">sheet1!aqu106</f>
        <v>#NAME?</v>
      </c>
      <c r="E105" s="0" t="e">
        <f aca="false">sheet1!aqv106</f>
        <v>#NAME?</v>
      </c>
      <c r="F105" s="0" t="e">
        <f aca="false">sheet1!aqw106</f>
        <v>#NAME?</v>
      </c>
      <c r="G105" s="0" t="e">
        <f aca="false">sheet1!aqx106</f>
        <v>#NAME?</v>
      </c>
      <c r="H105" s="0" t="e">
        <f aca="false">sheet1!aqy106</f>
        <v>#NAME?</v>
      </c>
      <c r="I105" s="0" t="e">
        <f aca="false">sheet1!aqz106</f>
        <v>#NAME?</v>
      </c>
      <c r="J105" s="0" t="e">
        <f aca="false">sheet1!ara106</f>
        <v>#NAME?</v>
      </c>
      <c r="K105" s="0" t="e">
        <f aca="false">sheet1!arb106</f>
        <v>#NAME?</v>
      </c>
      <c r="L105" s="0" t="e">
        <f aca="false">sheet1!arc106</f>
        <v>#NAME?</v>
      </c>
      <c r="M105" s="0" t="e">
        <f aca="false">sheet1!ard106</f>
        <v>#NAME?</v>
      </c>
    </row>
    <row r="106" customFormat="false" ht="13.5" hidden="false" customHeight="false" outlineLevel="0" collapsed="false">
      <c r="A106" s="0" t="s">
        <v>83</v>
      </c>
      <c r="B106" s="1" t="n">
        <v>43966</v>
      </c>
      <c r="C106" s="0" t="e">
        <f aca="false">sheet1!aqt107</f>
        <v>#NAME?</v>
      </c>
      <c r="D106" s="0" t="e">
        <f aca="false">sheet1!aqu107</f>
        <v>#NAME?</v>
      </c>
      <c r="E106" s="0" t="e">
        <f aca="false">sheet1!aqv107</f>
        <v>#NAME?</v>
      </c>
      <c r="F106" s="0" t="e">
        <f aca="false">sheet1!aqw107</f>
        <v>#NAME?</v>
      </c>
      <c r="G106" s="0" t="e">
        <f aca="false">sheet1!aqx107</f>
        <v>#NAME?</v>
      </c>
      <c r="H106" s="0" t="e">
        <f aca="false">sheet1!aqy107</f>
        <v>#NAME?</v>
      </c>
      <c r="I106" s="0" t="e">
        <f aca="false">sheet1!aqz107</f>
        <v>#NAME?</v>
      </c>
      <c r="J106" s="0" t="e">
        <f aca="false">sheet1!ara107</f>
        <v>#NAME?</v>
      </c>
      <c r="K106" s="0" t="e">
        <f aca="false">sheet1!arb107</f>
        <v>#NAME?</v>
      </c>
      <c r="L106" s="0" t="e">
        <f aca="false">sheet1!arc107</f>
        <v>#NAME?</v>
      </c>
      <c r="M106" s="0" t="e">
        <f aca="false">sheet1!ard107</f>
        <v>#NAME?</v>
      </c>
    </row>
    <row r="107" customFormat="false" ht="13.5" hidden="false" customHeight="false" outlineLevel="0" collapsed="false">
      <c r="A107" s="0" t="s">
        <v>83</v>
      </c>
      <c r="B107" s="1" t="n">
        <v>43967</v>
      </c>
      <c r="C107" s="0" t="e">
        <f aca="false">sheet1!aqt108</f>
        <v>#NAME?</v>
      </c>
      <c r="D107" s="0" t="e">
        <f aca="false">sheet1!aqu108</f>
        <v>#NAME?</v>
      </c>
      <c r="E107" s="0" t="e">
        <f aca="false">sheet1!aqv108</f>
        <v>#NAME?</v>
      </c>
      <c r="F107" s="0" t="e">
        <f aca="false">sheet1!aqw108</f>
        <v>#NAME?</v>
      </c>
      <c r="G107" s="0" t="e">
        <f aca="false">sheet1!aqx108</f>
        <v>#NAME?</v>
      </c>
      <c r="H107" s="0" t="e">
        <f aca="false">sheet1!aqy108</f>
        <v>#NAME?</v>
      </c>
      <c r="I107" s="0" t="e">
        <f aca="false">sheet1!aqz108</f>
        <v>#NAME?</v>
      </c>
      <c r="J107" s="0" t="e">
        <f aca="false">sheet1!ara108</f>
        <v>#NAME?</v>
      </c>
      <c r="K107" s="0" t="e">
        <f aca="false">sheet1!arb108</f>
        <v>#NAME?</v>
      </c>
      <c r="L107" s="0" t="e">
        <f aca="false">sheet1!arc108</f>
        <v>#NAME?</v>
      </c>
      <c r="M107" s="0" t="e">
        <f aca="false">sheet1!ard108</f>
        <v>#NAME?</v>
      </c>
    </row>
    <row r="108" customFormat="false" ht="13.5" hidden="false" customHeight="false" outlineLevel="0" collapsed="false">
      <c r="A108" s="0" t="s">
        <v>83</v>
      </c>
      <c r="B108" s="1" t="n">
        <v>43968</v>
      </c>
      <c r="C108" s="0" t="e">
        <f aca="false">sheet1!aqt109</f>
        <v>#NAME?</v>
      </c>
      <c r="D108" s="0" t="e">
        <f aca="false">sheet1!aqu109</f>
        <v>#NAME?</v>
      </c>
      <c r="E108" s="0" t="e">
        <f aca="false">sheet1!aqv109</f>
        <v>#NAME?</v>
      </c>
      <c r="F108" s="0" t="e">
        <f aca="false">sheet1!aqw109</f>
        <v>#NAME?</v>
      </c>
      <c r="G108" s="0" t="e">
        <f aca="false">sheet1!aqx109</f>
        <v>#NAME?</v>
      </c>
      <c r="H108" s="0" t="e">
        <f aca="false">sheet1!aqy109</f>
        <v>#NAME?</v>
      </c>
      <c r="I108" s="0" t="e">
        <f aca="false">sheet1!aqz109</f>
        <v>#NAME?</v>
      </c>
      <c r="J108" s="0" t="e">
        <f aca="false">sheet1!ara109</f>
        <v>#NAME?</v>
      </c>
      <c r="K108" s="0" t="e">
        <f aca="false">sheet1!arb109</f>
        <v>#NAME?</v>
      </c>
      <c r="L108" s="0" t="e">
        <f aca="false">sheet1!arc109</f>
        <v>#NAME?</v>
      </c>
      <c r="M108" s="0" t="e">
        <f aca="false">sheet1!ard109</f>
        <v>#NAME?</v>
      </c>
    </row>
    <row r="109" customFormat="false" ht="13.5" hidden="false" customHeight="false" outlineLevel="0" collapsed="false">
      <c r="A109" s="0" t="s">
        <v>83</v>
      </c>
      <c r="B109" s="1" t="n">
        <v>43969</v>
      </c>
      <c r="C109" s="0" t="e">
        <f aca="false">sheet1!aqt110</f>
        <v>#NAME?</v>
      </c>
      <c r="D109" s="0" t="e">
        <f aca="false">sheet1!aqu110</f>
        <v>#NAME?</v>
      </c>
      <c r="E109" s="0" t="e">
        <f aca="false">sheet1!aqv110</f>
        <v>#NAME?</v>
      </c>
      <c r="F109" s="0" t="e">
        <f aca="false">sheet1!aqw110</f>
        <v>#NAME?</v>
      </c>
      <c r="G109" s="0" t="e">
        <f aca="false">sheet1!aqx110</f>
        <v>#NAME?</v>
      </c>
      <c r="H109" s="0" t="e">
        <f aca="false">sheet1!aqy110</f>
        <v>#NAME?</v>
      </c>
      <c r="I109" s="0" t="e">
        <f aca="false">sheet1!aqz110</f>
        <v>#NAME?</v>
      </c>
      <c r="J109" s="0" t="e">
        <f aca="false">sheet1!ara110</f>
        <v>#NAME?</v>
      </c>
      <c r="K109" s="0" t="e">
        <f aca="false">sheet1!arb110</f>
        <v>#NAME?</v>
      </c>
      <c r="L109" s="0" t="e">
        <f aca="false">sheet1!arc110</f>
        <v>#NAME?</v>
      </c>
      <c r="M109" s="0" t="e">
        <f aca="false">sheet1!ard110</f>
        <v>#NAME?</v>
      </c>
    </row>
    <row r="110" customFormat="false" ht="13.5" hidden="false" customHeight="false" outlineLevel="0" collapsed="false">
      <c r="A110" s="0" t="s">
        <v>83</v>
      </c>
      <c r="B110" s="1" t="n">
        <v>43970</v>
      </c>
      <c r="C110" s="0" t="e">
        <f aca="false">sheet1!aqt111</f>
        <v>#NAME?</v>
      </c>
      <c r="D110" s="0" t="e">
        <f aca="false">sheet1!aqu111</f>
        <v>#NAME?</v>
      </c>
      <c r="E110" s="0" t="e">
        <f aca="false">sheet1!aqv111</f>
        <v>#NAME?</v>
      </c>
      <c r="F110" s="0" t="e">
        <f aca="false">sheet1!aqw111</f>
        <v>#NAME?</v>
      </c>
      <c r="G110" s="0" t="e">
        <f aca="false">sheet1!aqx111</f>
        <v>#NAME?</v>
      </c>
      <c r="H110" s="0" t="e">
        <f aca="false">sheet1!aqy111</f>
        <v>#NAME?</v>
      </c>
      <c r="I110" s="0" t="e">
        <f aca="false">sheet1!aqz111</f>
        <v>#NAME?</v>
      </c>
      <c r="J110" s="0" t="e">
        <f aca="false">sheet1!ara111</f>
        <v>#NAME?</v>
      </c>
      <c r="K110" s="0" t="e">
        <f aca="false">sheet1!arb111</f>
        <v>#NAME?</v>
      </c>
      <c r="L110" s="0" t="e">
        <f aca="false">sheet1!arc111</f>
        <v>#NAME?</v>
      </c>
      <c r="M110" s="0" t="e">
        <f aca="false">sheet1!ard111</f>
        <v>#NAME?</v>
      </c>
    </row>
    <row r="111" customFormat="false" ht="13.5" hidden="false" customHeight="false" outlineLevel="0" collapsed="false">
      <c r="A111" s="0" t="s">
        <v>83</v>
      </c>
      <c r="B111" s="1" t="n">
        <v>43971</v>
      </c>
      <c r="C111" s="0" t="e">
        <f aca="false">sheet1!aqt112</f>
        <v>#NAME?</v>
      </c>
      <c r="D111" s="0" t="e">
        <f aca="false">sheet1!aqu112</f>
        <v>#NAME?</v>
      </c>
      <c r="E111" s="0" t="e">
        <f aca="false">sheet1!aqv112</f>
        <v>#NAME?</v>
      </c>
      <c r="F111" s="0" t="e">
        <f aca="false">sheet1!aqw112</f>
        <v>#NAME?</v>
      </c>
      <c r="G111" s="0" t="e">
        <f aca="false">sheet1!aqx112</f>
        <v>#NAME?</v>
      </c>
      <c r="H111" s="0" t="e">
        <f aca="false">sheet1!aqy112</f>
        <v>#NAME?</v>
      </c>
      <c r="I111" s="0" t="e">
        <f aca="false">sheet1!aqz112</f>
        <v>#NAME?</v>
      </c>
      <c r="J111" s="0" t="e">
        <f aca="false">sheet1!ara112</f>
        <v>#NAME?</v>
      </c>
      <c r="K111" s="0" t="e">
        <f aca="false">sheet1!arb112</f>
        <v>#NAME?</v>
      </c>
      <c r="L111" s="0" t="e">
        <f aca="false">sheet1!arc112</f>
        <v>#NAME?</v>
      </c>
      <c r="M111" s="0" t="e">
        <f aca="false">sheet1!ard112</f>
        <v>#NAME?</v>
      </c>
    </row>
    <row r="112" customFormat="false" ht="13.5" hidden="false" customHeight="false" outlineLevel="0" collapsed="false">
      <c r="A112" s="0" t="s">
        <v>83</v>
      </c>
      <c r="B112" s="1" t="n">
        <v>43972</v>
      </c>
      <c r="C112" s="0" t="e">
        <f aca="false">sheet1!aqt113</f>
        <v>#NAME?</v>
      </c>
      <c r="D112" s="0" t="e">
        <f aca="false">sheet1!aqu113</f>
        <v>#NAME?</v>
      </c>
      <c r="E112" s="0" t="e">
        <f aca="false">sheet1!aqv113</f>
        <v>#NAME?</v>
      </c>
      <c r="F112" s="0" t="e">
        <f aca="false">sheet1!aqw113</f>
        <v>#NAME?</v>
      </c>
      <c r="G112" s="0" t="e">
        <f aca="false">sheet1!aqx113</f>
        <v>#NAME?</v>
      </c>
      <c r="H112" s="0" t="e">
        <f aca="false">sheet1!aqy113</f>
        <v>#NAME?</v>
      </c>
      <c r="I112" s="0" t="e">
        <f aca="false">sheet1!aqz113</f>
        <v>#NAME?</v>
      </c>
      <c r="J112" s="0" t="e">
        <f aca="false">sheet1!ara113</f>
        <v>#NAME?</v>
      </c>
      <c r="K112" s="0" t="e">
        <f aca="false">sheet1!arb113</f>
        <v>#NAME?</v>
      </c>
      <c r="L112" s="0" t="e">
        <f aca="false">sheet1!arc113</f>
        <v>#NAME?</v>
      </c>
      <c r="M112" s="0" t="e">
        <f aca="false">sheet1!ard113</f>
        <v>#NAME?</v>
      </c>
    </row>
    <row r="113" customFormat="false" ht="13.5" hidden="false" customHeight="false" outlineLevel="0" collapsed="false">
      <c r="A113" s="0" t="s">
        <v>83</v>
      </c>
      <c r="B113" s="1" t="n">
        <v>43973</v>
      </c>
      <c r="C113" s="0" t="e">
        <f aca="false">sheet1!aqt114</f>
        <v>#NAME?</v>
      </c>
      <c r="D113" s="0" t="e">
        <f aca="false">sheet1!aqu114</f>
        <v>#NAME?</v>
      </c>
      <c r="E113" s="0" t="e">
        <f aca="false">sheet1!aqv114</f>
        <v>#NAME?</v>
      </c>
      <c r="F113" s="0" t="e">
        <f aca="false">sheet1!aqw114</f>
        <v>#NAME?</v>
      </c>
      <c r="G113" s="0" t="e">
        <f aca="false">sheet1!aqx114</f>
        <v>#NAME?</v>
      </c>
      <c r="H113" s="0" t="e">
        <f aca="false">sheet1!aqy114</f>
        <v>#NAME?</v>
      </c>
      <c r="I113" s="0" t="e">
        <f aca="false">sheet1!aqz114</f>
        <v>#NAME?</v>
      </c>
      <c r="J113" s="0" t="e">
        <f aca="false">sheet1!ara114</f>
        <v>#NAME?</v>
      </c>
      <c r="K113" s="0" t="e">
        <f aca="false">sheet1!arb114</f>
        <v>#NAME?</v>
      </c>
      <c r="L113" s="0" t="e">
        <f aca="false">sheet1!arc114</f>
        <v>#NAME?</v>
      </c>
      <c r="M113" s="0" t="e">
        <f aca="false">sheet1!ard114</f>
        <v>#NAME?</v>
      </c>
    </row>
    <row r="114" customFormat="false" ht="13.5" hidden="false" customHeight="false" outlineLevel="0" collapsed="false">
      <c r="A114" s="0" t="s">
        <v>83</v>
      </c>
      <c r="B114" s="1" t="n">
        <v>43974</v>
      </c>
      <c r="C114" s="0" t="e">
        <f aca="false">sheet1!aqt115</f>
        <v>#NAME?</v>
      </c>
      <c r="D114" s="0" t="e">
        <f aca="false">sheet1!aqu115</f>
        <v>#NAME?</v>
      </c>
      <c r="E114" s="0" t="e">
        <f aca="false">sheet1!aqv115</f>
        <v>#NAME?</v>
      </c>
      <c r="F114" s="0" t="e">
        <f aca="false">sheet1!aqw115</f>
        <v>#NAME?</v>
      </c>
      <c r="G114" s="0" t="e">
        <f aca="false">sheet1!aqx115</f>
        <v>#NAME?</v>
      </c>
      <c r="H114" s="0" t="e">
        <f aca="false">sheet1!aqy115</f>
        <v>#NAME?</v>
      </c>
      <c r="I114" s="0" t="e">
        <f aca="false">sheet1!aqz115</f>
        <v>#NAME?</v>
      </c>
      <c r="J114" s="0" t="e">
        <f aca="false">sheet1!ara115</f>
        <v>#NAME?</v>
      </c>
      <c r="K114" s="0" t="e">
        <f aca="false">sheet1!arb115</f>
        <v>#NAME?</v>
      </c>
      <c r="L114" s="0" t="e">
        <f aca="false">sheet1!arc115</f>
        <v>#NAME?</v>
      </c>
      <c r="M114" s="0" t="e">
        <f aca="false">sheet1!ard115</f>
        <v>#NAME?</v>
      </c>
    </row>
    <row r="115" customFormat="false" ht="13.5" hidden="false" customHeight="false" outlineLevel="0" collapsed="false">
      <c r="A115" s="0" t="s">
        <v>83</v>
      </c>
      <c r="B115" s="1" t="n">
        <v>43975</v>
      </c>
      <c r="C115" s="0" t="e">
        <f aca="false">sheet1!aqt116</f>
        <v>#NAME?</v>
      </c>
      <c r="D115" s="0" t="e">
        <f aca="false">sheet1!aqu116</f>
        <v>#NAME?</v>
      </c>
      <c r="E115" s="0" t="e">
        <f aca="false">sheet1!aqv116</f>
        <v>#NAME?</v>
      </c>
      <c r="F115" s="0" t="e">
        <f aca="false">sheet1!aqw116</f>
        <v>#NAME?</v>
      </c>
      <c r="G115" s="0" t="e">
        <f aca="false">sheet1!aqx116</f>
        <v>#NAME?</v>
      </c>
      <c r="H115" s="0" t="e">
        <f aca="false">sheet1!aqy116</f>
        <v>#NAME?</v>
      </c>
      <c r="I115" s="0" t="e">
        <f aca="false">sheet1!aqz116</f>
        <v>#NAME?</v>
      </c>
      <c r="J115" s="0" t="e">
        <f aca="false">sheet1!ara116</f>
        <v>#NAME?</v>
      </c>
      <c r="K115" s="0" t="e">
        <f aca="false">sheet1!arb116</f>
        <v>#NAME?</v>
      </c>
      <c r="L115" s="0" t="e">
        <f aca="false">sheet1!arc116</f>
        <v>#NAME?</v>
      </c>
      <c r="M115" s="0" t="e">
        <f aca="false">sheet1!ard116</f>
        <v>#NAME?</v>
      </c>
    </row>
    <row r="116" customFormat="false" ht="13.5" hidden="false" customHeight="false" outlineLevel="0" collapsed="false">
      <c r="A116" s="0" t="s">
        <v>83</v>
      </c>
      <c r="B116" s="1" t="n">
        <v>43976</v>
      </c>
      <c r="C116" s="0" t="e">
        <f aca="false">sheet1!aqt117</f>
        <v>#NAME?</v>
      </c>
      <c r="D116" s="0" t="e">
        <f aca="false">sheet1!aqu117</f>
        <v>#NAME?</v>
      </c>
      <c r="E116" s="0" t="e">
        <f aca="false">sheet1!aqv117</f>
        <v>#NAME?</v>
      </c>
      <c r="F116" s="0" t="e">
        <f aca="false">sheet1!aqw117</f>
        <v>#NAME?</v>
      </c>
      <c r="G116" s="0" t="e">
        <f aca="false">sheet1!aqx117</f>
        <v>#NAME?</v>
      </c>
      <c r="H116" s="0" t="e">
        <f aca="false">sheet1!aqy117</f>
        <v>#NAME?</v>
      </c>
      <c r="I116" s="0" t="e">
        <f aca="false">sheet1!aqz117</f>
        <v>#NAME?</v>
      </c>
      <c r="J116" s="0" t="e">
        <f aca="false">sheet1!ara117</f>
        <v>#NAME?</v>
      </c>
      <c r="K116" s="0" t="e">
        <f aca="false">sheet1!arb117</f>
        <v>#NAME?</v>
      </c>
      <c r="L116" s="0" t="e">
        <f aca="false">sheet1!arc117</f>
        <v>#NAME?</v>
      </c>
      <c r="M116" s="0" t="e">
        <f aca="false">sheet1!ard117</f>
        <v>#NAME?</v>
      </c>
    </row>
    <row r="117" customFormat="false" ht="13.5" hidden="false" customHeight="false" outlineLevel="0" collapsed="false">
      <c r="A117" s="0" t="s">
        <v>83</v>
      </c>
      <c r="B117" s="1" t="n">
        <v>43977</v>
      </c>
      <c r="C117" s="0" t="e">
        <f aca="false">sheet1!aqt118</f>
        <v>#NAME?</v>
      </c>
      <c r="D117" s="0" t="e">
        <f aca="false">sheet1!aqu118</f>
        <v>#NAME?</v>
      </c>
      <c r="E117" s="0" t="e">
        <f aca="false">sheet1!aqv118</f>
        <v>#NAME?</v>
      </c>
      <c r="F117" s="0" t="e">
        <f aca="false">sheet1!aqw118</f>
        <v>#NAME?</v>
      </c>
      <c r="G117" s="0" t="e">
        <f aca="false">sheet1!aqx118</f>
        <v>#NAME?</v>
      </c>
      <c r="H117" s="0" t="e">
        <f aca="false">sheet1!aqy118</f>
        <v>#NAME?</v>
      </c>
      <c r="I117" s="0" t="e">
        <f aca="false">sheet1!aqz118</f>
        <v>#NAME?</v>
      </c>
      <c r="J117" s="0" t="e">
        <f aca="false">sheet1!ara118</f>
        <v>#NAME?</v>
      </c>
      <c r="K117" s="0" t="e">
        <f aca="false">sheet1!arb118</f>
        <v>#NAME?</v>
      </c>
      <c r="L117" s="0" t="e">
        <f aca="false">sheet1!arc118</f>
        <v>#NAME?</v>
      </c>
      <c r="M117" s="0" t="e">
        <f aca="false">sheet1!ard118</f>
        <v>#NAME?</v>
      </c>
    </row>
    <row r="118" customFormat="false" ht="13.5" hidden="false" customHeight="false" outlineLevel="0" collapsed="false">
      <c r="A118" s="0" t="s">
        <v>83</v>
      </c>
      <c r="B118" s="1" t="n">
        <v>43978</v>
      </c>
      <c r="C118" s="0" t="e">
        <f aca="false">sheet1!aqt119</f>
        <v>#NAME?</v>
      </c>
      <c r="D118" s="0" t="e">
        <f aca="false">sheet1!aqu119</f>
        <v>#NAME?</v>
      </c>
      <c r="E118" s="0" t="e">
        <f aca="false">sheet1!aqv119</f>
        <v>#NAME?</v>
      </c>
      <c r="F118" s="0" t="e">
        <f aca="false">sheet1!aqw119</f>
        <v>#NAME?</v>
      </c>
      <c r="G118" s="0" t="e">
        <f aca="false">sheet1!aqx119</f>
        <v>#NAME?</v>
      </c>
      <c r="H118" s="0" t="e">
        <f aca="false">sheet1!aqy119</f>
        <v>#NAME?</v>
      </c>
      <c r="I118" s="0" t="e">
        <f aca="false">sheet1!aqz119</f>
        <v>#NAME?</v>
      </c>
      <c r="J118" s="0" t="e">
        <f aca="false">sheet1!ara119</f>
        <v>#NAME?</v>
      </c>
      <c r="K118" s="0" t="e">
        <f aca="false">sheet1!arb119</f>
        <v>#NAME?</v>
      </c>
      <c r="L118" s="0" t="e">
        <f aca="false">sheet1!arc119</f>
        <v>#NAME?</v>
      </c>
      <c r="M118" s="0" t="e">
        <f aca="false">sheet1!ard119</f>
        <v>#NAME?</v>
      </c>
    </row>
    <row r="119" customFormat="false" ht="13.5" hidden="false" customHeight="false" outlineLevel="0" collapsed="false">
      <c r="A119" s="0" t="s">
        <v>83</v>
      </c>
      <c r="B119" s="1" t="n">
        <v>43979</v>
      </c>
      <c r="C119" s="0" t="e">
        <f aca="false">sheet1!aqt120</f>
        <v>#NAME?</v>
      </c>
      <c r="D119" s="0" t="e">
        <f aca="false">sheet1!aqu120</f>
        <v>#NAME?</v>
      </c>
      <c r="E119" s="0" t="e">
        <f aca="false">sheet1!aqv120</f>
        <v>#NAME?</v>
      </c>
      <c r="F119" s="0" t="e">
        <f aca="false">sheet1!aqw120</f>
        <v>#NAME?</v>
      </c>
      <c r="G119" s="0" t="e">
        <f aca="false">sheet1!aqx120</f>
        <v>#NAME?</v>
      </c>
      <c r="H119" s="0" t="e">
        <f aca="false">sheet1!aqy120</f>
        <v>#NAME?</v>
      </c>
      <c r="I119" s="0" t="e">
        <f aca="false">sheet1!aqz120</f>
        <v>#NAME?</v>
      </c>
      <c r="J119" s="0" t="e">
        <f aca="false">sheet1!ara120</f>
        <v>#NAME?</v>
      </c>
      <c r="K119" s="0" t="e">
        <f aca="false">sheet1!arb120</f>
        <v>#NAME?</v>
      </c>
      <c r="L119" s="0" t="e">
        <f aca="false">sheet1!arc120</f>
        <v>#NAME?</v>
      </c>
      <c r="M119" s="0" t="e">
        <f aca="false">sheet1!ard120</f>
        <v>#NAME?</v>
      </c>
    </row>
    <row r="120" customFormat="false" ht="13.5" hidden="false" customHeight="false" outlineLevel="0" collapsed="false">
      <c r="A120" s="0" t="s">
        <v>83</v>
      </c>
      <c r="B120" s="1" t="n">
        <v>43980</v>
      </c>
      <c r="C120" s="0" t="e">
        <f aca="false">sheet1!aqt121</f>
        <v>#NAME?</v>
      </c>
      <c r="D120" s="0" t="e">
        <f aca="false">sheet1!aqu121</f>
        <v>#NAME?</v>
      </c>
      <c r="E120" s="0" t="e">
        <f aca="false">sheet1!aqv121</f>
        <v>#NAME?</v>
      </c>
      <c r="F120" s="0" t="e">
        <f aca="false">sheet1!aqw121</f>
        <v>#NAME?</v>
      </c>
      <c r="G120" s="0" t="e">
        <f aca="false">sheet1!aqx121</f>
        <v>#NAME?</v>
      </c>
      <c r="H120" s="0" t="e">
        <f aca="false">sheet1!aqy121</f>
        <v>#NAME?</v>
      </c>
      <c r="I120" s="0" t="e">
        <f aca="false">sheet1!aqz121</f>
        <v>#NAME?</v>
      </c>
      <c r="J120" s="0" t="e">
        <f aca="false">sheet1!ara121</f>
        <v>#NAME?</v>
      </c>
      <c r="K120" s="0" t="e">
        <f aca="false">sheet1!arb121</f>
        <v>#NAME?</v>
      </c>
      <c r="L120" s="0" t="e">
        <f aca="false">sheet1!arc121</f>
        <v>#NAME?</v>
      </c>
      <c r="M120" s="0" t="e">
        <f aca="false">sheet1!ard121</f>
        <v>#NAME?</v>
      </c>
    </row>
    <row r="121" customFormat="false" ht="13.5" hidden="false" customHeight="false" outlineLevel="0" collapsed="false">
      <c r="A121" s="0" t="s">
        <v>83</v>
      </c>
      <c r="B121" s="1" t="n">
        <v>43981</v>
      </c>
      <c r="C121" s="0" t="e">
        <f aca="false">sheet1!aqt122</f>
        <v>#NAME?</v>
      </c>
      <c r="D121" s="0" t="e">
        <f aca="false">sheet1!aqu122</f>
        <v>#NAME?</v>
      </c>
      <c r="E121" s="0" t="e">
        <f aca="false">sheet1!aqv122</f>
        <v>#NAME?</v>
      </c>
      <c r="F121" s="0" t="e">
        <f aca="false">sheet1!aqw122</f>
        <v>#NAME?</v>
      </c>
      <c r="G121" s="0" t="e">
        <f aca="false">sheet1!aqx122</f>
        <v>#NAME?</v>
      </c>
      <c r="H121" s="0" t="e">
        <f aca="false">sheet1!aqy122</f>
        <v>#NAME?</v>
      </c>
      <c r="I121" s="0" t="e">
        <f aca="false">sheet1!aqz122</f>
        <v>#NAME?</v>
      </c>
      <c r="J121" s="0" t="e">
        <f aca="false">sheet1!ara122</f>
        <v>#NAME?</v>
      </c>
      <c r="K121" s="0" t="e">
        <f aca="false">sheet1!arb122</f>
        <v>#NAME?</v>
      </c>
      <c r="L121" s="0" t="e">
        <f aca="false">sheet1!arc122</f>
        <v>#NAME?</v>
      </c>
      <c r="M121" s="0" t="e">
        <f aca="false">sheet1!ard122</f>
        <v>#NAME?</v>
      </c>
    </row>
    <row r="122" customFormat="false" ht="13.5" hidden="false" customHeight="false" outlineLevel="0" collapsed="false">
      <c r="A122" s="0" t="s">
        <v>83</v>
      </c>
      <c r="B122" s="1" t="n">
        <v>43982</v>
      </c>
      <c r="C122" s="0" t="e">
        <f aca="false">sheet1!aqt123</f>
        <v>#NAME?</v>
      </c>
      <c r="D122" s="0" t="e">
        <f aca="false">sheet1!aqu123</f>
        <v>#NAME?</v>
      </c>
      <c r="E122" s="0" t="e">
        <f aca="false">sheet1!aqv123</f>
        <v>#NAME?</v>
      </c>
      <c r="F122" s="0" t="e">
        <f aca="false">sheet1!aqw123</f>
        <v>#NAME?</v>
      </c>
      <c r="G122" s="0" t="e">
        <f aca="false">sheet1!aqx123</f>
        <v>#NAME?</v>
      </c>
      <c r="H122" s="0" t="e">
        <f aca="false">sheet1!aqy123</f>
        <v>#NAME?</v>
      </c>
      <c r="I122" s="0" t="e">
        <f aca="false">sheet1!aqz123</f>
        <v>#NAME?</v>
      </c>
      <c r="J122" s="0" t="e">
        <f aca="false">sheet1!ara123</f>
        <v>#NAME?</v>
      </c>
      <c r="K122" s="0" t="e">
        <f aca="false">sheet1!arb123</f>
        <v>#NAME?</v>
      </c>
      <c r="L122" s="0" t="e">
        <f aca="false">sheet1!arc123</f>
        <v>#NAME?</v>
      </c>
      <c r="M122" s="0" t="e">
        <f aca="false">sheet1!ard123</f>
        <v>#NAME?</v>
      </c>
    </row>
    <row r="123" customFormat="false" ht="13.5" hidden="false" customHeight="false" outlineLevel="0" collapsed="false">
      <c r="A123" s="0" t="s">
        <v>83</v>
      </c>
      <c r="B123" s="1" t="n">
        <v>43983</v>
      </c>
      <c r="C123" s="0" t="e">
        <f aca="false">sheet1!aqt124</f>
        <v>#NAME?</v>
      </c>
      <c r="D123" s="0" t="e">
        <f aca="false">sheet1!aqu124</f>
        <v>#NAME?</v>
      </c>
      <c r="E123" s="0" t="e">
        <f aca="false">sheet1!aqv124</f>
        <v>#NAME?</v>
      </c>
      <c r="F123" s="0" t="e">
        <f aca="false">sheet1!aqw124</f>
        <v>#NAME?</v>
      </c>
      <c r="G123" s="0" t="e">
        <f aca="false">sheet1!aqx124</f>
        <v>#NAME?</v>
      </c>
      <c r="H123" s="0" t="e">
        <f aca="false">sheet1!aqy124</f>
        <v>#NAME?</v>
      </c>
      <c r="I123" s="0" t="e">
        <f aca="false">sheet1!aqz124</f>
        <v>#NAME?</v>
      </c>
      <c r="J123" s="0" t="e">
        <f aca="false">sheet1!ara124</f>
        <v>#NAME?</v>
      </c>
      <c r="K123" s="0" t="e">
        <f aca="false">sheet1!arb124</f>
        <v>#NAME?</v>
      </c>
      <c r="L123" s="0" t="e">
        <f aca="false">sheet1!arc124</f>
        <v>#NAME?</v>
      </c>
      <c r="M123" s="0" t="e">
        <f aca="false">sheet1!ard124</f>
        <v>#NAME?</v>
      </c>
    </row>
    <row r="124" customFormat="false" ht="13.5" hidden="false" customHeight="false" outlineLevel="0" collapsed="false">
      <c r="A124" s="0" t="s">
        <v>83</v>
      </c>
      <c r="B124" s="1" t="n">
        <v>43984</v>
      </c>
      <c r="C124" s="0" t="e">
        <f aca="false">sheet1!aqt125</f>
        <v>#NAME?</v>
      </c>
      <c r="D124" s="0" t="e">
        <f aca="false">sheet1!aqu125</f>
        <v>#NAME?</v>
      </c>
      <c r="E124" s="0" t="e">
        <f aca="false">sheet1!aqv125</f>
        <v>#NAME?</v>
      </c>
      <c r="F124" s="0" t="e">
        <f aca="false">sheet1!aqw125</f>
        <v>#NAME?</v>
      </c>
      <c r="G124" s="0" t="e">
        <f aca="false">sheet1!aqx125</f>
        <v>#NAME?</v>
      </c>
      <c r="H124" s="0" t="e">
        <f aca="false">sheet1!aqy125</f>
        <v>#NAME?</v>
      </c>
      <c r="I124" s="0" t="e">
        <f aca="false">sheet1!aqz125</f>
        <v>#NAME?</v>
      </c>
      <c r="J124" s="0" t="e">
        <f aca="false">sheet1!ara125</f>
        <v>#NAME?</v>
      </c>
      <c r="K124" s="0" t="e">
        <f aca="false">sheet1!arb125</f>
        <v>#NAME?</v>
      </c>
      <c r="L124" s="0" t="e">
        <f aca="false">sheet1!arc125</f>
        <v>#NAME?</v>
      </c>
      <c r="M124" s="0" t="e">
        <f aca="false">sheet1!ard125</f>
        <v>#NAME?</v>
      </c>
    </row>
    <row r="125" customFormat="false" ht="13.5" hidden="false" customHeight="false" outlineLevel="0" collapsed="false">
      <c r="A125" s="0" t="s">
        <v>83</v>
      </c>
      <c r="B125" s="1" t="n">
        <v>43985</v>
      </c>
      <c r="C125" s="0" t="e">
        <f aca="false">sheet1!aqt126</f>
        <v>#NAME?</v>
      </c>
      <c r="D125" s="0" t="e">
        <f aca="false">sheet1!aqu126</f>
        <v>#NAME?</v>
      </c>
      <c r="E125" s="0" t="e">
        <f aca="false">sheet1!aqv126</f>
        <v>#NAME?</v>
      </c>
      <c r="F125" s="0" t="e">
        <f aca="false">sheet1!aqw126</f>
        <v>#NAME?</v>
      </c>
      <c r="G125" s="0" t="e">
        <f aca="false">sheet1!aqx126</f>
        <v>#NAME?</v>
      </c>
      <c r="H125" s="0" t="e">
        <f aca="false">sheet1!aqy126</f>
        <v>#NAME?</v>
      </c>
      <c r="I125" s="0" t="e">
        <f aca="false">sheet1!aqz126</f>
        <v>#NAME?</v>
      </c>
      <c r="J125" s="0" t="e">
        <f aca="false">sheet1!ara126</f>
        <v>#NAME?</v>
      </c>
      <c r="K125" s="0" t="e">
        <f aca="false">sheet1!arb126</f>
        <v>#NAME?</v>
      </c>
      <c r="L125" s="0" t="e">
        <f aca="false">sheet1!arc126</f>
        <v>#NAME?</v>
      </c>
      <c r="M125" s="0" t="e">
        <f aca="false">sheet1!ard126</f>
        <v>#NAME?</v>
      </c>
    </row>
    <row r="126" customFormat="false" ht="13.5" hidden="false" customHeight="false" outlineLevel="0" collapsed="false">
      <c r="A126" s="0" t="s">
        <v>83</v>
      </c>
      <c r="B126" s="1" t="n">
        <v>43986</v>
      </c>
      <c r="C126" s="0" t="e">
        <f aca="false">sheet1!aqt127</f>
        <v>#NAME?</v>
      </c>
      <c r="D126" s="0" t="e">
        <f aca="false">sheet1!aqu127</f>
        <v>#NAME?</v>
      </c>
      <c r="E126" s="0" t="e">
        <f aca="false">sheet1!aqv127</f>
        <v>#NAME?</v>
      </c>
      <c r="F126" s="0" t="e">
        <f aca="false">sheet1!aqw127</f>
        <v>#NAME?</v>
      </c>
      <c r="G126" s="0" t="e">
        <f aca="false">sheet1!aqx127</f>
        <v>#NAME?</v>
      </c>
      <c r="H126" s="0" t="e">
        <f aca="false">sheet1!aqy127</f>
        <v>#NAME?</v>
      </c>
      <c r="I126" s="0" t="e">
        <f aca="false">sheet1!aqz127</f>
        <v>#NAME?</v>
      </c>
      <c r="J126" s="0" t="e">
        <f aca="false">sheet1!ara127</f>
        <v>#NAME?</v>
      </c>
      <c r="K126" s="0" t="e">
        <f aca="false">sheet1!arb127</f>
        <v>#NAME?</v>
      </c>
      <c r="L126" s="0" t="e">
        <f aca="false">sheet1!arc127</f>
        <v>#NAME?</v>
      </c>
      <c r="M126" s="0" t="e">
        <f aca="false">sheet1!ard127</f>
        <v>#NAME?</v>
      </c>
    </row>
    <row r="127" customFormat="false" ht="13.5" hidden="false" customHeight="false" outlineLevel="0" collapsed="false">
      <c r="A127" s="0" t="s">
        <v>83</v>
      </c>
      <c r="B127" s="1" t="n">
        <v>43987</v>
      </c>
      <c r="C127" s="0" t="e">
        <f aca="false">sheet1!aqt128</f>
        <v>#NAME?</v>
      </c>
      <c r="D127" s="0" t="e">
        <f aca="false">sheet1!aqu128</f>
        <v>#NAME?</v>
      </c>
      <c r="E127" s="0" t="e">
        <f aca="false">sheet1!aqv128</f>
        <v>#NAME?</v>
      </c>
      <c r="F127" s="0" t="e">
        <f aca="false">sheet1!aqw128</f>
        <v>#NAME?</v>
      </c>
      <c r="G127" s="0" t="e">
        <f aca="false">sheet1!aqx128</f>
        <v>#NAME?</v>
      </c>
      <c r="H127" s="0" t="e">
        <f aca="false">sheet1!aqy128</f>
        <v>#NAME?</v>
      </c>
      <c r="I127" s="0" t="e">
        <f aca="false">sheet1!aqz128</f>
        <v>#NAME?</v>
      </c>
      <c r="J127" s="0" t="e">
        <f aca="false">sheet1!ara128</f>
        <v>#NAME?</v>
      </c>
      <c r="K127" s="0" t="e">
        <f aca="false">sheet1!arb128</f>
        <v>#NAME?</v>
      </c>
      <c r="L127" s="0" t="e">
        <f aca="false">sheet1!arc128</f>
        <v>#NAME?</v>
      </c>
      <c r="M127" s="0" t="e">
        <f aca="false">sheet1!ard128</f>
        <v>#NAME?</v>
      </c>
    </row>
    <row r="128" customFormat="false" ht="13.5" hidden="false" customHeight="false" outlineLevel="0" collapsed="false">
      <c r="A128" s="0" t="s">
        <v>83</v>
      </c>
      <c r="B128" s="1" t="n">
        <v>43988</v>
      </c>
      <c r="C128" s="0" t="e">
        <f aca="false">sheet1!aqt129</f>
        <v>#NAME?</v>
      </c>
      <c r="D128" s="0" t="e">
        <f aca="false">sheet1!aqu129</f>
        <v>#NAME?</v>
      </c>
      <c r="E128" s="0" t="e">
        <f aca="false">sheet1!aqv129</f>
        <v>#NAME?</v>
      </c>
      <c r="F128" s="0" t="e">
        <f aca="false">sheet1!aqw129</f>
        <v>#NAME?</v>
      </c>
      <c r="G128" s="0" t="e">
        <f aca="false">sheet1!aqx129</f>
        <v>#NAME?</v>
      </c>
      <c r="H128" s="0" t="e">
        <f aca="false">sheet1!aqy129</f>
        <v>#NAME?</v>
      </c>
      <c r="I128" s="0" t="e">
        <f aca="false">sheet1!aqz129</f>
        <v>#NAME?</v>
      </c>
      <c r="J128" s="0" t="e">
        <f aca="false">sheet1!ara129</f>
        <v>#NAME?</v>
      </c>
      <c r="K128" s="0" t="e">
        <f aca="false">sheet1!arb129</f>
        <v>#NAME?</v>
      </c>
      <c r="L128" s="0" t="e">
        <f aca="false">sheet1!arc129</f>
        <v>#NAME?</v>
      </c>
      <c r="M128" s="0" t="e">
        <f aca="false">sheet1!ard129</f>
        <v>#NAME?</v>
      </c>
    </row>
    <row r="129" customFormat="false" ht="13.5" hidden="false" customHeight="false" outlineLevel="0" collapsed="false">
      <c r="A129" s="0" t="s">
        <v>83</v>
      </c>
      <c r="B129" s="1" t="n">
        <v>43989</v>
      </c>
      <c r="C129" s="0" t="e">
        <f aca="false">sheet1!aqt130</f>
        <v>#NAME?</v>
      </c>
      <c r="D129" s="0" t="e">
        <f aca="false">sheet1!aqu130</f>
        <v>#NAME?</v>
      </c>
      <c r="E129" s="0" t="e">
        <f aca="false">sheet1!aqv130</f>
        <v>#NAME?</v>
      </c>
      <c r="F129" s="0" t="e">
        <f aca="false">sheet1!aqw130</f>
        <v>#NAME?</v>
      </c>
      <c r="G129" s="0" t="e">
        <f aca="false">sheet1!aqx130</f>
        <v>#NAME?</v>
      </c>
      <c r="H129" s="0" t="e">
        <f aca="false">sheet1!aqy130</f>
        <v>#NAME?</v>
      </c>
      <c r="I129" s="0" t="e">
        <f aca="false">sheet1!aqz130</f>
        <v>#NAME?</v>
      </c>
      <c r="J129" s="0" t="e">
        <f aca="false">sheet1!ara130</f>
        <v>#NAME?</v>
      </c>
      <c r="K129" s="0" t="e">
        <f aca="false">sheet1!arb130</f>
        <v>#NAME?</v>
      </c>
      <c r="L129" s="0" t="e">
        <f aca="false">sheet1!arc130</f>
        <v>#NAME?</v>
      </c>
      <c r="M129" s="0" t="e">
        <f aca="false">sheet1!ard130</f>
        <v>#NAME?</v>
      </c>
    </row>
    <row r="130" customFormat="false" ht="13.5" hidden="false" customHeight="false" outlineLevel="0" collapsed="false">
      <c r="A130" s="0" t="s">
        <v>83</v>
      </c>
      <c r="B130" s="1" t="n">
        <v>43990</v>
      </c>
      <c r="C130" s="0" t="e">
        <f aca="false">sheet1!aqt131</f>
        <v>#NAME?</v>
      </c>
      <c r="D130" s="0" t="e">
        <f aca="false">sheet1!aqu131</f>
        <v>#NAME?</v>
      </c>
      <c r="E130" s="0" t="e">
        <f aca="false">sheet1!aqv131</f>
        <v>#NAME?</v>
      </c>
      <c r="F130" s="0" t="e">
        <f aca="false">sheet1!aqw131</f>
        <v>#NAME?</v>
      </c>
      <c r="G130" s="0" t="e">
        <f aca="false">sheet1!aqx131</f>
        <v>#NAME?</v>
      </c>
      <c r="H130" s="0" t="e">
        <f aca="false">sheet1!aqy131</f>
        <v>#NAME?</v>
      </c>
      <c r="I130" s="0" t="e">
        <f aca="false">sheet1!aqz131</f>
        <v>#NAME?</v>
      </c>
      <c r="J130" s="0" t="e">
        <f aca="false">sheet1!ara131</f>
        <v>#NAME?</v>
      </c>
      <c r="K130" s="0" t="e">
        <f aca="false">sheet1!arb131</f>
        <v>#NAME?</v>
      </c>
      <c r="L130" s="0" t="e">
        <f aca="false">sheet1!arc131</f>
        <v>#NAME?</v>
      </c>
      <c r="M130" s="0" t="e">
        <f aca="false">sheet1!ard131</f>
        <v>#NAME?</v>
      </c>
    </row>
    <row r="131" customFormat="false" ht="13.5" hidden="false" customHeight="false" outlineLevel="0" collapsed="false">
      <c r="A131" s="0" t="s">
        <v>83</v>
      </c>
      <c r="B131" s="1" t="n">
        <v>43991</v>
      </c>
      <c r="C131" s="0" t="e">
        <f aca="false">sheet1!aqt132</f>
        <v>#NAME?</v>
      </c>
      <c r="D131" s="0" t="e">
        <f aca="false">sheet1!aqu132</f>
        <v>#NAME?</v>
      </c>
      <c r="E131" s="0" t="e">
        <f aca="false">sheet1!aqv132</f>
        <v>#NAME?</v>
      </c>
      <c r="F131" s="0" t="e">
        <f aca="false">sheet1!aqw132</f>
        <v>#NAME?</v>
      </c>
      <c r="G131" s="0" t="e">
        <f aca="false">sheet1!aqx132</f>
        <v>#NAME?</v>
      </c>
      <c r="H131" s="0" t="e">
        <f aca="false">sheet1!aqy132</f>
        <v>#NAME?</v>
      </c>
      <c r="I131" s="0" t="e">
        <f aca="false">sheet1!aqz132</f>
        <v>#NAME?</v>
      </c>
      <c r="J131" s="0" t="e">
        <f aca="false">sheet1!ara132</f>
        <v>#NAME?</v>
      </c>
      <c r="K131" s="0" t="e">
        <f aca="false">sheet1!arb132</f>
        <v>#NAME?</v>
      </c>
      <c r="L131" s="0" t="e">
        <f aca="false">sheet1!arc132</f>
        <v>#NAME?</v>
      </c>
      <c r="M131" s="0" t="e">
        <f aca="false">sheet1!ard132</f>
        <v>#NAME?</v>
      </c>
    </row>
    <row r="132" customFormat="false" ht="13.5" hidden="false" customHeight="false" outlineLevel="0" collapsed="false">
      <c r="A132" s="0" t="s">
        <v>83</v>
      </c>
      <c r="B132" s="1" t="n">
        <v>43992</v>
      </c>
      <c r="C132" s="0" t="e">
        <f aca="false">sheet1!aqt133</f>
        <v>#NAME?</v>
      </c>
      <c r="D132" s="0" t="e">
        <f aca="false">sheet1!aqu133</f>
        <v>#NAME?</v>
      </c>
      <c r="E132" s="0" t="e">
        <f aca="false">sheet1!aqv133</f>
        <v>#NAME?</v>
      </c>
      <c r="F132" s="0" t="e">
        <f aca="false">sheet1!aqw133</f>
        <v>#NAME?</v>
      </c>
      <c r="G132" s="0" t="e">
        <f aca="false">sheet1!aqx133</f>
        <v>#NAME?</v>
      </c>
      <c r="H132" s="0" t="e">
        <f aca="false">sheet1!aqy133</f>
        <v>#NAME?</v>
      </c>
      <c r="I132" s="0" t="e">
        <f aca="false">sheet1!aqz133</f>
        <v>#NAME?</v>
      </c>
      <c r="J132" s="0" t="e">
        <f aca="false">sheet1!ara133</f>
        <v>#NAME?</v>
      </c>
      <c r="K132" s="0" t="e">
        <f aca="false">sheet1!arb133</f>
        <v>#NAME?</v>
      </c>
      <c r="L132" s="0" t="e">
        <f aca="false">sheet1!arc133</f>
        <v>#NAME?</v>
      </c>
      <c r="M132" s="0" t="e">
        <f aca="false">sheet1!ard133</f>
        <v>#NAME?</v>
      </c>
    </row>
    <row r="133" customFormat="false" ht="13.5" hidden="false" customHeight="false" outlineLevel="0" collapsed="false">
      <c r="A133" s="0" t="s">
        <v>83</v>
      </c>
      <c r="B133" s="1" t="n">
        <v>43993</v>
      </c>
      <c r="C133" s="0" t="e">
        <f aca="false">sheet1!aqt134</f>
        <v>#NAME?</v>
      </c>
      <c r="D133" s="0" t="e">
        <f aca="false">sheet1!aqu134</f>
        <v>#NAME?</v>
      </c>
      <c r="E133" s="0" t="e">
        <f aca="false">sheet1!aqv134</f>
        <v>#NAME?</v>
      </c>
      <c r="F133" s="0" t="e">
        <f aca="false">sheet1!aqw134</f>
        <v>#NAME?</v>
      </c>
      <c r="G133" s="0" t="e">
        <f aca="false">sheet1!aqx134</f>
        <v>#NAME?</v>
      </c>
      <c r="H133" s="0" t="e">
        <f aca="false">sheet1!aqy134</f>
        <v>#NAME?</v>
      </c>
      <c r="I133" s="0" t="e">
        <f aca="false">sheet1!aqz134</f>
        <v>#NAME?</v>
      </c>
      <c r="J133" s="0" t="e">
        <f aca="false">sheet1!ara134</f>
        <v>#NAME?</v>
      </c>
      <c r="K133" s="0" t="e">
        <f aca="false">sheet1!arb134</f>
        <v>#NAME?</v>
      </c>
      <c r="L133" s="0" t="e">
        <f aca="false">sheet1!arc134</f>
        <v>#NAME?</v>
      </c>
      <c r="M133" s="0" t="e">
        <f aca="false">sheet1!ard134</f>
        <v>#NAME?</v>
      </c>
    </row>
    <row r="134" customFormat="false" ht="13.5" hidden="false" customHeight="false" outlineLevel="0" collapsed="false">
      <c r="A134" s="0" t="s">
        <v>83</v>
      </c>
      <c r="B134" s="1" t="n">
        <v>43994</v>
      </c>
      <c r="C134" s="0" t="e">
        <f aca="false">sheet1!aqt135</f>
        <v>#NAME?</v>
      </c>
      <c r="D134" s="0" t="e">
        <f aca="false">sheet1!aqu135</f>
        <v>#NAME?</v>
      </c>
      <c r="E134" s="0" t="e">
        <f aca="false">sheet1!aqv135</f>
        <v>#NAME?</v>
      </c>
      <c r="F134" s="0" t="e">
        <f aca="false">sheet1!aqw135</f>
        <v>#NAME?</v>
      </c>
      <c r="G134" s="0" t="e">
        <f aca="false">sheet1!aqx135</f>
        <v>#NAME?</v>
      </c>
      <c r="H134" s="0" t="e">
        <f aca="false">sheet1!aqy135</f>
        <v>#NAME?</v>
      </c>
      <c r="I134" s="0" t="e">
        <f aca="false">sheet1!aqz135</f>
        <v>#NAME?</v>
      </c>
      <c r="J134" s="0" t="e">
        <f aca="false">sheet1!ara135</f>
        <v>#NAME?</v>
      </c>
      <c r="K134" s="0" t="e">
        <f aca="false">sheet1!arb135</f>
        <v>#NAME?</v>
      </c>
      <c r="L134" s="0" t="e">
        <f aca="false">sheet1!arc135</f>
        <v>#NAME?</v>
      </c>
      <c r="M134" s="0" t="e">
        <f aca="false">sheet1!ard135</f>
        <v>#NAME?</v>
      </c>
    </row>
    <row r="135" customFormat="false" ht="13.5" hidden="false" customHeight="false" outlineLevel="0" collapsed="false">
      <c r="A135" s="0" t="s">
        <v>83</v>
      </c>
      <c r="B135" s="1" t="n">
        <v>43995</v>
      </c>
      <c r="C135" s="0" t="e">
        <f aca="false">sheet1!aqt136</f>
        <v>#NAME?</v>
      </c>
      <c r="D135" s="0" t="e">
        <f aca="false">sheet1!aqu136</f>
        <v>#NAME?</v>
      </c>
      <c r="E135" s="0" t="e">
        <f aca="false">sheet1!aqv136</f>
        <v>#NAME?</v>
      </c>
      <c r="F135" s="0" t="e">
        <f aca="false">sheet1!aqw136</f>
        <v>#NAME?</v>
      </c>
      <c r="G135" s="0" t="e">
        <f aca="false">sheet1!aqx136</f>
        <v>#NAME?</v>
      </c>
      <c r="H135" s="0" t="e">
        <f aca="false">sheet1!aqy136</f>
        <v>#NAME?</v>
      </c>
      <c r="I135" s="0" t="e">
        <f aca="false">sheet1!aqz136</f>
        <v>#NAME?</v>
      </c>
      <c r="J135" s="0" t="e">
        <f aca="false">sheet1!ara136</f>
        <v>#NAME?</v>
      </c>
      <c r="K135" s="0" t="e">
        <f aca="false">sheet1!arb136</f>
        <v>#NAME?</v>
      </c>
      <c r="L135" s="0" t="e">
        <f aca="false">sheet1!arc136</f>
        <v>#NAME?</v>
      </c>
      <c r="M135" s="0" t="e">
        <f aca="false">sheet1!ard136</f>
        <v>#NAME?</v>
      </c>
    </row>
    <row r="136" customFormat="false" ht="13.5" hidden="false" customHeight="false" outlineLevel="0" collapsed="false">
      <c r="A136" s="0" t="s">
        <v>83</v>
      </c>
      <c r="B136" s="1" t="n">
        <v>43996</v>
      </c>
      <c r="C136" s="0" t="e">
        <f aca="false">sheet1!aqt137</f>
        <v>#NAME?</v>
      </c>
      <c r="D136" s="0" t="e">
        <f aca="false">sheet1!aqu137</f>
        <v>#NAME?</v>
      </c>
      <c r="E136" s="0" t="e">
        <f aca="false">sheet1!aqv137</f>
        <v>#NAME?</v>
      </c>
      <c r="F136" s="0" t="e">
        <f aca="false">sheet1!aqw137</f>
        <v>#NAME?</v>
      </c>
      <c r="G136" s="0" t="e">
        <f aca="false">sheet1!aqx137</f>
        <v>#NAME?</v>
      </c>
      <c r="H136" s="0" t="e">
        <f aca="false">sheet1!aqy137</f>
        <v>#NAME?</v>
      </c>
      <c r="I136" s="0" t="e">
        <f aca="false">sheet1!aqz137</f>
        <v>#NAME?</v>
      </c>
      <c r="J136" s="0" t="e">
        <f aca="false">sheet1!ara137</f>
        <v>#NAME?</v>
      </c>
      <c r="K136" s="0" t="e">
        <f aca="false">sheet1!arb137</f>
        <v>#NAME?</v>
      </c>
      <c r="L136" s="0" t="e">
        <f aca="false">sheet1!arc137</f>
        <v>#NAME?</v>
      </c>
      <c r="M136" s="0" t="e">
        <f aca="false">sheet1!ard137</f>
        <v>#NAME?</v>
      </c>
    </row>
    <row r="137" customFormat="false" ht="13.5" hidden="false" customHeight="false" outlineLevel="0" collapsed="false">
      <c r="A137" s="0" t="s">
        <v>83</v>
      </c>
      <c r="B137" s="1" t="n">
        <v>43997</v>
      </c>
      <c r="C137" s="0" t="e">
        <f aca="false">sheet1!aqt138</f>
        <v>#NAME?</v>
      </c>
      <c r="D137" s="0" t="e">
        <f aca="false">sheet1!aqu138</f>
        <v>#NAME?</v>
      </c>
      <c r="E137" s="0" t="e">
        <f aca="false">sheet1!aqv138</f>
        <v>#NAME?</v>
      </c>
      <c r="F137" s="0" t="e">
        <f aca="false">sheet1!aqw138</f>
        <v>#NAME?</v>
      </c>
      <c r="G137" s="0" t="e">
        <f aca="false">sheet1!aqx138</f>
        <v>#NAME?</v>
      </c>
      <c r="H137" s="0" t="e">
        <f aca="false">sheet1!aqy138</f>
        <v>#NAME?</v>
      </c>
      <c r="I137" s="0" t="e">
        <f aca="false">sheet1!aqz138</f>
        <v>#NAME?</v>
      </c>
      <c r="J137" s="0" t="e">
        <f aca="false">sheet1!ara138</f>
        <v>#NAME?</v>
      </c>
      <c r="K137" s="0" t="e">
        <f aca="false">sheet1!arb138</f>
        <v>#NAME?</v>
      </c>
      <c r="L137" s="0" t="e">
        <f aca="false">sheet1!arc138</f>
        <v>#NAME?</v>
      </c>
      <c r="M137" s="0" t="e">
        <f aca="false">sheet1!ard138</f>
        <v>#NAME?</v>
      </c>
    </row>
    <row r="138" customFormat="false" ht="13.5" hidden="false" customHeight="false" outlineLevel="0" collapsed="false">
      <c r="A138" s="0" t="s">
        <v>83</v>
      </c>
      <c r="B138" s="1" t="n">
        <v>43998</v>
      </c>
      <c r="C138" s="0" t="e">
        <f aca="false">sheet1!aqt139</f>
        <v>#NAME?</v>
      </c>
      <c r="D138" s="0" t="e">
        <f aca="false">sheet1!aqu139</f>
        <v>#NAME?</v>
      </c>
      <c r="E138" s="0" t="e">
        <f aca="false">sheet1!aqv139</f>
        <v>#NAME?</v>
      </c>
      <c r="F138" s="0" t="e">
        <f aca="false">sheet1!aqw139</f>
        <v>#NAME?</v>
      </c>
      <c r="G138" s="0" t="e">
        <f aca="false">sheet1!aqx139</f>
        <v>#NAME?</v>
      </c>
      <c r="H138" s="0" t="e">
        <f aca="false">sheet1!aqy139</f>
        <v>#NAME?</v>
      </c>
      <c r="I138" s="0" t="e">
        <f aca="false">sheet1!aqz139</f>
        <v>#NAME?</v>
      </c>
      <c r="J138" s="0" t="e">
        <f aca="false">sheet1!ara139</f>
        <v>#NAME?</v>
      </c>
      <c r="K138" s="0" t="e">
        <f aca="false">sheet1!arb139</f>
        <v>#NAME?</v>
      </c>
      <c r="L138" s="0" t="e">
        <f aca="false">sheet1!arc139</f>
        <v>#NAME?</v>
      </c>
      <c r="M138" s="0" t="e">
        <f aca="false">sheet1!ard139</f>
        <v>#NAME?</v>
      </c>
    </row>
    <row r="139" customFormat="false" ht="13.5" hidden="false" customHeight="false" outlineLevel="0" collapsed="false">
      <c r="A139" s="0" t="s">
        <v>83</v>
      </c>
      <c r="B139" s="1" t="n">
        <v>43999</v>
      </c>
      <c r="C139" s="0" t="e">
        <f aca="false">sheet1!aqt140</f>
        <v>#NAME?</v>
      </c>
      <c r="D139" s="0" t="e">
        <f aca="false">sheet1!aqu140</f>
        <v>#NAME?</v>
      </c>
      <c r="E139" s="0" t="e">
        <f aca="false">sheet1!aqv140</f>
        <v>#NAME?</v>
      </c>
      <c r="F139" s="0" t="e">
        <f aca="false">sheet1!aqw140</f>
        <v>#NAME?</v>
      </c>
      <c r="G139" s="0" t="e">
        <f aca="false">sheet1!aqx140</f>
        <v>#NAME?</v>
      </c>
      <c r="H139" s="0" t="e">
        <f aca="false">sheet1!aqy140</f>
        <v>#NAME?</v>
      </c>
      <c r="I139" s="0" t="e">
        <f aca="false">sheet1!aqz140</f>
        <v>#NAME?</v>
      </c>
      <c r="J139" s="0" t="e">
        <f aca="false">sheet1!ara140</f>
        <v>#NAME?</v>
      </c>
      <c r="K139" s="0" t="e">
        <f aca="false">sheet1!arb140</f>
        <v>#NAME?</v>
      </c>
      <c r="L139" s="0" t="e">
        <f aca="false">sheet1!arc140</f>
        <v>#NAME?</v>
      </c>
      <c r="M139" s="0" t="e">
        <f aca="false">sheet1!ard140</f>
        <v>#NAME?</v>
      </c>
    </row>
    <row r="140" customFormat="false" ht="13.5" hidden="false" customHeight="false" outlineLevel="0" collapsed="false">
      <c r="A140" s="0" t="s">
        <v>83</v>
      </c>
      <c r="B140" s="1" t="n">
        <v>44000</v>
      </c>
      <c r="C140" s="0" t="e">
        <f aca="false">sheet1!aqt141</f>
        <v>#NAME?</v>
      </c>
      <c r="D140" s="0" t="e">
        <f aca="false">sheet1!aqu141</f>
        <v>#NAME?</v>
      </c>
      <c r="E140" s="0" t="e">
        <f aca="false">sheet1!aqv141</f>
        <v>#NAME?</v>
      </c>
      <c r="F140" s="0" t="e">
        <f aca="false">sheet1!aqw141</f>
        <v>#NAME?</v>
      </c>
      <c r="G140" s="0" t="e">
        <f aca="false">sheet1!aqx141</f>
        <v>#NAME?</v>
      </c>
      <c r="H140" s="0" t="e">
        <f aca="false">sheet1!aqy141</f>
        <v>#NAME?</v>
      </c>
      <c r="I140" s="0" t="e">
        <f aca="false">sheet1!aqz141</f>
        <v>#NAME?</v>
      </c>
      <c r="J140" s="0" t="e">
        <f aca="false">sheet1!ara141</f>
        <v>#NAME?</v>
      </c>
      <c r="K140" s="0" t="e">
        <f aca="false">sheet1!arb141</f>
        <v>#NAME?</v>
      </c>
      <c r="L140" s="0" t="e">
        <f aca="false">sheet1!arc141</f>
        <v>#NAME?</v>
      </c>
      <c r="M140" s="0" t="e">
        <f aca="false">sheet1!ard141</f>
        <v>#NAME?</v>
      </c>
    </row>
    <row r="141" customFormat="false" ht="13.5" hidden="false" customHeight="false" outlineLevel="0" collapsed="false">
      <c r="A141" s="0" t="s">
        <v>83</v>
      </c>
      <c r="B141" s="1" t="n">
        <v>44001</v>
      </c>
      <c r="C141" s="0" t="e">
        <f aca="false">sheet1!aqt142</f>
        <v>#NAME?</v>
      </c>
      <c r="D141" s="0" t="e">
        <f aca="false">sheet1!aqu142</f>
        <v>#NAME?</v>
      </c>
      <c r="E141" s="0" t="e">
        <f aca="false">sheet1!aqv142</f>
        <v>#NAME?</v>
      </c>
      <c r="F141" s="0" t="e">
        <f aca="false">sheet1!aqw142</f>
        <v>#NAME?</v>
      </c>
      <c r="G141" s="0" t="e">
        <f aca="false">sheet1!aqx142</f>
        <v>#NAME?</v>
      </c>
      <c r="H141" s="0" t="e">
        <f aca="false">sheet1!aqy142</f>
        <v>#NAME?</v>
      </c>
      <c r="I141" s="0" t="e">
        <f aca="false">sheet1!aqz142</f>
        <v>#NAME?</v>
      </c>
      <c r="J141" s="0" t="e">
        <f aca="false">sheet1!ara142</f>
        <v>#NAME?</v>
      </c>
      <c r="K141" s="0" t="e">
        <f aca="false">sheet1!arb142</f>
        <v>#NAME?</v>
      </c>
      <c r="L141" s="0" t="e">
        <f aca="false">sheet1!arc142</f>
        <v>#NAME?</v>
      </c>
      <c r="M141" s="0" t="e">
        <f aca="false">sheet1!ard142</f>
        <v>#NAME?</v>
      </c>
    </row>
    <row r="142" customFormat="false" ht="13.5" hidden="false" customHeight="false" outlineLevel="0" collapsed="false">
      <c r="A142" s="0" t="s">
        <v>83</v>
      </c>
      <c r="B142" s="1" t="n">
        <v>44002</v>
      </c>
      <c r="C142" s="0" t="e">
        <f aca="false">sheet1!aqt143</f>
        <v>#NAME?</v>
      </c>
      <c r="D142" s="0" t="e">
        <f aca="false">sheet1!aqu143</f>
        <v>#NAME?</v>
      </c>
      <c r="E142" s="0" t="e">
        <f aca="false">sheet1!aqv143</f>
        <v>#NAME?</v>
      </c>
      <c r="F142" s="0" t="e">
        <f aca="false">sheet1!aqw143</f>
        <v>#NAME?</v>
      </c>
      <c r="G142" s="0" t="e">
        <f aca="false">sheet1!aqx143</f>
        <v>#NAME?</v>
      </c>
      <c r="H142" s="0" t="e">
        <f aca="false">sheet1!aqy143</f>
        <v>#NAME?</v>
      </c>
      <c r="I142" s="0" t="e">
        <f aca="false">sheet1!aqz143</f>
        <v>#NAME?</v>
      </c>
      <c r="J142" s="0" t="e">
        <f aca="false">sheet1!ara143</f>
        <v>#NAME?</v>
      </c>
      <c r="K142" s="0" t="e">
        <f aca="false">sheet1!arb143</f>
        <v>#NAME?</v>
      </c>
      <c r="L142" s="0" t="e">
        <f aca="false">sheet1!arc143</f>
        <v>#NAME?</v>
      </c>
      <c r="M142" s="0" t="e">
        <f aca="false">sheet1!ard143</f>
        <v>#NAME?</v>
      </c>
    </row>
    <row r="143" customFormat="false" ht="13.5" hidden="false" customHeight="false" outlineLevel="0" collapsed="false">
      <c r="A143" s="0" t="s">
        <v>83</v>
      </c>
      <c r="B143" s="1" t="n">
        <v>44003</v>
      </c>
      <c r="C143" s="0" t="e">
        <f aca="false">sheet1!aqt144</f>
        <v>#NAME?</v>
      </c>
      <c r="D143" s="0" t="e">
        <f aca="false">sheet1!aqu144</f>
        <v>#NAME?</v>
      </c>
      <c r="E143" s="0" t="e">
        <f aca="false">sheet1!aqv144</f>
        <v>#NAME?</v>
      </c>
      <c r="F143" s="0" t="e">
        <f aca="false">sheet1!aqw144</f>
        <v>#NAME?</v>
      </c>
      <c r="G143" s="0" t="e">
        <f aca="false">sheet1!aqx144</f>
        <v>#NAME?</v>
      </c>
      <c r="H143" s="0" t="e">
        <f aca="false">sheet1!aqy144</f>
        <v>#NAME?</v>
      </c>
      <c r="I143" s="0" t="e">
        <f aca="false">sheet1!aqz144</f>
        <v>#NAME?</v>
      </c>
      <c r="J143" s="0" t="e">
        <f aca="false">sheet1!ara144</f>
        <v>#NAME?</v>
      </c>
      <c r="K143" s="0" t="e">
        <f aca="false">sheet1!arb144</f>
        <v>#NAME?</v>
      </c>
      <c r="L143" s="0" t="e">
        <f aca="false">sheet1!arc144</f>
        <v>#NAME?</v>
      </c>
      <c r="M143" s="0" t="e">
        <f aca="false">sheet1!ard144</f>
        <v>#NAME?</v>
      </c>
    </row>
    <row r="144" customFormat="false" ht="13.5" hidden="false" customHeight="false" outlineLevel="0" collapsed="false">
      <c r="A144" s="0" t="s">
        <v>83</v>
      </c>
      <c r="B144" s="1" t="n">
        <v>44004</v>
      </c>
      <c r="C144" s="0" t="e">
        <f aca="false">sheet1!aqt145</f>
        <v>#NAME?</v>
      </c>
      <c r="D144" s="0" t="e">
        <f aca="false">sheet1!aqu145</f>
        <v>#NAME?</v>
      </c>
      <c r="E144" s="0" t="e">
        <f aca="false">sheet1!aqv145</f>
        <v>#NAME?</v>
      </c>
      <c r="F144" s="0" t="e">
        <f aca="false">sheet1!aqw145</f>
        <v>#NAME?</v>
      </c>
      <c r="G144" s="0" t="e">
        <f aca="false">sheet1!aqx145</f>
        <v>#NAME?</v>
      </c>
      <c r="H144" s="0" t="e">
        <f aca="false">sheet1!aqy145</f>
        <v>#NAME?</v>
      </c>
      <c r="I144" s="0" t="e">
        <f aca="false">sheet1!aqz145</f>
        <v>#NAME?</v>
      </c>
      <c r="J144" s="0" t="e">
        <f aca="false">sheet1!ara145</f>
        <v>#NAME?</v>
      </c>
      <c r="K144" s="0" t="e">
        <f aca="false">sheet1!arb145</f>
        <v>#NAME?</v>
      </c>
      <c r="L144" s="0" t="e">
        <f aca="false">sheet1!arc145</f>
        <v>#NAME?</v>
      </c>
      <c r="M144" s="0" t="e">
        <f aca="false">sheet1!ard145</f>
        <v>#NAME?</v>
      </c>
    </row>
    <row r="145" customFormat="false" ht="13.5" hidden="false" customHeight="false" outlineLevel="0" collapsed="false">
      <c r="A145" s="0" t="s">
        <v>83</v>
      </c>
      <c r="B145" s="1" t="n">
        <v>44005</v>
      </c>
      <c r="C145" s="0" t="e">
        <f aca="false">sheet1!aqt146</f>
        <v>#NAME?</v>
      </c>
      <c r="D145" s="0" t="e">
        <f aca="false">sheet1!aqu146</f>
        <v>#NAME?</v>
      </c>
      <c r="E145" s="0" t="e">
        <f aca="false">sheet1!aqv146</f>
        <v>#NAME?</v>
      </c>
      <c r="F145" s="0" t="e">
        <f aca="false">sheet1!aqw146</f>
        <v>#NAME?</v>
      </c>
      <c r="G145" s="0" t="e">
        <f aca="false">sheet1!aqx146</f>
        <v>#NAME?</v>
      </c>
      <c r="H145" s="0" t="e">
        <f aca="false">sheet1!aqy146</f>
        <v>#NAME?</v>
      </c>
      <c r="I145" s="0" t="e">
        <f aca="false">sheet1!aqz146</f>
        <v>#NAME?</v>
      </c>
      <c r="J145" s="0" t="e">
        <f aca="false">sheet1!ara146</f>
        <v>#NAME?</v>
      </c>
      <c r="K145" s="0" t="e">
        <f aca="false">sheet1!arb146</f>
        <v>#NAME?</v>
      </c>
      <c r="L145" s="0" t="e">
        <f aca="false">sheet1!arc146</f>
        <v>#NAME?</v>
      </c>
      <c r="M145" s="0" t="e">
        <f aca="false">sheet1!ard146</f>
        <v>#NAME?</v>
      </c>
    </row>
    <row r="146" customFormat="false" ht="13.5" hidden="false" customHeight="false" outlineLevel="0" collapsed="false">
      <c r="A146" s="0" t="s">
        <v>83</v>
      </c>
      <c r="B146" s="1" t="n">
        <v>44006</v>
      </c>
      <c r="C146" s="0" t="e">
        <f aca="false">sheet1!aqt147</f>
        <v>#NAME?</v>
      </c>
      <c r="D146" s="0" t="e">
        <f aca="false">sheet1!aqu147</f>
        <v>#NAME?</v>
      </c>
      <c r="E146" s="0" t="e">
        <f aca="false">sheet1!aqv147</f>
        <v>#NAME?</v>
      </c>
      <c r="F146" s="0" t="e">
        <f aca="false">sheet1!aqw147</f>
        <v>#NAME?</v>
      </c>
      <c r="G146" s="0" t="e">
        <f aca="false">sheet1!aqx147</f>
        <v>#NAME?</v>
      </c>
      <c r="H146" s="0" t="e">
        <f aca="false">sheet1!aqy147</f>
        <v>#NAME?</v>
      </c>
      <c r="I146" s="0" t="e">
        <f aca="false">sheet1!aqz147</f>
        <v>#NAME?</v>
      </c>
      <c r="J146" s="0" t="e">
        <f aca="false">sheet1!ara147</f>
        <v>#NAME?</v>
      </c>
      <c r="K146" s="0" t="e">
        <f aca="false">sheet1!arb147</f>
        <v>#NAME?</v>
      </c>
      <c r="L146" s="0" t="e">
        <f aca="false">sheet1!arc147</f>
        <v>#NAME?</v>
      </c>
      <c r="M146" s="0" t="e">
        <f aca="false">sheet1!ard147</f>
        <v>#NAME?</v>
      </c>
    </row>
    <row r="147" customFormat="false" ht="13.5" hidden="false" customHeight="false" outlineLevel="0" collapsed="false">
      <c r="A147" s="0" t="s">
        <v>83</v>
      </c>
      <c r="B147" s="1" t="n">
        <v>44007</v>
      </c>
      <c r="C147" s="0" t="e">
        <f aca="false">sheet1!aqt148</f>
        <v>#NAME?</v>
      </c>
      <c r="D147" s="0" t="e">
        <f aca="false">sheet1!aqu148</f>
        <v>#NAME?</v>
      </c>
      <c r="E147" s="0" t="e">
        <f aca="false">sheet1!aqv148</f>
        <v>#NAME?</v>
      </c>
      <c r="F147" s="0" t="e">
        <f aca="false">sheet1!aqw148</f>
        <v>#NAME?</v>
      </c>
      <c r="G147" s="0" t="e">
        <f aca="false">sheet1!aqx148</f>
        <v>#NAME?</v>
      </c>
      <c r="H147" s="0" t="e">
        <f aca="false">sheet1!aqy148</f>
        <v>#NAME?</v>
      </c>
      <c r="I147" s="0" t="e">
        <f aca="false">sheet1!aqz148</f>
        <v>#NAME?</v>
      </c>
      <c r="J147" s="0" t="e">
        <f aca="false">sheet1!ara148</f>
        <v>#NAME?</v>
      </c>
      <c r="K147" s="0" t="e">
        <f aca="false">sheet1!arb148</f>
        <v>#NAME?</v>
      </c>
      <c r="L147" s="0" t="e">
        <f aca="false">sheet1!arc148</f>
        <v>#NAME?</v>
      </c>
      <c r="M147" s="0" t="e">
        <f aca="false">sheet1!ard148</f>
        <v>#NAME?</v>
      </c>
    </row>
    <row r="148" customFormat="false" ht="13.5" hidden="false" customHeight="false" outlineLevel="0" collapsed="false">
      <c r="A148" s="0" t="s">
        <v>83</v>
      </c>
      <c r="B148" s="1" t="n">
        <v>44008</v>
      </c>
      <c r="C148" s="0" t="e">
        <f aca="false">sheet1!aqt149</f>
        <v>#NAME?</v>
      </c>
      <c r="D148" s="0" t="e">
        <f aca="false">sheet1!aqu149</f>
        <v>#NAME?</v>
      </c>
      <c r="E148" s="0" t="e">
        <f aca="false">sheet1!aqv149</f>
        <v>#NAME?</v>
      </c>
      <c r="F148" s="0" t="e">
        <f aca="false">sheet1!aqw149</f>
        <v>#NAME?</v>
      </c>
      <c r="G148" s="0" t="e">
        <f aca="false">sheet1!aqx149</f>
        <v>#NAME?</v>
      </c>
      <c r="H148" s="0" t="e">
        <f aca="false">sheet1!aqy149</f>
        <v>#NAME?</v>
      </c>
      <c r="I148" s="0" t="e">
        <f aca="false">sheet1!aqz149</f>
        <v>#NAME?</v>
      </c>
      <c r="J148" s="0" t="e">
        <f aca="false">sheet1!ara149</f>
        <v>#NAME?</v>
      </c>
      <c r="K148" s="0" t="e">
        <f aca="false">sheet1!arb149</f>
        <v>#NAME?</v>
      </c>
      <c r="L148" s="0" t="e">
        <f aca="false">sheet1!arc149</f>
        <v>#NAME?</v>
      </c>
      <c r="M148" s="0" t="e">
        <f aca="false">sheet1!ard149</f>
        <v>#NAME?</v>
      </c>
    </row>
    <row r="149" customFormat="false" ht="13.5" hidden="false" customHeight="false" outlineLevel="0" collapsed="false">
      <c r="A149" s="0" t="s">
        <v>83</v>
      </c>
      <c r="B149" s="1" t="n">
        <v>44009</v>
      </c>
      <c r="C149" s="0" t="e">
        <f aca="false">sheet1!aqt150</f>
        <v>#NAME?</v>
      </c>
      <c r="D149" s="0" t="e">
        <f aca="false">sheet1!aqu150</f>
        <v>#NAME?</v>
      </c>
      <c r="E149" s="0" t="e">
        <f aca="false">sheet1!aqv150</f>
        <v>#NAME?</v>
      </c>
      <c r="F149" s="0" t="e">
        <f aca="false">sheet1!aqw150</f>
        <v>#NAME?</v>
      </c>
      <c r="G149" s="0" t="e">
        <f aca="false">sheet1!aqx150</f>
        <v>#NAME?</v>
      </c>
      <c r="H149" s="0" t="e">
        <f aca="false">sheet1!aqy150</f>
        <v>#NAME?</v>
      </c>
      <c r="I149" s="0" t="e">
        <f aca="false">sheet1!aqz150</f>
        <v>#NAME?</v>
      </c>
      <c r="J149" s="0" t="e">
        <f aca="false">sheet1!ara150</f>
        <v>#NAME?</v>
      </c>
      <c r="K149" s="0" t="e">
        <f aca="false">sheet1!arb150</f>
        <v>#NAME?</v>
      </c>
      <c r="L149" s="0" t="e">
        <f aca="false">sheet1!arc150</f>
        <v>#NAME?</v>
      </c>
      <c r="M149" s="0" t="e">
        <f aca="false">sheet1!ard150</f>
        <v>#NAME?</v>
      </c>
    </row>
    <row r="150" customFormat="false" ht="13.5" hidden="false" customHeight="false" outlineLevel="0" collapsed="false">
      <c r="A150" s="0" t="s">
        <v>83</v>
      </c>
      <c r="B150" s="1" t="n">
        <v>44010</v>
      </c>
      <c r="C150" s="0" t="e">
        <f aca="false">sheet1!aqt151</f>
        <v>#NAME?</v>
      </c>
      <c r="D150" s="0" t="e">
        <f aca="false">sheet1!aqu151</f>
        <v>#NAME?</v>
      </c>
      <c r="E150" s="0" t="e">
        <f aca="false">sheet1!aqv151</f>
        <v>#NAME?</v>
      </c>
      <c r="F150" s="0" t="e">
        <f aca="false">sheet1!aqw151</f>
        <v>#NAME?</v>
      </c>
      <c r="G150" s="0" t="e">
        <f aca="false">sheet1!aqx151</f>
        <v>#NAME?</v>
      </c>
      <c r="H150" s="0" t="e">
        <f aca="false">sheet1!aqy151</f>
        <v>#NAME?</v>
      </c>
      <c r="I150" s="0" t="e">
        <f aca="false">sheet1!aqz151</f>
        <v>#NAME?</v>
      </c>
      <c r="J150" s="0" t="e">
        <f aca="false">sheet1!ara151</f>
        <v>#NAME?</v>
      </c>
      <c r="K150" s="0" t="e">
        <f aca="false">sheet1!arb151</f>
        <v>#NAME?</v>
      </c>
      <c r="L150" s="0" t="e">
        <f aca="false">sheet1!arc151</f>
        <v>#NAME?</v>
      </c>
      <c r="M150" s="0" t="e">
        <f aca="false">sheet1!ard151</f>
        <v>#NAME?</v>
      </c>
    </row>
    <row r="151" customFormat="false" ht="13.5" hidden="false" customHeight="false" outlineLevel="0" collapsed="false">
      <c r="A151" s="0" t="s">
        <v>83</v>
      </c>
      <c r="B151" s="1" t="n">
        <v>44011</v>
      </c>
      <c r="C151" s="0" t="e">
        <f aca="false">sheet1!aqt152</f>
        <v>#NAME?</v>
      </c>
      <c r="D151" s="0" t="e">
        <f aca="false">sheet1!aqu152</f>
        <v>#NAME?</v>
      </c>
      <c r="E151" s="0" t="e">
        <f aca="false">sheet1!aqv152</f>
        <v>#NAME?</v>
      </c>
      <c r="F151" s="0" t="e">
        <f aca="false">sheet1!aqw152</f>
        <v>#NAME?</v>
      </c>
      <c r="G151" s="0" t="e">
        <f aca="false">sheet1!aqx152</f>
        <v>#NAME?</v>
      </c>
      <c r="H151" s="0" t="e">
        <f aca="false">sheet1!aqy152</f>
        <v>#NAME?</v>
      </c>
      <c r="I151" s="0" t="e">
        <f aca="false">sheet1!aqz152</f>
        <v>#NAME?</v>
      </c>
      <c r="J151" s="0" t="e">
        <f aca="false">sheet1!ara152</f>
        <v>#NAME?</v>
      </c>
      <c r="K151" s="0" t="e">
        <f aca="false">sheet1!arb152</f>
        <v>#NAME?</v>
      </c>
      <c r="L151" s="0" t="e">
        <f aca="false">sheet1!arc152</f>
        <v>#NAME?</v>
      </c>
      <c r="M151" s="0" t="e">
        <f aca="false">sheet1!ard152</f>
        <v>#NAME?</v>
      </c>
    </row>
    <row r="152" customFormat="false" ht="13.5" hidden="false" customHeight="false" outlineLevel="0" collapsed="false">
      <c r="A152" s="0" t="s">
        <v>83</v>
      </c>
      <c r="B152" s="1" t="n">
        <v>44012</v>
      </c>
      <c r="C152" s="0" t="e">
        <f aca="false">sheet1!aqt153</f>
        <v>#NAME?</v>
      </c>
      <c r="D152" s="0" t="e">
        <f aca="false">sheet1!aqu153</f>
        <v>#NAME?</v>
      </c>
      <c r="E152" s="0" t="e">
        <f aca="false">sheet1!aqv153</f>
        <v>#NAME?</v>
      </c>
      <c r="F152" s="0" t="e">
        <f aca="false">sheet1!aqw153</f>
        <v>#NAME?</v>
      </c>
      <c r="G152" s="0" t="e">
        <f aca="false">sheet1!aqx153</f>
        <v>#NAME?</v>
      </c>
      <c r="H152" s="0" t="e">
        <f aca="false">sheet1!aqy153</f>
        <v>#NAME?</v>
      </c>
      <c r="I152" s="0" t="e">
        <f aca="false">sheet1!aqz153</f>
        <v>#NAME?</v>
      </c>
      <c r="J152" s="0" t="e">
        <f aca="false">sheet1!ara153</f>
        <v>#NAME?</v>
      </c>
      <c r="K152" s="0" t="e">
        <f aca="false">sheet1!arb153</f>
        <v>#NAME?</v>
      </c>
      <c r="L152" s="0" t="e">
        <f aca="false">sheet1!arc153</f>
        <v>#NAME?</v>
      </c>
      <c r="M152" s="0" t="e">
        <f aca="false">sheet1!ard153</f>
        <v>#NAME?</v>
      </c>
    </row>
    <row r="153" customFormat="false" ht="13.5" hidden="false" customHeight="false" outlineLevel="0" collapsed="false">
      <c r="A153" s="0" t="s">
        <v>83</v>
      </c>
      <c r="B153" s="1" t="n">
        <v>44013</v>
      </c>
      <c r="C153" s="0" t="e">
        <f aca="false">sheet1!aqt154</f>
        <v>#NAME?</v>
      </c>
      <c r="D153" s="0" t="e">
        <f aca="false">sheet1!aqu154</f>
        <v>#NAME?</v>
      </c>
      <c r="E153" s="0" t="e">
        <f aca="false">sheet1!aqv154</f>
        <v>#NAME?</v>
      </c>
      <c r="F153" s="0" t="e">
        <f aca="false">sheet1!aqw154</f>
        <v>#NAME?</v>
      </c>
      <c r="G153" s="0" t="e">
        <f aca="false">sheet1!aqx154</f>
        <v>#NAME?</v>
      </c>
      <c r="H153" s="0" t="e">
        <f aca="false">sheet1!aqy154</f>
        <v>#NAME?</v>
      </c>
      <c r="I153" s="0" t="e">
        <f aca="false">sheet1!aqz154</f>
        <v>#NAME?</v>
      </c>
      <c r="J153" s="0" t="e">
        <f aca="false">sheet1!ara154</f>
        <v>#NAME?</v>
      </c>
      <c r="K153" s="0" t="e">
        <f aca="false">sheet1!arb154</f>
        <v>#NAME?</v>
      </c>
      <c r="L153" s="0" t="e">
        <f aca="false">sheet1!arc154</f>
        <v>#NAME?</v>
      </c>
      <c r="M153" s="0" t="e">
        <f aca="false">sheet1!ard154</f>
        <v>#NAME?</v>
      </c>
    </row>
    <row r="154" customFormat="false" ht="13.5" hidden="false" customHeight="false" outlineLevel="0" collapsed="false">
      <c r="A154" s="0" t="s">
        <v>83</v>
      </c>
      <c r="B154" s="1" t="n">
        <v>44014</v>
      </c>
      <c r="C154" s="0" t="e">
        <f aca="false">sheet1!aqt155</f>
        <v>#NAME?</v>
      </c>
      <c r="D154" s="0" t="e">
        <f aca="false">sheet1!aqu155</f>
        <v>#NAME?</v>
      </c>
      <c r="E154" s="0" t="e">
        <f aca="false">sheet1!aqv155</f>
        <v>#NAME?</v>
      </c>
      <c r="F154" s="0" t="e">
        <f aca="false">sheet1!aqw155</f>
        <v>#NAME?</v>
      </c>
      <c r="G154" s="0" t="e">
        <f aca="false">sheet1!aqx155</f>
        <v>#NAME?</v>
      </c>
      <c r="H154" s="0" t="e">
        <f aca="false">sheet1!aqy155</f>
        <v>#NAME?</v>
      </c>
      <c r="I154" s="0" t="e">
        <f aca="false">sheet1!aqz155</f>
        <v>#NAME?</v>
      </c>
      <c r="J154" s="0" t="e">
        <f aca="false">sheet1!ara155</f>
        <v>#NAME?</v>
      </c>
      <c r="K154" s="0" t="e">
        <f aca="false">sheet1!arb155</f>
        <v>#NAME?</v>
      </c>
      <c r="L154" s="0" t="e">
        <f aca="false">sheet1!arc155</f>
        <v>#NAME?</v>
      </c>
      <c r="M154" s="0" t="e">
        <f aca="false">sheet1!ard155</f>
        <v>#NAME?</v>
      </c>
    </row>
    <row r="155" customFormat="false" ht="13.5" hidden="false" customHeight="false" outlineLevel="0" collapsed="false">
      <c r="A155" s="0" t="s">
        <v>83</v>
      </c>
      <c r="B155" s="1" t="n">
        <v>44015</v>
      </c>
      <c r="C155" s="0" t="e">
        <f aca="false">sheet1!aqt156</f>
        <v>#NAME?</v>
      </c>
      <c r="D155" s="0" t="e">
        <f aca="false">sheet1!aqu156</f>
        <v>#NAME?</v>
      </c>
      <c r="E155" s="0" t="e">
        <f aca="false">sheet1!aqv156</f>
        <v>#NAME?</v>
      </c>
      <c r="F155" s="0" t="e">
        <f aca="false">sheet1!aqw156</f>
        <v>#NAME?</v>
      </c>
      <c r="G155" s="0" t="e">
        <f aca="false">sheet1!aqx156</f>
        <v>#NAME?</v>
      </c>
      <c r="H155" s="0" t="e">
        <f aca="false">sheet1!aqy156</f>
        <v>#NAME?</v>
      </c>
      <c r="I155" s="0" t="e">
        <f aca="false">sheet1!aqz156</f>
        <v>#NAME?</v>
      </c>
      <c r="J155" s="0" t="e">
        <f aca="false">sheet1!ara156</f>
        <v>#NAME?</v>
      </c>
      <c r="K155" s="0" t="e">
        <f aca="false">sheet1!arb156</f>
        <v>#NAME?</v>
      </c>
      <c r="L155" s="0" t="e">
        <f aca="false">sheet1!arc156</f>
        <v>#NAME?</v>
      </c>
      <c r="M155" s="0" t="e">
        <f aca="false">sheet1!ard156</f>
        <v>#NAME?</v>
      </c>
    </row>
    <row r="156" customFormat="false" ht="13.5" hidden="false" customHeight="false" outlineLevel="0" collapsed="false">
      <c r="A156" s="0" t="s">
        <v>83</v>
      </c>
      <c r="B156" s="1" t="n">
        <v>44016</v>
      </c>
      <c r="C156" s="0" t="e">
        <f aca="false">sheet1!aqt157</f>
        <v>#NAME?</v>
      </c>
      <c r="D156" s="0" t="e">
        <f aca="false">sheet1!aqu157</f>
        <v>#NAME?</v>
      </c>
      <c r="E156" s="0" t="e">
        <f aca="false">sheet1!aqv157</f>
        <v>#NAME?</v>
      </c>
      <c r="F156" s="0" t="e">
        <f aca="false">sheet1!aqw157</f>
        <v>#NAME?</v>
      </c>
      <c r="G156" s="0" t="e">
        <f aca="false">sheet1!aqx157</f>
        <v>#NAME?</v>
      </c>
      <c r="H156" s="0" t="e">
        <f aca="false">sheet1!aqy157</f>
        <v>#NAME?</v>
      </c>
      <c r="I156" s="0" t="e">
        <f aca="false">sheet1!aqz157</f>
        <v>#NAME?</v>
      </c>
      <c r="J156" s="0" t="e">
        <f aca="false">sheet1!ara157</f>
        <v>#NAME?</v>
      </c>
      <c r="K156" s="0" t="e">
        <f aca="false">sheet1!arb157</f>
        <v>#NAME?</v>
      </c>
      <c r="L156" s="0" t="e">
        <f aca="false">sheet1!arc157</f>
        <v>#NAME?</v>
      </c>
      <c r="M156" s="0" t="e">
        <f aca="false">sheet1!ard157</f>
        <v>#NAME?</v>
      </c>
    </row>
    <row r="157" customFormat="false" ht="13.5" hidden="false" customHeight="false" outlineLevel="0" collapsed="false">
      <c r="A157" s="0" t="s">
        <v>83</v>
      </c>
      <c r="B157" s="1" t="n">
        <v>44017</v>
      </c>
      <c r="C157" s="0" t="e">
        <f aca="false">sheet1!aqt158</f>
        <v>#NAME?</v>
      </c>
      <c r="D157" s="0" t="e">
        <f aca="false">sheet1!aqu158</f>
        <v>#NAME?</v>
      </c>
      <c r="E157" s="0" t="e">
        <f aca="false">sheet1!aqv158</f>
        <v>#NAME?</v>
      </c>
      <c r="F157" s="0" t="e">
        <f aca="false">sheet1!aqw158</f>
        <v>#NAME?</v>
      </c>
      <c r="G157" s="0" t="e">
        <f aca="false">sheet1!aqx158</f>
        <v>#NAME?</v>
      </c>
      <c r="H157" s="0" t="e">
        <f aca="false">sheet1!aqy158</f>
        <v>#NAME?</v>
      </c>
      <c r="I157" s="0" t="e">
        <f aca="false">sheet1!aqz158</f>
        <v>#NAME?</v>
      </c>
      <c r="J157" s="0" t="e">
        <f aca="false">sheet1!ara158</f>
        <v>#NAME?</v>
      </c>
      <c r="K157" s="0" t="e">
        <f aca="false">sheet1!arb158</f>
        <v>#NAME?</v>
      </c>
      <c r="L157" s="0" t="e">
        <f aca="false">sheet1!arc158</f>
        <v>#NAME?</v>
      </c>
      <c r="M157" s="0" t="e">
        <f aca="false">sheet1!ard158</f>
        <v>#NAME?</v>
      </c>
    </row>
    <row r="158" customFormat="false" ht="13.5" hidden="false" customHeight="false" outlineLevel="0" collapsed="false">
      <c r="A158" s="0" t="s">
        <v>83</v>
      </c>
      <c r="B158" s="1" t="n">
        <v>44018</v>
      </c>
      <c r="C158" s="0" t="e">
        <f aca="false">sheet1!aqt159</f>
        <v>#NAME?</v>
      </c>
      <c r="D158" s="0" t="e">
        <f aca="false">sheet1!aqu159</f>
        <v>#NAME?</v>
      </c>
      <c r="E158" s="0" t="e">
        <f aca="false">sheet1!aqv159</f>
        <v>#NAME?</v>
      </c>
      <c r="F158" s="0" t="e">
        <f aca="false">sheet1!aqw159</f>
        <v>#NAME?</v>
      </c>
      <c r="G158" s="0" t="e">
        <f aca="false">sheet1!aqx159</f>
        <v>#NAME?</v>
      </c>
      <c r="H158" s="0" t="e">
        <f aca="false">sheet1!aqy159</f>
        <v>#NAME?</v>
      </c>
      <c r="I158" s="0" t="e">
        <f aca="false">sheet1!aqz159</f>
        <v>#NAME?</v>
      </c>
      <c r="J158" s="0" t="e">
        <f aca="false">sheet1!ara159</f>
        <v>#NAME?</v>
      </c>
      <c r="K158" s="0" t="e">
        <f aca="false">sheet1!arb159</f>
        <v>#NAME?</v>
      </c>
      <c r="L158" s="0" t="e">
        <f aca="false">sheet1!arc159</f>
        <v>#NAME?</v>
      </c>
      <c r="M158" s="0" t="e">
        <f aca="false">sheet1!ard159</f>
        <v>#NAME?</v>
      </c>
    </row>
    <row r="159" customFormat="false" ht="13.5" hidden="false" customHeight="false" outlineLevel="0" collapsed="false">
      <c r="A159" s="0" t="s">
        <v>83</v>
      </c>
      <c r="B159" s="1" t="n">
        <v>44019</v>
      </c>
      <c r="C159" s="0" t="e">
        <f aca="false">sheet1!aqt160</f>
        <v>#NAME?</v>
      </c>
      <c r="D159" s="0" t="e">
        <f aca="false">sheet1!aqu160</f>
        <v>#NAME?</v>
      </c>
      <c r="E159" s="0" t="e">
        <f aca="false">sheet1!aqv160</f>
        <v>#NAME?</v>
      </c>
      <c r="F159" s="0" t="e">
        <f aca="false">sheet1!aqw160</f>
        <v>#NAME?</v>
      </c>
      <c r="G159" s="0" t="e">
        <f aca="false">sheet1!aqx160</f>
        <v>#NAME?</v>
      </c>
      <c r="H159" s="0" t="e">
        <f aca="false">sheet1!aqy160</f>
        <v>#NAME?</v>
      </c>
      <c r="I159" s="0" t="e">
        <f aca="false">sheet1!aqz160</f>
        <v>#NAME?</v>
      </c>
      <c r="J159" s="0" t="e">
        <f aca="false">sheet1!ara160</f>
        <v>#NAME?</v>
      </c>
      <c r="K159" s="0" t="e">
        <f aca="false">sheet1!arb160</f>
        <v>#NAME?</v>
      </c>
      <c r="L159" s="0" t="e">
        <f aca="false">sheet1!arc160</f>
        <v>#NAME?</v>
      </c>
      <c r="M159" s="0" t="e">
        <f aca="false">sheet1!ard160</f>
        <v>#NAME?</v>
      </c>
    </row>
    <row r="160" customFormat="false" ht="13.5" hidden="false" customHeight="false" outlineLevel="0" collapsed="false">
      <c r="A160" s="0" t="s">
        <v>83</v>
      </c>
      <c r="B160" s="1" t="n">
        <v>44020</v>
      </c>
      <c r="C160" s="0" t="e">
        <f aca="false">sheet1!aqt161</f>
        <v>#NAME?</v>
      </c>
      <c r="D160" s="0" t="e">
        <f aca="false">sheet1!aqu161</f>
        <v>#NAME?</v>
      </c>
      <c r="E160" s="0" t="e">
        <f aca="false">sheet1!aqv161</f>
        <v>#NAME?</v>
      </c>
      <c r="F160" s="0" t="e">
        <f aca="false">sheet1!aqw161</f>
        <v>#NAME?</v>
      </c>
      <c r="G160" s="0" t="e">
        <f aca="false">sheet1!aqx161</f>
        <v>#NAME?</v>
      </c>
      <c r="H160" s="0" t="e">
        <f aca="false">sheet1!aqy161</f>
        <v>#NAME?</v>
      </c>
      <c r="I160" s="0" t="e">
        <f aca="false">sheet1!aqz161</f>
        <v>#NAME?</v>
      </c>
      <c r="J160" s="0" t="e">
        <f aca="false">sheet1!ara161</f>
        <v>#NAME?</v>
      </c>
      <c r="K160" s="0" t="e">
        <f aca="false">sheet1!arb161</f>
        <v>#NAME?</v>
      </c>
      <c r="L160" s="0" t="e">
        <f aca="false">sheet1!arc161</f>
        <v>#NAME?</v>
      </c>
      <c r="M160" s="0" t="e">
        <f aca="false">sheet1!ard161</f>
        <v>#NAME?</v>
      </c>
    </row>
    <row r="161" customFormat="false" ht="13.5" hidden="false" customHeight="false" outlineLevel="0" collapsed="false">
      <c r="A161" s="0" t="s">
        <v>83</v>
      </c>
      <c r="B161" s="1" t="n">
        <v>44021</v>
      </c>
      <c r="C161" s="0" t="e">
        <f aca="false">sheet1!aqt162</f>
        <v>#NAME?</v>
      </c>
      <c r="D161" s="0" t="e">
        <f aca="false">sheet1!aqu162</f>
        <v>#NAME?</v>
      </c>
      <c r="E161" s="0" t="e">
        <f aca="false">sheet1!aqv162</f>
        <v>#NAME?</v>
      </c>
      <c r="F161" s="0" t="e">
        <f aca="false">sheet1!aqw162</f>
        <v>#NAME?</v>
      </c>
      <c r="G161" s="0" t="e">
        <f aca="false">sheet1!aqx162</f>
        <v>#NAME?</v>
      </c>
      <c r="H161" s="0" t="e">
        <f aca="false">sheet1!aqy162</f>
        <v>#NAME?</v>
      </c>
      <c r="I161" s="0" t="e">
        <f aca="false">sheet1!aqz162</f>
        <v>#NAME?</v>
      </c>
      <c r="J161" s="0" t="e">
        <f aca="false">sheet1!ara162</f>
        <v>#NAME?</v>
      </c>
      <c r="K161" s="0" t="e">
        <f aca="false">sheet1!arb162</f>
        <v>#NAME?</v>
      </c>
      <c r="L161" s="0" t="e">
        <f aca="false">sheet1!arc162</f>
        <v>#NAME?</v>
      </c>
      <c r="M161" s="0" t="e">
        <f aca="false">sheet1!ard162</f>
        <v>#NAME?</v>
      </c>
    </row>
    <row r="162" customFormat="false" ht="13.5" hidden="false" customHeight="false" outlineLevel="0" collapsed="false">
      <c r="A162" s="0" t="s">
        <v>83</v>
      </c>
      <c r="B162" s="1" t="n">
        <v>44022</v>
      </c>
      <c r="C162" s="0" t="e">
        <f aca="false">sheet1!aqt163</f>
        <v>#NAME?</v>
      </c>
      <c r="D162" s="0" t="e">
        <f aca="false">sheet1!aqu163</f>
        <v>#NAME?</v>
      </c>
      <c r="E162" s="0" t="e">
        <f aca="false">sheet1!aqv163</f>
        <v>#NAME?</v>
      </c>
      <c r="F162" s="0" t="e">
        <f aca="false">sheet1!aqw163</f>
        <v>#NAME?</v>
      </c>
      <c r="G162" s="0" t="e">
        <f aca="false">sheet1!aqx163</f>
        <v>#NAME?</v>
      </c>
      <c r="H162" s="0" t="e">
        <f aca="false">sheet1!aqy163</f>
        <v>#NAME?</v>
      </c>
      <c r="I162" s="0" t="e">
        <f aca="false">sheet1!aqz163</f>
        <v>#NAME?</v>
      </c>
      <c r="J162" s="0" t="e">
        <f aca="false">sheet1!ara163</f>
        <v>#NAME?</v>
      </c>
      <c r="K162" s="0" t="e">
        <f aca="false">sheet1!arb163</f>
        <v>#NAME?</v>
      </c>
      <c r="L162" s="0" t="e">
        <f aca="false">sheet1!arc163</f>
        <v>#NAME?</v>
      </c>
      <c r="M162" s="0" t="e">
        <f aca="false">sheet1!ard163</f>
        <v>#NAME?</v>
      </c>
    </row>
    <row r="163" customFormat="false" ht="13.5" hidden="false" customHeight="false" outlineLevel="0" collapsed="false">
      <c r="A163" s="0" t="s">
        <v>83</v>
      </c>
      <c r="B163" s="1" t="n">
        <v>44023</v>
      </c>
      <c r="C163" s="0" t="e">
        <f aca="false">sheet1!aqt164</f>
        <v>#NAME?</v>
      </c>
      <c r="D163" s="0" t="e">
        <f aca="false">sheet1!aqu164</f>
        <v>#NAME?</v>
      </c>
      <c r="E163" s="0" t="e">
        <f aca="false">sheet1!aqv164</f>
        <v>#NAME?</v>
      </c>
      <c r="F163" s="0" t="e">
        <f aca="false">sheet1!aqw164</f>
        <v>#NAME?</v>
      </c>
      <c r="G163" s="0" t="e">
        <f aca="false">sheet1!aqx164</f>
        <v>#NAME?</v>
      </c>
      <c r="H163" s="0" t="e">
        <f aca="false">sheet1!aqy164</f>
        <v>#NAME?</v>
      </c>
      <c r="I163" s="0" t="e">
        <f aca="false">sheet1!aqz164</f>
        <v>#NAME?</v>
      </c>
      <c r="J163" s="0" t="e">
        <f aca="false">sheet1!ara164</f>
        <v>#NAME?</v>
      </c>
      <c r="K163" s="0" t="e">
        <f aca="false">sheet1!arb164</f>
        <v>#NAME?</v>
      </c>
      <c r="L163" s="0" t="e">
        <f aca="false">sheet1!arc164</f>
        <v>#NAME?</v>
      </c>
      <c r="M163" s="0" t="e">
        <f aca="false">sheet1!ard164</f>
        <v>#NAME?</v>
      </c>
    </row>
    <row r="164" customFormat="false" ht="13.5" hidden="false" customHeight="false" outlineLevel="0" collapsed="false">
      <c r="A164" s="0" t="s">
        <v>83</v>
      </c>
      <c r="B164" s="1" t="n">
        <v>44024</v>
      </c>
      <c r="C164" s="0" t="e">
        <f aca="false">sheet1!aqt165</f>
        <v>#NAME?</v>
      </c>
      <c r="D164" s="0" t="e">
        <f aca="false">sheet1!aqu165</f>
        <v>#NAME?</v>
      </c>
      <c r="E164" s="0" t="e">
        <f aca="false">sheet1!aqv165</f>
        <v>#NAME?</v>
      </c>
      <c r="F164" s="0" t="e">
        <f aca="false">sheet1!aqw165</f>
        <v>#NAME?</v>
      </c>
      <c r="G164" s="0" t="e">
        <f aca="false">sheet1!aqx165</f>
        <v>#NAME?</v>
      </c>
      <c r="H164" s="0" t="e">
        <f aca="false">sheet1!aqy165</f>
        <v>#NAME?</v>
      </c>
      <c r="I164" s="0" t="e">
        <f aca="false">sheet1!aqz165</f>
        <v>#NAME?</v>
      </c>
      <c r="J164" s="0" t="e">
        <f aca="false">sheet1!ara165</f>
        <v>#NAME?</v>
      </c>
      <c r="K164" s="0" t="e">
        <f aca="false">sheet1!arb165</f>
        <v>#NAME?</v>
      </c>
      <c r="L164" s="0" t="e">
        <f aca="false">sheet1!arc165</f>
        <v>#NAME?</v>
      </c>
      <c r="M164" s="0" t="e">
        <f aca="false">sheet1!ard165</f>
        <v>#NAME?</v>
      </c>
    </row>
    <row r="165" customFormat="false" ht="13.5" hidden="false" customHeight="false" outlineLevel="0" collapsed="false">
      <c r="A165" s="0" t="s">
        <v>83</v>
      </c>
      <c r="B165" s="1" t="n">
        <v>44025</v>
      </c>
      <c r="C165" s="0" t="e">
        <f aca="false">sheet1!aqt166</f>
        <v>#NAME?</v>
      </c>
      <c r="D165" s="0" t="e">
        <f aca="false">sheet1!aqu166</f>
        <v>#NAME?</v>
      </c>
      <c r="E165" s="0" t="e">
        <f aca="false">sheet1!aqv166</f>
        <v>#NAME?</v>
      </c>
      <c r="F165" s="0" t="e">
        <f aca="false">sheet1!aqw166</f>
        <v>#NAME?</v>
      </c>
      <c r="G165" s="0" t="e">
        <f aca="false">sheet1!aqx166</f>
        <v>#NAME?</v>
      </c>
      <c r="H165" s="0" t="e">
        <f aca="false">sheet1!aqy166</f>
        <v>#NAME?</v>
      </c>
      <c r="I165" s="0" t="e">
        <f aca="false">sheet1!aqz166</f>
        <v>#NAME?</v>
      </c>
      <c r="J165" s="0" t="e">
        <f aca="false">sheet1!ara166</f>
        <v>#NAME?</v>
      </c>
      <c r="K165" s="0" t="e">
        <f aca="false">sheet1!arb166</f>
        <v>#NAME?</v>
      </c>
      <c r="L165" s="0" t="e">
        <f aca="false">sheet1!arc166</f>
        <v>#NAME?</v>
      </c>
      <c r="M165" s="0" t="e">
        <f aca="false">sheet1!ard166</f>
        <v>#NAME?</v>
      </c>
    </row>
    <row r="166" customFormat="false" ht="13.5" hidden="false" customHeight="false" outlineLevel="0" collapsed="false">
      <c r="A166" s="0" t="s">
        <v>83</v>
      </c>
      <c r="B166" s="1" t="n">
        <v>44026</v>
      </c>
      <c r="C166" s="0" t="e">
        <f aca="false">sheet1!aqt167</f>
        <v>#NAME?</v>
      </c>
      <c r="D166" s="0" t="e">
        <f aca="false">sheet1!aqu167</f>
        <v>#NAME?</v>
      </c>
      <c r="E166" s="0" t="e">
        <f aca="false">sheet1!aqv167</f>
        <v>#NAME?</v>
      </c>
      <c r="F166" s="0" t="e">
        <f aca="false">sheet1!aqw167</f>
        <v>#NAME?</v>
      </c>
      <c r="G166" s="0" t="e">
        <f aca="false">sheet1!aqx167</f>
        <v>#NAME?</v>
      </c>
      <c r="H166" s="0" t="e">
        <f aca="false">sheet1!aqy167</f>
        <v>#NAME?</v>
      </c>
      <c r="I166" s="0" t="e">
        <f aca="false">sheet1!aqz167</f>
        <v>#NAME?</v>
      </c>
      <c r="J166" s="0" t="e">
        <f aca="false">sheet1!ara167</f>
        <v>#NAME?</v>
      </c>
      <c r="K166" s="0" t="e">
        <f aca="false">sheet1!arb167</f>
        <v>#NAME?</v>
      </c>
      <c r="L166" s="0" t="e">
        <f aca="false">sheet1!arc167</f>
        <v>#NAME?</v>
      </c>
      <c r="M166" s="0" t="e">
        <f aca="false">sheet1!ard167</f>
        <v>#NAME?</v>
      </c>
    </row>
    <row r="167" customFormat="false" ht="13.5" hidden="false" customHeight="false" outlineLevel="0" collapsed="false">
      <c r="A167" s="0" t="s">
        <v>83</v>
      </c>
      <c r="B167" s="1" t="n">
        <v>44027</v>
      </c>
      <c r="C167" s="0" t="e">
        <f aca="false">sheet1!aqt168</f>
        <v>#NAME?</v>
      </c>
      <c r="D167" s="0" t="e">
        <f aca="false">sheet1!aqu168</f>
        <v>#NAME?</v>
      </c>
      <c r="E167" s="0" t="e">
        <f aca="false">sheet1!aqv168</f>
        <v>#NAME?</v>
      </c>
      <c r="F167" s="0" t="e">
        <f aca="false">sheet1!aqw168</f>
        <v>#NAME?</v>
      </c>
      <c r="G167" s="0" t="e">
        <f aca="false">sheet1!aqx168</f>
        <v>#NAME?</v>
      </c>
      <c r="H167" s="0" t="e">
        <f aca="false">sheet1!aqy168</f>
        <v>#NAME?</v>
      </c>
      <c r="I167" s="0" t="e">
        <f aca="false">sheet1!aqz168</f>
        <v>#NAME?</v>
      </c>
      <c r="J167" s="0" t="e">
        <f aca="false">sheet1!ara168</f>
        <v>#NAME?</v>
      </c>
      <c r="K167" s="0" t="e">
        <f aca="false">sheet1!arb168</f>
        <v>#NAME?</v>
      </c>
      <c r="L167" s="0" t="e">
        <f aca="false">sheet1!arc168</f>
        <v>#NAME?</v>
      </c>
      <c r="M167" s="0" t="e">
        <f aca="false">sheet1!ard168</f>
        <v>#NAME?</v>
      </c>
    </row>
    <row r="168" customFormat="false" ht="13.5" hidden="false" customHeight="false" outlineLevel="0" collapsed="false">
      <c r="A168" s="0" t="s">
        <v>83</v>
      </c>
      <c r="B168" s="1" t="n">
        <v>44028</v>
      </c>
      <c r="C168" s="0" t="e">
        <f aca="false">sheet1!aqt169</f>
        <v>#NAME?</v>
      </c>
      <c r="D168" s="0" t="e">
        <f aca="false">sheet1!aqu169</f>
        <v>#NAME?</v>
      </c>
      <c r="E168" s="0" t="e">
        <f aca="false">sheet1!aqv169</f>
        <v>#NAME?</v>
      </c>
      <c r="F168" s="0" t="e">
        <f aca="false">sheet1!aqw169</f>
        <v>#NAME?</v>
      </c>
      <c r="G168" s="0" t="e">
        <f aca="false">sheet1!aqx169</f>
        <v>#NAME?</v>
      </c>
      <c r="H168" s="0" t="e">
        <f aca="false">sheet1!aqy169</f>
        <v>#NAME?</v>
      </c>
      <c r="I168" s="0" t="e">
        <f aca="false">sheet1!aqz169</f>
        <v>#NAME?</v>
      </c>
      <c r="J168" s="0" t="e">
        <f aca="false">sheet1!ara169</f>
        <v>#NAME?</v>
      </c>
      <c r="K168" s="0" t="e">
        <f aca="false">sheet1!arb169</f>
        <v>#NAME?</v>
      </c>
      <c r="L168" s="0" t="e">
        <f aca="false">sheet1!arc169</f>
        <v>#NAME?</v>
      </c>
      <c r="M168" s="0" t="e">
        <f aca="false">sheet1!ard169</f>
        <v>#NAME?</v>
      </c>
    </row>
    <row r="169" customFormat="false" ht="13.5" hidden="false" customHeight="false" outlineLevel="0" collapsed="false">
      <c r="A169" s="0" t="s">
        <v>83</v>
      </c>
      <c r="B169" s="1" t="n">
        <v>44029</v>
      </c>
      <c r="C169" s="0" t="e">
        <f aca="false">sheet1!aqt170</f>
        <v>#NAME?</v>
      </c>
      <c r="D169" s="0" t="e">
        <f aca="false">sheet1!aqu170</f>
        <v>#NAME?</v>
      </c>
      <c r="E169" s="0" t="e">
        <f aca="false">sheet1!aqv170</f>
        <v>#NAME?</v>
      </c>
      <c r="F169" s="0" t="e">
        <f aca="false">sheet1!aqw170</f>
        <v>#NAME?</v>
      </c>
      <c r="G169" s="0" t="e">
        <f aca="false">sheet1!aqx170</f>
        <v>#NAME?</v>
      </c>
      <c r="H169" s="0" t="e">
        <f aca="false">sheet1!aqy170</f>
        <v>#NAME?</v>
      </c>
      <c r="I169" s="0" t="e">
        <f aca="false">sheet1!aqz170</f>
        <v>#NAME?</v>
      </c>
      <c r="J169" s="0" t="e">
        <f aca="false">sheet1!ara170</f>
        <v>#NAME?</v>
      </c>
      <c r="K169" s="0" t="e">
        <f aca="false">sheet1!arb170</f>
        <v>#NAME?</v>
      </c>
      <c r="L169" s="0" t="e">
        <f aca="false">sheet1!arc170</f>
        <v>#NAME?</v>
      </c>
      <c r="M169" s="0" t="e">
        <f aca="false">sheet1!ard170</f>
        <v>#NAME?</v>
      </c>
    </row>
    <row r="170" customFormat="false" ht="13.5" hidden="false" customHeight="false" outlineLevel="0" collapsed="false">
      <c r="A170" s="0" t="s">
        <v>83</v>
      </c>
      <c r="B170" s="1" t="n">
        <v>44030</v>
      </c>
      <c r="C170" s="0" t="e">
        <f aca="false">sheet1!aqt171</f>
        <v>#NAME?</v>
      </c>
      <c r="D170" s="0" t="e">
        <f aca="false">sheet1!aqu171</f>
        <v>#NAME?</v>
      </c>
      <c r="E170" s="0" t="e">
        <f aca="false">sheet1!aqv171</f>
        <v>#NAME?</v>
      </c>
      <c r="F170" s="0" t="e">
        <f aca="false">sheet1!aqw171</f>
        <v>#NAME?</v>
      </c>
      <c r="G170" s="0" t="e">
        <f aca="false">sheet1!aqx171</f>
        <v>#NAME?</v>
      </c>
      <c r="H170" s="0" t="e">
        <f aca="false">sheet1!aqy171</f>
        <v>#NAME?</v>
      </c>
      <c r="I170" s="0" t="e">
        <f aca="false">sheet1!aqz171</f>
        <v>#NAME?</v>
      </c>
      <c r="J170" s="0" t="e">
        <f aca="false">sheet1!ara171</f>
        <v>#NAME?</v>
      </c>
      <c r="K170" s="0" t="e">
        <f aca="false">sheet1!arb171</f>
        <v>#NAME?</v>
      </c>
      <c r="L170" s="0" t="e">
        <f aca="false">sheet1!arc171</f>
        <v>#NAME?</v>
      </c>
      <c r="M170" s="0" t="e">
        <f aca="false">sheet1!ard171</f>
        <v>#NAME?</v>
      </c>
    </row>
    <row r="171" customFormat="false" ht="13.5" hidden="false" customHeight="false" outlineLevel="0" collapsed="false">
      <c r="A171" s="0" t="s">
        <v>83</v>
      </c>
      <c r="B171" s="1" t="n">
        <v>44031</v>
      </c>
      <c r="C171" s="0" t="e">
        <f aca="false">sheet1!aqt172</f>
        <v>#NAME?</v>
      </c>
      <c r="D171" s="0" t="e">
        <f aca="false">sheet1!aqu172</f>
        <v>#NAME?</v>
      </c>
      <c r="E171" s="0" t="e">
        <f aca="false">sheet1!aqv172</f>
        <v>#NAME?</v>
      </c>
      <c r="F171" s="0" t="e">
        <f aca="false">sheet1!aqw172</f>
        <v>#NAME?</v>
      </c>
      <c r="G171" s="0" t="e">
        <f aca="false">sheet1!aqx172</f>
        <v>#NAME?</v>
      </c>
      <c r="H171" s="0" t="e">
        <f aca="false">sheet1!aqy172</f>
        <v>#NAME?</v>
      </c>
      <c r="I171" s="0" t="e">
        <f aca="false">sheet1!aqz172</f>
        <v>#NAME?</v>
      </c>
      <c r="J171" s="0" t="e">
        <f aca="false">sheet1!ara172</f>
        <v>#NAME?</v>
      </c>
      <c r="K171" s="0" t="e">
        <f aca="false">sheet1!arb172</f>
        <v>#NAME?</v>
      </c>
      <c r="L171" s="0" t="e">
        <f aca="false">sheet1!arc172</f>
        <v>#NAME?</v>
      </c>
      <c r="M171" s="0" t="e">
        <f aca="false">sheet1!ard172</f>
        <v>#NAME?</v>
      </c>
    </row>
    <row r="172" customFormat="false" ht="13.5" hidden="false" customHeight="false" outlineLevel="0" collapsed="false">
      <c r="A172" s="0" t="s">
        <v>83</v>
      </c>
      <c r="B172" s="1" t="n">
        <v>44032</v>
      </c>
      <c r="C172" s="0" t="e">
        <f aca="false">sheet1!aqt173</f>
        <v>#NAME?</v>
      </c>
      <c r="D172" s="0" t="e">
        <f aca="false">sheet1!aqu173</f>
        <v>#NAME?</v>
      </c>
      <c r="E172" s="0" t="e">
        <f aca="false">sheet1!aqv173</f>
        <v>#NAME?</v>
      </c>
      <c r="F172" s="0" t="e">
        <f aca="false">sheet1!aqw173</f>
        <v>#NAME?</v>
      </c>
      <c r="G172" s="0" t="e">
        <f aca="false">sheet1!aqx173</f>
        <v>#NAME?</v>
      </c>
      <c r="H172" s="0" t="e">
        <f aca="false">sheet1!aqy173</f>
        <v>#NAME?</v>
      </c>
      <c r="I172" s="0" t="e">
        <f aca="false">sheet1!aqz173</f>
        <v>#NAME?</v>
      </c>
      <c r="J172" s="0" t="e">
        <f aca="false">sheet1!ara173</f>
        <v>#NAME?</v>
      </c>
      <c r="K172" s="0" t="e">
        <f aca="false">sheet1!arb173</f>
        <v>#NAME?</v>
      </c>
      <c r="L172" s="0" t="e">
        <f aca="false">sheet1!arc173</f>
        <v>#NAME?</v>
      </c>
      <c r="M172" s="0" t="e">
        <f aca="false">sheet1!ard173</f>
        <v>#NAME?</v>
      </c>
    </row>
    <row r="173" customFormat="false" ht="13.5" hidden="false" customHeight="false" outlineLevel="0" collapsed="false">
      <c r="A173" s="0" t="s">
        <v>83</v>
      </c>
      <c r="B173" s="1" t="n">
        <v>44033</v>
      </c>
      <c r="C173" s="0" t="e">
        <f aca="false">sheet1!aqt174</f>
        <v>#NAME?</v>
      </c>
      <c r="D173" s="0" t="e">
        <f aca="false">sheet1!aqu174</f>
        <v>#NAME?</v>
      </c>
      <c r="E173" s="0" t="e">
        <f aca="false">sheet1!aqv174</f>
        <v>#NAME?</v>
      </c>
      <c r="F173" s="0" t="e">
        <f aca="false">sheet1!aqw174</f>
        <v>#NAME?</v>
      </c>
      <c r="G173" s="0" t="e">
        <f aca="false">sheet1!aqx174</f>
        <v>#NAME?</v>
      </c>
      <c r="H173" s="0" t="e">
        <f aca="false">sheet1!aqy174</f>
        <v>#NAME?</v>
      </c>
      <c r="I173" s="0" t="e">
        <f aca="false">sheet1!aqz174</f>
        <v>#NAME?</v>
      </c>
      <c r="J173" s="0" t="e">
        <f aca="false">sheet1!ara174</f>
        <v>#NAME?</v>
      </c>
      <c r="K173" s="0" t="e">
        <f aca="false">sheet1!arb174</f>
        <v>#NAME?</v>
      </c>
      <c r="L173" s="0" t="e">
        <f aca="false">sheet1!arc174</f>
        <v>#NAME?</v>
      </c>
      <c r="M173" s="0" t="e">
        <f aca="false">sheet1!ard174</f>
        <v>#NAME?</v>
      </c>
    </row>
    <row r="174" customFormat="false" ht="13.5" hidden="false" customHeight="false" outlineLevel="0" collapsed="false">
      <c r="A174" s="0" t="s">
        <v>83</v>
      </c>
      <c r="B174" s="1" t="n">
        <v>44034</v>
      </c>
      <c r="C174" s="0" t="e">
        <f aca="false">sheet1!aqt175</f>
        <v>#NAME?</v>
      </c>
      <c r="D174" s="0" t="e">
        <f aca="false">sheet1!aqu175</f>
        <v>#NAME?</v>
      </c>
      <c r="E174" s="0" t="e">
        <f aca="false">sheet1!aqv175</f>
        <v>#NAME?</v>
      </c>
      <c r="F174" s="0" t="e">
        <f aca="false">sheet1!aqw175</f>
        <v>#NAME?</v>
      </c>
      <c r="G174" s="0" t="e">
        <f aca="false">sheet1!aqx175</f>
        <v>#NAME?</v>
      </c>
      <c r="H174" s="0" t="e">
        <f aca="false">sheet1!aqy175</f>
        <v>#NAME?</v>
      </c>
      <c r="I174" s="0" t="e">
        <f aca="false">sheet1!aqz175</f>
        <v>#NAME?</v>
      </c>
      <c r="J174" s="0" t="e">
        <f aca="false">sheet1!ara175</f>
        <v>#NAME?</v>
      </c>
      <c r="K174" s="0" t="e">
        <f aca="false">sheet1!arb175</f>
        <v>#NAME?</v>
      </c>
      <c r="L174" s="0" t="e">
        <f aca="false">sheet1!arc175</f>
        <v>#NAME?</v>
      </c>
      <c r="M174" s="0" t="e">
        <f aca="false">sheet1!ard175</f>
        <v>#NAME?</v>
      </c>
    </row>
    <row r="175" customFormat="false" ht="13.5" hidden="false" customHeight="false" outlineLevel="0" collapsed="false">
      <c r="A175" s="0" t="s">
        <v>83</v>
      </c>
      <c r="B175" s="1" t="n">
        <v>44035</v>
      </c>
      <c r="C175" s="0" t="e">
        <f aca="false">sheet1!aqt176</f>
        <v>#NAME?</v>
      </c>
      <c r="D175" s="0" t="e">
        <f aca="false">sheet1!aqu176</f>
        <v>#NAME?</v>
      </c>
      <c r="E175" s="0" t="e">
        <f aca="false">sheet1!aqv176</f>
        <v>#NAME?</v>
      </c>
      <c r="F175" s="0" t="e">
        <f aca="false">sheet1!aqw176</f>
        <v>#NAME?</v>
      </c>
      <c r="G175" s="0" t="e">
        <f aca="false">sheet1!aqx176</f>
        <v>#NAME?</v>
      </c>
      <c r="H175" s="0" t="e">
        <f aca="false">sheet1!aqy176</f>
        <v>#NAME?</v>
      </c>
      <c r="I175" s="0" t="e">
        <f aca="false">sheet1!aqz176</f>
        <v>#NAME?</v>
      </c>
      <c r="J175" s="0" t="e">
        <f aca="false">sheet1!ara176</f>
        <v>#NAME?</v>
      </c>
      <c r="K175" s="0" t="e">
        <f aca="false">sheet1!arb176</f>
        <v>#NAME?</v>
      </c>
      <c r="L175" s="0" t="e">
        <f aca="false">sheet1!arc176</f>
        <v>#NAME?</v>
      </c>
      <c r="M175" s="0" t="e">
        <f aca="false">sheet1!ard176</f>
        <v>#NAME?</v>
      </c>
    </row>
    <row r="176" customFormat="false" ht="13.5" hidden="false" customHeight="false" outlineLevel="0" collapsed="false">
      <c r="A176" s="0" t="s">
        <v>83</v>
      </c>
      <c r="B176" s="1" t="n">
        <v>44036</v>
      </c>
      <c r="C176" s="0" t="e">
        <f aca="false">sheet1!aqt177</f>
        <v>#NAME?</v>
      </c>
      <c r="D176" s="0" t="e">
        <f aca="false">sheet1!aqu177</f>
        <v>#NAME?</v>
      </c>
      <c r="E176" s="0" t="e">
        <f aca="false">sheet1!aqv177</f>
        <v>#NAME?</v>
      </c>
      <c r="F176" s="0" t="e">
        <f aca="false">sheet1!aqw177</f>
        <v>#NAME?</v>
      </c>
      <c r="G176" s="0" t="e">
        <f aca="false">sheet1!aqx177</f>
        <v>#NAME?</v>
      </c>
      <c r="H176" s="0" t="e">
        <f aca="false">sheet1!aqy177</f>
        <v>#NAME?</v>
      </c>
      <c r="I176" s="0" t="e">
        <f aca="false">sheet1!aqz177</f>
        <v>#NAME?</v>
      </c>
      <c r="J176" s="0" t="e">
        <f aca="false">sheet1!ara177</f>
        <v>#NAME?</v>
      </c>
      <c r="K176" s="0" t="e">
        <f aca="false">sheet1!arb177</f>
        <v>#NAME?</v>
      </c>
      <c r="L176" s="0" t="e">
        <f aca="false">sheet1!arc177</f>
        <v>#NAME?</v>
      </c>
      <c r="M176" s="0" t="e">
        <f aca="false">sheet1!ard177</f>
        <v>#NAME?</v>
      </c>
    </row>
    <row r="177" customFormat="false" ht="13.5" hidden="false" customHeight="false" outlineLevel="0" collapsed="false">
      <c r="A177" s="0" t="s">
        <v>83</v>
      </c>
      <c r="B177" s="1" t="n">
        <v>44037</v>
      </c>
      <c r="C177" s="0" t="e">
        <f aca="false">sheet1!aqt178</f>
        <v>#NAME?</v>
      </c>
      <c r="D177" s="0" t="e">
        <f aca="false">sheet1!aqu178</f>
        <v>#NAME?</v>
      </c>
      <c r="E177" s="0" t="e">
        <f aca="false">sheet1!aqv178</f>
        <v>#NAME?</v>
      </c>
      <c r="F177" s="0" t="e">
        <f aca="false">sheet1!aqw178</f>
        <v>#NAME?</v>
      </c>
      <c r="G177" s="0" t="e">
        <f aca="false">sheet1!aqx178</f>
        <v>#NAME?</v>
      </c>
      <c r="H177" s="0" t="e">
        <f aca="false">sheet1!aqy178</f>
        <v>#NAME?</v>
      </c>
      <c r="I177" s="0" t="e">
        <f aca="false">sheet1!aqz178</f>
        <v>#NAME?</v>
      </c>
      <c r="J177" s="0" t="e">
        <f aca="false">sheet1!ara178</f>
        <v>#NAME?</v>
      </c>
      <c r="K177" s="0" t="e">
        <f aca="false">sheet1!arb178</f>
        <v>#NAME?</v>
      </c>
      <c r="L177" s="0" t="e">
        <f aca="false">sheet1!arc178</f>
        <v>#NAME?</v>
      </c>
      <c r="M177" s="0" t="e">
        <f aca="false">sheet1!ard178</f>
        <v>#NAME?</v>
      </c>
    </row>
    <row r="178" customFormat="false" ht="13.5" hidden="false" customHeight="false" outlineLevel="0" collapsed="false">
      <c r="A178" s="0" t="s">
        <v>83</v>
      </c>
      <c r="B178" s="1" t="n">
        <v>44038</v>
      </c>
      <c r="C178" s="0" t="e">
        <f aca="false">sheet1!aqt179</f>
        <v>#NAME?</v>
      </c>
      <c r="D178" s="0" t="e">
        <f aca="false">sheet1!aqu179</f>
        <v>#NAME?</v>
      </c>
      <c r="E178" s="0" t="e">
        <f aca="false">sheet1!aqv179</f>
        <v>#NAME?</v>
      </c>
      <c r="F178" s="0" t="e">
        <f aca="false">sheet1!aqw179</f>
        <v>#NAME?</v>
      </c>
      <c r="G178" s="0" t="e">
        <f aca="false">sheet1!aqx179</f>
        <v>#NAME?</v>
      </c>
      <c r="H178" s="0" t="e">
        <f aca="false">sheet1!aqy179</f>
        <v>#NAME?</v>
      </c>
      <c r="I178" s="0" t="e">
        <f aca="false">sheet1!aqz179</f>
        <v>#NAME?</v>
      </c>
      <c r="J178" s="0" t="e">
        <f aca="false">sheet1!ara179</f>
        <v>#NAME?</v>
      </c>
      <c r="K178" s="0" t="e">
        <f aca="false">sheet1!arb179</f>
        <v>#NAME?</v>
      </c>
      <c r="L178" s="0" t="e">
        <f aca="false">sheet1!arc179</f>
        <v>#NAME?</v>
      </c>
      <c r="M178" s="0" t="e">
        <f aca="false">sheet1!ard179</f>
        <v>#NAME?</v>
      </c>
    </row>
    <row r="179" customFormat="false" ht="13.5" hidden="false" customHeight="false" outlineLevel="0" collapsed="false">
      <c r="A179" s="0" t="s">
        <v>83</v>
      </c>
      <c r="B179" s="1" t="n">
        <v>44039</v>
      </c>
      <c r="C179" s="0" t="e">
        <f aca="false">sheet1!aqt180</f>
        <v>#NAME?</v>
      </c>
      <c r="D179" s="0" t="e">
        <f aca="false">sheet1!aqu180</f>
        <v>#NAME?</v>
      </c>
      <c r="E179" s="0" t="e">
        <f aca="false">sheet1!aqv180</f>
        <v>#NAME?</v>
      </c>
      <c r="F179" s="0" t="e">
        <f aca="false">sheet1!aqw180</f>
        <v>#NAME?</v>
      </c>
      <c r="G179" s="0" t="e">
        <f aca="false">sheet1!aqx180</f>
        <v>#NAME?</v>
      </c>
      <c r="H179" s="0" t="e">
        <f aca="false">sheet1!aqy180</f>
        <v>#NAME?</v>
      </c>
      <c r="I179" s="0" t="e">
        <f aca="false">sheet1!aqz180</f>
        <v>#NAME?</v>
      </c>
      <c r="J179" s="0" t="e">
        <f aca="false">sheet1!ara180</f>
        <v>#NAME?</v>
      </c>
      <c r="K179" s="0" t="e">
        <f aca="false">sheet1!arb180</f>
        <v>#NAME?</v>
      </c>
      <c r="L179" s="0" t="e">
        <f aca="false">sheet1!arc180</f>
        <v>#NAME?</v>
      </c>
      <c r="M179" s="0" t="e">
        <f aca="false">sheet1!ard180</f>
        <v>#NAME?</v>
      </c>
    </row>
    <row r="180" customFormat="false" ht="13.5" hidden="false" customHeight="false" outlineLevel="0" collapsed="false">
      <c r="A180" s="0" t="s">
        <v>83</v>
      </c>
      <c r="B180" s="1" t="n">
        <v>44040</v>
      </c>
      <c r="C180" s="0" t="e">
        <f aca="false">sheet1!aqt181</f>
        <v>#NAME?</v>
      </c>
      <c r="D180" s="0" t="e">
        <f aca="false">sheet1!aqu181</f>
        <v>#NAME?</v>
      </c>
      <c r="E180" s="0" t="e">
        <f aca="false">sheet1!aqv181</f>
        <v>#NAME?</v>
      </c>
      <c r="F180" s="0" t="e">
        <f aca="false">sheet1!aqw181</f>
        <v>#NAME?</v>
      </c>
      <c r="G180" s="0" t="e">
        <f aca="false">sheet1!aqx181</f>
        <v>#NAME?</v>
      </c>
      <c r="H180" s="0" t="e">
        <f aca="false">sheet1!aqy181</f>
        <v>#NAME?</v>
      </c>
      <c r="I180" s="0" t="e">
        <f aca="false">sheet1!aqz181</f>
        <v>#NAME?</v>
      </c>
      <c r="J180" s="0" t="e">
        <f aca="false">sheet1!ara181</f>
        <v>#NAME?</v>
      </c>
      <c r="K180" s="0" t="e">
        <f aca="false">sheet1!arb181</f>
        <v>#NAME?</v>
      </c>
      <c r="L180" s="0" t="e">
        <f aca="false">sheet1!arc181</f>
        <v>#NAME?</v>
      </c>
      <c r="M180" s="0" t="e">
        <f aca="false">sheet1!ard181</f>
        <v>#NAME?</v>
      </c>
    </row>
    <row r="181" customFormat="false" ht="13.5" hidden="false" customHeight="false" outlineLevel="0" collapsed="false">
      <c r="A181" s="0" t="s">
        <v>83</v>
      </c>
      <c r="B181" s="1" t="n">
        <v>44041</v>
      </c>
      <c r="C181" s="0" t="e">
        <f aca="false">sheet1!aqt182</f>
        <v>#NAME?</v>
      </c>
      <c r="D181" s="0" t="e">
        <f aca="false">sheet1!aqu182</f>
        <v>#NAME?</v>
      </c>
      <c r="E181" s="0" t="e">
        <f aca="false">sheet1!aqv182</f>
        <v>#NAME?</v>
      </c>
      <c r="F181" s="0" t="e">
        <f aca="false">sheet1!aqw182</f>
        <v>#NAME?</v>
      </c>
      <c r="G181" s="0" t="e">
        <f aca="false">sheet1!aqx182</f>
        <v>#NAME?</v>
      </c>
      <c r="H181" s="0" t="e">
        <f aca="false">sheet1!aqy182</f>
        <v>#NAME?</v>
      </c>
      <c r="I181" s="0" t="e">
        <f aca="false">sheet1!aqz182</f>
        <v>#NAME?</v>
      </c>
      <c r="J181" s="0" t="e">
        <f aca="false">sheet1!ara182</f>
        <v>#NAME?</v>
      </c>
      <c r="K181" s="0" t="e">
        <f aca="false">sheet1!arb182</f>
        <v>#NAME?</v>
      </c>
      <c r="L181" s="0" t="e">
        <f aca="false">sheet1!arc182</f>
        <v>#NAME?</v>
      </c>
      <c r="M181" s="0" t="e">
        <f aca="false">sheet1!ard182</f>
        <v>#NAME?</v>
      </c>
    </row>
    <row r="182" customFormat="false" ht="13.5" hidden="false" customHeight="false" outlineLevel="0" collapsed="false">
      <c r="A182" s="0" t="s">
        <v>83</v>
      </c>
      <c r="B182" s="1" t="n">
        <v>44042</v>
      </c>
      <c r="C182" s="0" t="e">
        <f aca="false">sheet1!aqt183</f>
        <v>#NAME?</v>
      </c>
      <c r="D182" s="0" t="e">
        <f aca="false">sheet1!aqu183</f>
        <v>#NAME?</v>
      </c>
      <c r="E182" s="0" t="e">
        <f aca="false">sheet1!aqv183</f>
        <v>#NAME?</v>
      </c>
      <c r="F182" s="0" t="e">
        <f aca="false">sheet1!aqw183</f>
        <v>#NAME?</v>
      </c>
      <c r="G182" s="0" t="e">
        <f aca="false">sheet1!aqx183</f>
        <v>#NAME?</v>
      </c>
      <c r="H182" s="0" t="e">
        <f aca="false">sheet1!aqy183</f>
        <v>#NAME?</v>
      </c>
      <c r="I182" s="0" t="e">
        <f aca="false">sheet1!aqz183</f>
        <v>#NAME?</v>
      </c>
      <c r="J182" s="0" t="e">
        <f aca="false">sheet1!ara183</f>
        <v>#NAME?</v>
      </c>
      <c r="K182" s="0" t="e">
        <f aca="false">sheet1!arb183</f>
        <v>#NAME?</v>
      </c>
      <c r="L182" s="0" t="e">
        <f aca="false">sheet1!arc183</f>
        <v>#NAME?</v>
      </c>
      <c r="M182" s="0" t="e">
        <f aca="false">sheet1!ard183</f>
        <v>#NAME?</v>
      </c>
    </row>
    <row r="183" customFormat="false" ht="13.5" hidden="false" customHeight="false" outlineLevel="0" collapsed="false">
      <c r="A183" s="0" t="s">
        <v>83</v>
      </c>
      <c r="B183" s="1" t="n">
        <v>44043</v>
      </c>
      <c r="C183" s="0" t="e">
        <f aca="false">sheet1!aqt184</f>
        <v>#NAME?</v>
      </c>
      <c r="D183" s="0" t="e">
        <f aca="false">sheet1!aqu184</f>
        <v>#NAME?</v>
      </c>
      <c r="E183" s="0" t="e">
        <f aca="false">sheet1!aqv184</f>
        <v>#NAME?</v>
      </c>
      <c r="F183" s="0" t="e">
        <f aca="false">sheet1!aqw184</f>
        <v>#NAME?</v>
      </c>
      <c r="G183" s="0" t="e">
        <f aca="false">sheet1!aqx184</f>
        <v>#NAME?</v>
      </c>
      <c r="H183" s="0" t="e">
        <f aca="false">sheet1!aqy184</f>
        <v>#NAME?</v>
      </c>
      <c r="I183" s="0" t="e">
        <f aca="false">sheet1!aqz184</f>
        <v>#NAME?</v>
      </c>
      <c r="J183" s="0" t="e">
        <f aca="false">sheet1!ara184</f>
        <v>#NAME?</v>
      </c>
      <c r="K183" s="0" t="e">
        <f aca="false">sheet1!arb184</f>
        <v>#NAME?</v>
      </c>
      <c r="L183" s="0" t="e">
        <f aca="false">sheet1!arc184</f>
        <v>#NAME?</v>
      </c>
      <c r="M183" s="0" t="e">
        <f aca="false">sheet1!ard184</f>
        <v>#NAME?</v>
      </c>
    </row>
    <row r="184" customFormat="false" ht="13.5" hidden="false" customHeight="false" outlineLevel="0" collapsed="false">
      <c r="A184" s="0" t="s">
        <v>83</v>
      </c>
      <c r="B184" s="1" t="n">
        <v>44044</v>
      </c>
      <c r="C184" s="0" t="e">
        <f aca="false">sheet1!aqt185</f>
        <v>#NAME?</v>
      </c>
      <c r="D184" s="0" t="e">
        <f aca="false">sheet1!aqu185</f>
        <v>#NAME?</v>
      </c>
      <c r="E184" s="0" t="e">
        <f aca="false">sheet1!aqv185</f>
        <v>#NAME?</v>
      </c>
      <c r="F184" s="0" t="e">
        <f aca="false">sheet1!aqw185</f>
        <v>#NAME?</v>
      </c>
      <c r="G184" s="0" t="e">
        <f aca="false">sheet1!aqx185</f>
        <v>#NAME?</v>
      </c>
      <c r="H184" s="0" t="e">
        <f aca="false">sheet1!aqy185</f>
        <v>#NAME?</v>
      </c>
      <c r="I184" s="0" t="e">
        <f aca="false">sheet1!aqz185</f>
        <v>#NAME?</v>
      </c>
      <c r="J184" s="0" t="e">
        <f aca="false">sheet1!ara185</f>
        <v>#NAME?</v>
      </c>
      <c r="K184" s="0" t="e">
        <f aca="false">sheet1!arb185</f>
        <v>#NAME?</v>
      </c>
      <c r="L184" s="0" t="e">
        <f aca="false">sheet1!arc185</f>
        <v>#NAME?</v>
      </c>
      <c r="M184" s="0" t="e">
        <f aca="false">sheet1!ard185</f>
        <v>#NAME?</v>
      </c>
    </row>
    <row r="185" customFormat="false" ht="13.5" hidden="false" customHeight="false" outlineLevel="0" collapsed="false">
      <c r="A185" s="0" t="s">
        <v>83</v>
      </c>
      <c r="B185" s="1" t="n">
        <v>44045</v>
      </c>
      <c r="C185" s="0" t="e">
        <f aca="false">sheet1!aqt186</f>
        <v>#NAME?</v>
      </c>
      <c r="D185" s="0" t="e">
        <f aca="false">sheet1!aqu186</f>
        <v>#NAME?</v>
      </c>
      <c r="E185" s="0" t="e">
        <f aca="false">sheet1!aqv186</f>
        <v>#NAME?</v>
      </c>
      <c r="F185" s="0" t="e">
        <f aca="false">sheet1!aqw186</f>
        <v>#NAME?</v>
      </c>
      <c r="G185" s="0" t="e">
        <f aca="false">sheet1!aqx186</f>
        <v>#NAME?</v>
      </c>
      <c r="H185" s="0" t="e">
        <f aca="false">sheet1!aqy186</f>
        <v>#NAME?</v>
      </c>
      <c r="I185" s="0" t="e">
        <f aca="false">sheet1!aqz186</f>
        <v>#NAME?</v>
      </c>
      <c r="J185" s="0" t="e">
        <f aca="false">sheet1!ara186</f>
        <v>#NAME?</v>
      </c>
      <c r="K185" s="0" t="e">
        <f aca="false">sheet1!arb186</f>
        <v>#NAME?</v>
      </c>
      <c r="L185" s="0" t="e">
        <f aca="false">sheet1!arc186</f>
        <v>#NAME?</v>
      </c>
      <c r="M185" s="0" t="e">
        <f aca="false">sheet1!ard186</f>
        <v>#NAME?</v>
      </c>
    </row>
    <row r="186" customFormat="false" ht="13.5" hidden="false" customHeight="false" outlineLevel="0" collapsed="false">
      <c r="A186" s="0" t="s">
        <v>83</v>
      </c>
      <c r="B186" s="1" t="n">
        <v>44046</v>
      </c>
      <c r="C186" s="0" t="e">
        <f aca="false">sheet1!aqt187</f>
        <v>#NAME?</v>
      </c>
      <c r="D186" s="0" t="e">
        <f aca="false">sheet1!aqu187</f>
        <v>#NAME?</v>
      </c>
      <c r="E186" s="0" t="e">
        <f aca="false">sheet1!aqv187</f>
        <v>#NAME?</v>
      </c>
      <c r="F186" s="0" t="e">
        <f aca="false">sheet1!aqw187</f>
        <v>#NAME?</v>
      </c>
      <c r="G186" s="0" t="e">
        <f aca="false">sheet1!aqx187</f>
        <v>#NAME?</v>
      </c>
      <c r="H186" s="0" t="e">
        <f aca="false">sheet1!aqy187</f>
        <v>#NAME?</v>
      </c>
      <c r="I186" s="0" t="e">
        <f aca="false">sheet1!aqz187</f>
        <v>#NAME?</v>
      </c>
      <c r="J186" s="0" t="e">
        <f aca="false">sheet1!ara187</f>
        <v>#NAME?</v>
      </c>
      <c r="K186" s="0" t="e">
        <f aca="false">sheet1!arb187</f>
        <v>#NAME?</v>
      </c>
      <c r="L186" s="0" t="e">
        <f aca="false">sheet1!arc187</f>
        <v>#NAME?</v>
      </c>
      <c r="M186" s="0" t="e">
        <f aca="false">sheet1!ard187</f>
        <v>#NAME?</v>
      </c>
    </row>
    <row r="187" customFormat="false" ht="13.5" hidden="false" customHeight="false" outlineLevel="0" collapsed="false">
      <c r="A187" s="0" t="s">
        <v>83</v>
      </c>
      <c r="B187" s="1" t="n">
        <v>44047</v>
      </c>
      <c r="C187" s="0" t="e">
        <f aca="false">sheet1!aqt188</f>
        <v>#NAME?</v>
      </c>
      <c r="D187" s="0" t="e">
        <f aca="false">sheet1!aqu188</f>
        <v>#NAME?</v>
      </c>
      <c r="E187" s="0" t="e">
        <f aca="false">sheet1!aqv188</f>
        <v>#NAME?</v>
      </c>
      <c r="F187" s="0" t="e">
        <f aca="false">sheet1!aqw188</f>
        <v>#NAME?</v>
      </c>
      <c r="G187" s="0" t="e">
        <f aca="false">sheet1!aqx188</f>
        <v>#NAME?</v>
      </c>
      <c r="H187" s="0" t="e">
        <f aca="false">sheet1!aqy188</f>
        <v>#NAME?</v>
      </c>
      <c r="I187" s="0" t="e">
        <f aca="false">sheet1!aqz188</f>
        <v>#NAME?</v>
      </c>
      <c r="J187" s="0" t="e">
        <f aca="false">sheet1!ara188</f>
        <v>#NAME?</v>
      </c>
      <c r="K187" s="0" t="e">
        <f aca="false">sheet1!arb188</f>
        <v>#NAME?</v>
      </c>
      <c r="L187" s="0" t="e">
        <f aca="false">sheet1!arc188</f>
        <v>#NAME?</v>
      </c>
      <c r="M187" s="0" t="e">
        <f aca="false">sheet1!ard188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9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84</v>
      </c>
      <c r="B2" s="1" t="n">
        <v>43862</v>
      </c>
    </row>
    <row r="3" customFormat="false" ht="13.5" hidden="false" customHeight="false" outlineLevel="0" collapsed="false">
      <c r="A3" s="0" t="s">
        <v>84</v>
      </c>
      <c r="B3" s="1" t="n">
        <v>43863</v>
      </c>
    </row>
    <row r="4" customFormat="false" ht="13.5" hidden="false" customHeight="false" outlineLevel="0" collapsed="false">
      <c r="A4" s="0" t="s">
        <v>84</v>
      </c>
      <c r="B4" s="1" t="n">
        <v>43864</v>
      </c>
    </row>
    <row r="5" customFormat="false" ht="13.5" hidden="false" customHeight="false" outlineLevel="0" collapsed="false">
      <c r="A5" s="0" t="s">
        <v>84</v>
      </c>
      <c r="B5" s="1" t="n">
        <v>43865</v>
      </c>
    </row>
    <row r="6" customFormat="false" ht="13.5" hidden="false" customHeight="false" outlineLevel="0" collapsed="false">
      <c r="A6" s="0" t="s">
        <v>84</v>
      </c>
      <c r="B6" s="1" t="n">
        <v>43866</v>
      </c>
    </row>
    <row r="7" customFormat="false" ht="13.5" hidden="false" customHeight="false" outlineLevel="0" collapsed="false">
      <c r="A7" s="0" t="s">
        <v>84</v>
      </c>
      <c r="B7" s="1" t="n">
        <v>43867</v>
      </c>
    </row>
    <row r="8" customFormat="false" ht="13.5" hidden="false" customHeight="false" outlineLevel="0" collapsed="false">
      <c r="A8" s="0" t="s">
        <v>84</v>
      </c>
      <c r="B8" s="1" t="n">
        <v>43868</v>
      </c>
    </row>
    <row r="9" customFormat="false" ht="13.5" hidden="false" customHeight="false" outlineLevel="0" collapsed="false">
      <c r="A9" s="0" t="s">
        <v>84</v>
      </c>
      <c r="B9" s="1" t="n">
        <v>43869</v>
      </c>
    </row>
    <row r="10" customFormat="false" ht="13.5" hidden="false" customHeight="false" outlineLevel="0" collapsed="false">
      <c r="A10" s="0" t="s">
        <v>84</v>
      </c>
      <c r="B10" s="1" t="n">
        <v>43870</v>
      </c>
    </row>
    <row r="11" customFormat="false" ht="13.5" hidden="false" customHeight="false" outlineLevel="0" collapsed="false">
      <c r="A11" s="0" t="s">
        <v>84</v>
      </c>
      <c r="B11" s="1" t="n">
        <v>43871</v>
      </c>
    </row>
    <row r="12" customFormat="false" ht="13.5" hidden="false" customHeight="false" outlineLevel="0" collapsed="false">
      <c r="A12" s="0" t="s">
        <v>84</v>
      </c>
      <c r="B12" s="1" t="n">
        <v>43872</v>
      </c>
    </row>
    <row r="13" customFormat="false" ht="13.5" hidden="false" customHeight="false" outlineLevel="0" collapsed="false">
      <c r="A13" s="0" t="s">
        <v>84</v>
      </c>
      <c r="B13" s="1" t="n">
        <v>43873</v>
      </c>
    </row>
    <row r="14" customFormat="false" ht="13.5" hidden="false" customHeight="false" outlineLevel="0" collapsed="false">
      <c r="A14" s="0" t="s">
        <v>84</v>
      </c>
      <c r="B14" s="1" t="n">
        <v>43874</v>
      </c>
    </row>
    <row r="15" customFormat="false" ht="13.5" hidden="false" customHeight="false" outlineLevel="0" collapsed="false">
      <c r="A15" s="0" t="s">
        <v>84</v>
      </c>
      <c r="B15" s="1" t="n">
        <v>43875</v>
      </c>
    </row>
    <row r="16" customFormat="false" ht="13.5" hidden="false" customHeight="false" outlineLevel="0" collapsed="false">
      <c r="A16" s="0" t="s">
        <v>84</v>
      </c>
      <c r="B16" s="1" t="n">
        <v>43876</v>
      </c>
    </row>
    <row r="17" customFormat="false" ht="13.5" hidden="false" customHeight="false" outlineLevel="0" collapsed="false">
      <c r="A17" s="0" t="s">
        <v>84</v>
      </c>
      <c r="B17" s="1" t="n">
        <v>43877</v>
      </c>
    </row>
    <row r="18" customFormat="false" ht="13.5" hidden="false" customHeight="false" outlineLevel="0" collapsed="false">
      <c r="A18" s="0" t="s">
        <v>84</v>
      </c>
      <c r="B18" s="1" t="n">
        <v>43878</v>
      </c>
    </row>
    <row r="19" customFormat="false" ht="13.5" hidden="false" customHeight="false" outlineLevel="0" collapsed="false">
      <c r="A19" s="0" t="s">
        <v>84</v>
      </c>
      <c r="B19" s="1" t="n">
        <v>43879</v>
      </c>
    </row>
    <row r="20" customFormat="false" ht="13.5" hidden="false" customHeight="false" outlineLevel="0" collapsed="false">
      <c r="A20" s="0" t="s">
        <v>84</v>
      </c>
      <c r="B20" s="1" t="n">
        <v>43880</v>
      </c>
    </row>
    <row r="21" customFormat="false" ht="13.5" hidden="false" customHeight="false" outlineLevel="0" collapsed="false">
      <c r="A21" s="0" t="s">
        <v>84</v>
      </c>
      <c r="B21" s="1" t="n">
        <v>43881</v>
      </c>
    </row>
    <row r="22" customFormat="false" ht="13.5" hidden="false" customHeight="false" outlineLevel="0" collapsed="false">
      <c r="A22" s="0" t="s">
        <v>84</v>
      </c>
      <c r="B22" s="1" t="n">
        <v>43882</v>
      </c>
    </row>
    <row r="23" customFormat="false" ht="13.5" hidden="false" customHeight="false" outlineLevel="0" collapsed="false">
      <c r="A23" s="0" t="s">
        <v>84</v>
      </c>
      <c r="B23" s="1" t="n">
        <v>43883</v>
      </c>
    </row>
    <row r="24" customFormat="false" ht="13.5" hidden="false" customHeight="false" outlineLevel="0" collapsed="false">
      <c r="A24" s="0" t="s">
        <v>84</v>
      </c>
      <c r="B24" s="1" t="n">
        <v>43884</v>
      </c>
    </row>
    <row r="25" customFormat="false" ht="13.5" hidden="false" customHeight="false" outlineLevel="0" collapsed="false">
      <c r="A25" s="0" t="s">
        <v>84</v>
      </c>
      <c r="B25" s="1" t="n">
        <v>43885</v>
      </c>
    </row>
    <row r="26" customFormat="false" ht="13.5" hidden="false" customHeight="false" outlineLevel="0" collapsed="false">
      <c r="A26" s="0" t="s">
        <v>84</v>
      </c>
      <c r="B26" s="1" t="n">
        <v>43886</v>
      </c>
    </row>
    <row r="27" customFormat="false" ht="13.5" hidden="false" customHeight="false" outlineLevel="0" collapsed="false">
      <c r="A27" s="0" t="s">
        <v>84</v>
      </c>
      <c r="B27" s="1" t="n">
        <v>43887</v>
      </c>
    </row>
    <row r="28" customFormat="false" ht="13.5" hidden="false" customHeight="false" outlineLevel="0" collapsed="false">
      <c r="A28" s="0" t="s">
        <v>84</v>
      </c>
      <c r="B28" s="1" t="n">
        <v>43888</v>
      </c>
    </row>
    <row r="29" customFormat="false" ht="13.5" hidden="false" customHeight="false" outlineLevel="0" collapsed="false">
      <c r="A29" s="0" t="s">
        <v>84</v>
      </c>
      <c r="B29" s="1" t="n">
        <v>43889</v>
      </c>
    </row>
    <row r="30" customFormat="false" ht="13.5" hidden="false" customHeight="false" outlineLevel="0" collapsed="false">
      <c r="A30" s="0" t="s">
        <v>84</v>
      </c>
      <c r="B30" s="1" t="n">
        <v>43890</v>
      </c>
    </row>
    <row r="31" customFormat="false" ht="13.5" hidden="false" customHeight="false" outlineLevel="0" collapsed="false">
      <c r="A31" s="0" t="s">
        <v>84</v>
      </c>
      <c r="B31" s="1" t="n">
        <v>43891</v>
      </c>
    </row>
    <row r="32" customFormat="false" ht="13.5" hidden="false" customHeight="false" outlineLevel="0" collapsed="false">
      <c r="A32" s="0" t="s">
        <v>84</v>
      </c>
      <c r="B32" s="1" t="n">
        <v>43892</v>
      </c>
    </row>
    <row r="33" customFormat="false" ht="13.5" hidden="false" customHeight="false" outlineLevel="0" collapsed="false">
      <c r="A33" s="0" t="s">
        <v>84</v>
      </c>
      <c r="B33" s="1" t="n">
        <v>43893</v>
      </c>
    </row>
    <row r="34" customFormat="false" ht="13.5" hidden="false" customHeight="false" outlineLevel="0" collapsed="false">
      <c r="A34" s="0" t="s">
        <v>84</v>
      </c>
      <c r="B34" s="1" t="n">
        <v>43894</v>
      </c>
    </row>
    <row r="35" customFormat="false" ht="13.5" hidden="false" customHeight="false" outlineLevel="0" collapsed="false">
      <c r="A35" s="0" t="s">
        <v>84</v>
      </c>
      <c r="B35" s="1" t="n">
        <v>43895</v>
      </c>
    </row>
    <row r="36" customFormat="false" ht="13.5" hidden="false" customHeight="false" outlineLevel="0" collapsed="false">
      <c r="A36" s="0" t="s">
        <v>84</v>
      </c>
      <c r="B36" s="1" t="n">
        <v>43896</v>
      </c>
    </row>
    <row r="37" customFormat="false" ht="14.25" hidden="false" customHeight="false" outlineLevel="0" collapsed="false">
      <c r="A37" s="0" t="s">
        <v>84</v>
      </c>
      <c r="B37" s="1" t="n">
        <v>43897</v>
      </c>
      <c r="C37" s="0" t="n">
        <v>2</v>
      </c>
      <c r="D37" s="0" t="n">
        <v>2</v>
      </c>
      <c r="H37" s="0" t="n">
        <v>2</v>
      </c>
    </row>
    <row r="38" customFormat="false" ht="15.75" hidden="false" customHeight="false" outlineLevel="0" collapsed="false">
      <c r="A38" s="0" t="s">
        <v>84</v>
      </c>
      <c r="B38" s="1" t="n">
        <v>43898</v>
      </c>
      <c r="C38" s="6" t="n">
        <v>2</v>
      </c>
      <c r="D38" s="6"/>
      <c r="E38" s="6"/>
      <c r="F38" s="6"/>
      <c r="G38" s="6"/>
      <c r="H38" s="6" t="n">
        <v>2</v>
      </c>
    </row>
    <row r="39" customFormat="false" ht="13.5" hidden="false" customHeight="false" outlineLevel="0" collapsed="false">
      <c r="A39" s="0" t="s">
        <v>84</v>
      </c>
      <c r="B39" s="1" t="n">
        <v>43899</v>
      </c>
      <c r="C39" s="0" t="n">
        <v>2</v>
      </c>
      <c r="H39" s="0" t="n">
        <v>2</v>
      </c>
      <c r="J39" s="0" t="n">
        <v>0.1</v>
      </c>
    </row>
    <row r="40" customFormat="false" ht="13.5" hidden="false" customHeight="false" outlineLevel="0" collapsed="false">
      <c r="A40" s="0" t="s">
        <v>84</v>
      </c>
      <c r="B40" s="1" t="n">
        <v>43900</v>
      </c>
      <c r="C40" s="0" t="n">
        <v>2</v>
      </c>
      <c r="H40" s="0" t="n">
        <v>2</v>
      </c>
      <c r="J40" s="0" t="n">
        <v>0.1</v>
      </c>
    </row>
    <row r="41" customFormat="false" ht="13.5" hidden="false" customHeight="false" outlineLevel="0" collapsed="false">
      <c r="A41" s="0" t="s">
        <v>84</v>
      </c>
      <c r="B41" s="1" t="n">
        <v>43901</v>
      </c>
      <c r="C41" s="0" t="n">
        <v>2</v>
      </c>
      <c r="H41" s="0" t="n">
        <v>2</v>
      </c>
      <c r="J41" s="0" t="n">
        <v>0.1</v>
      </c>
    </row>
    <row r="42" customFormat="false" ht="13.5" hidden="false" customHeight="false" outlineLevel="0" collapsed="false">
      <c r="A42" s="0" t="s">
        <v>84</v>
      </c>
      <c r="B42" s="1" t="n">
        <v>43902</v>
      </c>
      <c r="C42" s="0" t="n">
        <v>2</v>
      </c>
      <c r="H42" s="0" t="n">
        <v>2</v>
      </c>
      <c r="J42" s="0" t="n">
        <v>0.1</v>
      </c>
    </row>
    <row r="43" customFormat="false" ht="13.5" hidden="false" customHeight="false" outlineLevel="0" collapsed="false">
      <c r="A43" s="0" t="s">
        <v>84</v>
      </c>
      <c r="B43" s="1" t="n">
        <v>43903</v>
      </c>
      <c r="C43" s="0" t="n">
        <v>2</v>
      </c>
      <c r="H43" s="0" t="n">
        <v>2</v>
      </c>
      <c r="J43" s="0" t="n">
        <v>0.1</v>
      </c>
    </row>
    <row r="44" customFormat="false" ht="13.5" hidden="false" customHeight="false" outlineLevel="0" collapsed="false">
      <c r="A44" s="0" t="s">
        <v>84</v>
      </c>
      <c r="B44" s="1" t="n">
        <v>43904</v>
      </c>
      <c r="C44" s="0" t="n">
        <v>2</v>
      </c>
      <c r="H44" s="0" t="n">
        <v>2</v>
      </c>
      <c r="J44" s="0" t="n">
        <v>0.1</v>
      </c>
    </row>
    <row r="45" customFormat="false" ht="13.5" hidden="false" customHeight="false" outlineLevel="0" collapsed="false">
      <c r="A45" s="0" t="s">
        <v>84</v>
      </c>
      <c r="B45" s="1" t="n">
        <v>43905</v>
      </c>
      <c r="C45" s="0" t="n">
        <v>2</v>
      </c>
      <c r="H45" s="0" t="n">
        <v>2</v>
      </c>
      <c r="J45" s="0" t="n">
        <v>0.1</v>
      </c>
    </row>
    <row r="46" customFormat="false" ht="14.25" hidden="false" customHeight="false" outlineLevel="0" collapsed="false">
      <c r="A46" s="0" t="s">
        <v>84</v>
      </c>
      <c r="B46" s="1" t="n">
        <v>43906</v>
      </c>
      <c r="C46" s="0" t="n">
        <v>4</v>
      </c>
      <c r="D46" s="0" t="n">
        <v>2</v>
      </c>
      <c r="H46" s="0" t="n">
        <v>4</v>
      </c>
      <c r="J46" s="0" t="n">
        <v>0.2</v>
      </c>
    </row>
    <row r="47" customFormat="false" ht="15.75" hidden="false" customHeight="false" outlineLevel="0" collapsed="false">
      <c r="A47" s="0" t="s">
        <v>84</v>
      </c>
      <c r="B47" s="1" t="n">
        <v>43907</v>
      </c>
      <c r="C47" s="6" t="n">
        <v>4</v>
      </c>
      <c r="D47" s="6"/>
      <c r="E47" s="6"/>
      <c r="F47" s="6"/>
      <c r="G47" s="6"/>
      <c r="H47" s="6" t="n">
        <v>4</v>
      </c>
      <c r="I47" s="6"/>
      <c r="J47" s="6" t="n">
        <v>0.2</v>
      </c>
    </row>
    <row r="48" customFormat="false" ht="14.25" hidden="false" customHeight="false" outlineLevel="0" collapsed="false">
      <c r="A48" s="0" t="s">
        <v>84</v>
      </c>
      <c r="B48" s="1" t="n">
        <v>43908</v>
      </c>
      <c r="C48" s="0" t="n">
        <v>10</v>
      </c>
      <c r="D48" s="0" t="n">
        <v>5</v>
      </c>
      <c r="H48" s="0" t="n">
        <v>10</v>
      </c>
      <c r="J48" s="0" t="n">
        <v>0.4</v>
      </c>
    </row>
    <row r="49" customFormat="false" ht="15.75" hidden="false" customHeight="false" outlineLevel="0" collapsed="false">
      <c r="A49" s="0" t="s">
        <v>84</v>
      </c>
      <c r="B49" s="1" t="n">
        <v>43909</v>
      </c>
      <c r="C49" s="6" t="n">
        <v>13</v>
      </c>
      <c r="D49" s="40" t="n">
        <v>3</v>
      </c>
      <c r="E49" s="6"/>
      <c r="F49" s="6"/>
      <c r="G49" s="6"/>
      <c r="H49" s="6" t="n">
        <v>13</v>
      </c>
      <c r="I49" s="6"/>
      <c r="J49" s="6" t="n">
        <v>0.5</v>
      </c>
    </row>
    <row r="50" customFormat="false" ht="15.75" hidden="false" customHeight="false" outlineLevel="0" collapsed="false">
      <c r="A50" s="0" t="s">
        <v>84</v>
      </c>
      <c r="B50" s="1" t="n">
        <v>43910</v>
      </c>
      <c r="C50" s="6" t="n">
        <v>13</v>
      </c>
      <c r="D50" s="6"/>
      <c r="E50" s="6"/>
      <c r="F50" s="6"/>
      <c r="G50" s="6"/>
      <c r="H50" s="6" t="n">
        <v>13</v>
      </c>
      <c r="I50" s="6"/>
      <c r="J50" s="6" t="n">
        <v>0.5</v>
      </c>
    </row>
    <row r="51" customFormat="false" ht="15.75" hidden="false" customHeight="false" outlineLevel="0" collapsed="false">
      <c r="A51" s="0" t="s">
        <v>84</v>
      </c>
      <c r="B51" s="1" t="n">
        <v>43911</v>
      </c>
      <c r="C51" s="6" t="n">
        <v>27</v>
      </c>
      <c r="D51" s="6"/>
      <c r="E51" s="6"/>
      <c r="F51" s="6"/>
      <c r="G51" s="6" t="n">
        <v>2</v>
      </c>
      <c r="H51" s="6" t="n">
        <v>25</v>
      </c>
      <c r="I51" s="6"/>
      <c r="J51" s="6" t="n">
        <v>1</v>
      </c>
    </row>
    <row r="52" customFormat="false" ht="15.75" hidden="false" customHeight="false" outlineLevel="0" collapsed="false">
      <c r="A52" s="0" t="s">
        <v>84</v>
      </c>
      <c r="B52" s="1" t="n">
        <v>43912</v>
      </c>
      <c r="C52" s="6" t="n">
        <v>40</v>
      </c>
      <c r="D52" s="40" t="n">
        <v>13</v>
      </c>
      <c r="E52" s="6"/>
      <c r="F52" s="6"/>
      <c r="G52" s="6" t="n">
        <v>2</v>
      </c>
      <c r="H52" s="6" t="n">
        <v>38</v>
      </c>
      <c r="I52" s="6"/>
      <c r="J52" s="6" t="n">
        <v>2</v>
      </c>
    </row>
    <row r="53" customFormat="false" ht="15.75" hidden="false" customHeight="false" outlineLevel="0" collapsed="false">
      <c r="A53" s="0" t="s">
        <v>84</v>
      </c>
      <c r="B53" s="1" t="n">
        <v>43913</v>
      </c>
      <c r="C53" s="6" t="n">
        <v>40</v>
      </c>
      <c r="D53" s="6"/>
      <c r="E53" s="6"/>
      <c r="F53" s="6"/>
      <c r="G53" s="6" t="n">
        <v>2</v>
      </c>
      <c r="H53" s="6" t="n">
        <v>38</v>
      </c>
      <c r="I53" s="6"/>
      <c r="J53" s="6" t="n">
        <v>2</v>
      </c>
    </row>
    <row r="54" customFormat="false" ht="15.75" hidden="false" customHeight="false" outlineLevel="0" collapsed="false">
      <c r="A54" s="0" t="s">
        <v>84</v>
      </c>
      <c r="B54" s="1" t="n">
        <v>43914</v>
      </c>
      <c r="C54" s="6" t="n">
        <v>56</v>
      </c>
      <c r="D54" s="40" t="n">
        <v>16</v>
      </c>
      <c r="E54" s="6"/>
      <c r="F54" s="6"/>
      <c r="G54" s="6" t="n">
        <v>2</v>
      </c>
      <c r="H54" s="6" t="n">
        <v>54</v>
      </c>
      <c r="I54" s="6"/>
      <c r="J54" s="6" t="n">
        <v>2</v>
      </c>
    </row>
    <row r="55" customFormat="false" ht="15.75" hidden="false" customHeight="false" outlineLevel="0" collapsed="false">
      <c r="A55" s="0" t="s">
        <v>84</v>
      </c>
      <c r="B55" s="1" t="n">
        <v>43915</v>
      </c>
      <c r="C55" s="6" t="n">
        <v>66</v>
      </c>
      <c r="D55" s="40" t="n">
        <v>10</v>
      </c>
      <c r="E55" s="6"/>
      <c r="F55" s="6"/>
      <c r="G55" s="6" t="n">
        <v>2</v>
      </c>
      <c r="H55" s="6" t="n">
        <v>64</v>
      </c>
      <c r="I55" s="6"/>
      <c r="J55" s="6" t="n">
        <v>2</v>
      </c>
    </row>
    <row r="56" customFormat="false" ht="15.75" hidden="false" customHeight="false" outlineLevel="0" collapsed="false">
      <c r="A56" s="0" t="s">
        <v>84</v>
      </c>
      <c r="B56" s="1" t="n">
        <v>43916</v>
      </c>
      <c r="C56" s="6" t="n">
        <v>75</v>
      </c>
      <c r="D56" s="40" t="n">
        <v>9</v>
      </c>
      <c r="E56" s="6" t="n">
        <v>1</v>
      </c>
      <c r="F56" s="6"/>
      <c r="G56" s="6" t="n">
        <v>2</v>
      </c>
      <c r="H56" s="6" t="n">
        <v>72</v>
      </c>
      <c r="I56" s="6"/>
      <c r="J56" s="6" t="n">
        <v>3</v>
      </c>
      <c r="K56" s="6" t="n">
        <v>0.04</v>
      </c>
    </row>
    <row r="57" customFormat="false" ht="15.75" hidden="false" customHeight="false" outlineLevel="0" collapsed="false">
      <c r="A57" s="0" t="s">
        <v>84</v>
      </c>
      <c r="B57" s="1" t="n">
        <v>43917</v>
      </c>
      <c r="C57" s="6" t="n">
        <v>75</v>
      </c>
      <c r="D57" s="6"/>
      <c r="E57" s="6" t="n">
        <v>1</v>
      </c>
      <c r="F57" s="6"/>
      <c r="G57" s="6" t="n">
        <v>2</v>
      </c>
      <c r="H57" s="6" t="n">
        <v>72</v>
      </c>
      <c r="I57" s="6"/>
      <c r="J57" s="6" t="n">
        <v>3</v>
      </c>
      <c r="K57" s="6" t="n">
        <v>0.04</v>
      </c>
    </row>
    <row r="58" customFormat="false" ht="15.75" hidden="false" customHeight="false" outlineLevel="0" collapsed="false">
      <c r="A58" s="0" t="s">
        <v>84</v>
      </c>
      <c r="B58" s="1" t="n">
        <v>43918</v>
      </c>
      <c r="C58" s="6" t="n">
        <v>91</v>
      </c>
      <c r="D58" s="40" t="n">
        <v>16</v>
      </c>
      <c r="E58" s="6" t="n">
        <v>2</v>
      </c>
      <c r="F58" s="41" t="n">
        <v>1</v>
      </c>
      <c r="G58" s="6" t="n">
        <v>2</v>
      </c>
      <c r="H58" s="6" t="n">
        <v>87</v>
      </c>
      <c r="I58" s="6"/>
      <c r="J58" s="6" t="n">
        <v>3</v>
      </c>
      <c r="K58" s="6" t="n">
        <v>0.08</v>
      </c>
    </row>
    <row r="59" customFormat="false" ht="15.75" hidden="false" customHeight="false" outlineLevel="0" collapsed="false">
      <c r="A59" s="0" t="s">
        <v>84</v>
      </c>
      <c r="B59" s="1" t="n">
        <v>43919</v>
      </c>
      <c r="C59" s="6" t="n">
        <v>91</v>
      </c>
      <c r="D59" s="6"/>
      <c r="E59" s="6" t="n">
        <v>2</v>
      </c>
      <c r="F59" s="6"/>
      <c r="G59" s="6" t="n">
        <v>2</v>
      </c>
      <c r="H59" s="6" t="n">
        <v>87</v>
      </c>
      <c r="I59" s="6"/>
      <c r="J59" s="6" t="n">
        <v>3</v>
      </c>
      <c r="K59" s="6" t="n">
        <v>0.08</v>
      </c>
    </row>
    <row r="60" customFormat="false" ht="15.75" hidden="false" customHeight="false" outlineLevel="0" collapsed="false">
      <c r="A60" s="0" t="s">
        <v>84</v>
      </c>
      <c r="B60" s="1" t="n">
        <v>43920</v>
      </c>
      <c r="C60" s="6" t="n">
        <v>139</v>
      </c>
      <c r="D60" s="40" t="n">
        <v>48</v>
      </c>
      <c r="E60" s="6" t="n">
        <v>6</v>
      </c>
      <c r="F60" s="41" t="n">
        <v>4</v>
      </c>
      <c r="G60" s="6" t="n">
        <v>5</v>
      </c>
      <c r="H60" s="6" t="n">
        <v>128</v>
      </c>
      <c r="I60" s="6"/>
      <c r="J60" s="6" t="n">
        <v>5</v>
      </c>
      <c r="K60" s="6" t="n">
        <v>0.2</v>
      </c>
    </row>
    <row r="61" customFormat="false" ht="15.75" hidden="false" customHeight="false" outlineLevel="0" collapsed="false">
      <c r="A61" s="0" t="s">
        <v>84</v>
      </c>
      <c r="B61" s="1" t="n">
        <v>43921</v>
      </c>
      <c r="C61" s="6" t="n">
        <v>139</v>
      </c>
      <c r="D61" s="6"/>
      <c r="E61" s="6" t="n">
        <v>6</v>
      </c>
      <c r="F61" s="6"/>
      <c r="G61" s="6" t="n">
        <v>5</v>
      </c>
      <c r="H61" s="6" t="n">
        <v>128</v>
      </c>
      <c r="I61" s="6"/>
      <c r="J61" s="6" t="n">
        <v>5</v>
      </c>
      <c r="K61" s="6" t="n">
        <v>0.2</v>
      </c>
    </row>
    <row r="62" customFormat="false" ht="15.75" hidden="false" customHeight="false" outlineLevel="0" collapsed="false">
      <c r="A62" s="0" t="s">
        <v>84</v>
      </c>
      <c r="B62" s="1" t="n">
        <v>43922</v>
      </c>
      <c r="C62" s="6" t="n">
        <v>193</v>
      </c>
      <c r="D62" s="40" t="n">
        <v>54</v>
      </c>
      <c r="E62" s="6" t="n">
        <v>6</v>
      </c>
      <c r="F62" s="6"/>
      <c r="G62" s="6" t="n">
        <v>5</v>
      </c>
      <c r="H62" s="6" t="n">
        <v>182</v>
      </c>
      <c r="I62" s="6"/>
      <c r="J62" s="6" t="n">
        <v>7</v>
      </c>
      <c r="K62" s="6" t="n">
        <v>0.2</v>
      </c>
    </row>
    <row r="63" customFormat="false" ht="15.75" hidden="false" customHeight="false" outlineLevel="0" collapsed="false">
      <c r="A63" s="0" t="s">
        <v>84</v>
      </c>
      <c r="B63" s="1" t="n">
        <v>43923</v>
      </c>
      <c r="C63" s="6" t="n">
        <v>233</v>
      </c>
      <c r="D63" s="40" t="n">
        <v>40</v>
      </c>
      <c r="E63" s="6" t="n">
        <v>6</v>
      </c>
      <c r="F63" s="6"/>
      <c r="G63" s="6" t="n">
        <v>10</v>
      </c>
      <c r="H63" s="6" t="n">
        <v>217</v>
      </c>
      <c r="I63" s="6"/>
      <c r="J63" s="6" t="n">
        <v>9</v>
      </c>
      <c r="K63" s="6" t="n">
        <v>0.2</v>
      </c>
    </row>
    <row r="64" customFormat="false" ht="15.75" hidden="false" customHeight="false" outlineLevel="0" collapsed="false">
      <c r="A64" s="0" t="s">
        <v>84</v>
      </c>
      <c r="B64" s="1" t="n">
        <v>43924</v>
      </c>
      <c r="C64" s="6" t="n">
        <v>306</v>
      </c>
      <c r="D64" s="40" t="n">
        <v>73</v>
      </c>
      <c r="E64" s="6" t="n">
        <v>7</v>
      </c>
      <c r="F64" s="41" t="n">
        <v>1</v>
      </c>
      <c r="G64" s="6" t="n">
        <v>10</v>
      </c>
      <c r="H64" s="6" t="n">
        <v>289</v>
      </c>
      <c r="I64" s="6"/>
      <c r="J64" s="6" t="n">
        <v>12</v>
      </c>
      <c r="K64" s="6" t="n">
        <v>0.3</v>
      </c>
    </row>
    <row r="65" customFormat="false" ht="15.75" hidden="false" customHeight="false" outlineLevel="0" collapsed="false">
      <c r="A65" s="0" t="s">
        <v>84</v>
      </c>
      <c r="B65" s="1" t="n">
        <v>43925</v>
      </c>
      <c r="C65" s="6" t="n">
        <v>509</v>
      </c>
      <c r="D65" s="40" t="n">
        <v>203</v>
      </c>
      <c r="E65" s="6" t="n">
        <v>8</v>
      </c>
      <c r="F65" s="41" t="n">
        <v>1</v>
      </c>
      <c r="G65" s="6" t="n">
        <v>17</v>
      </c>
      <c r="H65" s="6" t="n">
        <v>484</v>
      </c>
      <c r="I65" s="6"/>
      <c r="J65" s="6" t="n">
        <v>19</v>
      </c>
      <c r="K65" s="6" t="n">
        <v>0.3</v>
      </c>
    </row>
    <row r="66" customFormat="false" ht="15.75" hidden="false" customHeight="false" outlineLevel="0" collapsed="false">
      <c r="A66" s="0" t="s">
        <v>84</v>
      </c>
      <c r="B66" s="1" t="n">
        <v>43926</v>
      </c>
      <c r="C66" s="6" t="n">
        <v>555</v>
      </c>
      <c r="D66" s="40" t="n">
        <v>46</v>
      </c>
      <c r="E66" s="6" t="n">
        <v>9</v>
      </c>
      <c r="F66" s="41" t="n">
        <v>1</v>
      </c>
      <c r="G66" s="6" t="n">
        <v>17</v>
      </c>
      <c r="H66" s="6" t="n">
        <v>529</v>
      </c>
      <c r="I66" s="6"/>
      <c r="J66" s="6" t="n">
        <v>21</v>
      </c>
      <c r="K66" s="6" t="n">
        <v>0.3</v>
      </c>
      <c r="L66" s="6"/>
    </row>
    <row r="67" customFormat="false" ht="15.75" hidden="false" customHeight="false" outlineLevel="0" collapsed="false">
      <c r="A67" s="0" t="s">
        <v>84</v>
      </c>
      <c r="B67" s="1" t="n">
        <v>43927</v>
      </c>
      <c r="C67" s="6" t="n">
        <v>650</v>
      </c>
      <c r="D67" s="40" t="n">
        <v>95</v>
      </c>
      <c r="E67" s="6" t="n">
        <v>9</v>
      </c>
      <c r="F67" s="6"/>
      <c r="G67" s="6" t="n">
        <v>17</v>
      </c>
      <c r="H67" s="6" t="n">
        <v>624</v>
      </c>
      <c r="I67" s="6"/>
      <c r="J67" s="6" t="n">
        <v>24</v>
      </c>
      <c r="K67" s="6" t="n">
        <v>0.3</v>
      </c>
    </row>
    <row r="68" customFormat="false" ht="15.75" hidden="false" customHeight="false" outlineLevel="0" collapsed="false">
      <c r="A68" s="0" t="s">
        <v>84</v>
      </c>
      <c r="B68" s="1" t="n">
        <v>43928</v>
      </c>
      <c r="C68" s="6" t="n">
        <v>658</v>
      </c>
      <c r="D68" s="40" t="n">
        <v>8</v>
      </c>
      <c r="E68" s="6" t="n">
        <v>9</v>
      </c>
      <c r="F68" s="6"/>
      <c r="G68" s="6" t="n">
        <v>17</v>
      </c>
      <c r="H68" s="6" t="n">
        <v>632</v>
      </c>
      <c r="I68" s="6"/>
      <c r="J68" s="6" t="n">
        <v>25</v>
      </c>
      <c r="K68" s="6" t="n">
        <v>0.3</v>
      </c>
      <c r="L68" s="6"/>
    </row>
    <row r="69" customFormat="false" ht="15.75" hidden="false" customHeight="false" outlineLevel="0" collapsed="false">
      <c r="A69" s="0" t="s">
        <v>84</v>
      </c>
      <c r="B69" s="1" t="n">
        <v>43929</v>
      </c>
      <c r="C69" s="6" t="n">
        <v>658</v>
      </c>
      <c r="D69" s="6"/>
      <c r="E69" s="6" t="n">
        <v>9</v>
      </c>
      <c r="F69" s="6"/>
      <c r="G69" s="6" t="n">
        <v>43</v>
      </c>
      <c r="H69" s="6" t="n">
        <v>606</v>
      </c>
      <c r="I69" s="6"/>
      <c r="J69" s="6" t="n">
        <v>25</v>
      </c>
      <c r="K69" s="6" t="n">
        <v>0.3</v>
      </c>
    </row>
    <row r="70" customFormat="false" ht="15.75" hidden="false" customHeight="false" outlineLevel="0" collapsed="false">
      <c r="A70" s="0" t="s">
        <v>84</v>
      </c>
      <c r="B70" s="1" t="n">
        <v>43930</v>
      </c>
      <c r="C70" s="6" t="n">
        <v>730</v>
      </c>
      <c r="D70" s="40" t="n">
        <v>45</v>
      </c>
      <c r="E70" s="6" t="n">
        <v>10</v>
      </c>
      <c r="F70" s="41" t="n">
        <v>1</v>
      </c>
      <c r="G70" s="6" t="n">
        <v>60</v>
      </c>
      <c r="H70" s="6" t="n">
        <v>660</v>
      </c>
      <c r="I70" s="6"/>
      <c r="J70" s="6" t="n">
        <v>27</v>
      </c>
      <c r="K70" s="6" t="n">
        <v>0.4</v>
      </c>
    </row>
    <row r="71" customFormat="false" ht="15.75" hidden="false" customHeight="false" outlineLevel="0" collapsed="false">
      <c r="A71" s="0" t="s">
        <v>84</v>
      </c>
      <c r="B71" s="1" t="n">
        <v>43931</v>
      </c>
      <c r="C71" s="6" t="n">
        <v>730</v>
      </c>
      <c r="D71" s="6"/>
      <c r="E71" s="6" t="n">
        <v>10</v>
      </c>
      <c r="F71" s="6"/>
      <c r="G71" s="6" t="n">
        <v>60</v>
      </c>
      <c r="H71" s="6" t="n">
        <v>660</v>
      </c>
      <c r="I71" s="6"/>
      <c r="J71" s="6" t="n">
        <v>27</v>
      </c>
      <c r="K71" s="6" t="n">
        <v>0.4</v>
      </c>
    </row>
    <row r="72" customFormat="false" ht="15.75" hidden="false" customHeight="false" outlineLevel="0" collapsed="false">
      <c r="A72" s="0" t="s">
        <v>84</v>
      </c>
      <c r="B72" s="1" t="n">
        <v>43932</v>
      </c>
      <c r="C72" s="6" t="n">
        <v>820</v>
      </c>
      <c r="D72" s="40" t="n">
        <v>17</v>
      </c>
      <c r="E72" s="6" t="n">
        <v>12</v>
      </c>
      <c r="F72" s="6"/>
      <c r="G72" s="6" t="n">
        <v>98</v>
      </c>
      <c r="H72" s="6" t="n">
        <v>710</v>
      </c>
      <c r="I72" s="6"/>
      <c r="J72" s="6" t="n">
        <v>31</v>
      </c>
      <c r="K72" s="6" t="n">
        <v>0.5</v>
      </c>
    </row>
    <row r="73" customFormat="false" ht="15.75" hidden="false" customHeight="false" outlineLevel="0" collapsed="false">
      <c r="A73" s="0" t="s">
        <v>84</v>
      </c>
      <c r="B73" s="1" t="n">
        <v>43933</v>
      </c>
      <c r="C73" s="6" t="n">
        <v>820</v>
      </c>
      <c r="D73" s="6"/>
      <c r="E73" s="6" t="n">
        <v>12</v>
      </c>
      <c r="F73" s="6"/>
      <c r="G73" s="6" t="n">
        <v>98</v>
      </c>
      <c r="H73" s="6" t="n">
        <v>710</v>
      </c>
      <c r="I73" s="6"/>
      <c r="J73" s="6" t="n">
        <v>31</v>
      </c>
      <c r="K73" s="6" t="n">
        <v>0.5</v>
      </c>
    </row>
    <row r="74" customFormat="false" ht="15.75" hidden="false" customHeight="false" outlineLevel="0" collapsed="false">
      <c r="A74" s="0" t="s">
        <v>84</v>
      </c>
      <c r="B74" s="1" t="n">
        <v>43934</v>
      </c>
      <c r="C74" s="6" t="n">
        <v>820</v>
      </c>
      <c r="D74" s="6"/>
      <c r="E74" s="6" t="n">
        <v>12</v>
      </c>
      <c r="F74" s="6"/>
      <c r="G74" s="6" t="n">
        <v>98</v>
      </c>
      <c r="H74" s="6" t="n">
        <v>710</v>
      </c>
      <c r="I74" s="6"/>
      <c r="J74" s="6" t="n">
        <v>31</v>
      </c>
      <c r="K74" s="6" t="n">
        <v>0.5</v>
      </c>
    </row>
    <row r="75" customFormat="false" ht="14.25" hidden="false" customHeight="false" outlineLevel="0" collapsed="false">
      <c r="A75" s="0" t="s">
        <v>84</v>
      </c>
      <c r="B75" s="1" t="n">
        <v>43935</v>
      </c>
      <c r="C75" s="45" t="n">
        <v>820</v>
      </c>
      <c r="D75" s="45"/>
      <c r="E75" s="45" t="n">
        <v>12</v>
      </c>
      <c r="F75" s="45"/>
      <c r="G75" s="45" t="n">
        <v>98</v>
      </c>
      <c r="H75" s="45" t="n">
        <v>710</v>
      </c>
      <c r="I75" s="45"/>
      <c r="J75" s="45" t="n">
        <v>31</v>
      </c>
      <c r="K75" s="45" t="n">
        <v>0.5</v>
      </c>
      <c r="L75" s="45"/>
    </row>
    <row r="76" customFormat="false" ht="13.5" hidden="false" customHeight="false" outlineLevel="0" collapsed="false">
      <c r="A76" s="0" t="s">
        <v>84</v>
      </c>
      <c r="B76" s="1" t="n">
        <v>43936</v>
      </c>
      <c r="C76" s="2" t="n">
        <v>848</v>
      </c>
      <c r="D76" s="2" t="n">
        <v>28</v>
      </c>
      <c r="E76" s="2" t="n">
        <v>14</v>
      </c>
      <c r="F76" s="2" t="n">
        <v>2</v>
      </c>
      <c r="G76" s="2" t="n">
        <v>130</v>
      </c>
      <c r="H76" s="2" t="n">
        <v>704</v>
      </c>
      <c r="I76" s="2" t="n">
        <v>0</v>
      </c>
      <c r="J76" s="2" t="n">
        <v>32</v>
      </c>
      <c r="K76" s="2" t="n">
        <v>0.5</v>
      </c>
    </row>
    <row r="77" customFormat="false" ht="13.5" hidden="false" customHeight="false" outlineLevel="0" collapsed="false">
      <c r="A77" s="0" t="s">
        <v>84</v>
      </c>
      <c r="B77" s="1" t="n">
        <v>43937</v>
      </c>
      <c r="C77" s="2" t="n">
        <v>848</v>
      </c>
      <c r="D77" s="0" t="n">
        <v>0</v>
      </c>
      <c r="E77" s="0" t="n">
        <v>17</v>
      </c>
      <c r="F77" s="0" t="n">
        <v>3</v>
      </c>
      <c r="G77" s="0" t="n">
        <v>165</v>
      </c>
      <c r="H77" s="0" t="n">
        <v>666</v>
      </c>
      <c r="I77" s="0" t="n">
        <v>0</v>
      </c>
      <c r="J77" s="0" t="n">
        <v>32</v>
      </c>
      <c r="K77" s="0" t="n">
        <v>0.6</v>
      </c>
    </row>
    <row r="78" customFormat="false" ht="13.5" hidden="false" customHeight="false" outlineLevel="0" collapsed="false">
      <c r="A78" s="0" t="s">
        <v>84</v>
      </c>
      <c r="B78" s="1" t="n">
        <v>43938</v>
      </c>
      <c r="C78" s="0" t="n">
        <v>996</v>
      </c>
      <c r="D78" s="0" t="n">
        <v>148</v>
      </c>
      <c r="E78" s="0" t="n">
        <v>22</v>
      </c>
      <c r="F78" s="0" t="n">
        <v>5</v>
      </c>
      <c r="G78" s="0" t="n">
        <v>164</v>
      </c>
      <c r="H78" s="0" t="n">
        <v>810</v>
      </c>
      <c r="I78" s="0" t="n">
        <v>0</v>
      </c>
      <c r="J78" s="0" t="n">
        <v>38</v>
      </c>
      <c r="K78" s="0" t="n">
        <v>0.8</v>
      </c>
    </row>
    <row r="79" customFormat="false" ht="13.5" hidden="false" customHeight="false" outlineLevel="0" collapsed="false">
      <c r="A79" s="0" t="s">
        <v>84</v>
      </c>
      <c r="B79" s="1" t="n">
        <v>43939</v>
      </c>
      <c r="C79" s="0" t="n">
        <v>996</v>
      </c>
      <c r="D79" s="0" t="n">
        <v>0</v>
      </c>
      <c r="E79" s="0" t="n">
        <v>22</v>
      </c>
      <c r="F79" s="0" t="n">
        <v>0</v>
      </c>
      <c r="G79" s="0" t="n">
        <v>164</v>
      </c>
      <c r="H79" s="0" t="n">
        <v>810</v>
      </c>
      <c r="I79" s="0" t="n">
        <v>0</v>
      </c>
      <c r="J79" s="0" t="n">
        <v>38</v>
      </c>
      <c r="K79" s="0" t="n">
        <v>0.8</v>
      </c>
    </row>
    <row r="80" customFormat="false" ht="13.5" hidden="false" customHeight="false" outlineLevel="0" collapsed="false">
      <c r="A80" s="0" t="s">
        <v>84</v>
      </c>
      <c r="B80" s="1" t="n">
        <v>43940</v>
      </c>
      <c r="C80" s="0" t="n">
        <v>1017</v>
      </c>
      <c r="D80" s="0" t="n">
        <v>21</v>
      </c>
      <c r="E80" s="0" t="n">
        <v>22</v>
      </c>
      <c r="F80" s="0" t="n">
        <v>0</v>
      </c>
      <c r="G80" s="0" t="n">
        <v>177</v>
      </c>
      <c r="H80" s="0" t="n">
        <v>818</v>
      </c>
      <c r="I80" s="0" t="n">
        <v>0</v>
      </c>
      <c r="J80" s="0" t="n">
        <v>38</v>
      </c>
      <c r="K80" s="0" t="n">
        <v>0.8</v>
      </c>
    </row>
    <row r="81" customFormat="false" ht="13.5" hidden="false" customHeight="false" outlineLevel="0" collapsed="false">
      <c r="A81" s="0" t="s">
        <v>84</v>
      </c>
      <c r="B81" s="1" t="n">
        <v>43941</v>
      </c>
      <c r="C81" s="2" t="n">
        <v>1017</v>
      </c>
      <c r="D81" s="0" t="n">
        <v>0</v>
      </c>
      <c r="E81" s="0" t="n">
        <v>42</v>
      </c>
      <c r="F81" s="0" t="n">
        <v>20</v>
      </c>
      <c r="G81" s="0" t="n">
        <v>305</v>
      </c>
      <c r="H81" s="0" t="n">
        <v>670</v>
      </c>
      <c r="I81" s="0" t="n">
        <v>33</v>
      </c>
      <c r="J81" s="0" t="n">
        <v>38</v>
      </c>
      <c r="K81" s="0" t="n">
        <v>2</v>
      </c>
    </row>
    <row r="82" customFormat="false" ht="13.5" hidden="false" customHeight="false" outlineLevel="0" collapsed="false">
      <c r="A82" s="0" t="s">
        <v>84</v>
      </c>
      <c r="B82" s="1" t="n">
        <v>43942</v>
      </c>
      <c r="C82" s="0" t="n">
        <v>1017</v>
      </c>
      <c r="D82" s="0" t="n">
        <v>0</v>
      </c>
      <c r="E82" s="0" t="n">
        <v>42</v>
      </c>
      <c r="F82" s="0" t="n">
        <v>0</v>
      </c>
      <c r="G82" s="0" t="n">
        <v>305</v>
      </c>
      <c r="H82" s="0" t="n">
        <v>670</v>
      </c>
      <c r="I82" s="0" t="n">
        <v>33</v>
      </c>
      <c r="J82" s="0" t="n">
        <v>38</v>
      </c>
      <c r="K82" s="0" t="n">
        <v>2</v>
      </c>
    </row>
    <row r="83" customFormat="false" ht="13.5" hidden="false" customHeight="false" outlineLevel="0" collapsed="false">
      <c r="A83" s="0" t="s">
        <v>84</v>
      </c>
      <c r="B83" s="1" t="n">
        <v>43943</v>
      </c>
      <c r="C83" s="0" t="n">
        <v>1163</v>
      </c>
      <c r="D83" s="0" t="n">
        <v>146</v>
      </c>
      <c r="E83" s="0" t="n">
        <v>43</v>
      </c>
      <c r="F83" s="0" t="n">
        <v>1</v>
      </c>
      <c r="G83" s="0" t="n">
        <v>329</v>
      </c>
      <c r="H83" s="0" t="n">
        <v>791</v>
      </c>
      <c r="I83" s="0" t="n">
        <v>33</v>
      </c>
      <c r="J83" s="0" t="n">
        <v>44</v>
      </c>
      <c r="K83" s="0" t="n">
        <v>2</v>
      </c>
    </row>
    <row r="84" customFormat="false" ht="13.5" hidden="false" customHeight="false" outlineLevel="0" collapsed="false">
      <c r="A84" s="0" t="s">
        <v>84</v>
      </c>
      <c r="B84" s="1" t="n">
        <v>43944</v>
      </c>
      <c r="C84" s="0" t="n">
        <v>1163</v>
      </c>
      <c r="D84" s="0" t="n">
        <v>0</v>
      </c>
      <c r="E84" s="0" t="n">
        <v>43</v>
      </c>
      <c r="F84" s="0" t="n">
        <v>0</v>
      </c>
      <c r="G84" s="0" t="n">
        <v>331</v>
      </c>
      <c r="H84" s="0" t="n">
        <v>789</v>
      </c>
      <c r="I84" s="0" t="n">
        <v>33</v>
      </c>
      <c r="J84" s="0" t="n">
        <v>44</v>
      </c>
      <c r="K84" s="0" t="n">
        <v>2</v>
      </c>
    </row>
    <row r="85" customFormat="false" ht="13.5" hidden="false" customHeight="false" outlineLevel="0" collapsed="false">
      <c r="A85" s="0" t="s">
        <v>84</v>
      </c>
      <c r="B85" s="1" t="n">
        <v>43945</v>
      </c>
      <c r="C85" s="0" t="n">
        <v>1334</v>
      </c>
      <c r="D85" s="0" t="n">
        <v>171</v>
      </c>
      <c r="E85" s="0" t="n">
        <v>43</v>
      </c>
      <c r="F85" s="0" t="n">
        <v>0</v>
      </c>
      <c r="G85" s="0" t="n">
        <v>668</v>
      </c>
      <c r="H85" s="0" t="n">
        <v>623</v>
      </c>
      <c r="I85" s="0" t="n">
        <v>33</v>
      </c>
      <c r="J85" s="0" t="n">
        <v>50</v>
      </c>
      <c r="K85" s="0" t="n">
        <v>2</v>
      </c>
    </row>
    <row r="86" customFormat="false" ht="13.5" hidden="false" customHeight="false" outlineLevel="0" collapsed="false">
      <c r="A86" s="0" t="s">
        <v>84</v>
      </c>
      <c r="B86" s="1" t="n">
        <v>43946</v>
      </c>
      <c r="C86" s="0" t="n">
        <v>1430</v>
      </c>
      <c r="D86" s="0" t="n">
        <v>96</v>
      </c>
      <c r="E86" s="0" t="n">
        <v>43</v>
      </c>
      <c r="F86" s="0" t="n">
        <v>0</v>
      </c>
      <c r="G86" s="0" t="n">
        <v>668</v>
      </c>
      <c r="H86" s="0" t="n">
        <v>719</v>
      </c>
      <c r="I86" s="0" t="n">
        <v>20</v>
      </c>
      <c r="J86" s="0" t="n">
        <v>54</v>
      </c>
      <c r="K86" s="0" t="n">
        <v>2</v>
      </c>
    </row>
    <row r="87" customFormat="false" ht="13.5" hidden="false" customHeight="false" outlineLevel="0" collapsed="false">
      <c r="A87" s="0" t="s">
        <v>84</v>
      </c>
      <c r="B87" s="1" t="n">
        <v>43947</v>
      </c>
      <c r="C87" s="0" t="n">
        <v>1518</v>
      </c>
      <c r="D87" s="0" t="n">
        <v>88</v>
      </c>
      <c r="E87" s="0" t="n">
        <v>53</v>
      </c>
      <c r="F87" s="0" t="n">
        <v>10</v>
      </c>
      <c r="G87" s="0" t="n">
        <v>697</v>
      </c>
      <c r="H87" s="0" t="n">
        <v>768</v>
      </c>
      <c r="I87" s="0" t="n">
        <v>28</v>
      </c>
      <c r="J87" s="0" t="n">
        <v>57</v>
      </c>
      <c r="K87" s="0" t="n">
        <v>2</v>
      </c>
    </row>
    <row r="88" customFormat="false" ht="13.5" hidden="false" customHeight="false" outlineLevel="0" collapsed="false">
      <c r="A88" s="0" t="s">
        <v>84</v>
      </c>
      <c r="B88" s="1" t="n">
        <v>43948</v>
      </c>
      <c r="C88" s="0" t="n">
        <v>1621</v>
      </c>
      <c r="D88" s="0" t="n">
        <v>103</v>
      </c>
      <c r="E88" s="0" t="n">
        <v>56</v>
      </c>
      <c r="F88" s="0" t="n">
        <v>3</v>
      </c>
      <c r="G88" s="0" t="n">
        <v>786</v>
      </c>
      <c r="H88" s="0" t="n">
        <v>779</v>
      </c>
      <c r="I88" s="0" t="n">
        <v>12</v>
      </c>
      <c r="J88" s="0" t="n">
        <v>61</v>
      </c>
      <c r="K88" s="0" t="n">
        <v>2</v>
      </c>
    </row>
    <row r="89" customFormat="false" ht="13.5" hidden="false" customHeight="false" outlineLevel="0" collapsed="false">
      <c r="A89" s="0" t="s">
        <v>84</v>
      </c>
      <c r="B89" s="1" t="n">
        <v>43949</v>
      </c>
      <c r="C89" s="0" t="n">
        <v>1621</v>
      </c>
      <c r="D89" s="0" t="n">
        <v>0</v>
      </c>
      <c r="E89" s="0" t="n">
        <v>56</v>
      </c>
      <c r="F89" s="0" t="n">
        <v>0</v>
      </c>
      <c r="G89" s="0" t="n">
        <v>786</v>
      </c>
      <c r="H89" s="0" t="n">
        <v>779</v>
      </c>
      <c r="I89" s="0" t="n">
        <v>12</v>
      </c>
      <c r="J89" s="0" t="n">
        <v>61</v>
      </c>
      <c r="K89" s="0" t="n">
        <v>2</v>
      </c>
    </row>
    <row r="90" customFormat="false" ht="13.5" hidden="false" customHeight="false" outlineLevel="0" collapsed="false">
      <c r="A90" s="0" t="s">
        <v>84</v>
      </c>
      <c r="B90" s="1" t="n">
        <v>43950</v>
      </c>
      <c r="C90" s="0" t="n">
        <v>1705</v>
      </c>
      <c r="D90" s="0" t="n">
        <v>84</v>
      </c>
      <c r="E90" s="0" t="n">
        <v>58</v>
      </c>
      <c r="F90" s="0" t="n">
        <v>2</v>
      </c>
      <c r="G90" s="0" t="n">
        <v>915</v>
      </c>
      <c r="H90" s="0" t="n">
        <v>732</v>
      </c>
      <c r="I90" s="0" t="n">
        <v>12</v>
      </c>
      <c r="J90" s="0" t="n">
        <v>64</v>
      </c>
      <c r="K90" s="0" t="n">
        <v>2</v>
      </c>
    </row>
    <row r="91" customFormat="false" ht="13.5" hidden="false" customHeight="false" outlineLevel="0" collapsed="false">
      <c r="A91" s="0" t="s">
        <v>84</v>
      </c>
      <c r="B91" s="1" t="n">
        <v>43951</v>
      </c>
      <c r="C91" s="2" t="n">
        <v>1806</v>
      </c>
      <c r="D91" s="2" t="n">
        <v>101</v>
      </c>
      <c r="E91" s="2" t="n">
        <v>61</v>
      </c>
      <c r="F91" s="2" t="n">
        <v>3</v>
      </c>
      <c r="G91" s="2" t="n">
        <v>934</v>
      </c>
      <c r="H91" s="2" t="n">
        <v>811</v>
      </c>
      <c r="I91" s="2" t="n">
        <v>12</v>
      </c>
      <c r="J91" s="2" t="n">
        <v>68</v>
      </c>
      <c r="K91" s="2" t="n">
        <v>2</v>
      </c>
    </row>
    <row r="92" customFormat="false" ht="13.5" hidden="false" customHeight="false" outlineLevel="0" collapsed="false">
      <c r="A92" s="0" t="s">
        <v>84</v>
      </c>
      <c r="B92" s="1" t="n">
        <v>43952</v>
      </c>
      <c r="C92" s="2" t="n">
        <v>1832</v>
      </c>
      <c r="D92" s="2" t="n">
        <v>26</v>
      </c>
      <c r="E92" s="2" t="n">
        <v>61</v>
      </c>
      <c r="F92" s="2" t="n">
        <v>0</v>
      </c>
      <c r="G92" s="2" t="n">
        <v>934</v>
      </c>
      <c r="H92" s="2" t="n">
        <v>837</v>
      </c>
      <c r="I92" s="2" t="n">
        <v>12</v>
      </c>
      <c r="J92" s="2" t="n">
        <v>69</v>
      </c>
      <c r="K92" s="2" t="n">
        <v>2</v>
      </c>
    </row>
    <row r="93" customFormat="false" ht="13.5" hidden="false" customHeight="false" outlineLevel="0" collapsed="false">
      <c r="A93" s="0" t="s">
        <v>84</v>
      </c>
      <c r="B93" s="1" t="n">
        <v>43953</v>
      </c>
      <c r="C93" s="0" t="n">
        <v>1832</v>
      </c>
      <c r="D93" s="0" t="n">
        <v>0</v>
      </c>
      <c r="E93" s="0" t="n">
        <v>61</v>
      </c>
      <c r="F93" s="0" t="n">
        <v>0</v>
      </c>
      <c r="G93" s="0" t="n">
        <v>934</v>
      </c>
      <c r="H93" s="0" t="n">
        <v>837</v>
      </c>
      <c r="I93" s="0" t="n">
        <v>12</v>
      </c>
      <c r="J93" s="0" t="n">
        <v>69</v>
      </c>
      <c r="K93" s="0" t="n">
        <v>2</v>
      </c>
    </row>
    <row r="94" customFormat="false" ht="13.5" hidden="false" customHeight="false" outlineLevel="0" collapsed="false">
      <c r="A94" s="0" t="s">
        <v>84</v>
      </c>
      <c r="B94" s="1" t="n">
        <v>43954</v>
      </c>
      <c r="C94" s="0" t="n">
        <v>2077</v>
      </c>
      <c r="D94" s="0" t="n">
        <v>245</v>
      </c>
      <c r="E94" s="0" t="n">
        <v>64</v>
      </c>
      <c r="F94" s="0" t="n">
        <v>3</v>
      </c>
      <c r="G94" s="0" t="n">
        <v>953</v>
      </c>
      <c r="H94" s="0" t="n">
        <v>1060</v>
      </c>
      <c r="I94" s="0" t="n">
        <v>12</v>
      </c>
      <c r="J94" s="0" t="n">
        <v>78</v>
      </c>
      <c r="K94" s="0" t="n">
        <v>2</v>
      </c>
    </row>
    <row r="95" customFormat="false" ht="13.5" hidden="false" customHeight="false" outlineLevel="0" collapsed="false">
      <c r="A95" s="0" t="s">
        <v>84</v>
      </c>
      <c r="B95" s="1" t="n">
        <v>43955</v>
      </c>
      <c r="C95" s="0" t="e">
        <f aca="false">sheet1!are96</f>
        <v>#NAME?</v>
      </c>
      <c r="D95" s="0" t="e">
        <f aca="false">sheet1!arf96</f>
        <v>#NAME?</v>
      </c>
      <c r="E95" s="0" t="e">
        <f aca="false">sheet1!arg96</f>
        <v>#NAME?</v>
      </c>
      <c r="F95" s="0" t="e">
        <f aca="false">sheet1!arh96</f>
        <v>#NAME?</v>
      </c>
      <c r="G95" s="0" t="e">
        <f aca="false">sheet1!ari96</f>
        <v>#NAME?</v>
      </c>
      <c r="H95" s="0" t="e">
        <f aca="false">sheet1!arj96</f>
        <v>#NAME?</v>
      </c>
      <c r="I95" s="0" t="e">
        <f aca="false">sheet1!ark96</f>
        <v>#NAME?</v>
      </c>
      <c r="J95" s="0" t="e">
        <f aca="false">sheet1!arl96</f>
        <v>#NAME?</v>
      </c>
      <c r="K95" s="0" t="e">
        <f aca="false">sheet1!arm96</f>
        <v>#NAME?</v>
      </c>
    </row>
    <row r="96" customFormat="false" ht="13.5" hidden="false" customHeight="false" outlineLevel="0" collapsed="false">
      <c r="A96" s="0" t="s">
        <v>84</v>
      </c>
      <c r="B96" s="1" t="n">
        <v>43956</v>
      </c>
      <c r="C96" s="0" t="e">
        <f aca="false">sheet1!are97</f>
        <v>#NAME?</v>
      </c>
      <c r="D96" s="0" t="e">
        <f aca="false">sheet1!arf97</f>
        <v>#NAME?</v>
      </c>
      <c r="E96" s="0" t="e">
        <f aca="false">sheet1!arg97</f>
        <v>#NAME?</v>
      </c>
      <c r="F96" s="0" t="e">
        <f aca="false">sheet1!arh97</f>
        <v>#NAME?</v>
      </c>
      <c r="G96" s="0" t="e">
        <f aca="false">sheet1!ari97</f>
        <v>#NAME?</v>
      </c>
      <c r="H96" s="0" t="e">
        <f aca="false">sheet1!arj97</f>
        <v>#NAME?</v>
      </c>
      <c r="I96" s="0" t="e">
        <f aca="false">sheet1!ark97</f>
        <v>#NAME?</v>
      </c>
      <c r="J96" s="0" t="e">
        <f aca="false">sheet1!arl97</f>
        <v>#NAME?</v>
      </c>
      <c r="K96" s="0" t="e">
        <f aca="false">sheet1!arm97</f>
        <v>#NAME?</v>
      </c>
    </row>
    <row r="97" customFormat="false" ht="13.5" hidden="false" customHeight="false" outlineLevel="0" collapsed="false">
      <c r="A97" s="0" t="s">
        <v>84</v>
      </c>
      <c r="B97" s="1" t="n">
        <v>43957</v>
      </c>
      <c r="C97" s="0" t="e">
        <f aca="false">sheet1!are98</f>
        <v>#NAME?</v>
      </c>
      <c r="D97" s="0" t="e">
        <f aca="false">sheet1!arf98</f>
        <v>#NAME?</v>
      </c>
      <c r="E97" s="0" t="e">
        <f aca="false">sheet1!arg98</f>
        <v>#NAME?</v>
      </c>
      <c r="F97" s="0" t="e">
        <f aca="false">sheet1!arh98</f>
        <v>#NAME?</v>
      </c>
      <c r="G97" s="0" t="e">
        <f aca="false">sheet1!ari98</f>
        <v>#NAME?</v>
      </c>
      <c r="H97" s="0" t="e">
        <f aca="false">sheet1!arj98</f>
        <v>#NAME?</v>
      </c>
      <c r="I97" s="0" t="e">
        <f aca="false">sheet1!ark98</f>
        <v>#NAME?</v>
      </c>
      <c r="J97" s="0" t="e">
        <f aca="false">sheet1!arl98</f>
        <v>#NAME?</v>
      </c>
      <c r="K97" s="0" t="e">
        <f aca="false">sheet1!arm98</f>
        <v>#NAME?</v>
      </c>
    </row>
    <row r="98" customFormat="false" ht="13.5" hidden="false" customHeight="false" outlineLevel="0" collapsed="false">
      <c r="A98" s="0" t="s">
        <v>84</v>
      </c>
      <c r="B98" s="1" t="n">
        <v>43958</v>
      </c>
      <c r="C98" s="0" t="e">
        <f aca="false">sheet1!are99</f>
        <v>#NAME?</v>
      </c>
      <c r="D98" s="0" t="e">
        <f aca="false">sheet1!arf99</f>
        <v>#NAME?</v>
      </c>
      <c r="E98" s="0" t="e">
        <f aca="false">sheet1!arg99</f>
        <v>#NAME?</v>
      </c>
      <c r="F98" s="0" t="e">
        <f aca="false">sheet1!arh99</f>
        <v>#NAME?</v>
      </c>
      <c r="G98" s="0" t="e">
        <f aca="false">sheet1!ari99</f>
        <v>#NAME?</v>
      </c>
      <c r="H98" s="0" t="e">
        <f aca="false">sheet1!arj99</f>
        <v>#NAME?</v>
      </c>
      <c r="I98" s="0" t="e">
        <f aca="false">sheet1!ark99</f>
        <v>#NAME?</v>
      </c>
      <c r="J98" s="0" t="e">
        <f aca="false">sheet1!arl99</f>
        <v>#NAME?</v>
      </c>
      <c r="K98" s="0" t="e">
        <f aca="false">sheet1!arm99</f>
        <v>#NAME?</v>
      </c>
    </row>
    <row r="99" customFormat="false" ht="13.5" hidden="false" customHeight="false" outlineLevel="0" collapsed="false">
      <c r="A99" s="0" t="s">
        <v>84</v>
      </c>
      <c r="B99" s="1" t="n">
        <v>43959</v>
      </c>
      <c r="C99" s="0" t="e">
        <f aca="false">sheet1!are100</f>
        <v>#NAME?</v>
      </c>
      <c r="D99" s="0" t="e">
        <f aca="false">sheet1!arf100</f>
        <v>#NAME?</v>
      </c>
      <c r="E99" s="0" t="e">
        <f aca="false">sheet1!arg100</f>
        <v>#NAME?</v>
      </c>
      <c r="F99" s="0" t="e">
        <f aca="false">sheet1!arh100</f>
        <v>#NAME?</v>
      </c>
      <c r="G99" s="0" t="e">
        <f aca="false">sheet1!ari100</f>
        <v>#NAME?</v>
      </c>
      <c r="H99" s="0" t="e">
        <f aca="false">sheet1!arj100</f>
        <v>#NAME?</v>
      </c>
      <c r="I99" s="0" t="e">
        <f aca="false">sheet1!ark100</f>
        <v>#NAME?</v>
      </c>
      <c r="J99" s="0" t="e">
        <f aca="false">sheet1!arl100</f>
        <v>#NAME?</v>
      </c>
      <c r="K99" s="0" t="e">
        <f aca="false">sheet1!arm100</f>
        <v>#NAME?</v>
      </c>
    </row>
    <row r="100" customFormat="false" ht="13.5" hidden="false" customHeight="false" outlineLevel="0" collapsed="false">
      <c r="A100" s="0" t="s">
        <v>84</v>
      </c>
      <c r="B100" s="1" t="n">
        <v>43960</v>
      </c>
      <c r="C100" s="0" t="e">
        <f aca="false">sheet1!are101</f>
        <v>#NAME?</v>
      </c>
      <c r="D100" s="0" t="e">
        <f aca="false">sheet1!arf101</f>
        <v>#NAME?</v>
      </c>
      <c r="E100" s="0" t="e">
        <f aca="false">sheet1!arg101</f>
        <v>#NAME?</v>
      </c>
      <c r="F100" s="0" t="e">
        <f aca="false">sheet1!arh101</f>
        <v>#NAME?</v>
      </c>
      <c r="G100" s="0" t="e">
        <f aca="false">sheet1!ari101</f>
        <v>#NAME?</v>
      </c>
      <c r="H100" s="0" t="e">
        <f aca="false">sheet1!arj101</f>
        <v>#NAME?</v>
      </c>
      <c r="I100" s="0" t="e">
        <f aca="false">sheet1!ark101</f>
        <v>#NAME?</v>
      </c>
      <c r="J100" s="0" t="e">
        <f aca="false">sheet1!arl101</f>
        <v>#NAME?</v>
      </c>
      <c r="K100" s="0" t="e">
        <f aca="false">sheet1!arm101</f>
        <v>#NAME?</v>
      </c>
    </row>
    <row r="101" customFormat="false" ht="13.5" hidden="false" customHeight="false" outlineLevel="0" collapsed="false">
      <c r="A101" s="0" t="s">
        <v>84</v>
      </c>
      <c r="B101" s="1" t="n">
        <v>43961</v>
      </c>
      <c r="C101" s="0" t="e">
        <f aca="false">sheet1!are102</f>
        <v>#NAME?</v>
      </c>
      <c r="D101" s="0" t="e">
        <f aca="false">sheet1!arf102</f>
        <v>#NAME?</v>
      </c>
      <c r="E101" s="0" t="e">
        <f aca="false">sheet1!arg102</f>
        <v>#NAME?</v>
      </c>
      <c r="F101" s="0" t="e">
        <f aca="false">sheet1!arh102</f>
        <v>#NAME?</v>
      </c>
      <c r="G101" s="0" t="e">
        <f aca="false">sheet1!ari102</f>
        <v>#NAME?</v>
      </c>
      <c r="H101" s="0" t="e">
        <f aca="false">sheet1!arj102</f>
        <v>#NAME?</v>
      </c>
      <c r="I101" s="0" t="e">
        <f aca="false">sheet1!ark102</f>
        <v>#NAME?</v>
      </c>
      <c r="J101" s="0" t="e">
        <f aca="false">sheet1!arl102</f>
        <v>#NAME?</v>
      </c>
      <c r="K101" s="0" t="e">
        <f aca="false">sheet1!arm102</f>
        <v>#NAME?</v>
      </c>
    </row>
    <row r="102" customFormat="false" ht="13.5" hidden="false" customHeight="false" outlineLevel="0" collapsed="false">
      <c r="A102" s="0" t="s">
        <v>84</v>
      </c>
      <c r="B102" s="1" t="n">
        <v>43962</v>
      </c>
      <c r="C102" s="0" t="e">
        <f aca="false">sheet1!are103</f>
        <v>#NAME?</v>
      </c>
      <c r="D102" s="0" t="e">
        <f aca="false">sheet1!arf103</f>
        <v>#NAME?</v>
      </c>
      <c r="E102" s="0" t="e">
        <f aca="false">sheet1!arg103</f>
        <v>#NAME?</v>
      </c>
      <c r="F102" s="0" t="e">
        <f aca="false">sheet1!arh103</f>
        <v>#NAME?</v>
      </c>
      <c r="G102" s="0" t="e">
        <f aca="false">sheet1!ari103</f>
        <v>#NAME?</v>
      </c>
      <c r="H102" s="0" t="e">
        <f aca="false">sheet1!arj103</f>
        <v>#NAME?</v>
      </c>
      <c r="I102" s="0" t="e">
        <f aca="false">sheet1!ark103</f>
        <v>#NAME?</v>
      </c>
      <c r="J102" s="0" t="e">
        <f aca="false">sheet1!arl103</f>
        <v>#NAME?</v>
      </c>
      <c r="K102" s="0" t="e">
        <f aca="false">sheet1!arm103</f>
        <v>#NAME?</v>
      </c>
    </row>
    <row r="103" customFormat="false" ht="13.5" hidden="false" customHeight="false" outlineLevel="0" collapsed="false">
      <c r="A103" s="0" t="s">
        <v>84</v>
      </c>
      <c r="B103" s="1" t="n">
        <v>43963</v>
      </c>
      <c r="C103" s="0" t="e">
        <f aca="false">sheet1!are104</f>
        <v>#NAME?</v>
      </c>
      <c r="D103" s="0" t="e">
        <f aca="false">sheet1!arf104</f>
        <v>#NAME?</v>
      </c>
      <c r="E103" s="0" t="e">
        <f aca="false">sheet1!arg104</f>
        <v>#NAME?</v>
      </c>
      <c r="F103" s="0" t="e">
        <f aca="false">sheet1!arh104</f>
        <v>#NAME?</v>
      </c>
      <c r="G103" s="0" t="e">
        <f aca="false">sheet1!ari104</f>
        <v>#NAME?</v>
      </c>
      <c r="H103" s="0" t="e">
        <f aca="false">sheet1!arj104</f>
        <v>#NAME?</v>
      </c>
      <c r="I103" s="0" t="e">
        <f aca="false">sheet1!ark104</f>
        <v>#NAME?</v>
      </c>
      <c r="J103" s="0" t="e">
        <f aca="false">sheet1!arl104</f>
        <v>#NAME?</v>
      </c>
      <c r="K103" s="0" t="e">
        <f aca="false">sheet1!arm104</f>
        <v>#NAME?</v>
      </c>
    </row>
    <row r="104" customFormat="false" ht="13.5" hidden="false" customHeight="false" outlineLevel="0" collapsed="false">
      <c r="A104" s="0" t="s">
        <v>84</v>
      </c>
      <c r="B104" s="1" t="n">
        <v>43964</v>
      </c>
      <c r="C104" s="0" t="e">
        <f aca="false">sheet1!are105</f>
        <v>#NAME?</v>
      </c>
      <c r="D104" s="0" t="e">
        <f aca="false">sheet1!arf105</f>
        <v>#NAME?</v>
      </c>
      <c r="E104" s="0" t="e">
        <f aca="false">sheet1!arg105</f>
        <v>#NAME?</v>
      </c>
      <c r="F104" s="0" t="e">
        <f aca="false">sheet1!arh105</f>
        <v>#NAME?</v>
      </c>
      <c r="G104" s="0" t="e">
        <f aca="false">sheet1!ari105</f>
        <v>#NAME?</v>
      </c>
      <c r="H104" s="0" t="e">
        <f aca="false">sheet1!arj105</f>
        <v>#NAME?</v>
      </c>
      <c r="I104" s="0" t="e">
        <f aca="false">sheet1!ark105</f>
        <v>#NAME?</v>
      </c>
      <c r="J104" s="0" t="e">
        <f aca="false">sheet1!arl105</f>
        <v>#NAME?</v>
      </c>
      <c r="K104" s="0" t="e">
        <f aca="false">sheet1!arm105</f>
        <v>#NAME?</v>
      </c>
    </row>
    <row r="105" customFormat="false" ht="13.5" hidden="false" customHeight="false" outlineLevel="0" collapsed="false">
      <c r="A105" s="0" t="s">
        <v>84</v>
      </c>
      <c r="B105" s="1" t="n">
        <v>43965</v>
      </c>
      <c r="C105" s="0" t="e">
        <f aca="false">sheet1!are106</f>
        <v>#NAME?</v>
      </c>
      <c r="D105" s="0" t="e">
        <f aca="false">sheet1!arf106</f>
        <v>#NAME?</v>
      </c>
      <c r="E105" s="0" t="e">
        <f aca="false">sheet1!arg106</f>
        <v>#NAME?</v>
      </c>
      <c r="F105" s="0" t="e">
        <f aca="false">sheet1!arh106</f>
        <v>#NAME?</v>
      </c>
      <c r="G105" s="0" t="e">
        <f aca="false">sheet1!ari106</f>
        <v>#NAME?</v>
      </c>
      <c r="H105" s="0" t="e">
        <f aca="false">sheet1!arj106</f>
        <v>#NAME?</v>
      </c>
      <c r="I105" s="0" t="e">
        <f aca="false">sheet1!ark106</f>
        <v>#NAME?</v>
      </c>
      <c r="J105" s="0" t="e">
        <f aca="false">sheet1!arl106</f>
        <v>#NAME?</v>
      </c>
      <c r="K105" s="0" t="e">
        <f aca="false">sheet1!arm106</f>
        <v>#NAME?</v>
      </c>
    </row>
    <row r="106" customFormat="false" ht="13.5" hidden="false" customHeight="false" outlineLevel="0" collapsed="false">
      <c r="A106" s="0" t="s">
        <v>84</v>
      </c>
      <c r="B106" s="1" t="n">
        <v>43966</v>
      </c>
      <c r="C106" s="0" t="e">
        <f aca="false">sheet1!are107</f>
        <v>#NAME?</v>
      </c>
      <c r="D106" s="0" t="e">
        <f aca="false">sheet1!arf107</f>
        <v>#NAME?</v>
      </c>
      <c r="E106" s="0" t="e">
        <f aca="false">sheet1!arg107</f>
        <v>#NAME?</v>
      </c>
      <c r="F106" s="0" t="e">
        <f aca="false">sheet1!arh107</f>
        <v>#NAME?</v>
      </c>
      <c r="G106" s="0" t="e">
        <f aca="false">sheet1!ari107</f>
        <v>#NAME?</v>
      </c>
      <c r="H106" s="0" t="e">
        <f aca="false">sheet1!arj107</f>
        <v>#NAME?</v>
      </c>
      <c r="I106" s="0" t="e">
        <f aca="false">sheet1!ark107</f>
        <v>#NAME?</v>
      </c>
      <c r="J106" s="0" t="e">
        <f aca="false">sheet1!arl107</f>
        <v>#NAME?</v>
      </c>
      <c r="K106" s="0" t="e">
        <f aca="false">sheet1!arm107</f>
        <v>#NAME?</v>
      </c>
    </row>
    <row r="107" customFormat="false" ht="13.5" hidden="false" customHeight="false" outlineLevel="0" collapsed="false">
      <c r="A107" s="0" t="s">
        <v>84</v>
      </c>
      <c r="B107" s="1" t="n">
        <v>43967</v>
      </c>
      <c r="C107" s="0" t="e">
        <f aca="false">sheet1!are108</f>
        <v>#NAME?</v>
      </c>
      <c r="D107" s="0" t="e">
        <f aca="false">sheet1!arf108</f>
        <v>#NAME?</v>
      </c>
      <c r="E107" s="0" t="e">
        <f aca="false">sheet1!arg108</f>
        <v>#NAME?</v>
      </c>
      <c r="F107" s="0" t="e">
        <f aca="false">sheet1!arh108</f>
        <v>#NAME?</v>
      </c>
      <c r="G107" s="0" t="e">
        <f aca="false">sheet1!ari108</f>
        <v>#NAME?</v>
      </c>
      <c r="H107" s="0" t="e">
        <f aca="false">sheet1!arj108</f>
        <v>#NAME?</v>
      </c>
      <c r="I107" s="0" t="e">
        <f aca="false">sheet1!ark108</f>
        <v>#NAME?</v>
      </c>
      <c r="J107" s="0" t="e">
        <f aca="false">sheet1!arl108</f>
        <v>#NAME?</v>
      </c>
      <c r="K107" s="0" t="e">
        <f aca="false">sheet1!arm108</f>
        <v>#NAME?</v>
      </c>
    </row>
    <row r="108" customFormat="false" ht="13.5" hidden="false" customHeight="false" outlineLevel="0" collapsed="false">
      <c r="A108" s="0" t="s">
        <v>84</v>
      </c>
      <c r="B108" s="1" t="n">
        <v>43968</v>
      </c>
      <c r="C108" s="0" t="e">
        <f aca="false">sheet1!are109</f>
        <v>#NAME?</v>
      </c>
      <c r="D108" s="0" t="e">
        <f aca="false">sheet1!arf109</f>
        <v>#NAME?</v>
      </c>
      <c r="E108" s="0" t="e">
        <f aca="false">sheet1!arg109</f>
        <v>#NAME?</v>
      </c>
      <c r="F108" s="0" t="e">
        <f aca="false">sheet1!arh109</f>
        <v>#NAME?</v>
      </c>
      <c r="G108" s="0" t="e">
        <f aca="false">sheet1!ari109</f>
        <v>#NAME?</v>
      </c>
      <c r="H108" s="0" t="e">
        <f aca="false">sheet1!arj109</f>
        <v>#NAME?</v>
      </c>
      <c r="I108" s="0" t="e">
        <f aca="false">sheet1!ark109</f>
        <v>#NAME?</v>
      </c>
      <c r="J108" s="0" t="e">
        <f aca="false">sheet1!arl109</f>
        <v>#NAME?</v>
      </c>
      <c r="K108" s="0" t="e">
        <f aca="false">sheet1!arm109</f>
        <v>#NAME?</v>
      </c>
    </row>
    <row r="109" customFormat="false" ht="13.5" hidden="false" customHeight="false" outlineLevel="0" collapsed="false">
      <c r="A109" s="0" t="s">
        <v>84</v>
      </c>
      <c r="B109" s="1" t="n">
        <v>43969</v>
      </c>
      <c r="C109" s="0" t="e">
        <f aca="false">sheet1!are110</f>
        <v>#NAME?</v>
      </c>
      <c r="D109" s="0" t="e">
        <f aca="false">sheet1!arf110</f>
        <v>#NAME?</v>
      </c>
      <c r="E109" s="0" t="e">
        <f aca="false">sheet1!arg110</f>
        <v>#NAME?</v>
      </c>
      <c r="F109" s="0" t="e">
        <f aca="false">sheet1!arh110</f>
        <v>#NAME?</v>
      </c>
      <c r="G109" s="0" t="e">
        <f aca="false">sheet1!ari110</f>
        <v>#NAME?</v>
      </c>
      <c r="H109" s="0" t="e">
        <f aca="false">sheet1!arj110</f>
        <v>#NAME?</v>
      </c>
      <c r="I109" s="0" t="e">
        <f aca="false">sheet1!ark110</f>
        <v>#NAME?</v>
      </c>
      <c r="J109" s="0" t="e">
        <f aca="false">sheet1!arl110</f>
        <v>#NAME?</v>
      </c>
      <c r="K109" s="0" t="e">
        <f aca="false">sheet1!arm110</f>
        <v>#NAME?</v>
      </c>
    </row>
    <row r="110" customFormat="false" ht="13.5" hidden="false" customHeight="false" outlineLevel="0" collapsed="false">
      <c r="A110" s="0" t="s">
        <v>84</v>
      </c>
      <c r="B110" s="1" t="n">
        <v>43970</v>
      </c>
      <c r="C110" s="0" t="e">
        <f aca="false">sheet1!are111</f>
        <v>#NAME?</v>
      </c>
      <c r="D110" s="0" t="e">
        <f aca="false">sheet1!arf111</f>
        <v>#NAME?</v>
      </c>
      <c r="E110" s="0" t="e">
        <f aca="false">sheet1!arg111</f>
        <v>#NAME?</v>
      </c>
      <c r="F110" s="0" t="e">
        <f aca="false">sheet1!arh111</f>
        <v>#NAME?</v>
      </c>
      <c r="G110" s="0" t="e">
        <f aca="false">sheet1!ari111</f>
        <v>#NAME?</v>
      </c>
      <c r="H110" s="0" t="e">
        <f aca="false">sheet1!arj111</f>
        <v>#NAME?</v>
      </c>
      <c r="I110" s="0" t="e">
        <f aca="false">sheet1!ark111</f>
        <v>#NAME?</v>
      </c>
      <c r="J110" s="0" t="e">
        <f aca="false">sheet1!arl111</f>
        <v>#NAME?</v>
      </c>
      <c r="K110" s="0" t="e">
        <f aca="false">sheet1!arm111</f>
        <v>#NAME?</v>
      </c>
    </row>
    <row r="111" customFormat="false" ht="13.5" hidden="false" customHeight="false" outlineLevel="0" collapsed="false">
      <c r="A111" s="0" t="s">
        <v>84</v>
      </c>
      <c r="B111" s="1" t="n">
        <v>43971</v>
      </c>
      <c r="C111" s="0" t="e">
        <f aca="false">sheet1!are112</f>
        <v>#NAME?</v>
      </c>
      <c r="D111" s="0" t="e">
        <f aca="false">sheet1!arf112</f>
        <v>#NAME?</v>
      </c>
      <c r="E111" s="0" t="e">
        <f aca="false">sheet1!arg112</f>
        <v>#NAME?</v>
      </c>
      <c r="F111" s="0" t="e">
        <f aca="false">sheet1!arh112</f>
        <v>#NAME?</v>
      </c>
      <c r="G111" s="0" t="e">
        <f aca="false">sheet1!ari112</f>
        <v>#NAME?</v>
      </c>
      <c r="H111" s="0" t="e">
        <f aca="false">sheet1!arj112</f>
        <v>#NAME?</v>
      </c>
      <c r="I111" s="0" t="e">
        <f aca="false">sheet1!ark112</f>
        <v>#NAME?</v>
      </c>
      <c r="J111" s="0" t="e">
        <f aca="false">sheet1!arl112</f>
        <v>#NAME?</v>
      </c>
      <c r="K111" s="0" t="e">
        <f aca="false">sheet1!arm112</f>
        <v>#NAME?</v>
      </c>
    </row>
    <row r="112" customFormat="false" ht="13.5" hidden="false" customHeight="false" outlineLevel="0" collapsed="false">
      <c r="A112" s="0" t="s">
        <v>84</v>
      </c>
      <c r="B112" s="1" t="n">
        <v>43972</v>
      </c>
      <c r="C112" s="0" t="e">
        <f aca="false">sheet1!are113</f>
        <v>#NAME?</v>
      </c>
      <c r="D112" s="0" t="e">
        <f aca="false">sheet1!arf113</f>
        <v>#NAME?</v>
      </c>
      <c r="E112" s="0" t="e">
        <f aca="false">sheet1!arg113</f>
        <v>#NAME?</v>
      </c>
      <c r="F112" s="0" t="e">
        <f aca="false">sheet1!arh113</f>
        <v>#NAME?</v>
      </c>
      <c r="G112" s="0" t="e">
        <f aca="false">sheet1!ari113</f>
        <v>#NAME?</v>
      </c>
      <c r="H112" s="0" t="e">
        <f aca="false">sheet1!arj113</f>
        <v>#NAME?</v>
      </c>
      <c r="I112" s="0" t="e">
        <f aca="false">sheet1!ark113</f>
        <v>#NAME?</v>
      </c>
      <c r="J112" s="0" t="e">
        <f aca="false">sheet1!arl113</f>
        <v>#NAME?</v>
      </c>
      <c r="K112" s="0" t="e">
        <f aca="false">sheet1!arm113</f>
        <v>#NAME?</v>
      </c>
    </row>
    <row r="113" customFormat="false" ht="13.5" hidden="false" customHeight="false" outlineLevel="0" collapsed="false">
      <c r="A113" s="0" t="s">
        <v>84</v>
      </c>
      <c r="B113" s="1" t="n">
        <v>43973</v>
      </c>
      <c r="C113" s="0" t="e">
        <f aca="false">sheet1!are114</f>
        <v>#NAME?</v>
      </c>
      <c r="D113" s="0" t="e">
        <f aca="false">sheet1!arf114</f>
        <v>#NAME?</v>
      </c>
      <c r="E113" s="0" t="e">
        <f aca="false">sheet1!arg114</f>
        <v>#NAME?</v>
      </c>
      <c r="F113" s="0" t="e">
        <f aca="false">sheet1!arh114</f>
        <v>#NAME?</v>
      </c>
      <c r="G113" s="0" t="e">
        <f aca="false">sheet1!ari114</f>
        <v>#NAME?</v>
      </c>
      <c r="H113" s="0" t="e">
        <f aca="false">sheet1!arj114</f>
        <v>#NAME?</v>
      </c>
      <c r="I113" s="0" t="e">
        <f aca="false">sheet1!ark114</f>
        <v>#NAME?</v>
      </c>
      <c r="J113" s="0" t="e">
        <f aca="false">sheet1!arl114</f>
        <v>#NAME?</v>
      </c>
      <c r="K113" s="0" t="e">
        <f aca="false">sheet1!arm114</f>
        <v>#NAME?</v>
      </c>
    </row>
    <row r="114" customFormat="false" ht="13.5" hidden="false" customHeight="false" outlineLevel="0" collapsed="false">
      <c r="A114" s="0" t="s">
        <v>84</v>
      </c>
      <c r="B114" s="1" t="n">
        <v>43974</v>
      </c>
      <c r="C114" s="0" t="e">
        <f aca="false">sheet1!are115</f>
        <v>#NAME?</v>
      </c>
      <c r="D114" s="0" t="e">
        <f aca="false">sheet1!arf115</f>
        <v>#NAME?</v>
      </c>
      <c r="E114" s="0" t="e">
        <f aca="false">sheet1!arg115</f>
        <v>#NAME?</v>
      </c>
      <c r="F114" s="0" t="e">
        <f aca="false">sheet1!arh115</f>
        <v>#NAME?</v>
      </c>
      <c r="G114" s="0" t="e">
        <f aca="false">sheet1!ari115</f>
        <v>#NAME?</v>
      </c>
      <c r="H114" s="0" t="e">
        <f aca="false">sheet1!arj115</f>
        <v>#NAME?</v>
      </c>
      <c r="I114" s="0" t="e">
        <f aca="false">sheet1!ark115</f>
        <v>#NAME?</v>
      </c>
      <c r="J114" s="0" t="e">
        <f aca="false">sheet1!arl115</f>
        <v>#NAME?</v>
      </c>
      <c r="K114" s="0" t="e">
        <f aca="false">sheet1!arm115</f>
        <v>#NAME?</v>
      </c>
    </row>
    <row r="115" customFormat="false" ht="13.5" hidden="false" customHeight="false" outlineLevel="0" collapsed="false">
      <c r="A115" s="0" t="s">
        <v>84</v>
      </c>
      <c r="B115" s="1" t="n">
        <v>43975</v>
      </c>
      <c r="C115" s="0" t="e">
        <f aca="false">sheet1!are116</f>
        <v>#NAME?</v>
      </c>
      <c r="D115" s="0" t="e">
        <f aca="false">sheet1!arf116</f>
        <v>#NAME?</v>
      </c>
      <c r="E115" s="0" t="e">
        <f aca="false">sheet1!arg116</f>
        <v>#NAME?</v>
      </c>
      <c r="F115" s="0" t="e">
        <f aca="false">sheet1!arh116</f>
        <v>#NAME?</v>
      </c>
      <c r="G115" s="0" t="e">
        <f aca="false">sheet1!ari116</f>
        <v>#NAME?</v>
      </c>
      <c r="H115" s="0" t="e">
        <f aca="false">sheet1!arj116</f>
        <v>#NAME?</v>
      </c>
      <c r="I115" s="0" t="e">
        <f aca="false">sheet1!ark116</f>
        <v>#NAME?</v>
      </c>
      <c r="J115" s="0" t="e">
        <f aca="false">sheet1!arl116</f>
        <v>#NAME?</v>
      </c>
      <c r="K115" s="0" t="e">
        <f aca="false">sheet1!arm116</f>
        <v>#NAME?</v>
      </c>
    </row>
    <row r="116" customFormat="false" ht="13.5" hidden="false" customHeight="false" outlineLevel="0" collapsed="false">
      <c r="A116" s="0" t="s">
        <v>84</v>
      </c>
      <c r="B116" s="1" t="n">
        <v>43976</v>
      </c>
      <c r="C116" s="0" t="e">
        <f aca="false">sheet1!are117</f>
        <v>#NAME?</v>
      </c>
      <c r="D116" s="0" t="e">
        <f aca="false">sheet1!arf117</f>
        <v>#NAME?</v>
      </c>
      <c r="E116" s="0" t="e">
        <f aca="false">sheet1!arg117</f>
        <v>#NAME?</v>
      </c>
      <c r="F116" s="0" t="e">
        <f aca="false">sheet1!arh117</f>
        <v>#NAME?</v>
      </c>
      <c r="G116" s="0" t="e">
        <f aca="false">sheet1!ari117</f>
        <v>#NAME?</v>
      </c>
      <c r="H116" s="0" t="e">
        <f aca="false">sheet1!arj117</f>
        <v>#NAME?</v>
      </c>
      <c r="I116" s="0" t="e">
        <f aca="false">sheet1!ark117</f>
        <v>#NAME?</v>
      </c>
      <c r="J116" s="0" t="e">
        <f aca="false">sheet1!arl117</f>
        <v>#NAME?</v>
      </c>
      <c r="K116" s="0" t="e">
        <f aca="false">sheet1!arm117</f>
        <v>#NAME?</v>
      </c>
    </row>
    <row r="117" customFormat="false" ht="13.5" hidden="false" customHeight="false" outlineLevel="0" collapsed="false">
      <c r="A117" s="0" t="s">
        <v>84</v>
      </c>
      <c r="B117" s="1" t="n">
        <v>43977</v>
      </c>
      <c r="C117" s="0" t="e">
        <f aca="false">sheet1!are118</f>
        <v>#NAME?</v>
      </c>
      <c r="D117" s="0" t="e">
        <f aca="false">sheet1!arf118</f>
        <v>#NAME?</v>
      </c>
      <c r="E117" s="0" t="e">
        <f aca="false">sheet1!arg118</f>
        <v>#NAME?</v>
      </c>
      <c r="F117" s="0" t="e">
        <f aca="false">sheet1!arh118</f>
        <v>#NAME?</v>
      </c>
      <c r="G117" s="0" t="e">
        <f aca="false">sheet1!ari118</f>
        <v>#NAME?</v>
      </c>
      <c r="H117" s="0" t="e">
        <f aca="false">sheet1!arj118</f>
        <v>#NAME?</v>
      </c>
      <c r="I117" s="0" t="e">
        <f aca="false">sheet1!ark118</f>
        <v>#NAME?</v>
      </c>
      <c r="J117" s="0" t="e">
        <f aca="false">sheet1!arl118</f>
        <v>#NAME?</v>
      </c>
      <c r="K117" s="0" t="e">
        <f aca="false">sheet1!arm118</f>
        <v>#NAME?</v>
      </c>
    </row>
    <row r="118" customFormat="false" ht="13.5" hidden="false" customHeight="false" outlineLevel="0" collapsed="false">
      <c r="A118" s="0" t="s">
        <v>84</v>
      </c>
      <c r="B118" s="1" t="n">
        <v>43978</v>
      </c>
      <c r="C118" s="0" t="e">
        <f aca="false">sheet1!are119</f>
        <v>#NAME?</v>
      </c>
      <c r="D118" s="0" t="e">
        <f aca="false">sheet1!arf119</f>
        <v>#NAME?</v>
      </c>
      <c r="E118" s="0" t="e">
        <f aca="false">sheet1!arg119</f>
        <v>#NAME?</v>
      </c>
      <c r="F118" s="0" t="e">
        <f aca="false">sheet1!arh119</f>
        <v>#NAME?</v>
      </c>
      <c r="G118" s="0" t="e">
        <f aca="false">sheet1!ari119</f>
        <v>#NAME?</v>
      </c>
      <c r="H118" s="0" t="e">
        <f aca="false">sheet1!arj119</f>
        <v>#NAME?</v>
      </c>
      <c r="I118" s="0" t="e">
        <f aca="false">sheet1!ark119</f>
        <v>#NAME?</v>
      </c>
      <c r="J118" s="0" t="e">
        <f aca="false">sheet1!arl119</f>
        <v>#NAME?</v>
      </c>
      <c r="K118" s="0" t="e">
        <f aca="false">sheet1!arm119</f>
        <v>#NAME?</v>
      </c>
    </row>
    <row r="119" customFormat="false" ht="13.5" hidden="false" customHeight="false" outlineLevel="0" collapsed="false">
      <c r="A119" s="0" t="s">
        <v>84</v>
      </c>
      <c r="B119" s="1" t="n">
        <v>43979</v>
      </c>
      <c r="C119" s="0" t="e">
        <f aca="false">sheet1!are120</f>
        <v>#NAME?</v>
      </c>
      <c r="D119" s="0" t="e">
        <f aca="false">sheet1!arf120</f>
        <v>#NAME?</v>
      </c>
      <c r="E119" s="0" t="e">
        <f aca="false">sheet1!arg120</f>
        <v>#NAME?</v>
      </c>
      <c r="F119" s="0" t="e">
        <f aca="false">sheet1!arh120</f>
        <v>#NAME?</v>
      </c>
      <c r="G119" s="0" t="e">
        <f aca="false">sheet1!ari120</f>
        <v>#NAME?</v>
      </c>
      <c r="H119" s="0" t="e">
        <f aca="false">sheet1!arj120</f>
        <v>#NAME?</v>
      </c>
      <c r="I119" s="0" t="e">
        <f aca="false">sheet1!ark120</f>
        <v>#NAME?</v>
      </c>
      <c r="J119" s="0" t="e">
        <f aca="false">sheet1!arl120</f>
        <v>#NAME?</v>
      </c>
      <c r="K119" s="0" t="e">
        <f aca="false">sheet1!arm120</f>
        <v>#NAME?</v>
      </c>
    </row>
    <row r="120" customFormat="false" ht="13.5" hidden="false" customHeight="false" outlineLevel="0" collapsed="false">
      <c r="A120" s="0" t="s">
        <v>84</v>
      </c>
      <c r="B120" s="1" t="n">
        <v>43980</v>
      </c>
      <c r="C120" s="0" t="e">
        <f aca="false">sheet1!are121</f>
        <v>#NAME?</v>
      </c>
      <c r="D120" s="0" t="e">
        <f aca="false">sheet1!arf121</f>
        <v>#NAME?</v>
      </c>
      <c r="E120" s="0" t="e">
        <f aca="false">sheet1!arg121</f>
        <v>#NAME?</v>
      </c>
      <c r="F120" s="0" t="e">
        <f aca="false">sheet1!arh121</f>
        <v>#NAME?</v>
      </c>
      <c r="G120" s="0" t="e">
        <f aca="false">sheet1!ari121</f>
        <v>#NAME?</v>
      </c>
      <c r="H120" s="0" t="e">
        <f aca="false">sheet1!arj121</f>
        <v>#NAME?</v>
      </c>
      <c r="I120" s="0" t="e">
        <f aca="false">sheet1!ark121</f>
        <v>#NAME?</v>
      </c>
      <c r="J120" s="0" t="e">
        <f aca="false">sheet1!arl121</f>
        <v>#NAME?</v>
      </c>
      <c r="K120" s="0" t="e">
        <f aca="false">sheet1!arm121</f>
        <v>#NAME?</v>
      </c>
    </row>
    <row r="121" customFormat="false" ht="13.5" hidden="false" customHeight="false" outlineLevel="0" collapsed="false">
      <c r="A121" s="0" t="s">
        <v>84</v>
      </c>
      <c r="B121" s="1" t="n">
        <v>43981</v>
      </c>
      <c r="C121" s="0" t="e">
        <f aca="false">sheet1!are122</f>
        <v>#NAME?</v>
      </c>
      <c r="D121" s="0" t="e">
        <f aca="false">sheet1!arf122</f>
        <v>#NAME?</v>
      </c>
      <c r="E121" s="0" t="e">
        <f aca="false">sheet1!arg122</f>
        <v>#NAME?</v>
      </c>
      <c r="F121" s="0" t="e">
        <f aca="false">sheet1!arh122</f>
        <v>#NAME?</v>
      </c>
      <c r="G121" s="0" t="e">
        <f aca="false">sheet1!ari122</f>
        <v>#NAME?</v>
      </c>
      <c r="H121" s="0" t="e">
        <f aca="false">sheet1!arj122</f>
        <v>#NAME?</v>
      </c>
      <c r="I121" s="0" t="e">
        <f aca="false">sheet1!ark122</f>
        <v>#NAME?</v>
      </c>
      <c r="J121" s="0" t="e">
        <f aca="false">sheet1!arl122</f>
        <v>#NAME?</v>
      </c>
      <c r="K121" s="0" t="e">
        <f aca="false">sheet1!arm122</f>
        <v>#NAME?</v>
      </c>
    </row>
    <row r="122" customFormat="false" ht="13.5" hidden="false" customHeight="false" outlineLevel="0" collapsed="false">
      <c r="A122" s="0" t="s">
        <v>84</v>
      </c>
      <c r="B122" s="1" t="n">
        <v>43982</v>
      </c>
      <c r="C122" s="0" t="e">
        <f aca="false">sheet1!are123</f>
        <v>#NAME?</v>
      </c>
      <c r="D122" s="0" t="e">
        <f aca="false">sheet1!arf123</f>
        <v>#NAME?</v>
      </c>
      <c r="E122" s="0" t="e">
        <f aca="false">sheet1!arg123</f>
        <v>#NAME?</v>
      </c>
      <c r="F122" s="0" t="e">
        <f aca="false">sheet1!arh123</f>
        <v>#NAME?</v>
      </c>
      <c r="G122" s="0" t="e">
        <f aca="false">sheet1!ari123</f>
        <v>#NAME?</v>
      </c>
      <c r="H122" s="0" t="e">
        <f aca="false">sheet1!arj123</f>
        <v>#NAME?</v>
      </c>
      <c r="I122" s="0" t="e">
        <f aca="false">sheet1!ark123</f>
        <v>#NAME?</v>
      </c>
      <c r="J122" s="0" t="e">
        <f aca="false">sheet1!arl123</f>
        <v>#NAME?</v>
      </c>
      <c r="K122" s="0" t="e">
        <f aca="false">sheet1!arm123</f>
        <v>#NAME?</v>
      </c>
    </row>
    <row r="123" customFormat="false" ht="13.5" hidden="false" customHeight="false" outlineLevel="0" collapsed="false">
      <c r="A123" s="0" t="s">
        <v>84</v>
      </c>
      <c r="B123" s="1" t="n">
        <v>43983</v>
      </c>
      <c r="C123" s="0" t="e">
        <f aca="false">sheet1!are124</f>
        <v>#NAME?</v>
      </c>
      <c r="D123" s="0" t="e">
        <f aca="false">sheet1!arf124</f>
        <v>#NAME?</v>
      </c>
      <c r="E123" s="0" t="e">
        <f aca="false">sheet1!arg124</f>
        <v>#NAME?</v>
      </c>
      <c r="F123" s="0" t="e">
        <f aca="false">sheet1!arh124</f>
        <v>#NAME?</v>
      </c>
      <c r="G123" s="0" t="e">
        <f aca="false">sheet1!ari124</f>
        <v>#NAME?</v>
      </c>
      <c r="H123" s="0" t="e">
        <f aca="false">sheet1!arj124</f>
        <v>#NAME?</v>
      </c>
      <c r="I123" s="0" t="e">
        <f aca="false">sheet1!ark124</f>
        <v>#NAME?</v>
      </c>
      <c r="J123" s="0" t="e">
        <f aca="false">sheet1!arl124</f>
        <v>#NAME?</v>
      </c>
      <c r="K123" s="0" t="e">
        <f aca="false">sheet1!arm124</f>
        <v>#NAME?</v>
      </c>
    </row>
    <row r="124" customFormat="false" ht="13.5" hidden="false" customHeight="false" outlineLevel="0" collapsed="false">
      <c r="A124" s="0" t="s">
        <v>84</v>
      </c>
      <c r="B124" s="1" t="n">
        <v>43984</v>
      </c>
      <c r="C124" s="0" t="e">
        <f aca="false">sheet1!are125</f>
        <v>#NAME?</v>
      </c>
      <c r="D124" s="0" t="e">
        <f aca="false">sheet1!arf125</f>
        <v>#NAME?</v>
      </c>
      <c r="E124" s="0" t="e">
        <f aca="false">sheet1!arg125</f>
        <v>#NAME?</v>
      </c>
      <c r="F124" s="0" t="e">
        <f aca="false">sheet1!arh125</f>
        <v>#NAME?</v>
      </c>
      <c r="G124" s="0" t="e">
        <f aca="false">sheet1!ari125</f>
        <v>#NAME?</v>
      </c>
      <c r="H124" s="0" t="e">
        <f aca="false">sheet1!arj125</f>
        <v>#NAME?</v>
      </c>
      <c r="I124" s="0" t="e">
        <f aca="false">sheet1!ark125</f>
        <v>#NAME?</v>
      </c>
      <c r="J124" s="0" t="e">
        <f aca="false">sheet1!arl125</f>
        <v>#NAME?</v>
      </c>
      <c r="K124" s="0" t="e">
        <f aca="false">sheet1!arm125</f>
        <v>#NAME?</v>
      </c>
    </row>
    <row r="125" customFormat="false" ht="13.5" hidden="false" customHeight="false" outlineLevel="0" collapsed="false">
      <c r="A125" s="0" t="s">
        <v>84</v>
      </c>
      <c r="B125" s="1" t="n">
        <v>43985</v>
      </c>
      <c r="C125" s="0" t="e">
        <f aca="false">sheet1!are126</f>
        <v>#NAME?</v>
      </c>
      <c r="D125" s="0" t="e">
        <f aca="false">sheet1!arf126</f>
        <v>#NAME?</v>
      </c>
      <c r="E125" s="0" t="e">
        <f aca="false">sheet1!arg126</f>
        <v>#NAME?</v>
      </c>
      <c r="F125" s="0" t="e">
        <f aca="false">sheet1!arh126</f>
        <v>#NAME?</v>
      </c>
      <c r="G125" s="0" t="e">
        <f aca="false">sheet1!ari126</f>
        <v>#NAME?</v>
      </c>
      <c r="H125" s="0" t="e">
        <f aca="false">sheet1!arj126</f>
        <v>#NAME?</v>
      </c>
      <c r="I125" s="0" t="e">
        <f aca="false">sheet1!ark126</f>
        <v>#NAME?</v>
      </c>
      <c r="J125" s="0" t="e">
        <f aca="false">sheet1!arl126</f>
        <v>#NAME?</v>
      </c>
      <c r="K125" s="0" t="e">
        <f aca="false">sheet1!arm126</f>
        <v>#NAME?</v>
      </c>
    </row>
    <row r="126" customFormat="false" ht="13.5" hidden="false" customHeight="false" outlineLevel="0" collapsed="false">
      <c r="A126" s="0" t="s">
        <v>84</v>
      </c>
      <c r="B126" s="1" t="n">
        <v>43986</v>
      </c>
      <c r="C126" s="0" t="e">
        <f aca="false">sheet1!are127</f>
        <v>#NAME?</v>
      </c>
      <c r="D126" s="0" t="e">
        <f aca="false">sheet1!arf127</f>
        <v>#NAME?</v>
      </c>
      <c r="E126" s="0" t="e">
        <f aca="false">sheet1!arg127</f>
        <v>#NAME?</v>
      </c>
      <c r="F126" s="0" t="e">
        <f aca="false">sheet1!arh127</f>
        <v>#NAME?</v>
      </c>
      <c r="G126" s="0" t="e">
        <f aca="false">sheet1!ari127</f>
        <v>#NAME?</v>
      </c>
      <c r="H126" s="0" t="e">
        <f aca="false">sheet1!arj127</f>
        <v>#NAME?</v>
      </c>
      <c r="I126" s="0" t="e">
        <f aca="false">sheet1!ark127</f>
        <v>#NAME?</v>
      </c>
      <c r="J126" s="0" t="e">
        <f aca="false">sheet1!arl127</f>
        <v>#NAME?</v>
      </c>
      <c r="K126" s="0" t="e">
        <f aca="false">sheet1!arm127</f>
        <v>#NAME?</v>
      </c>
    </row>
    <row r="127" customFormat="false" ht="13.5" hidden="false" customHeight="false" outlineLevel="0" collapsed="false">
      <c r="A127" s="0" t="s">
        <v>84</v>
      </c>
      <c r="B127" s="1" t="n">
        <v>43987</v>
      </c>
      <c r="C127" s="0" t="e">
        <f aca="false">sheet1!are128</f>
        <v>#NAME?</v>
      </c>
      <c r="D127" s="0" t="e">
        <f aca="false">sheet1!arf128</f>
        <v>#NAME?</v>
      </c>
      <c r="E127" s="0" t="e">
        <f aca="false">sheet1!arg128</f>
        <v>#NAME?</v>
      </c>
      <c r="F127" s="0" t="e">
        <f aca="false">sheet1!arh128</f>
        <v>#NAME?</v>
      </c>
      <c r="G127" s="0" t="e">
        <f aca="false">sheet1!ari128</f>
        <v>#NAME?</v>
      </c>
      <c r="H127" s="0" t="e">
        <f aca="false">sheet1!arj128</f>
        <v>#NAME?</v>
      </c>
      <c r="I127" s="0" t="e">
        <f aca="false">sheet1!ark128</f>
        <v>#NAME?</v>
      </c>
      <c r="J127" s="0" t="e">
        <f aca="false">sheet1!arl128</f>
        <v>#NAME?</v>
      </c>
      <c r="K127" s="0" t="e">
        <f aca="false">sheet1!arm128</f>
        <v>#NAME?</v>
      </c>
    </row>
    <row r="128" customFormat="false" ht="13.5" hidden="false" customHeight="false" outlineLevel="0" collapsed="false">
      <c r="A128" s="0" t="s">
        <v>84</v>
      </c>
      <c r="B128" s="1" t="n">
        <v>43988</v>
      </c>
      <c r="C128" s="0" t="e">
        <f aca="false">sheet1!are129</f>
        <v>#NAME?</v>
      </c>
      <c r="D128" s="0" t="e">
        <f aca="false">sheet1!arf129</f>
        <v>#NAME?</v>
      </c>
      <c r="E128" s="0" t="e">
        <f aca="false">sheet1!arg129</f>
        <v>#NAME?</v>
      </c>
      <c r="F128" s="0" t="e">
        <f aca="false">sheet1!arh129</f>
        <v>#NAME?</v>
      </c>
      <c r="G128" s="0" t="e">
        <f aca="false">sheet1!ari129</f>
        <v>#NAME?</v>
      </c>
      <c r="H128" s="0" t="e">
        <f aca="false">sheet1!arj129</f>
        <v>#NAME?</v>
      </c>
      <c r="I128" s="0" t="e">
        <f aca="false">sheet1!ark129</f>
        <v>#NAME?</v>
      </c>
      <c r="J128" s="0" t="e">
        <f aca="false">sheet1!arl129</f>
        <v>#NAME?</v>
      </c>
      <c r="K128" s="0" t="e">
        <f aca="false">sheet1!arm129</f>
        <v>#NAME?</v>
      </c>
    </row>
    <row r="129" customFormat="false" ht="13.5" hidden="false" customHeight="false" outlineLevel="0" collapsed="false">
      <c r="A129" s="0" t="s">
        <v>84</v>
      </c>
      <c r="B129" s="1" t="n">
        <v>43989</v>
      </c>
      <c r="C129" s="0" t="e">
        <f aca="false">sheet1!are130</f>
        <v>#NAME?</v>
      </c>
      <c r="D129" s="0" t="e">
        <f aca="false">sheet1!arf130</f>
        <v>#NAME?</v>
      </c>
      <c r="E129" s="0" t="e">
        <f aca="false">sheet1!arg130</f>
        <v>#NAME?</v>
      </c>
      <c r="F129" s="0" t="e">
        <f aca="false">sheet1!arh130</f>
        <v>#NAME?</v>
      </c>
      <c r="G129" s="0" t="e">
        <f aca="false">sheet1!ari130</f>
        <v>#NAME?</v>
      </c>
      <c r="H129" s="0" t="e">
        <f aca="false">sheet1!arj130</f>
        <v>#NAME?</v>
      </c>
      <c r="I129" s="0" t="e">
        <f aca="false">sheet1!ark130</f>
        <v>#NAME?</v>
      </c>
      <c r="J129" s="0" t="e">
        <f aca="false">sheet1!arl130</f>
        <v>#NAME?</v>
      </c>
      <c r="K129" s="0" t="e">
        <f aca="false">sheet1!arm130</f>
        <v>#NAME?</v>
      </c>
    </row>
    <row r="130" customFormat="false" ht="13.5" hidden="false" customHeight="false" outlineLevel="0" collapsed="false">
      <c r="A130" s="0" t="s">
        <v>84</v>
      </c>
      <c r="B130" s="1" t="n">
        <v>43990</v>
      </c>
      <c r="C130" s="0" t="e">
        <f aca="false">sheet1!are131</f>
        <v>#NAME?</v>
      </c>
      <c r="D130" s="0" t="e">
        <f aca="false">sheet1!arf131</f>
        <v>#NAME?</v>
      </c>
      <c r="E130" s="0" t="e">
        <f aca="false">sheet1!arg131</f>
        <v>#NAME?</v>
      </c>
      <c r="F130" s="0" t="e">
        <f aca="false">sheet1!arh131</f>
        <v>#NAME?</v>
      </c>
      <c r="G130" s="0" t="e">
        <f aca="false">sheet1!ari131</f>
        <v>#NAME?</v>
      </c>
      <c r="H130" s="0" t="e">
        <f aca="false">sheet1!arj131</f>
        <v>#NAME?</v>
      </c>
      <c r="I130" s="0" t="e">
        <f aca="false">sheet1!ark131</f>
        <v>#NAME?</v>
      </c>
      <c r="J130" s="0" t="e">
        <f aca="false">sheet1!arl131</f>
        <v>#NAME?</v>
      </c>
      <c r="K130" s="0" t="e">
        <f aca="false">sheet1!arm131</f>
        <v>#NAME?</v>
      </c>
    </row>
    <row r="131" customFormat="false" ht="13.5" hidden="false" customHeight="false" outlineLevel="0" collapsed="false">
      <c r="A131" s="0" t="s">
        <v>84</v>
      </c>
      <c r="B131" s="1" t="n">
        <v>43991</v>
      </c>
      <c r="C131" s="0" t="e">
        <f aca="false">sheet1!are132</f>
        <v>#NAME?</v>
      </c>
      <c r="D131" s="0" t="e">
        <f aca="false">sheet1!arf132</f>
        <v>#NAME?</v>
      </c>
      <c r="E131" s="0" t="e">
        <f aca="false">sheet1!arg132</f>
        <v>#NAME?</v>
      </c>
      <c r="F131" s="0" t="e">
        <f aca="false">sheet1!arh132</f>
        <v>#NAME?</v>
      </c>
      <c r="G131" s="0" t="e">
        <f aca="false">sheet1!ari132</f>
        <v>#NAME?</v>
      </c>
      <c r="H131" s="0" t="e">
        <f aca="false">sheet1!arj132</f>
        <v>#NAME?</v>
      </c>
      <c r="I131" s="0" t="e">
        <f aca="false">sheet1!ark132</f>
        <v>#NAME?</v>
      </c>
      <c r="J131" s="0" t="e">
        <f aca="false">sheet1!arl132</f>
        <v>#NAME?</v>
      </c>
      <c r="K131" s="0" t="e">
        <f aca="false">sheet1!arm132</f>
        <v>#NAME?</v>
      </c>
    </row>
    <row r="132" customFormat="false" ht="13.5" hidden="false" customHeight="false" outlineLevel="0" collapsed="false">
      <c r="A132" s="0" t="s">
        <v>84</v>
      </c>
      <c r="B132" s="1" t="n">
        <v>43992</v>
      </c>
      <c r="C132" s="0" t="e">
        <f aca="false">sheet1!are133</f>
        <v>#NAME?</v>
      </c>
      <c r="D132" s="0" t="e">
        <f aca="false">sheet1!arf133</f>
        <v>#NAME?</v>
      </c>
      <c r="E132" s="0" t="e">
        <f aca="false">sheet1!arg133</f>
        <v>#NAME?</v>
      </c>
      <c r="F132" s="0" t="e">
        <f aca="false">sheet1!arh133</f>
        <v>#NAME?</v>
      </c>
      <c r="G132" s="0" t="e">
        <f aca="false">sheet1!ari133</f>
        <v>#NAME?</v>
      </c>
      <c r="H132" s="0" t="e">
        <f aca="false">sheet1!arj133</f>
        <v>#NAME?</v>
      </c>
      <c r="I132" s="0" t="e">
        <f aca="false">sheet1!ark133</f>
        <v>#NAME?</v>
      </c>
      <c r="J132" s="0" t="e">
        <f aca="false">sheet1!arl133</f>
        <v>#NAME?</v>
      </c>
      <c r="K132" s="0" t="e">
        <f aca="false">sheet1!arm133</f>
        <v>#NAME?</v>
      </c>
    </row>
    <row r="133" customFormat="false" ht="13.5" hidden="false" customHeight="false" outlineLevel="0" collapsed="false">
      <c r="A133" s="0" t="s">
        <v>84</v>
      </c>
      <c r="B133" s="1" t="n">
        <v>43993</v>
      </c>
      <c r="C133" s="0" t="e">
        <f aca="false">sheet1!are134</f>
        <v>#NAME?</v>
      </c>
      <c r="D133" s="0" t="e">
        <f aca="false">sheet1!arf134</f>
        <v>#NAME?</v>
      </c>
      <c r="E133" s="0" t="e">
        <f aca="false">sheet1!arg134</f>
        <v>#NAME?</v>
      </c>
      <c r="F133" s="0" t="e">
        <f aca="false">sheet1!arh134</f>
        <v>#NAME?</v>
      </c>
      <c r="G133" s="0" t="e">
        <f aca="false">sheet1!ari134</f>
        <v>#NAME?</v>
      </c>
      <c r="H133" s="0" t="e">
        <f aca="false">sheet1!arj134</f>
        <v>#NAME?</v>
      </c>
      <c r="I133" s="0" t="e">
        <f aca="false">sheet1!ark134</f>
        <v>#NAME?</v>
      </c>
      <c r="J133" s="0" t="e">
        <f aca="false">sheet1!arl134</f>
        <v>#NAME?</v>
      </c>
      <c r="K133" s="0" t="e">
        <f aca="false">sheet1!arm134</f>
        <v>#NAME?</v>
      </c>
    </row>
    <row r="134" customFormat="false" ht="13.5" hidden="false" customHeight="false" outlineLevel="0" collapsed="false">
      <c r="A134" s="0" t="s">
        <v>84</v>
      </c>
      <c r="B134" s="1" t="n">
        <v>43994</v>
      </c>
      <c r="C134" s="0" t="e">
        <f aca="false">sheet1!are135</f>
        <v>#NAME?</v>
      </c>
      <c r="D134" s="0" t="e">
        <f aca="false">sheet1!arf135</f>
        <v>#NAME?</v>
      </c>
      <c r="E134" s="0" t="e">
        <f aca="false">sheet1!arg135</f>
        <v>#NAME?</v>
      </c>
      <c r="F134" s="0" t="e">
        <f aca="false">sheet1!arh135</f>
        <v>#NAME?</v>
      </c>
      <c r="G134" s="0" t="e">
        <f aca="false">sheet1!ari135</f>
        <v>#NAME?</v>
      </c>
      <c r="H134" s="0" t="e">
        <f aca="false">sheet1!arj135</f>
        <v>#NAME?</v>
      </c>
      <c r="I134" s="0" t="e">
        <f aca="false">sheet1!ark135</f>
        <v>#NAME?</v>
      </c>
      <c r="J134" s="0" t="e">
        <f aca="false">sheet1!arl135</f>
        <v>#NAME?</v>
      </c>
      <c r="K134" s="0" t="e">
        <f aca="false">sheet1!arm135</f>
        <v>#NAME?</v>
      </c>
    </row>
    <row r="135" customFormat="false" ht="13.5" hidden="false" customHeight="false" outlineLevel="0" collapsed="false">
      <c r="A135" s="0" t="s">
        <v>84</v>
      </c>
      <c r="B135" s="1" t="n">
        <v>43995</v>
      </c>
      <c r="C135" s="0" t="e">
        <f aca="false">sheet1!are136</f>
        <v>#NAME?</v>
      </c>
      <c r="D135" s="0" t="e">
        <f aca="false">sheet1!arf136</f>
        <v>#NAME?</v>
      </c>
      <c r="E135" s="0" t="e">
        <f aca="false">sheet1!arg136</f>
        <v>#NAME?</v>
      </c>
      <c r="F135" s="0" t="e">
        <f aca="false">sheet1!arh136</f>
        <v>#NAME?</v>
      </c>
      <c r="G135" s="0" t="e">
        <f aca="false">sheet1!ari136</f>
        <v>#NAME?</v>
      </c>
      <c r="H135" s="0" t="e">
        <f aca="false">sheet1!arj136</f>
        <v>#NAME?</v>
      </c>
      <c r="I135" s="0" t="e">
        <f aca="false">sheet1!ark136</f>
        <v>#NAME?</v>
      </c>
      <c r="J135" s="0" t="e">
        <f aca="false">sheet1!arl136</f>
        <v>#NAME?</v>
      </c>
      <c r="K135" s="0" t="e">
        <f aca="false">sheet1!arm136</f>
        <v>#NAME?</v>
      </c>
    </row>
    <row r="136" customFormat="false" ht="13.5" hidden="false" customHeight="false" outlineLevel="0" collapsed="false">
      <c r="A136" s="0" t="s">
        <v>84</v>
      </c>
      <c r="B136" s="1" t="n">
        <v>43996</v>
      </c>
      <c r="C136" s="0" t="e">
        <f aca="false">sheet1!are137</f>
        <v>#NAME?</v>
      </c>
      <c r="D136" s="0" t="e">
        <f aca="false">sheet1!arf137</f>
        <v>#NAME?</v>
      </c>
      <c r="E136" s="0" t="e">
        <f aca="false">sheet1!arg137</f>
        <v>#NAME?</v>
      </c>
      <c r="F136" s="0" t="e">
        <f aca="false">sheet1!arh137</f>
        <v>#NAME?</v>
      </c>
      <c r="G136" s="0" t="e">
        <f aca="false">sheet1!ari137</f>
        <v>#NAME?</v>
      </c>
      <c r="H136" s="0" t="e">
        <f aca="false">sheet1!arj137</f>
        <v>#NAME?</v>
      </c>
      <c r="I136" s="0" t="e">
        <f aca="false">sheet1!ark137</f>
        <v>#NAME?</v>
      </c>
      <c r="J136" s="0" t="e">
        <f aca="false">sheet1!arl137</f>
        <v>#NAME?</v>
      </c>
      <c r="K136" s="0" t="e">
        <f aca="false">sheet1!arm137</f>
        <v>#NAME?</v>
      </c>
    </row>
    <row r="137" customFormat="false" ht="13.5" hidden="false" customHeight="false" outlineLevel="0" collapsed="false">
      <c r="A137" s="0" t="s">
        <v>84</v>
      </c>
      <c r="B137" s="1" t="n">
        <v>43997</v>
      </c>
      <c r="C137" s="0" t="e">
        <f aca="false">sheet1!are138</f>
        <v>#NAME?</v>
      </c>
      <c r="D137" s="0" t="e">
        <f aca="false">sheet1!arf138</f>
        <v>#NAME?</v>
      </c>
      <c r="E137" s="0" t="e">
        <f aca="false">sheet1!arg138</f>
        <v>#NAME?</v>
      </c>
      <c r="F137" s="0" t="e">
        <f aca="false">sheet1!arh138</f>
        <v>#NAME?</v>
      </c>
      <c r="G137" s="0" t="e">
        <f aca="false">sheet1!ari138</f>
        <v>#NAME?</v>
      </c>
      <c r="H137" s="0" t="e">
        <f aca="false">sheet1!arj138</f>
        <v>#NAME?</v>
      </c>
      <c r="I137" s="0" t="e">
        <f aca="false">sheet1!ark138</f>
        <v>#NAME?</v>
      </c>
      <c r="J137" s="0" t="e">
        <f aca="false">sheet1!arl138</f>
        <v>#NAME?</v>
      </c>
      <c r="K137" s="0" t="e">
        <f aca="false">sheet1!arm138</f>
        <v>#NAME?</v>
      </c>
    </row>
    <row r="138" customFormat="false" ht="13.5" hidden="false" customHeight="false" outlineLevel="0" collapsed="false">
      <c r="A138" s="0" t="s">
        <v>84</v>
      </c>
      <c r="B138" s="1" t="n">
        <v>43998</v>
      </c>
      <c r="C138" s="0" t="e">
        <f aca="false">sheet1!are139</f>
        <v>#NAME?</v>
      </c>
      <c r="D138" s="0" t="e">
        <f aca="false">sheet1!arf139</f>
        <v>#NAME?</v>
      </c>
      <c r="E138" s="0" t="e">
        <f aca="false">sheet1!arg139</f>
        <v>#NAME?</v>
      </c>
      <c r="F138" s="0" t="e">
        <f aca="false">sheet1!arh139</f>
        <v>#NAME?</v>
      </c>
      <c r="G138" s="0" t="e">
        <f aca="false">sheet1!ari139</f>
        <v>#NAME?</v>
      </c>
      <c r="H138" s="0" t="e">
        <f aca="false">sheet1!arj139</f>
        <v>#NAME?</v>
      </c>
      <c r="I138" s="0" t="e">
        <f aca="false">sheet1!ark139</f>
        <v>#NAME?</v>
      </c>
      <c r="J138" s="0" t="e">
        <f aca="false">sheet1!arl139</f>
        <v>#NAME?</v>
      </c>
      <c r="K138" s="0" t="e">
        <f aca="false">sheet1!arm139</f>
        <v>#NAME?</v>
      </c>
    </row>
    <row r="139" customFormat="false" ht="13.5" hidden="false" customHeight="false" outlineLevel="0" collapsed="false">
      <c r="A139" s="0" t="s">
        <v>84</v>
      </c>
      <c r="B139" s="1" t="n">
        <v>43999</v>
      </c>
      <c r="C139" s="0" t="e">
        <f aca="false">sheet1!are140</f>
        <v>#NAME?</v>
      </c>
      <c r="D139" s="0" t="e">
        <f aca="false">sheet1!arf140</f>
        <v>#NAME?</v>
      </c>
      <c r="E139" s="0" t="e">
        <f aca="false">sheet1!arg140</f>
        <v>#NAME?</v>
      </c>
      <c r="F139" s="0" t="e">
        <f aca="false">sheet1!arh140</f>
        <v>#NAME?</v>
      </c>
      <c r="G139" s="0" t="e">
        <f aca="false">sheet1!ari140</f>
        <v>#NAME?</v>
      </c>
      <c r="H139" s="0" t="e">
        <f aca="false">sheet1!arj140</f>
        <v>#NAME?</v>
      </c>
      <c r="I139" s="0" t="e">
        <f aca="false">sheet1!ark140</f>
        <v>#NAME?</v>
      </c>
      <c r="J139" s="0" t="e">
        <f aca="false">sheet1!arl140</f>
        <v>#NAME?</v>
      </c>
      <c r="K139" s="0" t="e">
        <f aca="false">sheet1!arm140</f>
        <v>#NAME?</v>
      </c>
    </row>
    <row r="140" customFormat="false" ht="13.5" hidden="false" customHeight="false" outlineLevel="0" collapsed="false">
      <c r="A140" s="0" t="s">
        <v>84</v>
      </c>
      <c r="B140" s="1" t="n">
        <v>44000</v>
      </c>
      <c r="C140" s="0" t="e">
        <f aca="false">sheet1!are141</f>
        <v>#NAME?</v>
      </c>
      <c r="D140" s="0" t="e">
        <f aca="false">sheet1!arf141</f>
        <v>#NAME?</v>
      </c>
      <c r="E140" s="0" t="e">
        <f aca="false">sheet1!arg141</f>
        <v>#NAME?</v>
      </c>
      <c r="F140" s="0" t="e">
        <f aca="false">sheet1!arh141</f>
        <v>#NAME?</v>
      </c>
      <c r="G140" s="0" t="e">
        <f aca="false">sheet1!ari141</f>
        <v>#NAME?</v>
      </c>
      <c r="H140" s="0" t="e">
        <f aca="false">sheet1!arj141</f>
        <v>#NAME?</v>
      </c>
      <c r="I140" s="0" t="e">
        <f aca="false">sheet1!ark141</f>
        <v>#NAME?</v>
      </c>
      <c r="J140" s="0" t="e">
        <f aca="false">sheet1!arl141</f>
        <v>#NAME?</v>
      </c>
      <c r="K140" s="0" t="e">
        <f aca="false">sheet1!arm141</f>
        <v>#NAME?</v>
      </c>
    </row>
    <row r="141" customFormat="false" ht="13.5" hidden="false" customHeight="false" outlineLevel="0" collapsed="false">
      <c r="A141" s="0" t="s">
        <v>84</v>
      </c>
      <c r="B141" s="1" t="n">
        <v>44001</v>
      </c>
      <c r="C141" s="0" t="e">
        <f aca="false">sheet1!are142</f>
        <v>#NAME?</v>
      </c>
      <c r="D141" s="0" t="e">
        <f aca="false">sheet1!arf142</f>
        <v>#NAME?</v>
      </c>
      <c r="E141" s="0" t="e">
        <f aca="false">sheet1!arg142</f>
        <v>#NAME?</v>
      </c>
      <c r="F141" s="0" t="e">
        <f aca="false">sheet1!arh142</f>
        <v>#NAME?</v>
      </c>
      <c r="G141" s="0" t="e">
        <f aca="false">sheet1!ari142</f>
        <v>#NAME?</v>
      </c>
      <c r="H141" s="0" t="e">
        <f aca="false">sheet1!arj142</f>
        <v>#NAME?</v>
      </c>
      <c r="I141" s="0" t="e">
        <f aca="false">sheet1!ark142</f>
        <v>#NAME?</v>
      </c>
      <c r="J141" s="0" t="e">
        <f aca="false">sheet1!arl142</f>
        <v>#NAME?</v>
      </c>
      <c r="K141" s="0" t="e">
        <f aca="false">sheet1!arm142</f>
        <v>#NAME?</v>
      </c>
    </row>
    <row r="142" customFormat="false" ht="13.5" hidden="false" customHeight="false" outlineLevel="0" collapsed="false">
      <c r="A142" s="0" t="s">
        <v>84</v>
      </c>
      <c r="B142" s="1" t="n">
        <v>44002</v>
      </c>
      <c r="C142" s="0" t="e">
        <f aca="false">sheet1!are143</f>
        <v>#NAME?</v>
      </c>
      <c r="D142" s="0" t="e">
        <f aca="false">sheet1!arf143</f>
        <v>#NAME?</v>
      </c>
      <c r="E142" s="0" t="e">
        <f aca="false">sheet1!arg143</f>
        <v>#NAME?</v>
      </c>
      <c r="F142" s="0" t="e">
        <f aca="false">sheet1!arh143</f>
        <v>#NAME?</v>
      </c>
      <c r="G142" s="0" t="e">
        <f aca="false">sheet1!ari143</f>
        <v>#NAME?</v>
      </c>
      <c r="H142" s="0" t="e">
        <f aca="false">sheet1!arj143</f>
        <v>#NAME?</v>
      </c>
      <c r="I142" s="0" t="e">
        <f aca="false">sheet1!ark143</f>
        <v>#NAME?</v>
      </c>
      <c r="J142" s="0" t="e">
        <f aca="false">sheet1!arl143</f>
        <v>#NAME?</v>
      </c>
      <c r="K142" s="0" t="e">
        <f aca="false">sheet1!arm143</f>
        <v>#NAME?</v>
      </c>
    </row>
    <row r="143" customFormat="false" ht="13.5" hidden="false" customHeight="false" outlineLevel="0" collapsed="false">
      <c r="A143" s="0" t="s">
        <v>84</v>
      </c>
      <c r="B143" s="1" t="n">
        <v>44003</v>
      </c>
      <c r="C143" s="0" t="e">
        <f aca="false">sheet1!are144</f>
        <v>#NAME?</v>
      </c>
      <c r="D143" s="0" t="e">
        <f aca="false">sheet1!arf144</f>
        <v>#NAME?</v>
      </c>
      <c r="E143" s="0" t="e">
        <f aca="false">sheet1!arg144</f>
        <v>#NAME?</v>
      </c>
      <c r="F143" s="0" t="e">
        <f aca="false">sheet1!arh144</f>
        <v>#NAME?</v>
      </c>
      <c r="G143" s="0" t="e">
        <f aca="false">sheet1!ari144</f>
        <v>#NAME?</v>
      </c>
      <c r="H143" s="0" t="e">
        <f aca="false">sheet1!arj144</f>
        <v>#NAME?</v>
      </c>
      <c r="I143" s="0" t="e">
        <f aca="false">sheet1!ark144</f>
        <v>#NAME?</v>
      </c>
      <c r="J143" s="0" t="e">
        <f aca="false">sheet1!arl144</f>
        <v>#NAME?</v>
      </c>
      <c r="K143" s="0" t="e">
        <f aca="false">sheet1!arm144</f>
        <v>#NAME?</v>
      </c>
    </row>
    <row r="144" customFormat="false" ht="13.5" hidden="false" customHeight="false" outlineLevel="0" collapsed="false">
      <c r="A144" s="0" t="s">
        <v>84</v>
      </c>
      <c r="B144" s="1" t="n">
        <v>44004</v>
      </c>
      <c r="C144" s="0" t="e">
        <f aca="false">sheet1!are145</f>
        <v>#NAME?</v>
      </c>
      <c r="D144" s="0" t="e">
        <f aca="false">sheet1!arf145</f>
        <v>#NAME?</v>
      </c>
      <c r="E144" s="0" t="e">
        <f aca="false">sheet1!arg145</f>
        <v>#NAME?</v>
      </c>
      <c r="F144" s="0" t="e">
        <f aca="false">sheet1!arh145</f>
        <v>#NAME?</v>
      </c>
      <c r="G144" s="0" t="e">
        <f aca="false">sheet1!ari145</f>
        <v>#NAME?</v>
      </c>
      <c r="H144" s="0" t="e">
        <f aca="false">sheet1!arj145</f>
        <v>#NAME?</v>
      </c>
      <c r="I144" s="0" t="e">
        <f aca="false">sheet1!ark145</f>
        <v>#NAME?</v>
      </c>
      <c r="J144" s="0" t="e">
        <f aca="false">sheet1!arl145</f>
        <v>#NAME?</v>
      </c>
      <c r="K144" s="0" t="e">
        <f aca="false">sheet1!arm145</f>
        <v>#NAME?</v>
      </c>
    </row>
    <row r="145" customFormat="false" ht="13.5" hidden="false" customHeight="false" outlineLevel="0" collapsed="false">
      <c r="A145" s="0" t="s">
        <v>84</v>
      </c>
      <c r="B145" s="1" t="n">
        <v>44005</v>
      </c>
      <c r="C145" s="0" t="e">
        <f aca="false">sheet1!are146</f>
        <v>#NAME?</v>
      </c>
      <c r="D145" s="0" t="e">
        <f aca="false">sheet1!arf146</f>
        <v>#NAME?</v>
      </c>
      <c r="E145" s="0" t="e">
        <f aca="false">sheet1!arg146</f>
        <v>#NAME?</v>
      </c>
      <c r="F145" s="0" t="e">
        <f aca="false">sheet1!arh146</f>
        <v>#NAME?</v>
      </c>
      <c r="G145" s="0" t="e">
        <f aca="false">sheet1!ari146</f>
        <v>#NAME?</v>
      </c>
      <c r="H145" s="0" t="e">
        <f aca="false">sheet1!arj146</f>
        <v>#NAME?</v>
      </c>
      <c r="I145" s="0" t="e">
        <f aca="false">sheet1!ark146</f>
        <v>#NAME?</v>
      </c>
      <c r="J145" s="0" t="e">
        <f aca="false">sheet1!arl146</f>
        <v>#NAME?</v>
      </c>
      <c r="K145" s="0" t="e">
        <f aca="false">sheet1!arm146</f>
        <v>#NAME?</v>
      </c>
    </row>
    <row r="146" customFormat="false" ht="13.5" hidden="false" customHeight="false" outlineLevel="0" collapsed="false">
      <c r="A146" s="0" t="s">
        <v>84</v>
      </c>
      <c r="B146" s="1" t="n">
        <v>44006</v>
      </c>
      <c r="C146" s="0" t="e">
        <f aca="false">sheet1!are147</f>
        <v>#NAME?</v>
      </c>
      <c r="D146" s="0" t="e">
        <f aca="false">sheet1!arf147</f>
        <v>#NAME?</v>
      </c>
      <c r="E146" s="0" t="e">
        <f aca="false">sheet1!arg147</f>
        <v>#NAME?</v>
      </c>
      <c r="F146" s="0" t="e">
        <f aca="false">sheet1!arh147</f>
        <v>#NAME?</v>
      </c>
      <c r="G146" s="0" t="e">
        <f aca="false">sheet1!ari147</f>
        <v>#NAME?</v>
      </c>
      <c r="H146" s="0" t="e">
        <f aca="false">sheet1!arj147</f>
        <v>#NAME?</v>
      </c>
      <c r="I146" s="0" t="e">
        <f aca="false">sheet1!ark147</f>
        <v>#NAME?</v>
      </c>
      <c r="J146" s="0" t="e">
        <f aca="false">sheet1!arl147</f>
        <v>#NAME?</v>
      </c>
      <c r="K146" s="0" t="e">
        <f aca="false">sheet1!arm147</f>
        <v>#NAME?</v>
      </c>
    </row>
    <row r="147" customFormat="false" ht="13.5" hidden="false" customHeight="false" outlineLevel="0" collapsed="false">
      <c r="A147" s="0" t="s">
        <v>84</v>
      </c>
      <c r="B147" s="1" t="n">
        <v>44007</v>
      </c>
      <c r="C147" s="0" t="e">
        <f aca="false">sheet1!are148</f>
        <v>#NAME?</v>
      </c>
      <c r="D147" s="0" t="e">
        <f aca="false">sheet1!arf148</f>
        <v>#NAME?</v>
      </c>
      <c r="E147" s="0" t="e">
        <f aca="false">sheet1!arg148</f>
        <v>#NAME?</v>
      </c>
      <c r="F147" s="0" t="e">
        <f aca="false">sheet1!arh148</f>
        <v>#NAME?</v>
      </c>
      <c r="G147" s="0" t="e">
        <f aca="false">sheet1!ari148</f>
        <v>#NAME?</v>
      </c>
      <c r="H147" s="0" t="e">
        <f aca="false">sheet1!arj148</f>
        <v>#NAME?</v>
      </c>
      <c r="I147" s="0" t="e">
        <f aca="false">sheet1!ark148</f>
        <v>#NAME?</v>
      </c>
      <c r="J147" s="0" t="e">
        <f aca="false">sheet1!arl148</f>
        <v>#NAME?</v>
      </c>
      <c r="K147" s="0" t="e">
        <f aca="false">sheet1!arm148</f>
        <v>#NAME?</v>
      </c>
    </row>
    <row r="148" customFormat="false" ht="13.5" hidden="false" customHeight="false" outlineLevel="0" collapsed="false">
      <c r="A148" s="0" t="s">
        <v>84</v>
      </c>
      <c r="B148" s="1" t="n">
        <v>44008</v>
      </c>
      <c r="C148" s="0" t="e">
        <f aca="false">sheet1!are149</f>
        <v>#NAME?</v>
      </c>
      <c r="D148" s="0" t="e">
        <f aca="false">sheet1!arf149</f>
        <v>#NAME?</v>
      </c>
      <c r="E148" s="0" t="e">
        <f aca="false">sheet1!arg149</f>
        <v>#NAME?</v>
      </c>
      <c r="F148" s="0" t="e">
        <f aca="false">sheet1!arh149</f>
        <v>#NAME?</v>
      </c>
      <c r="G148" s="0" t="e">
        <f aca="false">sheet1!ari149</f>
        <v>#NAME?</v>
      </c>
      <c r="H148" s="0" t="e">
        <f aca="false">sheet1!arj149</f>
        <v>#NAME?</v>
      </c>
      <c r="I148" s="0" t="e">
        <f aca="false">sheet1!ark149</f>
        <v>#NAME?</v>
      </c>
      <c r="J148" s="0" t="e">
        <f aca="false">sheet1!arl149</f>
        <v>#NAME?</v>
      </c>
      <c r="K148" s="0" t="e">
        <f aca="false">sheet1!arm149</f>
        <v>#NAME?</v>
      </c>
    </row>
    <row r="149" customFormat="false" ht="13.5" hidden="false" customHeight="false" outlineLevel="0" collapsed="false">
      <c r="A149" s="0" t="s">
        <v>84</v>
      </c>
      <c r="B149" s="1" t="n">
        <v>44009</v>
      </c>
      <c r="C149" s="0" t="e">
        <f aca="false">sheet1!are150</f>
        <v>#NAME?</v>
      </c>
      <c r="D149" s="0" t="e">
        <f aca="false">sheet1!arf150</f>
        <v>#NAME?</v>
      </c>
      <c r="E149" s="0" t="e">
        <f aca="false">sheet1!arg150</f>
        <v>#NAME?</v>
      </c>
      <c r="F149" s="0" t="e">
        <f aca="false">sheet1!arh150</f>
        <v>#NAME?</v>
      </c>
      <c r="G149" s="0" t="e">
        <f aca="false">sheet1!ari150</f>
        <v>#NAME?</v>
      </c>
      <c r="H149" s="0" t="e">
        <f aca="false">sheet1!arj150</f>
        <v>#NAME?</v>
      </c>
      <c r="I149" s="0" t="e">
        <f aca="false">sheet1!ark150</f>
        <v>#NAME?</v>
      </c>
      <c r="J149" s="0" t="e">
        <f aca="false">sheet1!arl150</f>
        <v>#NAME?</v>
      </c>
      <c r="K149" s="0" t="e">
        <f aca="false">sheet1!arm150</f>
        <v>#NAME?</v>
      </c>
    </row>
    <row r="150" customFormat="false" ht="13.5" hidden="false" customHeight="false" outlineLevel="0" collapsed="false">
      <c r="A150" s="0" t="s">
        <v>84</v>
      </c>
      <c r="B150" s="1" t="n">
        <v>44010</v>
      </c>
      <c r="C150" s="0" t="e">
        <f aca="false">sheet1!are151</f>
        <v>#NAME?</v>
      </c>
      <c r="D150" s="0" t="e">
        <f aca="false">sheet1!arf151</f>
        <v>#NAME?</v>
      </c>
      <c r="E150" s="0" t="e">
        <f aca="false">sheet1!arg151</f>
        <v>#NAME?</v>
      </c>
      <c r="F150" s="0" t="e">
        <f aca="false">sheet1!arh151</f>
        <v>#NAME?</v>
      </c>
      <c r="G150" s="0" t="e">
        <f aca="false">sheet1!ari151</f>
        <v>#NAME?</v>
      </c>
      <c r="H150" s="0" t="e">
        <f aca="false">sheet1!arj151</f>
        <v>#NAME?</v>
      </c>
      <c r="I150" s="0" t="e">
        <f aca="false">sheet1!ark151</f>
        <v>#NAME?</v>
      </c>
      <c r="J150" s="0" t="e">
        <f aca="false">sheet1!arl151</f>
        <v>#NAME?</v>
      </c>
      <c r="K150" s="0" t="e">
        <f aca="false">sheet1!arm151</f>
        <v>#NAME?</v>
      </c>
    </row>
    <row r="151" customFormat="false" ht="13.5" hidden="false" customHeight="false" outlineLevel="0" collapsed="false">
      <c r="A151" s="0" t="s">
        <v>84</v>
      </c>
      <c r="B151" s="1" t="n">
        <v>44011</v>
      </c>
      <c r="C151" s="0" t="e">
        <f aca="false">sheet1!are152</f>
        <v>#NAME?</v>
      </c>
      <c r="D151" s="0" t="e">
        <f aca="false">sheet1!arf152</f>
        <v>#NAME?</v>
      </c>
      <c r="E151" s="0" t="e">
        <f aca="false">sheet1!arg152</f>
        <v>#NAME?</v>
      </c>
      <c r="F151" s="0" t="e">
        <f aca="false">sheet1!arh152</f>
        <v>#NAME?</v>
      </c>
      <c r="G151" s="0" t="e">
        <f aca="false">sheet1!ari152</f>
        <v>#NAME?</v>
      </c>
      <c r="H151" s="0" t="e">
        <f aca="false">sheet1!arj152</f>
        <v>#NAME?</v>
      </c>
      <c r="I151" s="0" t="e">
        <f aca="false">sheet1!ark152</f>
        <v>#NAME?</v>
      </c>
      <c r="J151" s="0" t="e">
        <f aca="false">sheet1!arl152</f>
        <v>#NAME?</v>
      </c>
      <c r="K151" s="0" t="e">
        <f aca="false">sheet1!arm152</f>
        <v>#NAME?</v>
      </c>
    </row>
    <row r="152" customFormat="false" ht="13.5" hidden="false" customHeight="false" outlineLevel="0" collapsed="false">
      <c r="A152" s="0" t="s">
        <v>84</v>
      </c>
      <c r="B152" s="1" t="n">
        <v>44012</v>
      </c>
      <c r="C152" s="0" t="e">
        <f aca="false">sheet1!are153</f>
        <v>#NAME?</v>
      </c>
      <c r="D152" s="0" t="e">
        <f aca="false">sheet1!arf153</f>
        <v>#NAME?</v>
      </c>
      <c r="E152" s="0" t="e">
        <f aca="false">sheet1!arg153</f>
        <v>#NAME?</v>
      </c>
      <c r="F152" s="0" t="e">
        <f aca="false">sheet1!arh153</f>
        <v>#NAME?</v>
      </c>
      <c r="G152" s="0" t="e">
        <f aca="false">sheet1!ari153</f>
        <v>#NAME?</v>
      </c>
      <c r="H152" s="0" t="e">
        <f aca="false">sheet1!arj153</f>
        <v>#NAME?</v>
      </c>
      <c r="I152" s="0" t="e">
        <f aca="false">sheet1!ark153</f>
        <v>#NAME?</v>
      </c>
      <c r="J152" s="0" t="e">
        <f aca="false">sheet1!arl153</f>
        <v>#NAME?</v>
      </c>
      <c r="K152" s="0" t="e">
        <f aca="false">sheet1!arm153</f>
        <v>#NAME?</v>
      </c>
    </row>
    <row r="153" customFormat="false" ht="13.5" hidden="false" customHeight="false" outlineLevel="0" collapsed="false">
      <c r="A153" s="0" t="s">
        <v>84</v>
      </c>
      <c r="B153" s="1" t="n">
        <v>44013</v>
      </c>
      <c r="C153" s="0" t="e">
        <f aca="false">sheet1!are154</f>
        <v>#NAME?</v>
      </c>
      <c r="D153" s="0" t="e">
        <f aca="false">sheet1!arf154</f>
        <v>#NAME?</v>
      </c>
      <c r="E153" s="0" t="e">
        <f aca="false">sheet1!arg154</f>
        <v>#NAME?</v>
      </c>
      <c r="F153" s="0" t="e">
        <f aca="false">sheet1!arh154</f>
        <v>#NAME?</v>
      </c>
      <c r="G153" s="0" t="e">
        <f aca="false">sheet1!ari154</f>
        <v>#NAME?</v>
      </c>
      <c r="H153" s="0" t="e">
        <f aca="false">sheet1!arj154</f>
        <v>#NAME?</v>
      </c>
      <c r="I153" s="0" t="e">
        <f aca="false">sheet1!ark154</f>
        <v>#NAME?</v>
      </c>
      <c r="J153" s="0" t="e">
        <f aca="false">sheet1!arl154</f>
        <v>#NAME?</v>
      </c>
      <c r="K153" s="0" t="e">
        <f aca="false">sheet1!arm154</f>
        <v>#NAME?</v>
      </c>
    </row>
    <row r="154" customFormat="false" ht="13.5" hidden="false" customHeight="false" outlineLevel="0" collapsed="false">
      <c r="A154" s="0" t="s">
        <v>84</v>
      </c>
      <c r="B154" s="1" t="n">
        <v>44014</v>
      </c>
      <c r="C154" s="0" t="e">
        <f aca="false">sheet1!are155</f>
        <v>#NAME?</v>
      </c>
      <c r="D154" s="0" t="e">
        <f aca="false">sheet1!arf155</f>
        <v>#NAME?</v>
      </c>
      <c r="E154" s="0" t="e">
        <f aca="false">sheet1!arg155</f>
        <v>#NAME?</v>
      </c>
      <c r="F154" s="0" t="e">
        <f aca="false">sheet1!arh155</f>
        <v>#NAME?</v>
      </c>
      <c r="G154" s="0" t="e">
        <f aca="false">sheet1!ari155</f>
        <v>#NAME?</v>
      </c>
      <c r="H154" s="0" t="e">
        <f aca="false">sheet1!arj155</f>
        <v>#NAME?</v>
      </c>
      <c r="I154" s="0" t="e">
        <f aca="false">sheet1!ark155</f>
        <v>#NAME?</v>
      </c>
      <c r="J154" s="0" t="e">
        <f aca="false">sheet1!arl155</f>
        <v>#NAME?</v>
      </c>
      <c r="K154" s="0" t="e">
        <f aca="false">sheet1!arm155</f>
        <v>#NAME?</v>
      </c>
    </row>
    <row r="155" customFormat="false" ht="13.5" hidden="false" customHeight="false" outlineLevel="0" collapsed="false">
      <c r="A155" s="0" t="s">
        <v>84</v>
      </c>
      <c r="B155" s="1" t="n">
        <v>44015</v>
      </c>
      <c r="C155" s="0" t="e">
        <f aca="false">sheet1!are156</f>
        <v>#NAME?</v>
      </c>
      <c r="D155" s="0" t="e">
        <f aca="false">sheet1!arf156</f>
        <v>#NAME?</v>
      </c>
      <c r="E155" s="0" t="e">
        <f aca="false">sheet1!arg156</f>
        <v>#NAME?</v>
      </c>
      <c r="F155" s="0" t="e">
        <f aca="false">sheet1!arh156</f>
        <v>#NAME?</v>
      </c>
      <c r="G155" s="0" t="e">
        <f aca="false">sheet1!ari156</f>
        <v>#NAME?</v>
      </c>
      <c r="H155" s="0" t="e">
        <f aca="false">sheet1!arj156</f>
        <v>#NAME?</v>
      </c>
      <c r="I155" s="0" t="e">
        <f aca="false">sheet1!ark156</f>
        <v>#NAME?</v>
      </c>
      <c r="J155" s="0" t="e">
        <f aca="false">sheet1!arl156</f>
        <v>#NAME?</v>
      </c>
      <c r="K155" s="0" t="e">
        <f aca="false">sheet1!arm156</f>
        <v>#NAME?</v>
      </c>
    </row>
    <row r="156" customFormat="false" ht="13.5" hidden="false" customHeight="false" outlineLevel="0" collapsed="false">
      <c r="A156" s="0" t="s">
        <v>84</v>
      </c>
      <c r="B156" s="1" t="n">
        <v>44016</v>
      </c>
      <c r="C156" s="0" t="e">
        <f aca="false">sheet1!are157</f>
        <v>#NAME?</v>
      </c>
      <c r="D156" s="0" t="e">
        <f aca="false">sheet1!arf157</f>
        <v>#NAME?</v>
      </c>
      <c r="E156" s="0" t="e">
        <f aca="false">sheet1!arg157</f>
        <v>#NAME?</v>
      </c>
      <c r="F156" s="0" t="e">
        <f aca="false">sheet1!arh157</f>
        <v>#NAME?</v>
      </c>
      <c r="G156" s="0" t="e">
        <f aca="false">sheet1!ari157</f>
        <v>#NAME?</v>
      </c>
      <c r="H156" s="0" t="e">
        <f aca="false">sheet1!arj157</f>
        <v>#NAME?</v>
      </c>
      <c r="I156" s="0" t="e">
        <f aca="false">sheet1!ark157</f>
        <v>#NAME?</v>
      </c>
      <c r="J156" s="0" t="e">
        <f aca="false">sheet1!arl157</f>
        <v>#NAME?</v>
      </c>
      <c r="K156" s="0" t="e">
        <f aca="false">sheet1!arm157</f>
        <v>#NAME?</v>
      </c>
    </row>
    <row r="157" customFormat="false" ht="13.5" hidden="false" customHeight="false" outlineLevel="0" collapsed="false">
      <c r="A157" s="0" t="s">
        <v>84</v>
      </c>
      <c r="B157" s="1" t="n">
        <v>44017</v>
      </c>
      <c r="C157" s="0" t="e">
        <f aca="false">sheet1!are158</f>
        <v>#NAME?</v>
      </c>
      <c r="D157" s="0" t="e">
        <f aca="false">sheet1!arf158</f>
        <v>#NAME?</v>
      </c>
      <c r="E157" s="0" t="e">
        <f aca="false">sheet1!arg158</f>
        <v>#NAME?</v>
      </c>
      <c r="F157" s="0" t="e">
        <f aca="false">sheet1!arh158</f>
        <v>#NAME?</v>
      </c>
      <c r="G157" s="0" t="e">
        <f aca="false">sheet1!ari158</f>
        <v>#NAME?</v>
      </c>
      <c r="H157" s="0" t="e">
        <f aca="false">sheet1!arj158</f>
        <v>#NAME?</v>
      </c>
      <c r="I157" s="0" t="e">
        <f aca="false">sheet1!ark158</f>
        <v>#NAME?</v>
      </c>
      <c r="J157" s="0" t="e">
        <f aca="false">sheet1!arl158</f>
        <v>#NAME?</v>
      </c>
      <c r="K157" s="0" t="e">
        <f aca="false">sheet1!arm158</f>
        <v>#NAME?</v>
      </c>
    </row>
    <row r="158" customFormat="false" ht="13.5" hidden="false" customHeight="false" outlineLevel="0" collapsed="false">
      <c r="A158" s="0" t="s">
        <v>84</v>
      </c>
      <c r="B158" s="1" t="n">
        <v>44018</v>
      </c>
      <c r="C158" s="0" t="e">
        <f aca="false">sheet1!are159</f>
        <v>#NAME?</v>
      </c>
      <c r="D158" s="0" t="e">
        <f aca="false">sheet1!arf159</f>
        <v>#NAME?</v>
      </c>
      <c r="E158" s="0" t="e">
        <f aca="false">sheet1!arg159</f>
        <v>#NAME?</v>
      </c>
      <c r="F158" s="0" t="e">
        <f aca="false">sheet1!arh159</f>
        <v>#NAME?</v>
      </c>
      <c r="G158" s="0" t="e">
        <f aca="false">sheet1!ari159</f>
        <v>#NAME?</v>
      </c>
      <c r="H158" s="0" t="e">
        <f aca="false">sheet1!arj159</f>
        <v>#NAME?</v>
      </c>
      <c r="I158" s="0" t="e">
        <f aca="false">sheet1!ark159</f>
        <v>#NAME?</v>
      </c>
      <c r="J158" s="0" t="e">
        <f aca="false">sheet1!arl159</f>
        <v>#NAME?</v>
      </c>
      <c r="K158" s="0" t="e">
        <f aca="false">sheet1!arm159</f>
        <v>#NAME?</v>
      </c>
    </row>
    <row r="159" customFormat="false" ht="13.5" hidden="false" customHeight="false" outlineLevel="0" collapsed="false">
      <c r="A159" s="0" t="s">
        <v>84</v>
      </c>
      <c r="B159" s="1" t="n">
        <v>44019</v>
      </c>
      <c r="C159" s="0" t="e">
        <f aca="false">sheet1!are160</f>
        <v>#NAME?</v>
      </c>
      <c r="D159" s="0" t="e">
        <f aca="false">sheet1!arf160</f>
        <v>#NAME?</v>
      </c>
      <c r="E159" s="0" t="e">
        <f aca="false">sheet1!arg160</f>
        <v>#NAME?</v>
      </c>
      <c r="F159" s="0" t="e">
        <f aca="false">sheet1!arh160</f>
        <v>#NAME?</v>
      </c>
      <c r="G159" s="0" t="e">
        <f aca="false">sheet1!ari160</f>
        <v>#NAME?</v>
      </c>
      <c r="H159" s="0" t="e">
        <f aca="false">sheet1!arj160</f>
        <v>#NAME?</v>
      </c>
      <c r="I159" s="0" t="e">
        <f aca="false">sheet1!ark160</f>
        <v>#NAME?</v>
      </c>
      <c r="J159" s="0" t="e">
        <f aca="false">sheet1!arl160</f>
        <v>#NAME?</v>
      </c>
      <c r="K159" s="0" t="e">
        <f aca="false">sheet1!arm160</f>
        <v>#NAME?</v>
      </c>
    </row>
    <row r="160" customFormat="false" ht="13.5" hidden="false" customHeight="false" outlineLevel="0" collapsed="false">
      <c r="A160" s="0" t="s">
        <v>84</v>
      </c>
      <c r="B160" s="1" t="n">
        <v>44020</v>
      </c>
      <c r="C160" s="0" t="e">
        <f aca="false">sheet1!are161</f>
        <v>#NAME?</v>
      </c>
      <c r="D160" s="0" t="e">
        <f aca="false">sheet1!arf161</f>
        <v>#NAME?</v>
      </c>
      <c r="E160" s="0" t="e">
        <f aca="false">sheet1!arg161</f>
        <v>#NAME?</v>
      </c>
      <c r="F160" s="0" t="e">
        <f aca="false">sheet1!arh161</f>
        <v>#NAME?</v>
      </c>
      <c r="G160" s="0" t="e">
        <f aca="false">sheet1!ari161</f>
        <v>#NAME?</v>
      </c>
      <c r="H160" s="0" t="e">
        <f aca="false">sheet1!arj161</f>
        <v>#NAME?</v>
      </c>
      <c r="I160" s="0" t="e">
        <f aca="false">sheet1!ark161</f>
        <v>#NAME?</v>
      </c>
      <c r="J160" s="0" t="e">
        <f aca="false">sheet1!arl161</f>
        <v>#NAME?</v>
      </c>
      <c r="K160" s="0" t="e">
        <f aca="false">sheet1!arm161</f>
        <v>#NAME?</v>
      </c>
    </row>
    <row r="161" customFormat="false" ht="13.5" hidden="false" customHeight="false" outlineLevel="0" collapsed="false">
      <c r="A161" s="0" t="s">
        <v>84</v>
      </c>
      <c r="B161" s="1" t="n">
        <v>44021</v>
      </c>
      <c r="C161" s="0" t="e">
        <f aca="false">sheet1!are162</f>
        <v>#NAME?</v>
      </c>
      <c r="D161" s="0" t="e">
        <f aca="false">sheet1!arf162</f>
        <v>#NAME?</v>
      </c>
      <c r="E161" s="0" t="e">
        <f aca="false">sheet1!arg162</f>
        <v>#NAME?</v>
      </c>
      <c r="F161" s="0" t="e">
        <f aca="false">sheet1!arh162</f>
        <v>#NAME?</v>
      </c>
      <c r="G161" s="0" t="e">
        <f aca="false">sheet1!ari162</f>
        <v>#NAME?</v>
      </c>
      <c r="H161" s="0" t="e">
        <f aca="false">sheet1!arj162</f>
        <v>#NAME?</v>
      </c>
      <c r="I161" s="0" t="e">
        <f aca="false">sheet1!ark162</f>
        <v>#NAME?</v>
      </c>
      <c r="J161" s="0" t="e">
        <f aca="false">sheet1!arl162</f>
        <v>#NAME?</v>
      </c>
      <c r="K161" s="0" t="e">
        <f aca="false">sheet1!arm162</f>
        <v>#NAME?</v>
      </c>
    </row>
    <row r="162" customFormat="false" ht="13.5" hidden="false" customHeight="false" outlineLevel="0" collapsed="false">
      <c r="A162" s="0" t="s">
        <v>84</v>
      </c>
      <c r="B162" s="1" t="n">
        <v>44022</v>
      </c>
      <c r="C162" s="0" t="e">
        <f aca="false">sheet1!are163</f>
        <v>#NAME?</v>
      </c>
      <c r="D162" s="0" t="e">
        <f aca="false">sheet1!arf163</f>
        <v>#NAME?</v>
      </c>
      <c r="E162" s="0" t="e">
        <f aca="false">sheet1!arg163</f>
        <v>#NAME?</v>
      </c>
      <c r="F162" s="0" t="e">
        <f aca="false">sheet1!arh163</f>
        <v>#NAME?</v>
      </c>
      <c r="G162" s="0" t="e">
        <f aca="false">sheet1!ari163</f>
        <v>#NAME?</v>
      </c>
      <c r="H162" s="0" t="e">
        <f aca="false">sheet1!arj163</f>
        <v>#NAME?</v>
      </c>
      <c r="I162" s="0" t="e">
        <f aca="false">sheet1!ark163</f>
        <v>#NAME?</v>
      </c>
      <c r="J162" s="0" t="e">
        <f aca="false">sheet1!arl163</f>
        <v>#NAME?</v>
      </c>
      <c r="K162" s="0" t="e">
        <f aca="false">sheet1!arm163</f>
        <v>#NAME?</v>
      </c>
    </row>
    <row r="163" customFormat="false" ht="13.5" hidden="false" customHeight="false" outlineLevel="0" collapsed="false">
      <c r="A163" s="0" t="s">
        <v>84</v>
      </c>
      <c r="B163" s="1" t="n">
        <v>44023</v>
      </c>
      <c r="C163" s="0" t="e">
        <f aca="false">sheet1!are164</f>
        <v>#NAME?</v>
      </c>
      <c r="D163" s="0" t="e">
        <f aca="false">sheet1!arf164</f>
        <v>#NAME?</v>
      </c>
      <c r="E163" s="0" t="e">
        <f aca="false">sheet1!arg164</f>
        <v>#NAME?</v>
      </c>
      <c r="F163" s="0" t="e">
        <f aca="false">sheet1!arh164</f>
        <v>#NAME?</v>
      </c>
      <c r="G163" s="0" t="e">
        <f aca="false">sheet1!ari164</f>
        <v>#NAME?</v>
      </c>
      <c r="H163" s="0" t="e">
        <f aca="false">sheet1!arj164</f>
        <v>#NAME?</v>
      </c>
      <c r="I163" s="0" t="e">
        <f aca="false">sheet1!ark164</f>
        <v>#NAME?</v>
      </c>
      <c r="J163" s="0" t="e">
        <f aca="false">sheet1!arl164</f>
        <v>#NAME?</v>
      </c>
      <c r="K163" s="0" t="e">
        <f aca="false">sheet1!arm164</f>
        <v>#NAME?</v>
      </c>
    </row>
    <row r="164" customFormat="false" ht="13.5" hidden="false" customHeight="false" outlineLevel="0" collapsed="false">
      <c r="A164" s="0" t="s">
        <v>84</v>
      </c>
      <c r="B164" s="1" t="n">
        <v>44024</v>
      </c>
      <c r="C164" s="0" t="e">
        <f aca="false">sheet1!are165</f>
        <v>#NAME?</v>
      </c>
      <c r="D164" s="0" t="e">
        <f aca="false">sheet1!arf165</f>
        <v>#NAME?</v>
      </c>
      <c r="E164" s="0" t="e">
        <f aca="false">sheet1!arg165</f>
        <v>#NAME?</v>
      </c>
      <c r="F164" s="0" t="e">
        <f aca="false">sheet1!arh165</f>
        <v>#NAME?</v>
      </c>
      <c r="G164" s="0" t="e">
        <f aca="false">sheet1!ari165</f>
        <v>#NAME?</v>
      </c>
      <c r="H164" s="0" t="e">
        <f aca="false">sheet1!arj165</f>
        <v>#NAME?</v>
      </c>
      <c r="I164" s="0" t="e">
        <f aca="false">sheet1!ark165</f>
        <v>#NAME?</v>
      </c>
      <c r="J164" s="0" t="e">
        <f aca="false">sheet1!arl165</f>
        <v>#NAME?</v>
      </c>
      <c r="K164" s="0" t="e">
        <f aca="false">sheet1!arm165</f>
        <v>#NAME?</v>
      </c>
    </row>
    <row r="165" customFormat="false" ht="13.5" hidden="false" customHeight="false" outlineLevel="0" collapsed="false">
      <c r="A165" s="0" t="s">
        <v>84</v>
      </c>
      <c r="B165" s="1" t="n">
        <v>44025</v>
      </c>
      <c r="C165" s="0" t="e">
        <f aca="false">sheet1!are166</f>
        <v>#NAME?</v>
      </c>
      <c r="D165" s="0" t="e">
        <f aca="false">sheet1!arf166</f>
        <v>#NAME?</v>
      </c>
      <c r="E165" s="0" t="e">
        <f aca="false">sheet1!arg166</f>
        <v>#NAME?</v>
      </c>
      <c r="F165" s="0" t="e">
        <f aca="false">sheet1!arh166</f>
        <v>#NAME?</v>
      </c>
      <c r="G165" s="0" t="e">
        <f aca="false">sheet1!ari166</f>
        <v>#NAME?</v>
      </c>
      <c r="H165" s="0" t="e">
        <f aca="false">sheet1!arj166</f>
        <v>#NAME?</v>
      </c>
      <c r="I165" s="0" t="e">
        <f aca="false">sheet1!ark166</f>
        <v>#NAME?</v>
      </c>
      <c r="J165" s="0" t="e">
        <f aca="false">sheet1!arl166</f>
        <v>#NAME?</v>
      </c>
      <c r="K165" s="0" t="e">
        <f aca="false">sheet1!arm166</f>
        <v>#NAME?</v>
      </c>
    </row>
    <row r="166" customFormat="false" ht="13.5" hidden="false" customHeight="false" outlineLevel="0" collapsed="false">
      <c r="A166" s="0" t="s">
        <v>84</v>
      </c>
      <c r="B166" s="1" t="n">
        <v>44026</v>
      </c>
      <c r="C166" s="0" t="e">
        <f aca="false">sheet1!are167</f>
        <v>#NAME?</v>
      </c>
      <c r="D166" s="0" t="e">
        <f aca="false">sheet1!arf167</f>
        <v>#NAME?</v>
      </c>
      <c r="E166" s="0" t="e">
        <f aca="false">sheet1!arg167</f>
        <v>#NAME?</v>
      </c>
      <c r="F166" s="0" t="e">
        <f aca="false">sheet1!arh167</f>
        <v>#NAME?</v>
      </c>
      <c r="G166" s="0" t="e">
        <f aca="false">sheet1!ari167</f>
        <v>#NAME?</v>
      </c>
      <c r="H166" s="0" t="e">
        <f aca="false">sheet1!arj167</f>
        <v>#NAME?</v>
      </c>
      <c r="I166" s="0" t="e">
        <f aca="false">sheet1!ark167</f>
        <v>#NAME?</v>
      </c>
      <c r="J166" s="0" t="e">
        <f aca="false">sheet1!arl167</f>
        <v>#NAME?</v>
      </c>
      <c r="K166" s="0" t="e">
        <f aca="false">sheet1!arm167</f>
        <v>#NAME?</v>
      </c>
    </row>
    <row r="167" customFormat="false" ht="13.5" hidden="false" customHeight="false" outlineLevel="0" collapsed="false">
      <c r="A167" s="0" t="s">
        <v>84</v>
      </c>
      <c r="B167" s="1" t="n">
        <v>44027</v>
      </c>
      <c r="C167" s="0" t="e">
        <f aca="false">sheet1!are168</f>
        <v>#NAME?</v>
      </c>
      <c r="D167" s="0" t="e">
        <f aca="false">sheet1!arf168</f>
        <v>#NAME?</v>
      </c>
      <c r="E167" s="0" t="e">
        <f aca="false">sheet1!arg168</f>
        <v>#NAME?</v>
      </c>
      <c r="F167" s="0" t="e">
        <f aca="false">sheet1!arh168</f>
        <v>#NAME?</v>
      </c>
      <c r="G167" s="0" t="e">
        <f aca="false">sheet1!ari168</f>
        <v>#NAME?</v>
      </c>
      <c r="H167" s="0" t="e">
        <f aca="false">sheet1!arj168</f>
        <v>#NAME?</v>
      </c>
      <c r="I167" s="0" t="e">
        <f aca="false">sheet1!ark168</f>
        <v>#NAME?</v>
      </c>
      <c r="J167" s="0" t="e">
        <f aca="false">sheet1!arl168</f>
        <v>#NAME?</v>
      </c>
      <c r="K167" s="0" t="e">
        <f aca="false">sheet1!arm168</f>
        <v>#NAME?</v>
      </c>
    </row>
    <row r="168" customFormat="false" ht="13.5" hidden="false" customHeight="false" outlineLevel="0" collapsed="false">
      <c r="A168" s="0" t="s">
        <v>84</v>
      </c>
      <c r="B168" s="1" t="n">
        <v>44028</v>
      </c>
      <c r="C168" s="0" t="e">
        <f aca="false">sheet1!are169</f>
        <v>#NAME?</v>
      </c>
      <c r="D168" s="0" t="e">
        <f aca="false">sheet1!arf169</f>
        <v>#NAME?</v>
      </c>
      <c r="E168" s="0" t="e">
        <f aca="false">sheet1!arg169</f>
        <v>#NAME?</v>
      </c>
      <c r="F168" s="0" t="e">
        <f aca="false">sheet1!arh169</f>
        <v>#NAME?</v>
      </c>
      <c r="G168" s="0" t="e">
        <f aca="false">sheet1!ari169</f>
        <v>#NAME?</v>
      </c>
      <c r="H168" s="0" t="e">
        <f aca="false">sheet1!arj169</f>
        <v>#NAME?</v>
      </c>
      <c r="I168" s="0" t="e">
        <f aca="false">sheet1!ark169</f>
        <v>#NAME?</v>
      </c>
      <c r="J168" s="0" t="e">
        <f aca="false">sheet1!arl169</f>
        <v>#NAME?</v>
      </c>
      <c r="K168" s="0" t="e">
        <f aca="false">sheet1!arm169</f>
        <v>#NAME?</v>
      </c>
    </row>
    <row r="169" customFormat="false" ht="13.5" hidden="false" customHeight="false" outlineLevel="0" collapsed="false">
      <c r="A169" s="0" t="s">
        <v>84</v>
      </c>
      <c r="B169" s="1" t="n">
        <v>44029</v>
      </c>
      <c r="C169" s="0" t="e">
        <f aca="false">sheet1!are170</f>
        <v>#NAME?</v>
      </c>
      <c r="D169" s="0" t="e">
        <f aca="false">sheet1!arf170</f>
        <v>#NAME?</v>
      </c>
      <c r="E169" s="0" t="e">
        <f aca="false">sheet1!arg170</f>
        <v>#NAME?</v>
      </c>
      <c r="F169" s="0" t="e">
        <f aca="false">sheet1!arh170</f>
        <v>#NAME?</v>
      </c>
      <c r="G169" s="0" t="e">
        <f aca="false">sheet1!ari170</f>
        <v>#NAME?</v>
      </c>
      <c r="H169" s="0" t="e">
        <f aca="false">sheet1!arj170</f>
        <v>#NAME?</v>
      </c>
      <c r="I169" s="0" t="e">
        <f aca="false">sheet1!ark170</f>
        <v>#NAME?</v>
      </c>
      <c r="J169" s="0" t="e">
        <f aca="false">sheet1!arl170</f>
        <v>#NAME?</v>
      </c>
      <c r="K169" s="0" t="e">
        <f aca="false">sheet1!arm170</f>
        <v>#NAME?</v>
      </c>
    </row>
    <row r="170" customFormat="false" ht="13.5" hidden="false" customHeight="false" outlineLevel="0" collapsed="false">
      <c r="A170" s="0" t="s">
        <v>84</v>
      </c>
      <c r="B170" s="1" t="n">
        <v>44030</v>
      </c>
      <c r="C170" s="0" t="e">
        <f aca="false">sheet1!are171</f>
        <v>#NAME?</v>
      </c>
      <c r="D170" s="0" t="e">
        <f aca="false">sheet1!arf171</f>
        <v>#NAME?</v>
      </c>
      <c r="E170" s="0" t="e">
        <f aca="false">sheet1!arg171</f>
        <v>#NAME?</v>
      </c>
      <c r="F170" s="0" t="e">
        <f aca="false">sheet1!arh171</f>
        <v>#NAME?</v>
      </c>
      <c r="G170" s="0" t="e">
        <f aca="false">sheet1!ari171</f>
        <v>#NAME?</v>
      </c>
      <c r="H170" s="0" t="e">
        <f aca="false">sheet1!arj171</f>
        <v>#NAME?</v>
      </c>
      <c r="I170" s="0" t="e">
        <f aca="false">sheet1!ark171</f>
        <v>#NAME?</v>
      </c>
      <c r="J170" s="0" t="e">
        <f aca="false">sheet1!arl171</f>
        <v>#NAME?</v>
      </c>
      <c r="K170" s="0" t="e">
        <f aca="false">sheet1!arm171</f>
        <v>#NAME?</v>
      </c>
    </row>
    <row r="171" customFormat="false" ht="13.5" hidden="false" customHeight="false" outlineLevel="0" collapsed="false">
      <c r="A171" s="0" t="s">
        <v>84</v>
      </c>
      <c r="B171" s="1" t="n">
        <v>44031</v>
      </c>
      <c r="C171" s="0" t="e">
        <f aca="false">sheet1!are172</f>
        <v>#NAME?</v>
      </c>
      <c r="D171" s="0" t="e">
        <f aca="false">sheet1!arf172</f>
        <v>#NAME?</v>
      </c>
      <c r="E171" s="0" t="e">
        <f aca="false">sheet1!arg172</f>
        <v>#NAME?</v>
      </c>
      <c r="F171" s="0" t="e">
        <f aca="false">sheet1!arh172</f>
        <v>#NAME?</v>
      </c>
      <c r="G171" s="0" t="e">
        <f aca="false">sheet1!ari172</f>
        <v>#NAME?</v>
      </c>
      <c r="H171" s="0" t="e">
        <f aca="false">sheet1!arj172</f>
        <v>#NAME?</v>
      </c>
      <c r="I171" s="0" t="e">
        <f aca="false">sheet1!ark172</f>
        <v>#NAME?</v>
      </c>
      <c r="J171" s="0" t="e">
        <f aca="false">sheet1!arl172</f>
        <v>#NAME?</v>
      </c>
      <c r="K171" s="0" t="e">
        <f aca="false">sheet1!arm172</f>
        <v>#NAME?</v>
      </c>
    </row>
    <row r="172" customFormat="false" ht="13.5" hidden="false" customHeight="false" outlineLevel="0" collapsed="false">
      <c r="A172" s="0" t="s">
        <v>84</v>
      </c>
      <c r="B172" s="1" t="n">
        <v>44032</v>
      </c>
      <c r="C172" s="0" t="e">
        <f aca="false">sheet1!are173</f>
        <v>#NAME?</v>
      </c>
      <c r="D172" s="0" t="e">
        <f aca="false">sheet1!arf173</f>
        <v>#NAME?</v>
      </c>
      <c r="E172" s="0" t="e">
        <f aca="false">sheet1!arg173</f>
        <v>#NAME?</v>
      </c>
      <c r="F172" s="0" t="e">
        <f aca="false">sheet1!arh173</f>
        <v>#NAME?</v>
      </c>
      <c r="G172" s="0" t="e">
        <f aca="false">sheet1!ari173</f>
        <v>#NAME?</v>
      </c>
      <c r="H172" s="0" t="e">
        <f aca="false">sheet1!arj173</f>
        <v>#NAME?</v>
      </c>
      <c r="I172" s="0" t="e">
        <f aca="false">sheet1!ark173</f>
        <v>#NAME?</v>
      </c>
      <c r="J172" s="0" t="e">
        <f aca="false">sheet1!arl173</f>
        <v>#NAME?</v>
      </c>
      <c r="K172" s="0" t="e">
        <f aca="false">sheet1!arm173</f>
        <v>#NAME?</v>
      </c>
    </row>
    <row r="173" customFormat="false" ht="13.5" hidden="false" customHeight="false" outlineLevel="0" collapsed="false">
      <c r="A173" s="0" t="s">
        <v>84</v>
      </c>
      <c r="B173" s="1" t="n">
        <v>44033</v>
      </c>
      <c r="C173" s="0" t="e">
        <f aca="false">sheet1!are174</f>
        <v>#NAME?</v>
      </c>
      <c r="D173" s="0" t="e">
        <f aca="false">sheet1!arf174</f>
        <v>#NAME?</v>
      </c>
      <c r="E173" s="0" t="e">
        <f aca="false">sheet1!arg174</f>
        <v>#NAME?</v>
      </c>
      <c r="F173" s="0" t="e">
        <f aca="false">sheet1!arh174</f>
        <v>#NAME?</v>
      </c>
      <c r="G173" s="0" t="e">
        <f aca="false">sheet1!ari174</f>
        <v>#NAME?</v>
      </c>
      <c r="H173" s="0" t="e">
        <f aca="false">sheet1!arj174</f>
        <v>#NAME?</v>
      </c>
      <c r="I173" s="0" t="e">
        <f aca="false">sheet1!ark174</f>
        <v>#NAME?</v>
      </c>
      <c r="J173" s="0" t="e">
        <f aca="false">sheet1!arl174</f>
        <v>#NAME?</v>
      </c>
      <c r="K173" s="0" t="e">
        <f aca="false">sheet1!arm174</f>
        <v>#NAME?</v>
      </c>
    </row>
    <row r="174" customFormat="false" ht="13.5" hidden="false" customHeight="false" outlineLevel="0" collapsed="false">
      <c r="A174" s="0" t="s">
        <v>84</v>
      </c>
      <c r="B174" s="1" t="n">
        <v>44034</v>
      </c>
      <c r="C174" s="0" t="e">
        <f aca="false">sheet1!are175</f>
        <v>#NAME?</v>
      </c>
      <c r="D174" s="0" t="e">
        <f aca="false">sheet1!arf175</f>
        <v>#NAME?</v>
      </c>
      <c r="E174" s="0" t="e">
        <f aca="false">sheet1!arg175</f>
        <v>#NAME?</v>
      </c>
      <c r="F174" s="0" t="e">
        <f aca="false">sheet1!arh175</f>
        <v>#NAME?</v>
      </c>
      <c r="G174" s="0" t="e">
        <f aca="false">sheet1!ari175</f>
        <v>#NAME?</v>
      </c>
      <c r="H174" s="0" t="e">
        <f aca="false">sheet1!arj175</f>
        <v>#NAME?</v>
      </c>
      <c r="I174" s="0" t="e">
        <f aca="false">sheet1!ark175</f>
        <v>#NAME?</v>
      </c>
      <c r="J174" s="0" t="e">
        <f aca="false">sheet1!arl175</f>
        <v>#NAME?</v>
      </c>
      <c r="K174" s="0" t="e">
        <f aca="false">sheet1!arm175</f>
        <v>#NAME?</v>
      </c>
    </row>
    <row r="175" customFormat="false" ht="13.5" hidden="false" customHeight="false" outlineLevel="0" collapsed="false">
      <c r="A175" s="0" t="s">
        <v>84</v>
      </c>
      <c r="B175" s="1" t="n">
        <v>44035</v>
      </c>
      <c r="C175" s="0" t="e">
        <f aca="false">sheet1!are176</f>
        <v>#NAME?</v>
      </c>
      <c r="D175" s="0" t="e">
        <f aca="false">sheet1!arf176</f>
        <v>#NAME?</v>
      </c>
      <c r="E175" s="0" t="e">
        <f aca="false">sheet1!arg176</f>
        <v>#NAME?</v>
      </c>
      <c r="F175" s="0" t="e">
        <f aca="false">sheet1!arh176</f>
        <v>#NAME?</v>
      </c>
      <c r="G175" s="0" t="e">
        <f aca="false">sheet1!ari176</f>
        <v>#NAME?</v>
      </c>
      <c r="H175" s="0" t="e">
        <f aca="false">sheet1!arj176</f>
        <v>#NAME?</v>
      </c>
      <c r="I175" s="0" t="e">
        <f aca="false">sheet1!ark176</f>
        <v>#NAME?</v>
      </c>
      <c r="J175" s="0" t="e">
        <f aca="false">sheet1!arl176</f>
        <v>#NAME?</v>
      </c>
      <c r="K175" s="0" t="e">
        <f aca="false">sheet1!arm176</f>
        <v>#NAME?</v>
      </c>
    </row>
    <row r="176" customFormat="false" ht="13.5" hidden="false" customHeight="false" outlineLevel="0" collapsed="false">
      <c r="A176" s="0" t="s">
        <v>84</v>
      </c>
      <c r="B176" s="1" t="n">
        <v>44036</v>
      </c>
      <c r="C176" s="0" t="e">
        <f aca="false">sheet1!are177</f>
        <v>#NAME?</v>
      </c>
      <c r="D176" s="0" t="e">
        <f aca="false">sheet1!arf177</f>
        <v>#NAME?</v>
      </c>
      <c r="E176" s="0" t="e">
        <f aca="false">sheet1!arg177</f>
        <v>#NAME?</v>
      </c>
      <c r="F176" s="0" t="e">
        <f aca="false">sheet1!arh177</f>
        <v>#NAME?</v>
      </c>
      <c r="G176" s="0" t="e">
        <f aca="false">sheet1!ari177</f>
        <v>#NAME?</v>
      </c>
      <c r="H176" s="0" t="e">
        <f aca="false">sheet1!arj177</f>
        <v>#NAME?</v>
      </c>
      <c r="I176" s="0" t="e">
        <f aca="false">sheet1!ark177</f>
        <v>#NAME?</v>
      </c>
      <c r="J176" s="0" t="e">
        <f aca="false">sheet1!arl177</f>
        <v>#NAME?</v>
      </c>
      <c r="K176" s="0" t="e">
        <f aca="false">sheet1!arm177</f>
        <v>#NAME?</v>
      </c>
    </row>
    <row r="177" customFormat="false" ht="13.5" hidden="false" customHeight="false" outlineLevel="0" collapsed="false">
      <c r="A177" s="0" t="s">
        <v>84</v>
      </c>
      <c r="B177" s="1" t="n">
        <v>44037</v>
      </c>
      <c r="C177" s="0" t="e">
        <f aca="false">sheet1!are178</f>
        <v>#NAME?</v>
      </c>
      <c r="D177" s="0" t="e">
        <f aca="false">sheet1!arf178</f>
        <v>#NAME?</v>
      </c>
      <c r="E177" s="0" t="e">
        <f aca="false">sheet1!arg178</f>
        <v>#NAME?</v>
      </c>
      <c r="F177" s="0" t="e">
        <f aca="false">sheet1!arh178</f>
        <v>#NAME?</v>
      </c>
      <c r="G177" s="0" t="e">
        <f aca="false">sheet1!ari178</f>
        <v>#NAME?</v>
      </c>
      <c r="H177" s="0" t="e">
        <f aca="false">sheet1!arj178</f>
        <v>#NAME?</v>
      </c>
      <c r="I177" s="0" t="e">
        <f aca="false">sheet1!ark178</f>
        <v>#NAME?</v>
      </c>
      <c r="J177" s="0" t="e">
        <f aca="false">sheet1!arl178</f>
        <v>#NAME?</v>
      </c>
      <c r="K177" s="0" t="e">
        <f aca="false">sheet1!arm178</f>
        <v>#NAME?</v>
      </c>
    </row>
    <row r="178" customFormat="false" ht="13.5" hidden="false" customHeight="false" outlineLevel="0" collapsed="false">
      <c r="A178" s="0" t="s">
        <v>84</v>
      </c>
      <c r="B178" s="1" t="n">
        <v>44038</v>
      </c>
      <c r="C178" s="0" t="e">
        <f aca="false">sheet1!are179</f>
        <v>#NAME?</v>
      </c>
      <c r="D178" s="0" t="e">
        <f aca="false">sheet1!arf179</f>
        <v>#NAME?</v>
      </c>
      <c r="E178" s="0" t="e">
        <f aca="false">sheet1!arg179</f>
        <v>#NAME?</v>
      </c>
      <c r="F178" s="0" t="e">
        <f aca="false">sheet1!arh179</f>
        <v>#NAME?</v>
      </c>
      <c r="G178" s="0" t="e">
        <f aca="false">sheet1!ari179</f>
        <v>#NAME?</v>
      </c>
      <c r="H178" s="0" t="e">
        <f aca="false">sheet1!arj179</f>
        <v>#NAME?</v>
      </c>
      <c r="I178" s="0" t="e">
        <f aca="false">sheet1!ark179</f>
        <v>#NAME?</v>
      </c>
      <c r="J178" s="0" t="e">
        <f aca="false">sheet1!arl179</f>
        <v>#NAME?</v>
      </c>
      <c r="K178" s="0" t="e">
        <f aca="false">sheet1!arm179</f>
        <v>#NAME?</v>
      </c>
    </row>
    <row r="179" customFormat="false" ht="13.5" hidden="false" customHeight="false" outlineLevel="0" collapsed="false">
      <c r="A179" s="0" t="s">
        <v>84</v>
      </c>
      <c r="B179" s="1" t="n">
        <v>44039</v>
      </c>
      <c r="C179" s="0" t="e">
        <f aca="false">sheet1!are180</f>
        <v>#NAME?</v>
      </c>
      <c r="D179" s="0" t="e">
        <f aca="false">sheet1!arf180</f>
        <v>#NAME?</v>
      </c>
      <c r="E179" s="0" t="e">
        <f aca="false">sheet1!arg180</f>
        <v>#NAME?</v>
      </c>
      <c r="F179" s="0" t="e">
        <f aca="false">sheet1!arh180</f>
        <v>#NAME?</v>
      </c>
      <c r="G179" s="0" t="e">
        <f aca="false">sheet1!ari180</f>
        <v>#NAME?</v>
      </c>
      <c r="H179" s="0" t="e">
        <f aca="false">sheet1!arj180</f>
        <v>#NAME?</v>
      </c>
      <c r="I179" s="0" t="e">
        <f aca="false">sheet1!ark180</f>
        <v>#NAME?</v>
      </c>
      <c r="J179" s="0" t="e">
        <f aca="false">sheet1!arl180</f>
        <v>#NAME?</v>
      </c>
      <c r="K179" s="0" t="e">
        <f aca="false">sheet1!arm180</f>
        <v>#NAME?</v>
      </c>
    </row>
    <row r="180" customFormat="false" ht="13.5" hidden="false" customHeight="false" outlineLevel="0" collapsed="false">
      <c r="A180" s="0" t="s">
        <v>84</v>
      </c>
      <c r="B180" s="1" t="n">
        <v>44040</v>
      </c>
      <c r="C180" s="0" t="e">
        <f aca="false">sheet1!are181</f>
        <v>#NAME?</v>
      </c>
      <c r="D180" s="0" t="e">
        <f aca="false">sheet1!arf181</f>
        <v>#NAME?</v>
      </c>
      <c r="E180" s="0" t="e">
        <f aca="false">sheet1!arg181</f>
        <v>#NAME?</v>
      </c>
      <c r="F180" s="0" t="e">
        <f aca="false">sheet1!arh181</f>
        <v>#NAME?</v>
      </c>
      <c r="G180" s="0" t="e">
        <f aca="false">sheet1!ari181</f>
        <v>#NAME?</v>
      </c>
      <c r="H180" s="0" t="e">
        <f aca="false">sheet1!arj181</f>
        <v>#NAME?</v>
      </c>
      <c r="I180" s="0" t="e">
        <f aca="false">sheet1!ark181</f>
        <v>#NAME?</v>
      </c>
      <c r="J180" s="0" t="e">
        <f aca="false">sheet1!arl181</f>
        <v>#NAME?</v>
      </c>
      <c r="K180" s="0" t="e">
        <f aca="false">sheet1!arm181</f>
        <v>#NAME?</v>
      </c>
    </row>
    <row r="181" customFormat="false" ht="13.5" hidden="false" customHeight="false" outlineLevel="0" collapsed="false">
      <c r="A181" s="0" t="s">
        <v>84</v>
      </c>
      <c r="B181" s="1" t="n">
        <v>44041</v>
      </c>
      <c r="C181" s="0" t="e">
        <f aca="false">sheet1!are182</f>
        <v>#NAME?</v>
      </c>
      <c r="D181" s="0" t="e">
        <f aca="false">sheet1!arf182</f>
        <v>#NAME?</v>
      </c>
      <c r="E181" s="0" t="e">
        <f aca="false">sheet1!arg182</f>
        <v>#NAME?</v>
      </c>
      <c r="F181" s="0" t="e">
        <f aca="false">sheet1!arh182</f>
        <v>#NAME?</v>
      </c>
      <c r="G181" s="0" t="e">
        <f aca="false">sheet1!ari182</f>
        <v>#NAME?</v>
      </c>
      <c r="H181" s="0" t="e">
        <f aca="false">sheet1!arj182</f>
        <v>#NAME?</v>
      </c>
      <c r="I181" s="0" t="e">
        <f aca="false">sheet1!ark182</f>
        <v>#NAME?</v>
      </c>
      <c r="J181" s="0" t="e">
        <f aca="false">sheet1!arl182</f>
        <v>#NAME?</v>
      </c>
      <c r="K181" s="0" t="e">
        <f aca="false">sheet1!arm182</f>
        <v>#NAME?</v>
      </c>
    </row>
    <row r="182" customFormat="false" ht="13.5" hidden="false" customHeight="false" outlineLevel="0" collapsed="false">
      <c r="A182" s="0" t="s">
        <v>84</v>
      </c>
      <c r="B182" s="1" t="n">
        <v>44042</v>
      </c>
      <c r="C182" s="0" t="e">
        <f aca="false">sheet1!are183</f>
        <v>#NAME?</v>
      </c>
      <c r="D182" s="0" t="e">
        <f aca="false">sheet1!arf183</f>
        <v>#NAME?</v>
      </c>
      <c r="E182" s="0" t="e">
        <f aca="false">sheet1!arg183</f>
        <v>#NAME?</v>
      </c>
      <c r="F182" s="0" t="e">
        <f aca="false">sheet1!arh183</f>
        <v>#NAME?</v>
      </c>
      <c r="G182" s="0" t="e">
        <f aca="false">sheet1!ari183</f>
        <v>#NAME?</v>
      </c>
      <c r="H182" s="0" t="e">
        <f aca="false">sheet1!arj183</f>
        <v>#NAME?</v>
      </c>
      <c r="I182" s="0" t="e">
        <f aca="false">sheet1!ark183</f>
        <v>#NAME?</v>
      </c>
      <c r="J182" s="0" t="e">
        <f aca="false">sheet1!arl183</f>
        <v>#NAME?</v>
      </c>
      <c r="K182" s="0" t="e">
        <f aca="false">sheet1!arm183</f>
        <v>#NAME?</v>
      </c>
    </row>
    <row r="183" customFormat="false" ht="13.5" hidden="false" customHeight="false" outlineLevel="0" collapsed="false">
      <c r="A183" s="0" t="s">
        <v>84</v>
      </c>
      <c r="B183" s="1" t="n">
        <v>44043</v>
      </c>
      <c r="C183" s="0" t="e">
        <f aca="false">sheet1!are184</f>
        <v>#NAME?</v>
      </c>
      <c r="D183" s="0" t="e">
        <f aca="false">sheet1!arf184</f>
        <v>#NAME?</v>
      </c>
      <c r="E183" s="0" t="e">
        <f aca="false">sheet1!arg184</f>
        <v>#NAME?</v>
      </c>
      <c r="F183" s="0" t="e">
        <f aca="false">sheet1!arh184</f>
        <v>#NAME?</v>
      </c>
      <c r="G183" s="0" t="e">
        <f aca="false">sheet1!ari184</f>
        <v>#NAME?</v>
      </c>
      <c r="H183" s="0" t="e">
        <f aca="false">sheet1!arj184</f>
        <v>#NAME?</v>
      </c>
      <c r="I183" s="0" t="e">
        <f aca="false">sheet1!ark184</f>
        <v>#NAME?</v>
      </c>
      <c r="J183" s="0" t="e">
        <f aca="false">sheet1!arl184</f>
        <v>#NAME?</v>
      </c>
      <c r="K183" s="0" t="e">
        <f aca="false">sheet1!arm184</f>
        <v>#NAME?</v>
      </c>
    </row>
    <row r="184" customFormat="false" ht="13.5" hidden="false" customHeight="false" outlineLevel="0" collapsed="false">
      <c r="A184" s="0" t="s">
        <v>84</v>
      </c>
      <c r="B184" s="1" t="n">
        <v>44044</v>
      </c>
      <c r="C184" s="0" t="e">
        <f aca="false">sheet1!are185</f>
        <v>#NAME?</v>
      </c>
      <c r="D184" s="0" t="e">
        <f aca="false">sheet1!arf185</f>
        <v>#NAME?</v>
      </c>
      <c r="E184" s="0" t="e">
        <f aca="false">sheet1!arg185</f>
        <v>#NAME?</v>
      </c>
      <c r="F184" s="0" t="e">
        <f aca="false">sheet1!arh185</f>
        <v>#NAME?</v>
      </c>
      <c r="G184" s="0" t="e">
        <f aca="false">sheet1!ari185</f>
        <v>#NAME?</v>
      </c>
      <c r="H184" s="0" t="e">
        <f aca="false">sheet1!arj185</f>
        <v>#NAME?</v>
      </c>
      <c r="I184" s="0" t="e">
        <f aca="false">sheet1!ark185</f>
        <v>#NAME?</v>
      </c>
      <c r="J184" s="0" t="e">
        <f aca="false">sheet1!arl185</f>
        <v>#NAME?</v>
      </c>
      <c r="K184" s="0" t="e">
        <f aca="false">sheet1!arm185</f>
        <v>#NAME?</v>
      </c>
    </row>
    <row r="185" customFormat="false" ht="13.5" hidden="false" customHeight="false" outlineLevel="0" collapsed="false">
      <c r="A185" s="0" t="s">
        <v>84</v>
      </c>
      <c r="B185" s="1" t="n">
        <v>44045</v>
      </c>
      <c r="C185" s="0" t="e">
        <f aca="false">sheet1!are186</f>
        <v>#NAME?</v>
      </c>
      <c r="D185" s="0" t="e">
        <f aca="false">sheet1!arf186</f>
        <v>#NAME?</v>
      </c>
      <c r="E185" s="0" t="e">
        <f aca="false">sheet1!arg186</f>
        <v>#NAME?</v>
      </c>
      <c r="F185" s="0" t="e">
        <f aca="false">sheet1!arh186</f>
        <v>#NAME?</v>
      </c>
      <c r="G185" s="0" t="e">
        <f aca="false">sheet1!ari186</f>
        <v>#NAME?</v>
      </c>
      <c r="H185" s="0" t="e">
        <f aca="false">sheet1!arj186</f>
        <v>#NAME?</v>
      </c>
      <c r="I185" s="0" t="e">
        <f aca="false">sheet1!ark186</f>
        <v>#NAME?</v>
      </c>
      <c r="J185" s="0" t="e">
        <f aca="false">sheet1!arl186</f>
        <v>#NAME?</v>
      </c>
      <c r="K185" s="0" t="e">
        <f aca="false">sheet1!arm186</f>
        <v>#NAME?</v>
      </c>
    </row>
    <row r="186" customFormat="false" ht="13.5" hidden="false" customHeight="false" outlineLevel="0" collapsed="false">
      <c r="A186" s="0" t="s">
        <v>84</v>
      </c>
      <c r="B186" s="1" t="n">
        <v>44046</v>
      </c>
      <c r="C186" s="0" t="e">
        <f aca="false">sheet1!are187</f>
        <v>#NAME?</v>
      </c>
      <c r="D186" s="0" t="e">
        <f aca="false">sheet1!arf187</f>
        <v>#NAME?</v>
      </c>
      <c r="E186" s="0" t="e">
        <f aca="false">sheet1!arg187</f>
        <v>#NAME?</v>
      </c>
      <c r="F186" s="0" t="e">
        <f aca="false">sheet1!arh187</f>
        <v>#NAME?</v>
      </c>
      <c r="G186" s="0" t="e">
        <f aca="false">sheet1!ari187</f>
        <v>#NAME?</v>
      </c>
      <c r="H186" s="0" t="e">
        <f aca="false">sheet1!arj187</f>
        <v>#NAME?</v>
      </c>
      <c r="I186" s="0" t="e">
        <f aca="false">sheet1!ark187</f>
        <v>#NAME?</v>
      </c>
      <c r="J186" s="0" t="e">
        <f aca="false">sheet1!arl187</f>
        <v>#NAME?</v>
      </c>
      <c r="K186" s="0" t="e">
        <f aca="false">sheet1!arm187</f>
        <v>#NAME?</v>
      </c>
    </row>
    <row r="187" customFormat="false" ht="13.5" hidden="false" customHeight="false" outlineLevel="0" collapsed="false">
      <c r="A187" s="0" t="s">
        <v>84</v>
      </c>
      <c r="B187" s="1" t="n">
        <v>44047</v>
      </c>
      <c r="C187" s="0" t="e">
        <f aca="false">sheet1!are188</f>
        <v>#NAME?</v>
      </c>
      <c r="D187" s="0" t="e">
        <f aca="false">sheet1!arf188</f>
        <v>#NAME?</v>
      </c>
      <c r="E187" s="0" t="e">
        <f aca="false">sheet1!arg188</f>
        <v>#NAME?</v>
      </c>
      <c r="F187" s="0" t="e">
        <f aca="false">sheet1!arh188</f>
        <v>#NAME?</v>
      </c>
      <c r="G187" s="0" t="e">
        <f aca="false">sheet1!ari188</f>
        <v>#NAME?</v>
      </c>
      <c r="H187" s="0" t="e">
        <f aca="false">sheet1!arj188</f>
        <v>#NAME?</v>
      </c>
      <c r="I187" s="0" t="e">
        <f aca="false">sheet1!ark188</f>
        <v>#NAME?</v>
      </c>
      <c r="J187" s="0" t="e">
        <f aca="false">sheet1!arl188</f>
        <v>#NAME?</v>
      </c>
      <c r="K187" s="0" t="e">
        <f aca="false">sheet1!arm188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85</v>
      </c>
      <c r="B2" s="1" t="n">
        <v>43862</v>
      </c>
    </row>
    <row r="3" customFormat="false" ht="13.5" hidden="false" customHeight="false" outlineLevel="0" collapsed="false">
      <c r="A3" s="0" t="s">
        <v>85</v>
      </c>
      <c r="B3" s="1" t="n">
        <v>43863</v>
      </c>
    </row>
    <row r="4" customFormat="false" ht="13.5" hidden="false" customHeight="false" outlineLevel="0" collapsed="false">
      <c r="A4" s="0" t="s">
        <v>85</v>
      </c>
      <c r="B4" s="1" t="n">
        <v>43864</v>
      </c>
    </row>
    <row r="5" customFormat="false" ht="13.5" hidden="false" customHeight="false" outlineLevel="0" collapsed="false">
      <c r="A5" s="0" t="s">
        <v>85</v>
      </c>
      <c r="B5" s="1" t="n">
        <v>43865</v>
      </c>
    </row>
    <row r="6" customFormat="false" ht="13.5" hidden="false" customHeight="false" outlineLevel="0" collapsed="false">
      <c r="A6" s="0" t="s">
        <v>85</v>
      </c>
      <c r="B6" s="1" t="n">
        <v>43866</v>
      </c>
    </row>
    <row r="7" customFormat="false" ht="13.5" hidden="false" customHeight="false" outlineLevel="0" collapsed="false">
      <c r="A7" s="0" t="s">
        <v>85</v>
      </c>
      <c r="B7" s="1" t="n">
        <v>43867</v>
      </c>
    </row>
    <row r="8" customFormat="false" ht="13.5" hidden="false" customHeight="false" outlineLevel="0" collapsed="false">
      <c r="A8" s="0" t="s">
        <v>85</v>
      </c>
      <c r="B8" s="1" t="n">
        <v>43868</v>
      </c>
    </row>
    <row r="9" customFormat="false" ht="13.5" hidden="false" customHeight="false" outlineLevel="0" collapsed="false">
      <c r="A9" s="0" t="s">
        <v>85</v>
      </c>
      <c r="B9" s="1" t="n">
        <v>43869</v>
      </c>
    </row>
    <row r="10" customFormat="false" ht="13.5" hidden="false" customHeight="false" outlineLevel="0" collapsed="false">
      <c r="A10" s="0" t="s">
        <v>85</v>
      </c>
      <c r="B10" s="1" t="n">
        <v>43870</v>
      </c>
    </row>
    <row r="11" customFormat="false" ht="13.5" hidden="false" customHeight="false" outlineLevel="0" collapsed="false">
      <c r="A11" s="0" t="s">
        <v>85</v>
      </c>
      <c r="B11" s="1" t="n">
        <v>43871</v>
      </c>
    </row>
    <row r="12" customFormat="false" ht="13.5" hidden="false" customHeight="false" outlineLevel="0" collapsed="false">
      <c r="A12" s="0" t="s">
        <v>85</v>
      </c>
      <c r="B12" s="1" t="n">
        <v>43872</v>
      </c>
    </row>
    <row r="13" customFormat="false" ht="13.5" hidden="false" customHeight="false" outlineLevel="0" collapsed="false">
      <c r="A13" s="0" t="s">
        <v>85</v>
      </c>
      <c r="B13" s="1" t="n">
        <v>43873</v>
      </c>
    </row>
    <row r="14" customFormat="false" ht="13.5" hidden="false" customHeight="false" outlineLevel="0" collapsed="false">
      <c r="A14" s="0" t="s">
        <v>85</v>
      </c>
      <c r="B14" s="1" t="n">
        <v>43874</v>
      </c>
    </row>
    <row r="15" customFormat="false" ht="13.5" hidden="false" customHeight="false" outlineLevel="0" collapsed="false">
      <c r="A15" s="0" t="s">
        <v>85</v>
      </c>
      <c r="B15" s="1" t="n">
        <v>43875</v>
      </c>
    </row>
    <row r="16" customFormat="false" ht="13.5" hidden="false" customHeight="false" outlineLevel="0" collapsed="false">
      <c r="A16" s="0" t="s">
        <v>85</v>
      </c>
      <c r="B16" s="1" t="n">
        <v>43876</v>
      </c>
    </row>
    <row r="17" customFormat="false" ht="13.5" hidden="false" customHeight="false" outlineLevel="0" collapsed="false">
      <c r="A17" s="0" t="s">
        <v>85</v>
      </c>
      <c r="B17" s="1" t="n">
        <v>43877</v>
      </c>
    </row>
    <row r="18" customFormat="false" ht="13.5" hidden="false" customHeight="false" outlineLevel="0" collapsed="false">
      <c r="A18" s="0" t="s">
        <v>85</v>
      </c>
      <c r="B18" s="1" t="n">
        <v>43878</v>
      </c>
    </row>
    <row r="19" customFormat="false" ht="13.5" hidden="false" customHeight="false" outlineLevel="0" collapsed="false">
      <c r="A19" s="0" t="s">
        <v>85</v>
      </c>
      <c r="B19" s="1" t="n">
        <v>43879</v>
      </c>
    </row>
    <row r="20" customFormat="false" ht="13.5" hidden="false" customHeight="false" outlineLevel="0" collapsed="false">
      <c r="A20" s="0" t="s">
        <v>85</v>
      </c>
      <c r="B20" s="1" t="n">
        <v>43880</v>
      </c>
    </row>
    <row r="21" customFormat="false" ht="13.5" hidden="false" customHeight="false" outlineLevel="0" collapsed="false">
      <c r="A21" s="0" t="s">
        <v>85</v>
      </c>
      <c r="B21" s="1" t="n">
        <v>43881</v>
      </c>
    </row>
    <row r="22" customFormat="false" ht="13.5" hidden="false" customHeight="false" outlineLevel="0" collapsed="false">
      <c r="A22" s="0" t="s">
        <v>85</v>
      </c>
      <c r="B22" s="1" t="n">
        <v>43882</v>
      </c>
    </row>
    <row r="23" customFormat="false" ht="13.5" hidden="false" customHeight="false" outlineLevel="0" collapsed="false">
      <c r="A23" s="0" t="s">
        <v>85</v>
      </c>
      <c r="B23" s="1" t="n">
        <v>43883</v>
      </c>
    </row>
    <row r="24" customFormat="false" ht="13.5" hidden="false" customHeight="false" outlineLevel="0" collapsed="false">
      <c r="A24" s="0" t="s">
        <v>85</v>
      </c>
      <c r="B24" s="1" t="n">
        <v>43884</v>
      </c>
    </row>
    <row r="25" customFormat="false" ht="13.5" hidden="false" customHeight="false" outlineLevel="0" collapsed="false">
      <c r="A25" s="0" t="s">
        <v>85</v>
      </c>
      <c r="B25" s="1" t="n">
        <v>43885</v>
      </c>
    </row>
    <row r="26" customFormat="false" ht="13.5" hidden="false" customHeight="false" outlineLevel="0" collapsed="false">
      <c r="A26" s="0" t="s">
        <v>85</v>
      </c>
      <c r="B26" s="1" t="n">
        <v>43886</v>
      </c>
    </row>
    <row r="27" customFormat="false" ht="13.5" hidden="false" customHeight="false" outlineLevel="0" collapsed="false">
      <c r="A27" s="0" t="s">
        <v>85</v>
      </c>
      <c r="B27" s="1" t="n">
        <v>43887</v>
      </c>
    </row>
    <row r="28" customFormat="false" ht="13.5" hidden="false" customHeight="false" outlineLevel="0" collapsed="false">
      <c r="A28" s="0" t="s">
        <v>85</v>
      </c>
      <c r="B28" s="1" t="n">
        <v>43888</v>
      </c>
    </row>
    <row r="29" customFormat="false" ht="13.5" hidden="false" customHeight="false" outlineLevel="0" collapsed="false">
      <c r="A29" s="0" t="s">
        <v>85</v>
      </c>
      <c r="B29" s="1" t="n">
        <v>43889</v>
      </c>
    </row>
    <row r="30" customFormat="false" ht="13.5" hidden="false" customHeight="false" outlineLevel="0" collapsed="false">
      <c r="A30" s="0" t="s">
        <v>85</v>
      </c>
      <c r="B30" s="1" t="n">
        <v>43890</v>
      </c>
    </row>
    <row r="31" customFormat="false" ht="13.5" hidden="false" customHeight="false" outlineLevel="0" collapsed="false">
      <c r="A31" s="0" t="s">
        <v>85</v>
      </c>
      <c r="B31" s="1" t="n">
        <v>43891</v>
      </c>
    </row>
    <row r="32" customFormat="false" ht="13.5" hidden="false" customHeight="false" outlineLevel="0" collapsed="false">
      <c r="A32" s="0" t="s">
        <v>85</v>
      </c>
      <c r="B32" s="1" t="n">
        <v>43892</v>
      </c>
    </row>
    <row r="33" customFormat="false" ht="13.5" hidden="false" customHeight="false" outlineLevel="0" collapsed="false">
      <c r="A33" s="0" t="s">
        <v>85</v>
      </c>
      <c r="B33" s="1" t="n">
        <v>43893</v>
      </c>
    </row>
    <row r="34" customFormat="false" ht="13.5" hidden="false" customHeight="false" outlineLevel="0" collapsed="false">
      <c r="A34" s="0" t="s">
        <v>85</v>
      </c>
      <c r="B34" s="1" t="n">
        <v>43894</v>
      </c>
    </row>
    <row r="35" customFormat="false" ht="13.5" hidden="false" customHeight="false" outlineLevel="0" collapsed="false">
      <c r="A35" s="0" t="s">
        <v>85</v>
      </c>
      <c r="B35" s="1" t="n">
        <v>43895</v>
      </c>
    </row>
    <row r="36" customFormat="false" ht="13.5" hidden="false" customHeight="false" outlineLevel="0" collapsed="false">
      <c r="A36" s="0" t="s">
        <v>85</v>
      </c>
      <c r="B36" s="1" t="n">
        <v>43896</v>
      </c>
    </row>
    <row r="37" customFormat="false" ht="13.5" hidden="false" customHeight="false" outlineLevel="0" collapsed="false">
      <c r="A37" s="0" t="s">
        <v>85</v>
      </c>
      <c r="B37" s="1" t="n">
        <v>43897</v>
      </c>
    </row>
    <row r="38" customFormat="false" ht="13.5" hidden="false" customHeight="false" outlineLevel="0" collapsed="false">
      <c r="A38" s="0" t="s">
        <v>85</v>
      </c>
      <c r="B38" s="1" t="n">
        <v>43898</v>
      </c>
    </row>
    <row r="39" customFormat="false" ht="13.5" hidden="false" customHeight="false" outlineLevel="0" collapsed="false">
      <c r="A39" s="0" t="s">
        <v>85</v>
      </c>
      <c r="B39" s="1" t="n">
        <v>43899</v>
      </c>
    </row>
    <row r="40" customFormat="false" ht="13.5" hidden="false" customHeight="false" outlineLevel="0" collapsed="false">
      <c r="A40" s="0" t="s">
        <v>85</v>
      </c>
      <c r="B40" s="1" t="n">
        <v>43900</v>
      </c>
    </row>
    <row r="41" customFormat="false" ht="13.5" hidden="false" customHeight="false" outlineLevel="0" collapsed="false">
      <c r="A41" s="0" t="s">
        <v>85</v>
      </c>
      <c r="B41" s="1" t="n">
        <v>43901</v>
      </c>
    </row>
    <row r="42" customFormat="false" ht="13.5" hidden="false" customHeight="false" outlineLevel="0" collapsed="false">
      <c r="A42" s="0" t="s">
        <v>85</v>
      </c>
      <c r="B42" s="1" t="n">
        <v>43902</v>
      </c>
    </row>
    <row r="43" customFormat="false" ht="13.5" hidden="false" customHeight="false" outlineLevel="0" collapsed="false">
      <c r="A43" s="0" t="s">
        <v>85</v>
      </c>
      <c r="B43" s="1" t="n">
        <v>43903</v>
      </c>
      <c r="C43" s="0" t="n">
        <v>2</v>
      </c>
      <c r="D43" s="0" t="n">
        <v>2</v>
      </c>
      <c r="H43" s="0" t="n">
        <v>2</v>
      </c>
      <c r="J43" s="0" t="n">
        <v>0.1</v>
      </c>
    </row>
    <row r="44" customFormat="false" ht="14.25" hidden="false" customHeight="false" outlineLevel="0" collapsed="false">
      <c r="A44" s="0" t="s">
        <v>85</v>
      </c>
      <c r="B44" s="1" t="n">
        <v>43904</v>
      </c>
      <c r="C44" s="0" t="n">
        <v>2</v>
      </c>
      <c r="H44" s="0" t="n">
        <v>2</v>
      </c>
      <c r="J44" s="0" t="n">
        <v>0.1</v>
      </c>
    </row>
    <row r="45" customFormat="false" ht="15.75" hidden="false" customHeight="false" outlineLevel="0" collapsed="false">
      <c r="A45" s="0" t="s">
        <v>85</v>
      </c>
      <c r="B45" s="1" t="n">
        <v>43905</v>
      </c>
      <c r="C45" s="6" t="n">
        <v>2</v>
      </c>
      <c r="D45" s="6"/>
      <c r="E45" s="6"/>
      <c r="F45" s="6"/>
      <c r="G45" s="6"/>
      <c r="H45" s="6" t="n">
        <v>2</v>
      </c>
      <c r="I45" s="6"/>
      <c r="J45" s="6" t="n">
        <v>0.1</v>
      </c>
    </row>
    <row r="46" customFormat="false" ht="15.75" hidden="false" customHeight="false" outlineLevel="0" collapsed="false">
      <c r="A46" s="0" t="s">
        <v>85</v>
      </c>
      <c r="B46" s="1" t="n">
        <v>43906</v>
      </c>
      <c r="C46" s="6" t="n">
        <v>6</v>
      </c>
      <c r="D46" s="40" t="n">
        <v>4</v>
      </c>
      <c r="E46" s="6"/>
      <c r="F46" s="6"/>
      <c r="G46" s="6"/>
      <c r="H46" s="6" t="n">
        <v>6</v>
      </c>
      <c r="I46" s="6"/>
      <c r="J46" s="6" t="n">
        <v>0.2</v>
      </c>
    </row>
    <row r="47" customFormat="false" ht="15.75" hidden="false" customHeight="false" outlineLevel="0" collapsed="false">
      <c r="A47" s="0" t="s">
        <v>85</v>
      </c>
      <c r="B47" s="1" t="n">
        <v>43907</v>
      </c>
      <c r="C47" s="6" t="n">
        <v>6</v>
      </c>
      <c r="D47" s="6"/>
      <c r="E47" s="6"/>
      <c r="F47" s="6"/>
      <c r="G47" s="6"/>
      <c r="H47" s="6" t="n">
        <v>6</v>
      </c>
      <c r="I47" s="6"/>
      <c r="J47" s="6" t="n">
        <v>0.2</v>
      </c>
      <c r="K47" s="2"/>
    </row>
    <row r="48" customFormat="false" ht="15.75" hidden="false" customHeight="false" outlineLevel="0" collapsed="false">
      <c r="A48" s="0" t="s">
        <v>85</v>
      </c>
      <c r="B48" s="1" t="n">
        <v>43908</v>
      </c>
      <c r="C48" s="6" t="n">
        <v>7</v>
      </c>
      <c r="D48" s="40" t="n">
        <v>1</v>
      </c>
      <c r="E48" s="6"/>
      <c r="F48" s="6"/>
      <c r="G48" s="6"/>
      <c r="H48" s="6" t="n">
        <v>7</v>
      </c>
      <c r="I48" s="6"/>
      <c r="J48" s="6" t="n">
        <v>0.2</v>
      </c>
    </row>
    <row r="49" customFormat="false" ht="15.75" hidden="false" customHeight="false" outlineLevel="0" collapsed="false">
      <c r="A49" s="0" t="s">
        <v>85</v>
      </c>
      <c r="B49" s="1" t="n">
        <v>43909</v>
      </c>
      <c r="C49" s="6" t="n">
        <v>7</v>
      </c>
      <c r="D49" s="6"/>
      <c r="E49" s="6"/>
      <c r="F49" s="6"/>
      <c r="G49" s="6"/>
      <c r="H49" s="6" t="n">
        <v>7</v>
      </c>
      <c r="I49" s="6"/>
      <c r="J49" s="6" t="n">
        <v>0.2</v>
      </c>
    </row>
    <row r="50" customFormat="false" ht="15.75" hidden="false" customHeight="false" outlineLevel="0" collapsed="false">
      <c r="A50" s="0" t="s">
        <v>85</v>
      </c>
      <c r="B50" s="1" t="n">
        <v>43910</v>
      </c>
      <c r="C50" s="6" t="n">
        <v>11</v>
      </c>
      <c r="D50" s="40" t="n">
        <v>4</v>
      </c>
      <c r="E50" s="6"/>
      <c r="F50" s="6"/>
      <c r="G50" s="6"/>
      <c r="H50" s="6" t="n">
        <v>11</v>
      </c>
      <c r="I50" s="6"/>
      <c r="J50" s="6" t="n">
        <v>0.4</v>
      </c>
    </row>
    <row r="51" customFormat="false" ht="15.75" hidden="false" customHeight="false" outlineLevel="0" collapsed="false">
      <c r="A51" s="0" t="s">
        <v>85</v>
      </c>
      <c r="B51" s="1" t="n">
        <v>43911</v>
      </c>
      <c r="C51" s="6" t="n">
        <v>19</v>
      </c>
      <c r="D51" s="40" t="n">
        <v>3</v>
      </c>
      <c r="E51" s="6"/>
      <c r="F51" s="6"/>
      <c r="G51" s="6"/>
      <c r="H51" s="6" t="n">
        <v>19</v>
      </c>
      <c r="I51" s="6"/>
      <c r="J51" s="6" t="n">
        <v>0.6</v>
      </c>
    </row>
    <row r="52" customFormat="false" ht="15.75" hidden="false" customHeight="false" outlineLevel="0" collapsed="false">
      <c r="A52" s="0" t="s">
        <v>85</v>
      </c>
      <c r="B52" s="1" t="n">
        <v>43912</v>
      </c>
      <c r="C52" s="6" t="n">
        <v>21</v>
      </c>
      <c r="D52" s="40" t="n">
        <v>5</v>
      </c>
      <c r="E52" s="6" t="n">
        <v>1</v>
      </c>
      <c r="F52" s="41" t="n">
        <v>1</v>
      </c>
      <c r="G52" s="6"/>
      <c r="H52" s="6" t="n">
        <v>20</v>
      </c>
      <c r="I52" s="6"/>
      <c r="J52" s="6" t="n">
        <v>0.7</v>
      </c>
    </row>
    <row r="53" customFormat="false" ht="15.75" hidden="false" customHeight="false" outlineLevel="0" collapsed="false">
      <c r="A53" s="0" t="s">
        <v>85</v>
      </c>
      <c r="B53" s="1" t="n">
        <v>43913</v>
      </c>
      <c r="C53" s="6" t="n">
        <v>23</v>
      </c>
      <c r="D53" s="40" t="n">
        <v>2</v>
      </c>
      <c r="E53" s="6" t="n">
        <v>1</v>
      </c>
      <c r="F53" s="6"/>
      <c r="G53" s="6"/>
      <c r="H53" s="6" t="n">
        <v>22</v>
      </c>
      <c r="I53" s="6"/>
      <c r="J53" s="6" t="n">
        <v>0.7</v>
      </c>
    </row>
    <row r="54" customFormat="false" ht="15.75" hidden="false" customHeight="false" outlineLevel="0" collapsed="false">
      <c r="A54" s="0" t="s">
        <v>85</v>
      </c>
      <c r="B54" s="1" t="n">
        <v>43914</v>
      </c>
      <c r="C54" s="6" t="n">
        <v>27</v>
      </c>
      <c r="D54" s="40" t="n">
        <v>4</v>
      </c>
      <c r="E54" s="6" t="n">
        <v>2</v>
      </c>
      <c r="F54" s="41" t="n">
        <v>1</v>
      </c>
      <c r="G54" s="6"/>
      <c r="H54" s="6" t="n">
        <v>25</v>
      </c>
      <c r="I54" s="6"/>
      <c r="J54" s="6" t="n">
        <v>0.9</v>
      </c>
    </row>
    <row r="55" customFormat="false" ht="15.75" hidden="false" customHeight="false" outlineLevel="0" collapsed="false">
      <c r="A55" s="0" t="s">
        <v>85</v>
      </c>
      <c r="B55" s="1" t="n">
        <v>43915</v>
      </c>
      <c r="C55" s="6" t="n">
        <v>53</v>
      </c>
      <c r="D55" s="40" t="n">
        <v>26</v>
      </c>
      <c r="E55" s="6" t="n">
        <v>2</v>
      </c>
      <c r="F55" s="6"/>
      <c r="G55" s="6"/>
      <c r="H55" s="6" t="n">
        <v>51</v>
      </c>
      <c r="I55" s="6"/>
      <c r="J55" s="6" t="n">
        <v>2</v>
      </c>
      <c r="K55" s="6" t="n">
        <v>0.06</v>
      </c>
    </row>
    <row r="56" customFormat="false" ht="15.75" hidden="false" customHeight="false" outlineLevel="0" collapsed="false">
      <c r="A56" s="0" t="s">
        <v>85</v>
      </c>
      <c r="B56" s="1" t="n">
        <v>43916</v>
      </c>
      <c r="C56" s="6" t="n">
        <v>93</v>
      </c>
      <c r="D56" s="40" t="n">
        <v>40</v>
      </c>
      <c r="E56" s="6" t="n">
        <v>4</v>
      </c>
      <c r="F56" s="41" t="n">
        <v>2</v>
      </c>
      <c r="G56" s="6"/>
      <c r="H56" s="6" t="n">
        <v>89</v>
      </c>
      <c r="I56" s="6"/>
      <c r="J56" s="6" t="n">
        <v>3</v>
      </c>
      <c r="K56" s="6" t="n">
        <v>0.1</v>
      </c>
    </row>
    <row r="57" customFormat="false" ht="15.75" hidden="false" customHeight="false" outlineLevel="0" collapsed="false">
      <c r="A57" s="0" t="s">
        <v>85</v>
      </c>
      <c r="B57" s="1" t="n">
        <v>43917</v>
      </c>
      <c r="C57" s="6" t="n">
        <v>132</v>
      </c>
      <c r="D57" s="40" t="n">
        <v>64</v>
      </c>
      <c r="E57" s="6" t="n">
        <v>4</v>
      </c>
      <c r="F57" s="6"/>
      <c r="G57" s="6" t="n">
        <v>1</v>
      </c>
      <c r="H57" s="6" t="n">
        <v>127</v>
      </c>
      <c r="I57" s="6"/>
      <c r="J57" s="6" t="n">
        <v>4</v>
      </c>
      <c r="K57" s="6" t="n">
        <v>0.1</v>
      </c>
    </row>
    <row r="58" customFormat="false" ht="15.75" hidden="false" customHeight="false" outlineLevel="0" collapsed="false">
      <c r="A58" s="0" t="s">
        <v>85</v>
      </c>
      <c r="B58" s="1" t="n">
        <v>43918</v>
      </c>
      <c r="C58" s="6" t="n">
        <v>137</v>
      </c>
      <c r="D58" s="40" t="n">
        <v>5</v>
      </c>
      <c r="E58" s="6" t="n">
        <v>4</v>
      </c>
      <c r="F58" s="6"/>
      <c r="G58" s="6" t="n">
        <v>2</v>
      </c>
      <c r="H58" s="6" t="n">
        <v>131</v>
      </c>
      <c r="I58" s="6" t="n">
        <v>1</v>
      </c>
      <c r="J58" s="6" t="n">
        <v>4</v>
      </c>
      <c r="K58" s="6" t="n">
        <v>0.1</v>
      </c>
    </row>
    <row r="59" customFormat="false" ht="15.75" hidden="false" customHeight="false" outlineLevel="0" collapsed="false">
      <c r="A59" s="0" t="s">
        <v>85</v>
      </c>
      <c r="B59" s="1" t="n">
        <v>43919</v>
      </c>
      <c r="C59" s="6" t="n">
        <v>141</v>
      </c>
      <c r="D59" s="40" t="n">
        <v>4</v>
      </c>
      <c r="E59" s="6" t="n">
        <v>5</v>
      </c>
      <c r="F59" s="41" t="n">
        <v>1</v>
      </c>
      <c r="G59" s="6" t="n">
        <v>2</v>
      </c>
      <c r="H59" s="6" t="n">
        <v>134</v>
      </c>
      <c r="I59" s="6" t="n">
        <v>1</v>
      </c>
      <c r="J59" s="6" t="n">
        <v>5</v>
      </c>
      <c r="K59" s="6" t="n">
        <v>0.2</v>
      </c>
    </row>
    <row r="60" customFormat="false" ht="15.75" hidden="false" customHeight="false" outlineLevel="0" collapsed="false">
      <c r="A60" s="0" t="s">
        <v>85</v>
      </c>
      <c r="B60" s="1" t="n">
        <v>43920</v>
      </c>
      <c r="C60" s="6" t="n">
        <v>152</v>
      </c>
      <c r="D60" s="40" t="n">
        <v>11</v>
      </c>
      <c r="E60" s="6" t="n">
        <v>5</v>
      </c>
      <c r="F60" s="6"/>
      <c r="G60" s="6" t="n">
        <v>2</v>
      </c>
      <c r="H60" s="6" t="n">
        <v>145</v>
      </c>
      <c r="I60" s="6" t="n">
        <v>1</v>
      </c>
      <c r="J60" s="6" t="n">
        <v>5</v>
      </c>
      <c r="K60" s="6" t="n">
        <v>0.2</v>
      </c>
    </row>
    <row r="61" customFormat="false" ht="15.75" hidden="false" customHeight="false" outlineLevel="0" collapsed="false">
      <c r="A61" s="0" t="s">
        <v>85</v>
      </c>
      <c r="B61" s="1" t="n">
        <v>43921</v>
      </c>
      <c r="C61" s="6" t="n">
        <v>152</v>
      </c>
      <c r="D61" s="6"/>
      <c r="E61" s="6" t="n">
        <v>5</v>
      </c>
      <c r="F61" s="6"/>
      <c r="G61" s="6" t="n">
        <v>2</v>
      </c>
      <c r="H61" s="6" t="n">
        <v>145</v>
      </c>
      <c r="I61" s="6" t="n">
        <v>1</v>
      </c>
      <c r="J61" s="6" t="n">
        <v>5</v>
      </c>
      <c r="K61" s="6" t="n">
        <v>0.2</v>
      </c>
    </row>
    <row r="62" customFormat="false" ht="15.75" hidden="false" customHeight="false" outlineLevel="0" collapsed="false">
      <c r="A62" s="0" t="s">
        <v>85</v>
      </c>
      <c r="B62" s="1" t="n">
        <v>43922</v>
      </c>
      <c r="C62" s="6" t="n">
        <v>161</v>
      </c>
      <c r="D62" s="40" t="n">
        <v>9</v>
      </c>
      <c r="E62" s="6" t="n">
        <v>5</v>
      </c>
      <c r="F62" s="6"/>
      <c r="G62" s="6" t="n">
        <v>31</v>
      </c>
      <c r="H62" s="6" t="n">
        <v>125</v>
      </c>
      <c r="I62" s="6" t="n">
        <v>1</v>
      </c>
      <c r="J62" s="6" t="n">
        <v>5</v>
      </c>
      <c r="K62" s="6" t="n">
        <v>0.2</v>
      </c>
    </row>
    <row r="63" customFormat="false" ht="15.75" hidden="false" customHeight="false" outlineLevel="0" collapsed="false">
      <c r="A63" s="0" t="s">
        <v>85</v>
      </c>
      <c r="B63" s="1" t="n">
        <v>43923</v>
      </c>
      <c r="C63" s="6" t="n">
        <v>195</v>
      </c>
      <c r="D63" s="40" t="n">
        <v>34</v>
      </c>
      <c r="E63" s="6" t="n">
        <v>5</v>
      </c>
      <c r="F63" s="6"/>
      <c r="G63" s="6" t="n">
        <v>31</v>
      </c>
      <c r="H63" s="6" t="n">
        <v>159</v>
      </c>
      <c r="I63" s="6" t="n">
        <v>1</v>
      </c>
      <c r="J63" s="6" t="n">
        <v>6</v>
      </c>
      <c r="K63" s="6" t="n">
        <v>0.2</v>
      </c>
    </row>
    <row r="64" customFormat="false" ht="15.75" hidden="false" customHeight="false" outlineLevel="0" collapsed="false">
      <c r="A64" s="0" t="s">
        <v>85</v>
      </c>
      <c r="B64" s="1" t="n">
        <v>43924</v>
      </c>
      <c r="C64" s="6" t="n">
        <v>204</v>
      </c>
      <c r="D64" s="40" t="n">
        <v>9</v>
      </c>
      <c r="E64" s="6" t="n">
        <v>5</v>
      </c>
      <c r="F64" s="6"/>
      <c r="G64" s="6" t="n">
        <v>31</v>
      </c>
      <c r="H64" s="6" t="n">
        <v>168</v>
      </c>
      <c r="I64" s="6" t="n">
        <v>2</v>
      </c>
      <c r="J64" s="6" t="n">
        <v>7</v>
      </c>
      <c r="K64" s="6" t="n">
        <v>0.2</v>
      </c>
    </row>
    <row r="65" customFormat="false" ht="15.75" hidden="false" customHeight="false" outlineLevel="0" collapsed="false">
      <c r="A65" s="0" t="s">
        <v>85</v>
      </c>
      <c r="B65" s="1" t="n">
        <v>43925</v>
      </c>
      <c r="C65" s="6" t="n">
        <v>205</v>
      </c>
      <c r="D65" s="40" t="n">
        <v>1</v>
      </c>
      <c r="E65" s="6" t="n">
        <v>5</v>
      </c>
      <c r="F65" s="6"/>
      <c r="G65" s="6" t="n">
        <v>31</v>
      </c>
      <c r="H65" s="6" t="n">
        <v>169</v>
      </c>
      <c r="I65" s="6" t="n">
        <v>2</v>
      </c>
      <c r="J65" s="6" t="n">
        <v>7</v>
      </c>
      <c r="K65" s="6" t="n">
        <v>0.2</v>
      </c>
    </row>
    <row r="66" customFormat="false" ht="15.75" hidden="false" customHeight="false" outlineLevel="0" collapsed="false">
      <c r="A66" s="0" t="s">
        <v>85</v>
      </c>
      <c r="B66" s="1" t="n">
        <v>43926</v>
      </c>
      <c r="C66" s="6" t="n">
        <v>205</v>
      </c>
      <c r="D66" s="6"/>
      <c r="E66" s="6" t="n">
        <v>5</v>
      </c>
      <c r="F66" s="6"/>
      <c r="G66" s="6" t="n">
        <v>31</v>
      </c>
      <c r="H66" s="6" t="n">
        <v>169</v>
      </c>
      <c r="I66" s="6" t="n">
        <v>2</v>
      </c>
      <c r="J66" s="6" t="n">
        <v>7</v>
      </c>
      <c r="K66" s="6" t="n">
        <v>0.2</v>
      </c>
    </row>
    <row r="67" customFormat="false" ht="15.75" hidden="false" customHeight="false" outlineLevel="0" collapsed="false">
      <c r="A67" s="0" t="s">
        <v>85</v>
      </c>
      <c r="B67" s="1" t="n">
        <v>43927</v>
      </c>
      <c r="C67" s="6" t="n">
        <v>214</v>
      </c>
      <c r="D67" s="40" t="n">
        <v>9</v>
      </c>
      <c r="E67" s="6" t="n">
        <v>5</v>
      </c>
      <c r="F67" s="6"/>
      <c r="G67" s="6" t="n">
        <v>31</v>
      </c>
      <c r="H67" s="6" t="n">
        <v>178</v>
      </c>
      <c r="I67" s="6" t="n">
        <v>2</v>
      </c>
      <c r="J67" s="6" t="n">
        <v>7</v>
      </c>
      <c r="K67" s="6" t="n">
        <v>0.2</v>
      </c>
    </row>
    <row r="68" customFormat="false" ht="15.75" hidden="false" customHeight="false" outlineLevel="0" collapsed="false">
      <c r="A68" s="0" t="s">
        <v>85</v>
      </c>
      <c r="B68" s="1" t="n">
        <v>43928</v>
      </c>
      <c r="C68" s="6" t="n">
        <v>214</v>
      </c>
      <c r="D68" s="6"/>
      <c r="E68" s="6" t="n">
        <v>5</v>
      </c>
      <c r="F68" s="6"/>
      <c r="G68" s="6" t="n">
        <v>31</v>
      </c>
      <c r="H68" s="6" t="n">
        <v>178</v>
      </c>
      <c r="I68" s="6" t="n">
        <v>2</v>
      </c>
      <c r="J68" s="6" t="n">
        <v>7</v>
      </c>
      <c r="K68" s="6" t="n">
        <v>0.2</v>
      </c>
    </row>
    <row r="69" customFormat="false" ht="15.75" hidden="false" customHeight="false" outlineLevel="0" collapsed="false">
      <c r="A69" s="0" t="s">
        <v>85</v>
      </c>
      <c r="B69" s="1" t="n">
        <v>43929</v>
      </c>
      <c r="C69" s="6" t="n">
        <v>287</v>
      </c>
      <c r="D69" s="40" t="n">
        <v>73</v>
      </c>
      <c r="E69" s="6" t="n">
        <v>5</v>
      </c>
      <c r="F69" s="6"/>
      <c r="G69" s="6" t="n">
        <v>31</v>
      </c>
      <c r="H69" s="6" t="n">
        <v>251</v>
      </c>
      <c r="I69" s="6" t="n">
        <v>2</v>
      </c>
      <c r="J69" s="6" t="n">
        <v>9</v>
      </c>
      <c r="K69" s="6" t="n">
        <v>0.2</v>
      </c>
    </row>
    <row r="70" customFormat="false" ht="15.75" hidden="false" customHeight="false" outlineLevel="0" collapsed="false">
      <c r="A70" s="0" t="s">
        <v>85</v>
      </c>
      <c r="B70" s="1" t="n">
        <v>43930</v>
      </c>
      <c r="C70" s="6" t="n">
        <v>313</v>
      </c>
      <c r="D70" s="40" t="n">
        <v>26</v>
      </c>
      <c r="E70" s="6" t="n">
        <v>6</v>
      </c>
      <c r="F70" s="41" t="n">
        <v>1</v>
      </c>
      <c r="G70" s="6" t="n">
        <v>34</v>
      </c>
      <c r="H70" s="6" t="n">
        <v>273</v>
      </c>
      <c r="I70" s="6" t="n">
        <v>2</v>
      </c>
      <c r="J70" s="6" t="n">
        <v>10</v>
      </c>
      <c r="K70" s="6" t="n">
        <v>0.2</v>
      </c>
    </row>
    <row r="71" customFormat="false" ht="15.75" hidden="false" customHeight="false" outlineLevel="0" collapsed="false">
      <c r="A71" s="0" t="s">
        <v>85</v>
      </c>
      <c r="B71" s="1" t="n">
        <v>43931</v>
      </c>
      <c r="C71" s="6" t="n">
        <v>313</v>
      </c>
      <c r="D71" s="6"/>
      <c r="E71" s="6" t="n">
        <v>6</v>
      </c>
      <c r="F71" s="6"/>
      <c r="G71" s="6" t="n">
        <v>34</v>
      </c>
      <c r="H71" s="6" t="n">
        <v>273</v>
      </c>
      <c r="I71" s="6" t="n">
        <v>2</v>
      </c>
      <c r="J71" s="6" t="n">
        <v>10</v>
      </c>
      <c r="K71" s="6" t="n">
        <v>0.2</v>
      </c>
      <c r="L71" s="7" t="n">
        <v>12046</v>
      </c>
      <c r="M71" s="6" t="n">
        <v>388</v>
      </c>
    </row>
    <row r="72" customFormat="false" ht="15.75" hidden="false" customHeight="false" outlineLevel="0" collapsed="false">
      <c r="A72" s="0" t="s">
        <v>85</v>
      </c>
      <c r="B72" s="1" t="n">
        <v>43932</v>
      </c>
      <c r="C72" s="6" t="n">
        <v>378</v>
      </c>
      <c r="D72" s="6"/>
      <c r="E72" s="6" t="n">
        <v>6</v>
      </c>
      <c r="F72" s="6"/>
      <c r="G72" s="6" t="n">
        <v>4</v>
      </c>
      <c r="H72" s="6" t="n">
        <v>368</v>
      </c>
      <c r="I72" s="6" t="n">
        <v>2</v>
      </c>
      <c r="J72" s="6" t="n">
        <v>12</v>
      </c>
      <c r="K72" s="6" t="n">
        <v>0.2</v>
      </c>
      <c r="L72" s="7" t="n">
        <v>37405</v>
      </c>
      <c r="M72" s="7" t="n">
        <v>1204</v>
      </c>
    </row>
    <row r="73" customFormat="false" ht="15.75" hidden="false" customHeight="false" outlineLevel="0" collapsed="false">
      <c r="A73" s="0" t="s">
        <v>85</v>
      </c>
      <c r="B73" s="1" t="n">
        <v>43933</v>
      </c>
      <c r="C73" s="6" t="n">
        <v>408</v>
      </c>
      <c r="D73" s="40" t="n">
        <v>30</v>
      </c>
      <c r="E73" s="6" t="n">
        <v>8</v>
      </c>
      <c r="F73" s="41" t="n">
        <v>2</v>
      </c>
      <c r="G73" s="6" t="n">
        <v>4</v>
      </c>
      <c r="H73" s="6" t="n">
        <v>396</v>
      </c>
      <c r="I73" s="6" t="n">
        <v>2</v>
      </c>
      <c r="J73" s="6" t="n">
        <v>13</v>
      </c>
      <c r="K73" s="6" t="n">
        <v>0.3</v>
      </c>
      <c r="L73" s="7" t="n">
        <v>37405</v>
      </c>
      <c r="M73" s="7" t="n">
        <v>1204</v>
      </c>
    </row>
    <row r="74" customFormat="false" ht="15.75" hidden="false" customHeight="false" outlineLevel="0" collapsed="false">
      <c r="A74" s="0" t="s">
        <v>85</v>
      </c>
      <c r="B74" s="1" t="n">
        <v>43934</v>
      </c>
      <c r="C74" s="6" t="n">
        <v>566</v>
      </c>
      <c r="D74" s="40" t="n">
        <v>158</v>
      </c>
      <c r="E74" s="6" t="n">
        <v>8</v>
      </c>
      <c r="F74" s="6"/>
      <c r="G74" s="6" t="n">
        <v>4</v>
      </c>
      <c r="H74" s="6" t="n">
        <v>554</v>
      </c>
      <c r="I74" s="6" t="n">
        <v>2</v>
      </c>
      <c r="J74" s="6" t="n">
        <v>18</v>
      </c>
      <c r="K74" s="6" t="n">
        <v>0.3</v>
      </c>
      <c r="L74" s="7" t="n">
        <v>37954</v>
      </c>
      <c r="M74" s="7" t="n">
        <v>1221</v>
      </c>
    </row>
    <row r="75" customFormat="false" ht="14.25" hidden="false" customHeight="false" outlineLevel="0" collapsed="false">
      <c r="A75" s="0" t="s">
        <v>85</v>
      </c>
      <c r="B75" s="1" t="n">
        <v>43935</v>
      </c>
      <c r="C75" s="45" t="n">
        <v>566</v>
      </c>
      <c r="D75" s="45"/>
      <c r="E75" s="45" t="n">
        <v>8</v>
      </c>
      <c r="F75" s="45"/>
      <c r="G75" s="45" t="n">
        <v>4</v>
      </c>
      <c r="H75" s="45" t="n">
        <v>554</v>
      </c>
      <c r="I75" s="45" t="n">
        <v>2</v>
      </c>
      <c r="J75" s="45" t="n">
        <v>18</v>
      </c>
      <c r="K75" s="45" t="n">
        <v>0.3</v>
      </c>
      <c r="L75" s="47" t="n">
        <v>37954</v>
      </c>
      <c r="M75" s="47" t="n">
        <v>1221</v>
      </c>
    </row>
    <row r="76" customFormat="false" ht="13.5" hidden="false" customHeight="false" outlineLevel="0" collapsed="false">
      <c r="A76" s="0" t="s">
        <v>85</v>
      </c>
      <c r="B76" s="1" t="n">
        <v>43936</v>
      </c>
      <c r="C76" s="2" t="n">
        <v>636</v>
      </c>
      <c r="D76" s="2" t="n">
        <v>70</v>
      </c>
      <c r="E76" s="2" t="n">
        <v>8</v>
      </c>
      <c r="F76" s="2" t="n">
        <v>0</v>
      </c>
      <c r="G76" s="2" t="n">
        <v>17</v>
      </c>
      <c r="H76" s="2" t="n">
        <v>611</v>
      </c>
      <c r="I76" s="2" t="n">
        <v>2</v>
      </c>
      <c r="J76" s="2" t="n">
        <v>20</v>
      </c>
      <c r="K76" s="2" t="n">
        <v>0.3</v>
      </c>
      <c r="L76" s="2" t="n">
        <v>44421</v>
      </c>
      <c r="M76" s="2" t="n">
        <v>1430</v>
      </c>
    </row>
    <row r="77" customFormat="false" ht="13.5" hidden="false" customHeight="false" outlineLevel="0" collapsed="false">
      <c r="A77" s="0" t="s">
        <v>85</v>
      </c>
      <c r="B77" s="1" t="n">
        <v>43937</v>
      </c>
      <c r="C77" s="2" t="n">
        <v>636</v>
      </c>
      <c r="D77" s="2" t="n">
        <v>0</v>
      </c>
      <c r="E77" s="2" t="n">
        <v>8</v>
      </c>
      <c r="F77" s="2" t="n">
        <v>0</v>
      </c>
      <c r="G77" s="2" t="n">
        <v>17</v>
      </c>
      <c r="H77" s="2" t="n">
        <v>611</v>
      </c>
      <c r="I77" s="2" t="n">
        <v>2</v>
      </c>
      <c r="J77" s="2" t="n">
        <v>20</v>
      </c>
      <c r="K77" s="2" t="n">
        <v>0.3</v>
      </c>
      <c r="L77" s="2" t="n">
        <v>44421</v>
      </c>
      <c r="M77" s="2" t="n">
        <v>1430</v>
      </c>
    </row>
    <row r="78" customFormat="false" ht="13.5" hidden="false" customHeight="false" outlineLevel="0" collapsed="false">
      <c r="A78" s="0" t="s">
        <v>85</v>
      </c>
      <c r="B78" s="1" t="n">
        <v>43938</v>
      </c>
      <c r="C78" s="2" t="n">
        <v>641</v>
      </c>
      <c r="D78" s="2" t="n">
        <v>5</v>
      </c>
      <c r="E78" s="2" t="n">
        <v>8</v>
      </c>
      <c r="F78" s="2" t="n">
        <v>0</v>
      </c>
      <c r="G78" s="2" t="n">
        <v>83</v>
      </c>
      <c r="H78" s="2" t="n">
        <v>550</v>
      </c>
      <c r="I78" s="2" t="n">
        <v>2</v>
      </c>
      <c r="J78" s="2" t="n">
        <v>21</v>
      </c>
      <c r="K78" s="2" t="n">
        <v>0.3</v>
      </c>
      <c r="L78" s="2" t="n">
        <v>50719</v>
      </c>
      <c r="M78" s="2" t="n">
        <v>1632</v>
      </c>
    </row>
    <row r="79" customFormat="false" ht="13.5" hidden="false" customHeight="false" outlineLevel="0" collapsed="false">
      <c r="A79" s="0" t="s">
        <v>85</v>
      </c>
      <c r="B79" s="1" t="n">
        <v>43939</v>
      </c>
      <c r="C79" s="2" t="n">
        <v>641</v>
      </c>
      <c r="D79" s="2" t="n">
        <v>0</v>
      </c>
      <c r="E79" s="2" t="n">
        <v>8</v>
      </c>
      <c r="F79" s="2" t="n">
        <v>0</v>
      </c>
      <c r="G79" s="2" t="n">
        <v>83</v>
      </c>
      <c r="H79" s="2" t="n">
        <v>550</v>
      </c>
      <c r="I79" s="2" t="n">
        <v>2</v>
      </c>
      <c r="J79" s="2" t="n">
        <v>21</v>
      </c>
      <c r="K79" s="2" t="n">
        <v>0.3</v>
      </c>
      <c r="L79" s="2" t="n">
        <v>50719</v>
      </c>
      <c r="M79" s="2" t="n">
        <v>1632</v>
      </c>
    </row>
    <row r="80" customFormat="false" ht="13.5" hidden="false" customHeight="false" outlineLevel="0" collapsed="false">
      <c r="A80" s="0" t="s">
        <v>85</v>
      </c>
      <c r="B80" s="1" t="n">
        <v>43940</v>
      </c>
      <c r="C80" s="2" t="n">
        <v>834</v>
      </c>
      <c r="D80" s="0" t="n">
        <v>193</v>
      </c>
      <c r="E80" s="0" t="n">
        <v>9</v>
      </c>
      <c r="F80" s="0" t="n">
        <v>1</v>
      </c>
      <c r="G80" s="0" t="n">
        <v>99</v>
      </c>
      <c r="H80" s="0" t="n">
        <v>726</v>
      </c>
      <c r="I80" s="0" t="n">
        <v>4</v>
      </c>
      <c r="J80" s="0" t="n">
        <v>27</v>
      </c>
      <c r="K80" s="0" t="n">
        <v>0.3</v>
      </c>
      <c r="L80" s="0" t="n">
        <v>60916</v>
      </c>
      <c r="M80" s="0" t="n">
        <v>1960</v>
      </c>
    </row>
    <row r="81" customFormat="false" ht="13.5" hidden="false" customHeight="false" outlineLevel="0" collapsed="false">
      <c r="A81" s="0" t="s">
        <v>85</v>
      </c>
      <c r="B81" s="1" t="n">
        <v>43941</v>
      </c>
      <c r="C81" s="0" t="n">
        <v>834</v>
      </c>
      <c r="D81" s="0" t="n">
        <v>0</v>
      </c>
      <c r="E81" s="0" t="n">
        <v>9</v>
      </c>
      <c r="F81" s="0" t="n">
        <v>0</v>
      </c>
      <c r="G81" s="0" t="n">
        <v>99</v>
      </c>
      <c r="H81" s="0" t="n">
        <v>726</v>
      </c>
      <c r="I81" s="0" t="n">
        <v>4</v>
      </c>
      <c r="J81" s="0" t="n">
        <v>27</v>
      </c>
      <c r="K81" s="0" t="n">
        <v>0.3</v>
      </c>
      <c r="L81" s="0" t="n">
        <v>60916</v>
      </c>
      <c r="M81" s="0" t="n">
        <v>1960</v>
      </c>
    </row>
    <row r="82" customFormat="false" ht="13.5" hidden="false" customHeight="false" outlineLevel="0" collapsed="false">
      <c r="A82" s="0" t="s">
        <v>85</v>
      </c>
      <c r="B82" s="1" t="n">
        <v>43942</v>
      </c>
      <c r="C82" s="0" t="n">
        <v>1042</v>
      </c>
      <c r="D82" s="0" t="n">
        <v>208</v>
      </c>
      <c r="E82" s="0" t="n">
        <v>9</v>
      </c>
      <c r="F82" s="0" t="n">
        <v>0</v>
      </c>
      <c r="G82" s="0" t="n">
        <v>99</v>
      </c>
      <c r="H82" s="0" t="n">
        <v>934</v>
      </c>
      <c r="I82" s="0" t="n">
        <v>4</v>
      </c>
      <c r="J82" s="0" t="n">
        <v>34</v>
      </c>
      <c r="K82" s="0" t="n">
        <v>0.3</v>
      </c>
      <c r="L82" s="0" t="n">
        <v>68591</v>
      </c>
      <c r="M82" s="0" t="n">
        <v>2207</v>
      </c>
    </row>
    <row r="83" customFormat="false" ht="13.5" hidden="false" customHeight="false" outlineLevel="0" collapsed="false">
      <c r="A83" s="0" t="s">
        <v>85</v>
      </c>
      <c r="B83" s="1" t="n">
        <v>43943</v>
      </c>
      <c r="C83" s="0" t="n">
        <v>1042</v>
      </c>
      <c r="D83" s="0" t="n">
        <v>0</v>
      </c>
      <c r="E83" s="0" t="n">
        <v>9</v>
      </c>
      <c r="F83" s="0" t="n">
        <v>0</v>
      </c>
      <c r="G83" s="0" t="n">
        <v>99</v>
      </c>
      <c r="H83" s="0" t="n">
        <v>934</v>
      </c>
      <c r="I83" s="0" t="n">
        <v>4</v>
      </c>
      <c r="J83" s="0" t="n">
        <v>34</v>
      </c>
      <c r="K83" s="0" t="n">
        <v>0.3</v>
      </c>
      <c r="L83" s="0" t="n">
        <v>68591</v>
      </c>
      <c r="M83" s="0" t="n">
        <v>2207</v>
      </c>
    </row>
    <row r="84" customFormat="false" ht="13.5" hidden="false" customHeight="false" outlineLevel="0" collapsed="false">
      <c r="A84" s="0" t="s">
        <v>85</v>
      </c>
      <c r="B84" s="1" t="n">
        <v>43944</v>
      </c>
      <c r="C84" s="0" t="n">
        <v>1154</v>
      </c>
      <c r="D84" s="0" t="n">
        <v>112</v>
      </c>
      <c r="E84" s="0" t="n">
        <v>9</v>
      </c>
      <c r="F84" s="0" t="n">
        <v>0</v>
      </c>
      <c r="G84" s="0" t="n">
        <v>99</v>
      </c>
      <c r="H84" s="0" t="n">
        <v>1046</v>
      </c>
      <c r="I84" s="0" t="n">
        <v>4</v>
      </c>
      <c r="J84" s="0" t="n">
        <v>37</v>
      </c>
      <c r="K84" s="0" t="n">
        <v>0.3</v>
      </c>
      <c r="L84" s="0" t="n">
        <v>68591</v>
      </c>
      <c r="M84" s="0" t="n">
        <v>2207</v>
      </c>
    </row>
    <row r="85" customFormat="false" ht="13.5" hidden="false" customHeight="false" outlineLevel="0" collapsed="false">
      <c r="A85" s="0" t="s">
        <v>85</v>
      </c>
      <c r="B85" s="1" t="n">
        <v>43945</v>
      </c>
      <c r="C85" s="0" t="n">
        <v>1154</v>
      </c>
      <c r="D85" s="0" t="n">
        <v>0</v>
      </c>
      <c r="E85" s="0" t="n">
        <v>9</v>
      </c>
      <c r="F85" s="0" t="n">
        <v>0</v>
      </c>
      <c r="G85" s="0" t="n">
        <v>99</v>
      </c>
      <c r="H85" s="0" t="n">
        <v>1046</v>
      </c>
      <c r="I85" s="0" t="n">
        <v>4</v>
      </c>
      <c r="J85" s="0" t="n">
        <v>37</v>
      </c>
      <c r="K85" s="0" t="n">
        <v>0.3</v>
      </c>
      <c r="L85" s="0" t="n">
        <v>68591</v>
      </c>
      <c r="M85" s="0" t="n">
        <v>2207</v>
      </c>
    </row>
    <row r="86" customFormat="false" ht="13.5" hidden="false" customHeight="false" outlineLevel="0" collapsed="false">
      <c r="A86" s="0" t="s">
        <v>85</v>
      </c>
      <c r="B86" s="1" t="n">
        <v>43946</v>
      </c>
      <c r="C86" s="0" t="n">
        <v>1279</v>
      </c>
      <c r="D86" s="0" t="n">
        <v>125</v>
      </c>
      <c r="E86" s="0" t="n">
        <v>10</v>
      </c>
      <c r="F86" s="0" t="n">
        <v>1</v>
      </c>
      <c r="G86" s="0" t="n">
        <v>134</v>
      </c>
      <c r="H86" s="0" t="n">
        <v>1135</v>
      </c>
      <c r="I86" s="0" t="n">
        <v>4</v>
      </c>
      <c r="J86" s="0" t="n">
        <v>41</v>
      </c>
      <c r="K86" s="0" t="n">
        <v>0.3</v>
      </c>
      <c r="L86" s="0" t="n">
        <v>88188</v>
      </c>
      <c r="M86" s="0" t="n">
        <v>2838</v>
      </c>
    </row>
    <row r="87" customFormat="false" ht="13.5" hidden="false" customHeight="false" outlineLevel="0" collapsed="false">
      <c r="A87" s="0" t="s">
        <v>85</v>
      </c>
      <c r="B87" s="1" t="n">
        <v>43947</v>
      </c>
      <c r="C87" s="0" t="n">
        <v>1279</v>
      </c>
      <c r="D87" s="0" t="n">
        <v>0</v>
      </c>
      <c r="E87" s="0" t="n">
        <v>10</v>
      </c>
      <c r="F87" s="0" t="n">
        <v>0</v>
      </c>
      <c r="G87" s="0" t="n">
        <v>134</v>
      </c>
      <c r="H87" s="0" t="n">
        <v>1135</v>
      </c>
      <c r="I87" s="0" t="n">
        <v>4</v>
      </c>
      <c r="J87" s="0" t="n">
        <v>41</v>
      </c>
      <c r="K87" s="0" t="n">
        <v>0.3</v>
      </c>
      <c r="L87" s="0" t="n">
        <v>88188</v>
      </c>
      <c r="M87" s="0" t="n">
        <v>2838</v>
      </c>
    </row>
    <row r="88" customFormat="false" ht="13.5" hidden="false" customHeight="false" outlineLevel="0" collapsed="false">
      <c r="A88" s="0" t="s">
        <v>85</v>
      </c>
      <c r="B88" s="1" t="n">
        <v>43948</v>
      </c>
      <c r="C88" s="0" t="n">
        <v>1550</v>
      </c>
      <c r="D88" s="0" t="n">
        <v>271</v>
      </c>
      <c r="E88" s="0" t="n">
        <v>11</v>
      </c>
      <c r="F88" s="0" t="n">
        <v>1</v>
      </c>
      <c r="G88" s="0" t="n">
        <v>155</v>
      </c>
      <c r="H88" s="0" t="n">
        <v>1384</v>
      </c>
      <c r="I88" s="0" t="n">
        <v>4</v>
      </c>
      <c r="J88" s="0" t="n">
        <v>50</v>
      </c>
      <c r="K88" s="0" t="n">
        <v>0.4</v>
      </c>
      <c r="L88" s="0" t="n">
        <v>100622</v>
      </c>
      <c r="M88" s="0" t="n">
        <v>3238</v>
      </c>
    </row>
    <row r="89" customFormat="false" ht="13.5" hidden="false" customHeight="false" outlineLevel="0" collapsed="false">
      <c r="A89" s="0" t="s">
        <v>85</v>
      </c>
      <c r="B89" s="1" t="n">
        <v>43949</v>
      </c>
      <c r="C89" s="0" t="n">
        <v>1550</v>
      </c>
      <c r="D89" s="0" t="n">
        <v>0</v>
      </c>
      <c r="E89" s="0" t="n">
        <v>11</v>
      </c>
      <c r="F89" s="0" t="n">
        <v>0</v>
      </c>
      <c r="G89" s="0" t="n">
        <v>155</v>
      </c>
      <c r="H89" s="0" t="n">
        <v>1384</v>
      </c>
      <c r="I89" s="0" t="n">
        <v>4</v>
      </c>
      <c r="J89" s="0" t="n">
        <v>50</v>
      </c>
      <c r="K89" s="0" t="n">
        <v>0.4</v>
      </c>
      <c r="L89" s="0" t="n">
        <v>100622</v>
      </c>
      <c r="M89" s="0" t="n">
        <v>3238</v>
      </c>
    </row>
    <row r="90" customFormat="false" ht="14.25" hidden="false" customHeight="false" outlineLevel="0" collapsed="false">
      <c r="A90" s="0" t="s">
        <v>85</v>
      </c>
      <c r="B90" s="1" t="n">
        <v>43950</v>
      </c>
      <c r="C90" s="0" t="n">
        <v>1671</v>
      </c>
      <c r="D90" s="0" t="n">
        <v>121</v>
      </c>
      <c r="E90" s="0" t="n">
        <v>16</v>
      </c>
      <c r="F90" s="0" t="n">
        <v>5</v>
      </c>
      <c r="G90" s="0" t="n">
        <v>188</v>
      </c>
      <c r="H90" s="0" t="n">
        <v>1467</v>
      </c>
      <c r="I90" s="0" t="n">
        <v>4</v>
      </c>
      <c r="J90" s="0" t="n">
        <v>54</v>
      </c>
      <c r="K90" s="0" t="n">
        <v>0.5</v>
      </c>
      <c r="L90" s="0" t="n">
        <v>100622</v>
      </c>
      <c r="M90" s="0" t="n">
        <v>3238</v>
      </c>
    </row>
    <row r="91" customFormat="false" ht="15.75" hidden="false" customHeight="false" outlineLevel="0" collapsed="false">
      <c r="A91" s="0" t="s">
        <v>85</v>
      </c>
      <c r="B91" s="1" t="n">
        <v>43951</v>
      </c>
      <c r="C91" s="7" t="n">
        <v>1671</v>
      </c>
      <c r="D91" s="6"/>
      <c r="E91" s="6" t="n">
        <v>16</v>
      </c>
      <c r="F91" s="6"/>
      <c r="G91" s="6" t="n">
        <v>188</v>
      </c>
      <c r="H91" s="7" t="n">
        <v>1467</v>
      </c>
      <c r="I91" s="6" t="n">
        <v>4</v>
      </c>
      <c r="J91" s="6" t="n">
        <v>54</v>
      </c>
      <c r="K91" s="6" t="n">
        <v>0.5</v>
      </c>
      <c r="L91" s="7" t="n">
        <v>100622</v>
      </c>
      <c r="M91" s="7" t="n">
        <v>3238</v>
      </c>
    </row>
    <row r="92" customFormat="false" ht="15.75" hidden="false" customHeight="false" outlineLevel="0" collapsed="false">
      <c r="A92" s="0" t="s">
        <v>85</v>
      </c>
      <c r="B92" s="1" t="n">
        <v>43952</v>
      </c>
      <c r="C92" s="7" t="n">
        <v>2074</v>
      </c>
      <c r="D92" s="6" t="n">
        <v>403</v>
      </c>
      <c r="E92" s="6" t="n">
        <v>17</v>
      </c>
      <c r="F92" s="6" t="n">
        <v>1</v>
      </c>
      <c r="G92" s="6" t="n">
        <v>212</v>
      </c>
      <c r="H92" s="7" t="n">
        <v>1845</v>
      </c>
      <c r="I92" s="6" t="n">
        <v>4</v>
      </c>
      <c r="J92" s="6" t="n">
        <v>67</v>
      </c>
      <c r="K92" s="6" t="n">
        <v>0.5</v>
      </c>
      <c r="L92" s="7" t="n">
        <v>113497</v>
      </c>
      <c r="M92" s="7" t="n">
        <v>3653</v>
      </c>
    </row>
    <row r="93" customFormat="false" ht="13.5" hidden="false" customHeight="false" outlineLevel="0" collapsed="false">
      <c r="A93" s="0" t="s">
        <v>85</v>
      </c>
      <c r="B93" s="1" t="n">
        <v>43953</v>
      </c>
      <c r="C93" s="0" t="n">
        <v>2074</v>
      </c>
      <c r="D93" s="0" t="n">
        <v>0</v>
      </c>
      <c r="E93" s="0" t="n">
        <v>17</v>
      </c>
      <c r="F93" s="0" t="n">
        <v>0</v>
      </c>
      <c r="G93" s="0" t="n">
        <v>212</v>
      </c>
      <c r="H93" s="0" t="n">
        <v>1845</v>
      </c>
      <c r="I93" s="0" t="n">
        <v>4</v>
      </c>
      <c r="J93" s="0" t="n">
        <v>67</v>
      </c>
      <c r="K93" s="0" t="n">
        <v>0.5</v>
      </c>
      <c r="L93" s="0" t="n">
        <v>113497</v>
      </c>
      <c r="M93" s="0" t="n">
        <v>3653</v>
      </c>
    </row>
    <row r="94" customFormat="false" ht="13.5" hidden="false" customHeight="false" outlineLevel="0" collapsed="false">
      <c r="A94" s="0" t="s">
        <v>85</v>
      </c>
      <c r="B94" s="1" t="n">
        <v>43954</v>
      </c>
      <c r="C94" s="0" t="n">
        <v>2169</v>
      </c>
      <c r="D94" s="0" t="n">
        <v>95</v>
      </c>
      <c r="E94" s="0" t="n">
        <v>18</v>
      </c>
      <c r="F94" s="0" t="n">
        <v>1</v>
      </c>
      <c r="G94" s="0" t="n">
        <v>229</v>
      </c>
      <c r="H94" s="0" t="n">
        <v>1922</v>
      </c>
      <c r="I94" s="0" t="n">
        <v>4</v>
      </c>
      <c r="J94" s="0" t="n">
        <v>70</v>
      </c>
      <c r="K94" s="0" t="n">
        <v>0.6</v>
      </c>
      <c r="L94" s="0" t="n">
        <v>113497</v>
      </c>
      <c r="M94" s="0" t="n">
        <v>3653</v>
      </c>
    </row>
    <row r="95" customFormat="false" ht="13.5" hidden="false" customHeight="false" outlineLevel="0" collapsed="false">
      <c r="A95" s="0" t="s">
        <v>85</v>
      </c>
      <c r="B95" s="1" t="n">
        <v>43955</v>
      </c>
      <c r="C95" s="0" t="e">
        <f aca="false">sheet1!arp96</f>
        <v>#NAME?</v>
      </c>
      <c r="D95" s="0" t="e">
        <f aca="false">sheet1!arq96</f>
        <v>#NAME?</v>
      </c>
      <c r="E95" s="0" t="e">
        <f aca="false">sheet1!arr96</f>
        <v>#NAME?</v>
      </c>
      <c r="F95" s="0" t="e">
        <f aca="false">sheet1!ars96</f>
        <v>#NAME?</v>
      </c>
      <c r="G95" s="0" t="e">
        <f aca="false">sheet1!art96</f>
        <v>#NAME?</v>
      </c>
      <c r="H95" s="0" t="e">
        <f aca="false">sheet1!aru96</f>
        <v>#NAME?</v>
      </c>
      <c r="I95" s="0" t="e">
        <f aca="false">sheet1!arv96</f>
        <v>#NAME?</v>
      </c>
      <c r="J95" s="0" t="e">
        <f aca="false">sheet1!arw96</f>
        <v>#NAME?</v>
      </c>
      <c r="K95" s="0" t="e">
        <f aca="false">sheet1!arx96</f>
        <v>#NAME?</v>
      </c>
      <c r="L95" s="0" t="e">
        <f aca="false">sheet1!ary96</f>
        <v>#NAME?</v>
      </c>
      <c r="M95" s="0" t="e">
        <f aca="false">sheet1!arz96</f>
        <v>#NAME?</v>
      </c>
    </row>
    <row r="96" customFormat="false" ht="13.5" hidden="false" customHeight="false" outlineLevel="0" collapsed="false">
      <c r="A96" s="0" t="s">
        <v>85</v>
      </c>
      <c r="B96" s="1" t="n">
        <v>43956</v>
      </c>
      <c r="C96" s="0" t="e">
        <f aca="false">sheet1!arp97</f>
        <v>#NAME?</v>
      </c>
      <c r="D96" s="0" t="e">
        <f aca="false">sheet1!arq97</f>
        <v>#NAME?</v>
      </c>
      <c r="E96" s="0" t="e">
        <f aca="false">sheet1!arr97</f>
        <v>#NAME?</v>
      </c>
      <c r="F96" s="0" t="e">
        <f aca="false">sheet1!ars97</f>
        <v>#NAME?</v>
      </c>
      <c r="G96" s="0" t="e">
        <f aca="false">sheet1!art97</f>
        <v>#NAME?</v>
      </c>
      <c r="H96" s="0" t="e">
        <f aca="false">sheet1!aru97</f>
        <v>#NAME?</v>
      </c>
      <c r="I96" s="0" t="e">
        <f aca="false">sheet1!arv97</f>
        <v>#NAME?</v>
      </c>
      <c r="J96" s="0" t="e">
        <f aca="false">sheet1!arw97</f>
        <v>#NAME?</v>
      </c>
      <c r="K96" s="0" t="e">
        <f aca="false">sheet1!arx97</f>
        <v>#NAME?</v>
      </c>
      <c r="L96" s="0" t="e">
        <f aca="false">sheet1!ary97</f>
        <v>#NAME?</v>
      </c>
      <c r="M96" s="0" t="e">
        <f aca="false">sheet1!arz97</f>
        <v>#NAME?</v>
      </c>
    </row>
    <row r="97" customFormat="false" ht="13.5" hidden="false" customHeight="false" outlineLevel="0" collapsed="false">
      <c r="A97" s="0" t="s">
        <v>85</v>
      </c>
      <c r="B97" s="1" t="n">
        <v>43957</v>
      </c>
      <c r="C97" s="0" t="e">
        <f aca="false">sheet1!arp98</f>
        <v>#NAME?</v>
      </c>
      <c r="D97" s="0" t="e">
        <f aca="false">sheet1!arq98</f>
        <v>#NAME?</v>
      </c>
      <c r="E97" s="0" t="e">
        <f aca="false">sheet1!arr98</f>
        <v>#NAME?</v>
      </c>
      <c r="F97" s="0" t="e">
        <f aca="false">sheet1!ars98</f>
        <v>#NAME?</v>
      </c>
      <c r="G97" s="0" t="e">
        <f aca="false">sheet1!art98</f>
        <v>#NAME?</v>
      </c>
      <c r="H97" s="0" t="e">
        <f aca="false">sheet1!aru98</f>
        <v>#NAME?</v>
      </c>
      <c r="I97" s="0" t="e">
        <f aca="false">sheet1!arv98</f>
        <v>#NAME?</v>
      </c>
      <c r="J97" s="0" t="e">
        <f aca="false">sheet1!arw98</f>
        <v>#NAME?</v>
      </c>
      <c r="K97" s="0" t="e">
        <f aca="false">sheet1!arx98</f>
        <v>#NAME?</v>
      </c>
      <c r="L97" s="0" t="e">
        <f aca="false">sheet1!ary98</f>
        <v>#NAME?</v>
      </c>
      <c r="M97" s="0" t="e">
        <f aca="false">sheet1!arz98</f>
        <v>#NAME?</v>
      </c>
    </row>
    <row r="98" customFormat="false" ht="13.5" hidden="false" customHeight="false" outlineLevel="0" collapsed="false">
      <c r="A98" s="0" t="s">
        <v>85</v>
      </c>
      <c r="B98" s="1" t="n">
        <v>43958</v>
      </c>
      <c r="C98" s="0" t="e">
        <f aca="false">sheet1!arp99</f>
        <v>#NAME?</v>
      </c>
      <c r="D98" s="0" t="e">
        <f aca="false">sheet1!arq99</f>
        <v>#NAME?</v>
      </c>
      <c r="E98" s="0" t="e">
        <f aca="false">sheet1!arr99</f>
        <v>#NAME?</v>
      </c>
      <c r="F98" s="0" t="e">
        <f aca="false">sheet1!ars99</f>
        <v>#NAME?</v>
      </c>
      <c r="G98" s="0" t="e">
        <f aca="false">sheet1!art99</f>
        <v>#NAME?</v>
      </c>
      <c r="H98" s="0" t="e">
        <f aca="false">sheet1!aru99</f>
        <v>#NAME?</v>
      </c>
      <c r="I98" s="0" t="e">
        <f aca="false">sheet1!arv99</f>
        <v>#NAME?</v>
      </c>
      <c r="J98" s="0" t="e">
        <f aca="false">sheet1!arw99</f>
        <v>#NAME?</v>
      </c>
      <c r="K98" s="0" t="e">
        <f aca="false">sheet1!arx99</f>
        <v>#NAME?</v>
      </c>
      <c r="L98" s="0" t="e">
        <f aca="false">sheet1!ary99</f>
        <v>#NAME?</v>
      </c>
      <c r="M98" s="0" t="e">
        <f aca="false">sheet1!arz99</f>
        <v>#NAME?</v>
      </c>
    </row>
    <row r="99" customFormat="false" ht="13.5" hidden="false" customHeight="false" outlineLevel="0" collapsed="false">
      <c r="A99" s="0" t="s">
        <v>85</v>
      </c>
      <c r="B99" s="1" t="n">
        <v>43959</v>
      </c>
      <c r="C99" s="0" t="e">
        <f aca="false">sheet1!arp100</f>
        <v>#NAME?</v>
      </c>
      <c r="D99" s="0" t="e">
        <f aca="false">sheet1!arq100</f>
        <v>#NAME?</v>
      </c>
      <c r="E99" s="0" t="e">
        <f aca="false">sheet1!arr100</f>
        <v>#NAME?</v>
      </c>
      <c r="F99" s="0" t="e">
        <f aca="false">sheet1!ars100</f>
        <v>#NAME?</v>
      </c>
      <c r="G99" s="0" t="e">
        <f aca="false">sheet1!art100</f>
        <v>#NAME?</v>
      </c>
      <c r="H99" s="0" t="e">
        <f aca="false">sheet1!aru100</f>
        <v>#NAME?</v>
      </c>
      <c r="I99" s="0" t="e">
        <f aca="false">sheet1!arv100</f>
        <v>#NAME?</v>
      </c>
      <c r="J99" s="0" t="e">
        <f aca="false">sheet1!arw100</f>
        <v>#NAME?</v>
      </c>
      <c r="K99" s="0" t="e">
        <f aca="false">sheet1!arx100</f>
        <v>#NAME?</v>
      </c>
      <c r="L99" s="0" t="e">
        <f aca="false">sheet1!ary100</f>
        <v>#NAME?</v>
      </c>
      <c r="M99" s="0" t="e">
        <f aca="false">sheet1!arz100</f>
        <v>#NAME?</v>
      </c>
    </row>
    <row r="100" customFormat="false" ht="13.5" hidden="false" customHeight="false" outlineLevel="0" collapsed="false">
      <c r="A100" s="0" t="s">
        <v>85</v>
      </c>
      <c r="B100" s="1" t="n">
        <v>43960</v>
      </c>
      <c r="C100" s="0" t="e">
        <f aca="false">sheet1!arp101</f>
        <v>#NAME?</v>
      </c>
      <c r="D100" s="0" t="e">
        <f aca="false">sheet1!arq101</f>
        <v>#NAME?</v>
      </c>
      <c r="E100" s="0" t="e">
        <f aca="false">sheet1!arr101</f>
        <v>#NAME?</v>
      </c>
      <c r="F100" s="0" t="e">
        <f aca="false">sheet1!ars101</f>
        <v>#NAME?</v>
      </c>
      <c r="G100" s="0" t="e">
        <f aca="false">sheet1!art101</f>
        <v>#NAME?</v>
      </c>
      <c r="H100" s="0" t="e">
        <f aca="false">sheet1!aru101</f>
        <v>#NAME?</v>
      </c>
      <c r="I100" s="0" t="e">
        <f aca="false">sheet1!arv101</f>
        <v>#NAME?</v>
      </c>
      <c r="J100" s="0" t="e">
        <f aca="false">sheet1!arw101</f>
        <v>#NAME?</v>
      </c>
      <c r="K100" s="0" t="e">
        <f aca="false">sheet1!arx101</f>
        <v>#NAME?</v>
      </c>
      <c r="L100" s="0" t="e">
        <f aca="false">sheet1!ary101</f>
        <v>#NAME?</v>
      </c>
      <c r="M100" s="0" t="e">
        <f aca="false">sheet1!arz101</f>
        <v>#NAME?</v>
      </c>
    </row>
    <row r="101" customFormat="false" ht="13.5" hidden="false" customHeight="false" outlineLevel="0" collapsed="false">
      <c r="A101" s="0" t="s">
        <v>85</v>
      </c>
      <c r="B101" s="1" t="n">
        <v>43961</v>
      </c>
      <c r="C101" s="0" t="e">
        <f aca="false">sheet1!arp102</f>
        <v>#NAME?</v>
      </c>
      <c r="D101" s="0" t="e">
        <f aca="false">sheet1!arq102</f>
        <v>#NAME?</v>
      </c>
      <c r="E101" s="0" t="e">
        <f aca="false">sheet1!arr102</f>
        <v>#NAME?</v>
      </c>
      <c r="F101" s="0" t="e">
        <f aca="false">sheet1!ars102</f>
        <v>#NAME?</v>
      </c>
      <c r="G101" s="0" t="e">
        <f aca="false">sheet1!art102</f>
        <v>#NAME?</v>
      </c>
      <c r="H101" s="0" t="e">
        <f aca="false">sheet1!aru102</f>
        <v>#NAME?</v>
      </c>
      <c r="I101" s="0" t="e">
        <f aca="false">sheet1!arv102</f>
        <v>#NAME?</v>
      </c>
      <c r="J101" s="0" t="e">
        <f aca="false">sheet1!arw102</f>
        <v>#NAME?</v>
      </c>
      <c r="K101" s="0" t="e">
        <f aca="false">sheet1!arx102</f>
        <v>#NAME?</v>
      </c>
      <c r="L101" s="0" t="e">
        <f aca="false">sheet1!ary102</f>
        <v>#NAME?</v>
      </c>
      <c r="M101" s="0" t="e">
        <f aca="false">sheet1!arz102</f>
        <v>#NAME?</v>
      </c>
    </row>
    <row r="102" customFormat="false" ht="13.5" hidden="false" customHeight="false" outlineLevel="0" collapsed="false">
      <c r="A102" s="0" t="s">
        <v>85</v>
      </c>
      <c r="B102" s="1" t="n">
        <v>43962</v>
      </c>
      <c r="C102" s="0" t="e">
        <f aca="false">sheet1!arp103</f>
        <v>#NAME?</v>
      </c>
      <c r="D102" s="0" t="e">
        <f aca="false">sheet1!arq103</f>
        <v>#NAME?</v>
      </c>
      <c r="E102" s="0" t="e">
        <f aca="false">sheet1!arr103</f>
        <v>#NAME?</v>
      </c>
      <c r="F102" s="0" t="e">
        <f aca="false">sheet1!ars103</f>
        <v>#NAME?</v>
      </c>
      <c r="G102" s="0" t="e">
        <f aca="false">sheet1!art103</f>
        <v>#NAME?</v>
      </c>
      <c r="H102" s="0" t="e">
        <f aca="false">sheet1!aru103</f>
        <v>#NAME?</v>
      </c>
      <c r="I102" s="0" t="e">
        <f aca="false">sheet1!arv103</f>
        <v>#NAME?</v>
      </c>
      <c r="J102" s="0" t="e">
        <f aca="false">sheet1!arw103</f>
        <v>#NAME?</v>
      </c>
      <c r="K102" s="0" t="e">
        <f aca="false">sheet1!arx103</f>
        <v>#NAME?</v>
      </c>
      <c r="L102" s="0" t="e">
        <f aca="false">sheet1!ary103</f>
        <v>#NAME?</v>
      </c>
      <c r="M102" s="0" t="e">
        <f aca="false">sheet1!arz103</f>
        <v>#NAME?</v>
      </c>
    </row>
    <row r="103" customFormat="false" ht="13.5" hidden="false" customHeight="false" outlineLevel="0" collapsed="false">
      <c r="A103" s="0" t="s">
        <v>85</v>
      </c>
      <c r="B103" s="1" t="n">
        <v>43963</v>
      </c>
      <c r="C103" s="0" t="e">
        <f aca="false">sheet1!arp104</f>
        <v>#NAME?</v>
      </c>
      <c r="D103" s="0" t="e">
        <f aca="false">sheet1!arq104</f>
        <v>#NAME?</v>
      </c>
      <c r="E103" s="0" t="e">
        <f aca="false">sheet1!arr104</f>
        <v>#NAME?</v>
      </c>
      <c r="F103" s="0" t="e">
        <f aca="false">sheet1!ars104</f>
        <v>#NAME?</v>
      </c>
      <c r="G103" s="0" t="e">
        <f aca="false">sheet1!art104</f>
        <v>#NAME?</v>
      </c>
      <c r="H103" s="0" t="e">
        <f aca="false">sheet1!aru104</f>
        <v>#NAME?</v>
      </c>
      <c r="I103" s="0" t="e">
        <f aca="false">sheet1!arv104</f>
        <v>#NAME?</v>
      </c>
      <c r="J103" s="0" t="e">
        <f aca="false">sheet1!arw104</f>
        <v>#NAME?</v>
      </c>
      <c r="K103" s="0" t="e">
        <f aca="false">sheet1!arx104</f>
        <v>#NAME?</v>
      </c>
      <c r="L103" s="0" t="e">
        <f aca="false">sheet1!ary104</f>
        <v>#NAME?</v>
      </c>
      <c r="M103" s="0" t="e">
        <f aca="false">sheet1!arz104</f>
        <v>#NAME?</v>
      </c>
    </row>
    <row r="104" customFormat="false" ht="13.5" hidden="false" customHeight="false" outlineLevel="0" collapsed="false">
      <c r="A104" s="0" t="s">
        <v>85</v>
      </c>
      <c r="B104" s="1" t="n">
        <v>43964</v>
      </c>
      <c r="C104" s="0" t="e">
        <f aca="false">sheet1!arp105</f>
        <v>#NAME?</v>
      </c>
      <c r="D104" s="0" t="e">
        <f aca="false">sheet1!arq105</f>
        <v>#NAME?</v>
      </c>
      <c r="E104" s="0" t="e">
        <f aca="false">sheet1!arr105</f>
        <v>#NAME?</v>
      </c>
      <c r="F104" s="0" t="e">
        <f aca="false">sheet1!ars105</f>
        <v>#NAME?</v>
      </c>
      <c r="G104" s="0" t="e">
        <f aca="false">sheet1!art105</f>
        <v>#NAME?</v>
      </c>
      <c r="H104" s="0" t="e">
        <f aca="false">sheet1!aru105</f>
        <v>#NAME?</v>
      </c>
      <c r="I104" s="0" t="e">
        <f aca="false">sheet1!arv105</f>
        <v>#NAME?</v>
      </c>
      <c r="J104" s="0" t="e">
        <f aca="false">sheet1!arw105</f>
        <v>#NAME?</v>
      </c>
      <c r="K104" s="0" t="e">
        <f aca="false">sheet1!arx105</f>
        <v>#NAME?</v>
      </c>
      <c r="L104" s="0" t="e">
        <f aca="false">sheet1!ary105</f>
        <v>#NAME?</v>
      </c>
      <c r="M104" s="0" t="e">
        <f aca="false">sheet1!arz105</f>
        <v>#NAME?</v>
      </c>
    </row>
    <row r="105" customFormat="false" ht="13.5" hidden="false" customHeight="false" outlineLevel="0" collapsed="false">
      <c r="A105" s="0" t="s">
        <v>85</v>
      </c>
      <c r="B105" s="1" t="n">
        <v>43965</v>
      </c>
      <c r="C105" s="0" t="e">
        <f aca="false">sheet1!arp106</f>
        <v>#NAME?</v>
      </c>
      <c r="D105" s="0" t="e">
        <f aca="false">sheet1!arq106</f>
        <v>#NAME?</v>
      </c>
      <c r="E105" s="0" t="e">
        <f aca="false">sheet1!arr106</f>
        <v>#NAME?</v>
      </c>
      <c r="F105" s="0" t="e">
        <f aca="false">sheet1!ars106</f>
        <v>#NAME?</v>
      </c>
      <c r="G105" s="0" t="e">
        <f aca="false">sheet1!art106</f>
        <v>#NAME?</v>
      </c>
      <c r="H105" s="0" t="e">
        <f aca="false">sheet1!aru106</f>
        <v>#NAME?</v>
      </c>
      <c r="I105" s="0" t="e">
        <f aca="false">sheet1!arv106</f>
        <v>#NAME?</v>
      </c>
      <c r="J105" s="0" t="e">
        <f aca="false">sheet1!arw106</f>
        <v>#NAME?</v>
      </c>
      <c r="K105" s="0" t="e">
        <f aca="false">sheet1!arx106</f>
        <v>#NAME?</v>
      </c>
      <c r="L105" s="0" t="e">
        <f aca="false">sheet1!ary106</f>
        <v>#NAME?</v>
      </c>
      <c r="M105" s="0" t="e">
        <f aca="false">sheet1!arz106</f>
        <v>#NAME?</v>
      </c>
    </row>
    <row r="106" customFormat="false" ht="13.5" hidden="false" customHeight="false" outlineLevel="0" collapsed="false">
      <c r="A106" s="0" t="s">
        <v>85</v>
      </c>
      <c r="B106" s="1" t="n">
        <v>43966</v>
      </c>
      <c r="C106" s="0" t="e">
        <f aca="false">sheet1!arp107</f>
        <v>#NAME?</v>
      </c>
      <c r="D106" s="0" t="e">
        <f aca="false">sheet1!arq107</f>
        <v>#NAME?</v>
      </c>
      <c r="E106" s="0" t="e">
        <f aca="false">sheet1!arr107</f>
        <v>#NAME?</v>
      </c>
      <c r="F106" s="0" t="e">
        <f aca="false">sheet1!ars107</f>
        <v>#NAME?</v>
      </c>
      <c r="G106" s="0" t="e">
        <f aca="false">sheet1!art107</f>
        <v>#NAME?</v>
      </c>
      <c r="H106" s="0" t="e">
        <f aca="false">sheet1!aru107</f>
        <v>#NAME?</v>
      </c>
      <c r="I106" s="0" t="e">
        <f aca="false">sheet1!arv107</f>
        <v>#NAME?</v>
      </c>
      <c r="J106" s="0" t="e">
        <f aca="false">sheet1!arw107</f>
        <v>#NAME?</v>
      </c>
      <c r="K106" s="0" t="e">
        <f aca="false">sheet1!arx107</f>
        <v>#NAME?</v>
      </c>
      <c r="L106" s="0" t="e">
        <f aca="false">sheet1!ary107</f>
        <v>#NAME?</v>
      </c>
      <c r="M106" s="0" t="e">
        <f aca="false">sheet1!arz107</f>
        <v>#NAME?</v>
      </c>
    </row>
    <row r="107" customFormat="false" ht="13.5" hidden="false" customHeight="false" outlineLevel="0" collapsed="false">
      <c r="A107" s="0" t="s">
        <v>85</v>
      </c>
      <c r="B107" s="1" t="n">
        <v>43967</v>
      </c>
      <c r="C107" s="0" t="e">
        <f aca="false">sheet1!arp108</f>
        <v>#NAME?</v>
      </c>
      <c r="D107" s="0" t="e">
        <f aca="false">sheet1!arq108</f>
        <v>#NAME?</v>
      </c>
      <c r="E107" s="0" t="e">
        <f aca="false">sheet1!arr108</f>
        <v>#NAME?</v>
      </c>
      <c r="F107" s="0" t="e">
        <f aca="false">sheet1!ars108</f>
        <v>#NAME?</v>
      </c>
      <c r="G107" s="0" t="e">
        <f aca="false">sheet1!art108</f>
        <v>#NAME?</v>
      </c>
      <c r="H107" s="0" t="e">
        <f aca="false">sheet1!aru108</f>
        <v>#NAME?</v>
      </c>
      <c r="I107" s="0" t="e">
        <f aca="false">sheet1!arv108</f>
        <v>#NAME?</v>
      </c>
      <c r="J107" s="0" t="e">
        <f aca="false">sheet1!arw108</f>
        <v>#NAME?</v>
      </c>
      <c r="K107" s="0" t="e">
        <f aca="false">sheet1!arx108</f>
        <v>#NAME?</v>
      </c>
      <c r="L107" s="0" t="e">
        <f aca="false">sheet1!ary108</f>
        <v>#NAME?</v>
      </c>
      <c r="M107" s="0" t="e">
        <f aca="false">sheet1!arz108</f>
        <v>#NAME?</v>
      </c>
    </row>
    <row r="108" customFormat="false" ht="13.5" hidden="false" customHeight="false" outlineLevel="0" collapsed="false">
      <c r="A108" s="0" t="s">
        <v>85</v>
      </c>
      <c r="B108" s="1" t="n">
        <v>43968</v>
      </c>
      <c r="C108" s="0" t="e">
        <f aca="false">sheet1!arp109</f>
        <v>#NAME?</v>
      </c>
      <c r="D108" s="0" t="e">
        <f aca="false">sheet1!arq109</f>
        <v>#NAME?</v>
      </c>
      <c r="E108" s="0" t="e">
        <f aca="false">sheet1!arr109</f>
        <v>#NAME?</v>
      </c>
      <c r="F108" s="0" t="e">
        <f aca="false">sheet1!ars109</f>
        <v>#NAME?</v>
      </c>
      <c r="G108" s="0" t="e">
        <f aca="false">sheet1!art109</f>
        <v>#NAME?</v>
      </c>
      <c r="H108" s="0" t="e">
        <f aca="false">sheet1!aru109</f>
        <v>#NAME?</v>
      </c>
      <c r="I108" s="0" t="e">
        <f aca="false">sheet1!arv109</f>
        <v>#NAME?</v>
      </c>
      <c r="J108" s="0" t="e">
        <f aca="false">sheet1!arw109</f>
        <v>#NAME?</v>
      </c>
      <c r="K108" s="0" t="e">
        <f aca="false">sheet1!arx109</f>
        <v>#NAME?</v>
      </c>
      <c r="L108" s="0" t="e">
        <f aca="false">sheet1!ary109</f>
        <v>#NAME?</v>
      </c>
      <c r="M108" s="0" t="e">
        <f aca="false">sheet1!arz109</f>
        <v>#NAME?</v>
      </c>
    </row>
    <row r="109" customFormat="false" ht="13.5" hidden="false" customHeight="false" outlineLevel="0" collapsed="false">
      <c r="A109" s="0" t="s">
        <v>85</v>
      </c>
      <c r="B109" s="1" t="n">
        <v>43969</v>
      </c>
      <c r="C109" s="0" t="e">
        <f aca="false">sheet1!arp110</f>
        <v>#NAME?</v>
      </c>
      <c r="D109" s="0" t="e">
        <f aca="false">sheet1!arq110</f>
        <v>#NAME?</v>
      </c>
      <c r="E109" s="0" t="e">
        <f aca="false">sheet1!arr110</f>
        <v>#NAME?</v>
      </c>
      <c r="F109" s="0" t="e">
        <f aca="false">sheet1!ars110</f>
        <v>#NAME?</v>
      </c>
      <c r="G109" s="0" t="e">
        <f aca="false">sheet1!art110</f>
        <v>#NAME?</v>
      </c>
      <c r="H109" s="0" t="e">
        <f aca="false">sheet1!aru110</f>
        <v>#NAME?</v>
      </c>
      <c r="I109" s="0" t="e">
        <f aca="false">sheet1!arv110</f>
        <v>#NAME?</v>
      </c>
      <c r="J109" s="0" t="e">
        <f aca="false">sheet1!arw110</f>
        <v>#NAME?</v>
      </c>
      <c r="K109" s="0" t="e">
        <f aca="false">sheet1!arx110</f>
        <v>#NAME?</v>
      </c>
      <c r="L109" s="0" t="e">
        <f aca="false">sheet1!ary110</f>
        <v>#NAME?</v>
      </c>
      <c r="M109" s="0" t="e">
        <f aca="false">sheet1!arz110</f>
        <v>#NAME?</v>
      </c>
    </row>
    <row r="110" customFormat="false" ht="13.5" hidden="false" customHeight="false" outlineLevel="0" collapsed="false">
      <c r="A110" s="0" t="s">
        <v>85</v>
      </c>
      <c r="B110" s="1" t="n">
        <v>43970</v>
      </c>
      <c r="C110" s="0" t="e">
        <f aca="false">sheet1!arp111</f>
        <v>#NAME?</v>
      </c>
      <c r="D110" s="0" t="e">
        <f aca="false">sheet1!arq111</f>
        <v>#NAME?</v>
      </c>
      <c r="E110" s="0" t="e">
        <f aca="false">sheet1!arr111</f>
        <v>#NAME?</v>
      </c>
      <c r="F110" s="0" t="e">
        <f aca="false">sheet1!ars111</f>
        <v>#NAME?</v>
      </c>
      <c r="G110" s="0" t="e">
        <f aca="false">sheet1!art111</f>
        <v>#NAME?</v>
      </c>
      <c r="H110" s="0" t="e">
        <f aca="false">sheet1!aru111</f>
        <v>#NAME?</v>
      </c>
      <c r="I110" s="0" t="e">
        <f aca="false">sheet1!arv111</f>
        <v>#NAME?</v>
      </c>
      <c r="J110" s="0" t="e">
        <f aca="false">sheet1!arw111</f>
        <v>#NAME?</v>
      </c>
      <c r="K110" s="0" t="e">
        <f aca="false">sheet1!arx111</f>
        <v>#NAME?</v>
      </c>
      <c r="L110" s="0" t="e">
        <f aca="false">sheet1!ary111</f>
        <v>#NAME?</v>
      </c>
      <c r="M110" s="0" t="e">
        <f aca="false">sheet1!arz111</f>
        <v>#NAME?</v>
      </c>
    </row>
    <row r="111" customFormat="false" ht="13.5" hidden="false" customHeight="false" outlineLevel="0" collapsed="false">
      <c r="A111" s="0" t="s">
        <v>85</v>
      </c>
      <c r="B111" s="1" t="n">
        <v>43971</v>
      </c>
      <c r="C111" s="0" t="e">
        <f aca="false">sheet1!arp112</f>
        <v>#NAME?</v>
      </c>
      <c r="D111" s="0" t="e">
        <f aca="false">sheet1!arq112</f>
        <v>#NAME?</v>
      </c>
      <c r="E111" s="0" t="e">
        <f aca="false">sheet1!arr112</f>
        <v>#NAME?</v>
      </c>
      <c r="F111" s="0" t="e">
        <f aca="false">sheet1!ars112</f>
        <v>#NAME?</v>
      </c>
      <c r="G111" s="0" t="e">
        <f aca="false">sheet1!art112</f>
        <v>#NAME?</v>
      </c>
      <c r="H111" s="0" t="e">
        <f aca="false">sheet1!aru112</f>
        <v>#NAME?</v>
      </c>
      <c r="I111" s="0" t="e">
        <f aca="false">sheet1!arv112</f>
        <v>#NAME?</v>
      </c>
      <c r="J111" s="0" t="e">
        <f aca="false">sheet1!arw112</f>
        <v>#NAME?</v>
      </c>
      <c r="K111" s="0" t="e">
        <f aca="false">sheet1!arx112</f>
        <v>#NAME?</v>
      </c>
      <c r="L111" s="0" t="e">
        <f aca="false">sheet1!ary112</f>
        <v>#NAME?</v>
      </c>
      <c r="M111" s="0" t="e">
        <f aca="false">sheet1!arz112</f>
        <v>#NAME?</v>
      </c>
    </row>
    <row r="112" customFormat="false" ht="13.5" hidden="false" customHeight="false" outlineLevel="0" collapsed="false">
      <c r="A112" s="0" t="s">
        <v>85</v>
      </c>
      <c r="B112" s="1" t="n">
        <v>43972</v>
      </c>
      <c r="C112" s="0" t="e">
        <f aca="false">sheet1!arp113</f>
        <v>#NAME?</v>
      </c>
      <c r="D112" s="0" t="e">
        <f aca="false">sheet1!arq113</f>
        <v>#NAME?</v>
      </c>
      <c r="E112" s="0" t="e">
        <f aca="false">sheet1!arr113</f>
        <v>#NAME?</v>
      </c>
      <c r="F112" s="0" t="e">
        <f aca="false">sheet1!ars113</f>
        <v>#NAME?</v>
      </c>
      <c r="G112" s="0" t="e">
        <f aca="false">sheet1!art113</f>
        <v>#NAME?</v>
      </c>
      <c r="H112" s="0" t="e">
        <f aca="false">sheet1!aru113</f>
        <v>#NAME?</v>
      </c>
      <c r="I112" s="0" t="e">
        <f aca="false">sheet1!arv113</f>
        <v>#NAME?</v>
      </c>
      <c r="J112" s="0" t="e">
        <f aca="false">sheet1!arw113</f>
        <v>#NAME?</v>
      </c>
      <c r="K112" s="0" t="e">
        <f aca="false">sheet1!arx113</f>
        <v>#NAME?</v>
      </c>
      <c r="L112" s="0" t="e">
        <f aca="false">sheet1!ary113</f>
        <v>#NAME?</v>
      </c>
      <c r="M112" s="0" t="e">
        <f aca="false">sheet1!arz113</f>
        <v>#NAME?</v>
      </c>
    </row>
    <row r="113" customFormat="false" ht="13.5" hidden="false" customHeight="false" outlineLevel="0" collapsed="false">
      <c r="A113" s="0" t="s">
        <v>85</v>
      </c>
      <c r="B113" s="1" t="n">
        <v>43973</v>
      </c>
      <c r="C113" s="0" t="e">
        <f aca="false">sheet1!arp114</f>
        <v>#NAME?</v>
      </c>
      <c r="D113" s="0" t="e">
        <f aca="false">sheet1!arq114</f>
        <v>#NAME?</v>
      </c>
      <c r="E113" s="0" t="e">
        <f aca="false">sheet1!arr114</f>
        <v>#NAME?</v>
      </c>
      <c r="F113" s="0" t="e">
        <f aca="false">sheet1!ars114</f>
        <v>#NAME?</v>
      </c>
      <c r="G113" s="0" t="e">
        <f aca="false">sheet1!art114</f>
        <v>#NAME?</v>
      </c>
      <c r="H113" s="0" t="e">
        <f aca="false">sheet1!aru114</f>
        <v>#NAME?</v>
      </c>
      <c r="I113" s="0" t="e">
        <f aca="false">sheet1!arv114</f>
        <v>#NAME?</v>
      </c>
      <c r="J113" s="0" t="e">
        <f aca="false">sheet1!arw114</f>
        <v>#NAME?</v>
      </c>
      <c r="K113" s="0" t="e">
        <f aca="false">sheet1!arx114</f>
        <v>#NAME?</v>
      </c>
      <c r="L113" s="0" t="e">
        <f aca="false">sheet1!ary114</f>
        <v>#NAME?</v>
      </c>
      <c r="M113" s="0" t="e">
        <f aca="false">sheet1!arz114</f>
        <v>#NAME?</v>
      </c>
    </row>
    <row r="114" customFormat="false" ht="13.5" hidden="false" customHeight="false" outlineLevel="0" collapsed="false">
      <c r="A114" s="0" t="s">
        <v>85</v>
      </c>
      <c r="B114" s="1" t="n">
        <v>43974</v>
      </c>
      <c r="C114" s="0" t="e">
        <f aca="false">sheet1!arp115</f>
        <v>#NAME?</v>
      </c>
      <c r="D114" s="0" t="e">
        <f aca="false">sheet1!arq115</f>
        <v>#NAME?</v>
      </c>
      <c r="E114" s="0" t="e">
        <f aca="false">sheet1!arr115</f>
        <v>#NAME?</v>
      </c>
      <c r="F114" s="0" t="e">
        <f aca="false">sheet1!ars115</f>
        <v>#NAME?</v>
      </c>
      <c r="G114" s="0" t="e">
        <f aca="false">sheet1!art115</f>
        <v>#NAME?</v>
      </c>
      <c r="H114" s="0" t="e">
        <f aca="false">sheet1!aru115</f>
        <v>#NAME?</v>
      </c>
      <c r="I114" s="0" t="e">
        <f aca="false">sheet1!arv115</f>
        <v>#NAME?</v>
      </c>
      <c r="J114" s="0" t="e">
        <f aca="false">sheet1!arw115</f>
        <v>#NAME?</v>
      </c>
      <c r="K114" s="0" t="e">
        <f aca="false">sheet1!arx115</f>
        <v>#NAME?</v>
      </c>
      <c r="L114" s="0" t="e">
        <f aca="false">sheet1!ary115</f>
        <v>#NAME?</v>
      </c>
      <c r="M114" s="0" t="e">
        <f aca="false">sheet1!arz115</f>
        <v>#NAME?</v>
      </c>
    </row>
    <row r="115" customFormat="false" ht="13.5" hidden="false" customHeight="false" outlineLevel="0" collapsed="false">
      <c r="A115" s="0" t="s">
        <v>85</v>
      </c>
      <c r="B115" s="1" t="n">
        <v>43975</v>
      </c>
      <c r="C115" s="0" t="e">
        <f aca="false">sheet1!arp116</f>
        <v>#NAME?</v>
      </c>
      <c r="D115" s="0" t="e">
        <f aca="false">sheet1!arq116</f>
        <v>#NAME?</v>
      </c>
      <c r="E115" s="0" t="e">
        <f aca="false">sheet1!arr116</f>
        <v>#NAME?</v>
      </c>
      <c r="F115" s="0" t="e">
        <f aca="false">sheet1!ars116</f>
        <v>#NAME?</v>
      </c>
      <c r="G115" s="0" t="e">
        <f aca="false">sheet1!art116</f>
        <v>#NAME?</v>
      </c>
      <c r="H115" s="0" t="e">
        <f aca="false">sheet1!aru116</f>
        <v>#NAME?</v>
      </c>
      <c r="I115" s="0" t="e">
        <f aca="false">sheet1!arv116</f>
        <v>#NAME?</v>
      </c>
      <c r="J115" s="0" t="e">
        <f aca="false">sheet1!arw116</f>
        <v>#NAME?</v>
      </c>
      <c r="K115" s="0" t="e">
        <f aca="false">sheet1!arx116</f>
        <v>#NAME?</v>
      </c>
      <c r="L115" s="0" t="e">
        <f aca="false">sheet1!ary116</f>
        <v>#NAME?</v>
      </c>
      <c r="M115" s="0" t="e">
        <f aca="false">sheet1!arz116</f>
        <v>#NAME?</v>
      </c>
    </row>
    <row r="116" customFormat="false" ht="13.5" hidden="false" customHeight="false" outlineLevel="0" collapsed="false">
      <c r="A116" s="0" t="s">
        <v>85</v>
      </c>
      <c r="B116" s="1" t="n">
        <v>43976</v>
      </c>
      <c r="C116" s="0" t="e">
        <f aca="false">sheet1!arp117</f>
        <v>#NAME?</v>
      </c>
      <c r="D116" s="0" t="e">
        <f aca="false">sheet1!arq117</f>
        <v>#NAME?</v>
      </c>
      <c r="E116" s="0" t="e">
        <f aca="false">sheet1!arr117</f>
        <v>#NAME?</v>
      </c>
      <c r="F116" s="0" t="e">
        <f aca="false">sheet1!ars117</f>
        <v>#NAME?</v>
      </c>
      <c r="G116" s="0" t="e">
        <f aca="false">sheet1!art117</f>
        <v>#NAME?</v>
      </c>
      <c r="H116" s="0" t="e">
        <f aca="false">sheet1!aru117</f>
        <v>#NAME?</v>
      </c>
      <c r="I116" s="0" t="e">
        <f aca="false">sheet1!arv117</f>
        <v>#NAME?</v>
      </c>
      <c r="J116" s="0" t="e">
        <f aca="false">sheet1!arw117</f>
        <v>#NAME?</v>
      </c>
      <c r="K116" s="0" t="e">
        <f aca="false">sheet1!arx117</f>
        <v>#NAME?</v>
      </c>
      <c r="L116" s="0" t="e">
        <f aca="false">sheet1!ary117</f>
        <v>#NAME?</v>
      </c>
      <c r="M116" s="0" t="e">
        <f aca="false">sheet1!arz117</f>
        <v>#NAME?</v>
      </c>
    </row>
    <row r="117" customFormat="false" ht="13.5" hidden="false" customHeight="false" outlineLevel="0" collapsed="false">
      <c r="A117" s="0" t="s">
        <v>85</v>
      </c>
      <c r="B117" s="1" t="n">
        <v>43977</v>
      </c>
      <c r="C117" s="0" t="e">
        <f aca="false">sheet1!arp118</f>
        <v>#NAME?</v>
      </c>
      <c r="D117" s="0" t="e">
        <f aca="false">sheet1!arq118</f>
        <v>#NAME?</v>
      </c>
      <c r="E117" s="0" t="e">
        <f aca="false">sheet1!arr118</f>
        <v>#NAME?</v>
      </c>
      <c r="F117" s="0" t="e">
        <f aca="false">sheet1!ars118</f>
        <v>#NAME?</v>
      </c>
      <c r="G117" s="0" t="e">
        <f aca="false">sheet1!art118</f>
        <v>#NAME?</v>
      </c>
      <c r="H117" s="0" t="e">
        <f aca="false">sheet1!aru118</f>
        <v>#NAME?</v>
      </c>
      <c r="I117" s="0" t="e">
        <f aca="false">sheet1!arv118</f>
        <v>#NAME?</v>
      </c>
      <c r="J117" s="0" t="e">
        <f aca="false">sheet1!arw118</f>
        <v>#NAME?</v>
      </c>
      <c r="K117" s="0" t="e">
        <f aca="false">sheet1!arx118</f>
        <v>#NAME?</v>
      </c>
      <c r="L117" s="0" t="e">
        <f aca="false">sheet1!ary118</f>
        <v>#NAME?</v>
      </c>
      <c r="M117" s="0" t="e">
        <f aca="false">sheet1!arz118</f>
        <v>#NAME?</v>
      </c>
    </row>
    <row r="118" customFormat="false" ht="13.5" hidden="false" customHeight="false" outlineLevel="0" collapsed="false">
      <c r="A118" s="0" t="s">
        <v>85</v>
      </c>
      <c r="B118" s="1" t="n">
        <v>43978</v>
      </c>
      <c r="C118" s="0" t="e">
        <f aca="false">sheet1!arp119</f>
        <v>#NAME?</v>
      </c>
      <c r="D118" s="0" t="e">
        <f aca="false">sheet1!arq119</f>
        <v>#NAME?</v>
      </c>
      <c r="E118" s="0" t="e">
        <f aca="false">sheet1!arr119</f>
        <v>#NAME?</v>
      </c>
      <c r="F118" s="0" t="e">
        <f aca="false">sheet1!ars119</f>
        <v>#NAME?</v>
      </c>
      <c r="G118" s="0" t="e">
        <f aca="false">sheet1!art119</f>
        <v>#NAME?</v>
      </c>
      <c r="H118" s="0" t="e">
        <f aca="false">sheet1!aru119</f>
        <v>#NAME?</v>
      </c>
      <c r="I118" s="0" t="e">
        <f aca="false">sheet1!arv119</f>
        <v>#NAME?</v>
      </c>
      <c r="J118" s="0" t="e">
        <f aca="false">sheet1!arw119</f>
        <v>#NAME?</v>
      </c>
      <c r="K118" s="0" t="e">
        <f aca="false">sheet1!arx119</f>
        <v>#NAME?</v>
      </c>
      <c r="L118" s="0" t="e">
        <f aca="false">sheet1!ary119</f>
        <v>#NAME?</v>
      </c>
      <c r="M118" s="0" t="e">
        <f aca="false">sheet1!arz119</f>
        <v>#NAME?</v>
      </c>
    </row>
    <row r="119" customFormat="false" ht="13.5" hidden="false" customHeight="false" outlineLevel="0" collapsed="false">
      <c r="A119" s="0" t="s">
        <v>85</v>
      </c>
      <c r="B119" s="1" t="n">
        <v>43979</v>
      </c>
      <c r="C119" s="0" t="e">
        <f aca="false">sheet1!arp120</f>
        <v>#NAME?</v>
      </c>
      <c r="D119" s="0" t="e">
        <f aca="false">sheet1!arq120</f>
        <v>#NAME?</v>
      </c>
      <c r="E119" s="0" t="e">
        <f aca="false">sheet1!arr120</f>
        <v>#NAME?</v>
      </c>
      <c r="F119" s="0" t="e">
        <f aca="false">sheet1!ars120</f>
        <v>#NAME?</v>
      </c>
      <c r="G119" s="0" t="e">
        <f aca="false">sheet1!art120</f>
        <v>#NAME?</v>
      </c>
      <c r="H119" s="0" t="e">
        <f aca="false">sheet1!aru120</f>
        <v>#NAME?</v>
      </c>
      <c r="I119" s="0" t="e">
        <f aca="false">sheet1!arv120</f>
        <v>#NAME?</v>
      </c>
      <c r="J119" s="0" t="e">
        <f aca="false">sheet1!arw120</f>
        <v>#NAME?</v>
      </c>
      <c r="K119" s="0" t="e">
        <f aca="false">sheet1!arx120</f>
        <v>#NAME?</v>
      </c>
      <c r="L119" s="0" t="e">
        <f aca="false">sheet1!ary120</f>
        <v>#NAME?</v>
      </c>
      <c r="M119" s="0" t="e">
        <f aca="false">sheet1!arz120</f>
        <v>#NAME?</v>
      </c>
    </row>
    <row r="120" customFormat="false" ht="13.5" hidden="false" customHeight="false" outlineLevel="0" collapsed="false">
      <c r="A120" s="0" t="s">
        <v>85</v>
      </c>
      <c r="B120" s="1" t="n">
        <v>43980</v>
      </c>
      <c r="C120" s="0" t="e">
        <f aca="false">sheet1!arp121</f>
        <v>#NAME?</v>
      </c>
      <c r="D120" s="0" t="e">
        <f aca="false">sheet1!arq121</f>
        <v>#NAME?</v>
      </c>
      <c r="E120" s="0" t="e">
        <f aca="false">sheet1!arr121</f>
        <v>#NAME?</v>
      </c>
      <c r="F120" s="0" t="e">
        <f aca="false">sheet1!ars121</f>
        <v>#NAME?</v>
      </c>
      <c r="G120" s="0" t="e">
        <f aca="false">sheet1!art121</f>
        <v>#NAME?</v>
      </c>
      <c r="H120" s="0" t="e">
        <f aca="false">sheet1!aru121</f>
        <v>#NAME?</v>
      </c>
      <c r="I120" s="0" t="e">
        <f aca="false">sheet1!arv121</f>
        <v>#NAME?</v>
      </c>
      <c r="J120" s="0" t="e">
        <f aca="false">sheet1!arw121</f>
        <v>#NAME?</v>
      </c>
      <c r="K120" s="0" t="e">
        <f aca="false">sheet1!arx121</f>
        <v>#NAME?</v>
      </c>
      <c r="L120" s="0" t="e">
        <f aca="false">sheet1!ary121</f>
        <v>#NAME?</v>
      </c>
      <c r="M120" s="0" t="e">
        <f aca="false">sheet1!arz121</f>
        <v>#NAME?</v>
      </c>
    </row>
    <row r="121" customFormat="false" ht="13.5" hidden="false" customHeight="false" outlineLevel="0" collapsed="false">
      <c r="A121" s="0" t="s">
        <v>85</v>
      </c>
      <c r="B121" s="1" t="n">
        <v>43981</v>
      </c>
      <c r="C121" s="0" t="e">
        <f aca="false">sheet1!arp122</f>
        <v>#NAME?</v>
      </c>
      <c r="D121" s="0" t="e">
        <f aca="false">sheet1!arq122</f>
        <v>#NAME?</v>
      </c>
      <c r="E121" s="0" t="e">
        <f aca="false">sheet1!arr122</f>
        <v>#NAME?</v>
      </c>
      <c r="F121" s="0" t="e">
        <f aca="false">sheet1!ars122</f>
        <v>#NAME?</v>
      </c>
      <c r="G121" s="0" t="e">
        <f aca="false">sheet1!art122</f>
        <v>#NAME?</v>
      </c>
      <c r="H121" s="0" t="e">
        <f aca="false">sheet1!aru122</f>
        <v>#NAME?</v>
      </c>
      <c r="I121" s="0" t="e">
        <f aca="false">sheet1!arv122</f>
        <v>#NAME?</v>
      </c>
      <c r="J121" s="0" t="e">
        <f aca="false">sheet1!arw122</f>
        <v>#NAME?</v>
      </c>
      <c r="K121" s="0" t="e">
        <f aca="false">sheet1!arx122</f>
        <v>#NAME?</v>
      </c>
      <c r="L121" s="0" t="e">
        <f aca="false">sheet1!ary122</f>
        <v>#NAME?</v>
      </c>
      <c r="M121" s="0" t="e">
        <f aca="false">sheet1!arz122</f>
        <v>#NAME?</v>
      </c>
    </row>
    <row r="122" customFormat="false" ht="13.5" hidden="false" customHeight="false" outlineLevel="0" collapsed="false">
      <c r="A122" s="0" t="s">
        <v>85</v>
      </c>
      <c r="B122" s="1" t="n">
        <v>43982</v>
      </c>
      <c r="C122" s="0" t="e">
        <f aca="false">sheet1!arp123</f>
        <v>#NAME?</v>
      </c>
      <c r="D122" s="0" t="e">
        <f aca="false">sheet1!arq123</f>
        <v>#NAME?</v>
      </c>
      <c r="E122" s="0" t="e">
        <f aca="false">sheet1!arr123</f>
        <v>#NAME?</v>
      </c>
      <c r="F122" s="0" t="e">
        <f aca="false">sheet1!ars123</f>
        <v>#NAME?</v>
      </c>
      <c r="G122" s="0" t="e">
        <f aca="false">sheet1!art123</f>
        <v>#NAME?</v>
      </c>
      <c r="H122" s="0" t="e">
        <f aca="false">sheet1!aru123</f>
        <v>#NAME?</v>
      </c>
      <c r="I122" s="0" t="e">
        <f aca="false">sheet1!arv123</f>
        <v>#NAME?</v>
      </c>
      <c r="J122" s="0" t="e">
        <f aca="false">sheet1!arw123</f>
        <v>#NAME?</v>
      </c>
      <c r="K122" s="0" t="e">
        <f aca="false">sheet1!arx123</f>
        <v>#NAME?</v>
      </c>
      <c r="L122" s="0" t="e">
        <f aca="false">sheet1!ary123</f>
        <v>#NAME?</v>
      </c>
      <c r="M122" s="0" t="e">
        <f aca="false">sheet1!arz123</f>
        <v>#NAME?</v>
      </c>
    </row>
    <row r="123" customFormat="false" ht="13.5" hidden="false" customHeight="false" outlineLevel="0" collapsed="false">
      <c r="A123" s="0" t="s">
        <v>85</v>
      </c>
      <c r="B123" s="1" t="n">
        <v>43983</v>
      </c>
      <c r="C123" s="0" t="e">
        <f aca="false">sheet1!arp124</f>
        <v>#NAME?</v>
      </c>
      <c r="D123" s="0" t="e">
        <f aca="false">sheet1!arq124</f>
        <v>#NAME?</v>
      </c>
      <c r="E123" s="0" t="e">
        <f aca="false">sheet1!arr124</f>
        <v>#NAME?</v>
      </c>
      <c r="F123" s="0" t="e">
        <f aca="false">sheet1!ars124</f>
        <v>#NAME?</v>
      </c>
      <c r="G123" s="0" t="e">
        <f aca="false">sheet1!art124</f>
        <v>#NAME?</v>
      </c>
      <c r="H123" s="0" t="e">
        <f aca="false">sheet1!aru124</f>
        <v>#NAME?</v>
      </c>
      <c r="I123" s="0" t="e">
        <f aca="false">sheet1!arv124</f>
        <v>#NAME?</v>
      </c>
      <c r="J123" s="0" t="e">
        <f aca="false">sheet1!arw124</f>
        <v>#NAME?</v>
      </c>
      <c r="K123" s="0" t="e">
        <f aca="false">sheet1!arx124</f>
        <v>#NAME?</v>
      </c>
      <c r="L123" s="0" t="e">
        <f aca="false">sheet1!ary124</f>
        <v>#NAME?</v>
      </c>
      <c r="M123" s="0" t="e">
        <f aca="false">sheet1!arz124</f>
        <v>#NAME?</v>
      </c>
    </row>
    <row r="124" customFormat="false" ht="13.5" hidden="false" customHeight="false" outlineLevel="0" collapsed="false">
      <c r="A124" s="0" t="s">
        <v>85</v>
      </c>
      <c r="B124" s="1" t="n">
        <v>43984</v>
      </c>
      <c r="C124" s="0" t="e">
        <f aca="false">sheet1!arp125</f>
        <v>#NAME?</v>
      </c>
      <c r="D124" s="0" t="e">
        <f aca="false">sheet1!arq125</f>
        <v>#NAME?</v>
      </c>
      <c r="E124" s="0" t="e">
        <f aca="false">sheet1!arr125</f>
        <v>#NAME?</v>
      </c>
      <c r="F124" s="0" t="e">
        <f aca="false">sheet1!ars125</f>
        <v>#NAME?</v>
      </c>
      <c r="G124" s="0" t="e">
        <f aca="false">sheet1!art125</f>
        <v>#NAME?</v>
      </c>
      <c r="H124" s="0" t="e">
        <f aca="false">sheet1!aru125</f>
        <v>#NAME?</v>
      </c>
      <c r="I124" s="0" t="e">
        <f aca="false">sheet1!arv125</f>
        <v>#NAME?</v>
      </c>
      <c r="J124" s="0" t="e">
        <f aca="false">sheet1!arw125</f>
        <v>#NAME?</v>
      </c>
      <c r="K124" s="0" t="e">
        <f aca="false">sheet1!arx125</f>
        <v>#NAME?</v>
      </c>
      <c r="L124" s="0" t="e">
        <f aca="false">sheet1!ary125</f>
        <v>#NAME?</v>
      </c>
      <c r="M124" s="0" t="e">
        <f aca="false">sheet1!arz125</f>
        <v>#NAME?</v>
      </c>
    </row>
    <row r="125" customFormat="false" ht="13.5" hidden="false" customHeight="false" outlineLevel="0" collapsed="false">
      <c r="A125" s="0" t="s">
        <v>85</v>
      </c>
      <c r="B125" s="1" t="n">
        <v>43985</v>
      </c>
      <c r="C125" s="0" t="e">
        <f aca="false">sheet1!arp126</f>
        <v>#NAME?</v>
      </c>
      <c r="D125" s="0" t="e">
        <f aca="false">sheet1!arq126</f>
        <v>#NAME?</v>
      </c>
      <c r="E125" s="0" t="e">
        <f aca="false">sheet1!arr126</f>
        <v>#NAME?</v>
      </c>
      <c r="F125" s="0" t="e">
        <f aca="false">sheet1!ars126</f>
        <v>#NAME?</v>
      </c>
      <c r="G125" s="0" t="e">
        <f aca="false">sheet1!art126</f>
        <v>#NAME?</v>
      </c>
      <c r="H125" s="0" t="e">
        <f aca="false">sheet1!aru126</f>
        <v>#NAME?</v>
      </c>
      <c r="I125" s="0" t="e">
        <f aca="false">sheet1!arv126</f>
        <v>#NAME?</v>
      </c>
      <c r="J125" s="0" t="e">
        <f aca="false">sheet1!arw126</f>
        <v>#NAME?</v>
      </c>
      <c r="K125" s="0" t="e">
        <f aca="false">sheet1!arx126</f>
        <v>#NAME?</v>
      </c>
      <c r="L125" s="0" t="e">
        <f aca="false">sheet1!ary126</f>
        <v>#NAME?</v>
      </c>
      <c r="M125" s="0" t="e">
        <f aca="false">sheet1!arz126</f>
        <v>#NAME?</v>
      </c>
    </row>
    <row r="126" customFormat="false" ht="13.5" hidden="false" customHeight="false" outlineLevel="0" collapsed="false">
      <c r="A126" s="0" t="s">
        <v>85</v>
      </c>
      <c r="B126" s="1" t="n">
        <v>43986</v>
      </c>
      <c r="C126" s="0" t="e">
        <f aca="false">sheet1!arp127</f>
        <v>#NAME?</v>
      </c>
      <c r="D126" s="0" t="e">
        <f aca="false">sheet1!arq127</f>
        <v>#NAME?</v>
      </c>
      <c r="E126" s="0" t="e">
        <f aca="false">sheet1!arr127</f>
        <v>#NAME?</v>
      </c>
      <c r="F126" s="0" t="e">
        <f aca="false">sheet1!ars127</f>
        <v>#NAME?</v>
      </c>
      <c r="G126" s="0" t="e">
        <f aca="false">sheet1!art127</f>
        <v>#NAME?</v>
      </c>
      <c r="H126" s="0" t="e">
        <f aca="false">sheet1!aru127</f>
        <v>#NAME?</v>
      </c>
      <c r="I126" s="0" t="e">
        <f aca="false">sheet1!arv127</f>
        <v>#NAME?</v>
      </c>
      <c r="J126" s="0" t="e">
        <f aca="false">sheet1!arw127</f>
        <v>#NAME?</v>
      </c>
      <c r="K126" s="0" t="e">
        <f aca="false">sheet1!arx127</f>
        <v>#NAME?</v>
      </c>
      <c r="L126" s="0" t="e">
        <f aca="false">sheet1!ary127</f>
        <v>#NAME?</v>
      </c>
      <c r="M126" s="0" t="e">
        <f aca="false">sheet1!arz127</f>
        <v>#NAME?</v>
      </c>
    </row>
    <row r="127" customFormat="false" ht="13.5" hidden="false" customHeight="false" outlineLevel="0" collapsed="false">
      <c r="A127" s="0" t="s">
        <v>85</v>
      </c>
      <c r="B127" s="1" t="n">
        <v>43987</v>
      </c>
      <c r="C127" s="0" t="e">
        <f aca="false">sheet1!arp128</f>
        <v>#NAME?</v>
      </c>
      <c r="D127" s="0" t="e">
        <f aca="false">sheet1!arq128</f>
        <v>#NAME?</v>
      </c>
      <c r="E127" s="0" t="e">
        <f aca="false">sheet1!arr128</f>
        <v>#NAME?</v>
      </c>
      <c r="F127" s="0" t="e">
        <f aca="false">sheet1!ars128</f>
        <v>#NAME?</v>
      </c>
      <c r="G127" s="0" t="e">
        <f aca="false">sheet1!art128</f>
        <v>#NAME?</v>
      </c>
      <c r="H127" s="0" t="e">
        <f aca="false">sheet1!aru128</f>
        <v>#NAME?</v>
      </c>
      <c r="I127" s="0" t="e">
        <f aca="false">sheet1!arv128</f>
        <v>#NAME?</v>
      </c>
      <c r="J127" s="0" t="e">
        <f aca="false">sheet1!arw128</f>
        <v>#NAME?</v>
      </c>
      <c r="K127" s="0" t="e">
        <f aca="false">sheet1!arx128</f>
        <v>#NAME?</v>
      </c>
      <c r="L127" s="0" t="e">
        <f aca="false">sheet1!ary128</f>
        <v>#NAME?</v>
      </c>
      <c r="M127" s="0" t="e">
        <f aca="false">sheet1!arz128</f>
        <v>#NAME?</v>
      </c>
    </row>
    <row r="128" customFormat="false" ht="13.5" hidden="false" customHeight="false" outlineLevel="0" collapsed="false">
      <c r="A128" s="0" t="s">
        <v>85</v>
      </c>
      <c r="B128" s="1" t="n">
        <v>43988</v>
      </c>
      <c r="C128" s="0" t="e">
        <f aca="false">sheet1!arp129</f>
        <v>#NAME?</v>
      </c>
      <c r="D128" s="0" t="e">
        <f aca="false">sheet1!arq129</f>
        <v>#NAME?</v>
      </c>
      <c r="E128" s="0" t="e">
        <f aca="false">sheet1!arr129</f>
        <v>#NAME?</v>
      </c>
      <c r="F128" s="0" t="e">
        <f aca="false">sheet1!ars129</f>
        <v>#NAME?</v>
      </c>
      <c r="G128" s="0" t="e">
        <f aca="false">sheet1!art129</f>
        <v>#NAME?</v>
      </c>
      <c r="H128" s="0" t="e">
        <f aca="false">sheet1!aru129</f>
        <v>#NAME?</v>
      </c>
      <c r="I128" s="0" t="e">
        <f aca="false">sheet1!arv129</f>
        <v>#NAME?</v>
      </c>
      <c r="J128" s="0" t="e">
        <f aca="false">sheet1!arw129</f>
        <v>#NAME?</v>
      </c>
      <c r="K128" s="0" t="e">
        <f aca="false">sheet1!arx129</f>
        <v>#NAME?</v>
      </c>
      <c r="L128" s="0" t="e">
        <f aca="false">sheet1!ary129</f>
        <v>#NAME?</v>
      </c>
      <c r="M128" s="0" t="e">
        <f aca="false">sheet1!arz129</f>
        <v>#NAME?</v>
      </c>
    </row>
    <row r="129" customFormat="false" ht="13.5" hidden="false" customHeight="false" outlineLevel="0" collapsed="false">
      <c r="A129" s="0" t="s">
        <v>85</v>
      </c>
      <c r="B129" s="1" t="n">
        <v>43989</v>
      </c>
      <c r="C129" s="0" t="e">
        <f aca="false">sheet1!arp130</f>
        <v>#NAME?</v>
      </c>
      <c r="D129" s="0" t="e">
        <f aca="false">sheet1!arq130</f>
        <v>#NAME?</v>
      </c>
      <c r="E129" s="0" t="e">
        <f aca="false">sheet1!arr130</f>
        <v>#NAME?</v>
      </c>
      <c r="F129" s="0" t="e">
        <f aca="false">sheet1!ars130</f>
        <v>#NAME?</v>
      </c>
      <c r="G129" s="0" t="e">
        <f aca="false">sheet1!art130</f>
        <v>#NAME?</v>
      </c>
      <c r="H129" s="0" t="e">
        <f aca="false">sheet1!aru130</f>
        <v>#NAME?</v>
      </c>
      <c r="I129" s="0" t="e">
        <f aca="false">sheet1!arv130</f>
        <v>#NAME?</v>
      </c>
      <c r="J129" s="0" t="e">
        <f aca="false">sheet1!arw130</f>
        <v>#NAME?</v>
      </c>
      <c r="K129" s="0" t="e">
        <f aca="false">sheet1!arx130</f>
        <v>#NAME?</v>
      </c>
      <c r="L129" s="0" t="e">
        <f aca="false">sheet1!ary130</f>
        <v>#NAME?</v>
      </c>
      <c r="M129" s="0" t="e">
        <f aca="false">sheet1!arz130</f>
        <v>#NAME?</v>
      </c>
    </row>
    <row r="130" customFormat="false" ht="13.5" hidden="false" customHeight="false" outlineLevel="0" collapsed="false">
      <c r="A130" s="0" t="s">
        <v>85</v>
      </c>
      <c r="B130" s="1" t="n">
        <v>43990</v>
      </c>
      <c r="C130" s="0" t="e">
        <f aca="false">sheet1!arp131</f>
        <v>#NAME?</v>
      </c>
      <c r="D130" s="0" t="e">
        <f aca="false">sheet1!arq131</f>
        <v>#NAME?</v>
      </c>
      <c r="E130" s="0" t="e">
        <f aca="false">sheet1!arr131</f>
        <v>#NAME?</v>
      </c>
      <c r="F130" s="0" t="e">
        <f aca="false">sheet1!ars131</f>
        <v>#NAME?</v>
      </c>
      <c r="G130" s="0" t="e">
        <f aca="false">sheet1!art131</f>
        <v>#NAME?</v>
      </c>
      <c r="H130" s="0" t="e">
        <f aca="false">sheet1!aru131</f>
        <v>#NAME?</v>
      </c>
      <c r="I130" s="0" t="e">
        <f aca="false">sheet1!arv131</f>
        <v>#NAME?</v>
      </c>
      <c r="J130" s="0" t="e">
        <f aca="false">sheet1!arw131</f>
        <v>#NAME?</v>
      </c>
      <c r="K130" s="0" t="e">
        <f aca="false">sheet1!arx131</f>
        <v>#NAME?</v>
      </c>
      <c r="L130" s="0" t="e">
        <f aca="false">sheet1!ary131</f>
        <v>#NAME?</v>
      </c>
      <c r="M130" s="0" t="e">
        <f aca="false">sheet1!arz131</f>
        <v>#NAME?</v>
      </c>
    </row>
    <row r="131" customFormat="false" ht="13.5" hidden="false" customHeight="false" outlineLevel="0" collapsed="false">
      <c r="A131" s="0" t="s">
        <v>85</v>
      </c>
      <c r="B131" s="1" t="n">
        <v>43991</v>
      </c>
      <c r="C131" s="0" t="e">
        <f aca="false">sheet1!arp132</f>
        <v>#NAME?</v>
      </c>
      <c r="D131" s="0" t="e">
        <f aca="false">sheet1!arq132</f>
        <v>#NAME?</v>
      </c>
      <c r="E131" s="0" t="e">
        <f aca="false">sheet1!arr132</f>
        <v>#NAME?</v>
      </c>
      <c r="F131" s="0" t="e">
        <f aca="false">sheet1!ars132</f>
        <v>#NAME?</v>
      </c>
      <c r="G131" s="0" t="e">
        <f aca="false">sheet1!art132</f>
        <v>#NAME?</v>
      </c>
      <c r="H131" s="0" t="e">
        <f aca="false">sheet1!aru132</f>
        <v>#NAME?</v>
      </c>
      <c r="I131" s="0" t="e">
        <f aca="false">sheet1!arv132</f>
        <v>#NAME?</v>
      </c>
      <c r="J131" s="0" t="e">
        <f aca="false">sheet1!arw132</f>
        <v>#NAME?</v>
      </c>
      <c r="K131" s="0" t="e">
        <f aca="false">sheet1!arx132</f>
        <v>#NAME?</v>
      </c>
      <c r="L131" s="0" t="e">
        <f aca="false">sheet1!ary132</f>
        <v>#NAME?</v>
      </c>
      <c r="M131" s="0" t="e">
        <f aca="false">sheet1!arz132</f>
        <v>#NAME?</v>
      </c>
    </row>
    <row r="132" customFormat="false" ht="13.5" hidden="false" customHeight="false" outlineLevel="0" collapsed="false">
      <c r="A132" s="0" t="s">
        <v>85</v>
      </c>
      <c r="B132" s="1" t="n">
        <v>43992</v>
      </c>
      <c r="C132" s="0" t="e">
        <f aca="false">sheet1!arp133</f>
        <v>#NAME?</v>
      </c>
      <c r="D132" s="0" t="e">
        <f aca="false">sheet1!arq133</f>
        <v>#NAME?</v>
      </c>
      <c r="E132" s="0" t="e">
        <f aca="false">sheet1!arr133</f>
        <v>#NAME?</v>
      </c>
      <c r="F132" s="0" t="e">
        <f aca="false">sheet1!ars133</f>
        <v>#NAME?</v>
      </c>
      <c r="G132" s="0" t="e">
        <f aca="false">sheet1!art133</f>
        <v>#NAME?</v>
      </c>
      <c r="H132" s="0" t="e">
        <f aca="false">sheet1!aru133</f>
        <v>#NAME?</v>
      </c>
      <c r="I132" s="0" t="e">
        <f aca="false">sheet1!arv133</f>
        <v>#NAME?</v>
      </c>
      <c r="J132" s="0" t="e">
        <f aca="false">sheet1!arw133</f>
        <v>#NAME?</v>
      </c>
      <c r="K132" s="0" t="e">
        <f aca="false">sheet1!arx133</f>
        <v>#NAME?</v>
      </c>
      <c r="L132" s="0" t="e">
        <f aca="false">sheet1!ary133</f>
        <v>#NAME?</v>
      </c>
      <c r="M132" s="0" t="e">
        <f aca="false">sheet1!arz133</f>
        <v>#NAME?</v>
      </c>
    </row>
    <row r="133" customFormat="false" ht="13.5" hidden="false" customHeight="false" outlineLevel="0" collapsed="false">
      <c r="A133" s="0" t="s">
        <v>85</v>
      </c>
      <c r="B133" s="1" t="n">
        <v>43993</v>
      </c>
      <c r="C133" s="0" t="e">
        <f aca="false">sheet1!arp134</f>
        <v>#NAME?</v>
      </c>
      <c r="D133" s="0" t="e">
        <f aca="false">sheet1!arq134</f>
        <v>#NAME?</v>
      </c>
      <c r="E133" s="0" t="e">
        <f aca="false">sheet1!arr134</f>
        <v>#NAME?</v>
      </c>
      <c r="F133" s="0" t="e">
        <f aca="false">sheet1!ars134</f>
        <v>#NAME?</v>
      </c>
      <c r="G133" s="0" t="e">
        <f aca="false">sheet1!art134</f>
        <v>#NAME?</v>
      </c>
      <c r="H133" s="0" t="e">
        <f aca="false">sheet1!aru134</f>
        <v>#NAME?</v>
      </c>
      <c r="I133" s="0" t="e">
        <f aca="false">sheet1!arv134</f>
        <v>#NAME?</v>
      </c>
      <c r="J133" s="0" t="e">
        <f aca="false">sheet1!arw134</f>
        <v>#NAME?</v>
      </c>
      <c r="K133" s="0" t="e">
        <f aca="false">sheet1!arx134</f>
        <v>#NAME?</v>
      </c>
      <c r="L133" s="0" t="e">
        <f aca="false">sheet1!ary134</f>
        <v>#NAME?</v>
      </c>
      <c r="M133" s="0" t="e">
        <f aca="false">sheet1!arz134</f>
        <v>#NAME?</v>
      </c>
    </row>
    <row r="134" customFormat="false" ht="13.5" hidden="false" customHeight="false" outlineLevel="0" collapsed="false">
      <c r="A134" s="0" t="s">
        <v>85</v>
      </c>
      <c r="B134" s="1" t="n">
        <v>43994</v>
      </c>
      <c r="C134" s="0" t="e">
        <f aca="false">sheet1!arp135</f>
        <v>#NAME?</v>
      </c>
      <c r="D134" s="0" t="e">
        <f aca="false">sheet1!arq135</f>
        <v>#NAME?</v>
      </c>
      <c r="E134" s="0" t="e">
        <f aca="false">sheet1!arr135</f>
        <v>#NAME?</v>
      </c>
      <c r="F134" s="0" t="e">
        <f aca="false">sheet1!ars135</f>
        <v>#NAME?</v>
      </c>
      <c r="G134" s="0" t="e">
        <f aca="false">sheet1!art135</f>
        <v>#NAME?</v>
      </c>
      <c r="H134" s="0" t="e">
        <f aca="false">sheet1!aru135</f>
        <v>#NAME?</v>
      </c>
      <c r="I134" s="0" t="e">
        <f aca="false">sheet1!arv135</f>
        <v>#NAME?</v>
      </c>
      <c r="J134" s="0" t="e">
        <f aca="false">sheet1!arw135</f>
        <v>#NAME?</v>
      </c>
      <c r="K134" s="0" t="e">
        <f aca="false">sheet1!arx135</f>
        <v>#NAME?</v>
      </c>
      <c r="L134" s="0" t="e">
        <f aca="false">sheet1!ary135</f>
        <v>#NAME?</v>
      </c>
      <c r="M134" s="0" t="e">
        <f aca="false">sheet1!arz135</f>
        <v>#NAME?</v>
      </c>
    </row>
    <row r="135" customFormat="false" ht="13.5" hidden="false" customHeight="false" outlineLevel="0" collapsed="false">
      <c r="A135" s="0" t="s">
        <v>85</v>
      </c>
      <c r="B135" s="1" t="n">
        <v>43995</v>
      </c>
      <c r="C135" s="0" t="e">
        <f aca="false">sheet1!arp136</f>
        <v>#NAME?</v>
      </c>
      <c r="D135" s="0" t="e">
        <f aca="false">sheet1!arq136</f>
        <v>#NAME?</v>
      </c>
      <c r="E135" s="0" t="e">
        <f aca="false">sheet1!arr136</f>
        <v>#NAME?</v>
      </c>
      <c r="F135" s="0" t="e">
        <f aca="false">sheet1!ars136</f>
        <v>#NAME?</v>
      </c>
      <c r="G135" s="0" t="e">
        <f aca="false">sheet1!art136</f>
        <v>#NAME?</v>
      </c>
      <c r="H135" s="0" t="e">
        <f aca="false">sheet1!aru136</f>
        <v>#NAME?</v>
      </c>
      <c r="I135" s="0" t="e">
        <f aca="false">sheet1!arv136</f>
        <v>#NAME?</v>
      </c>
      <c r="J135" s="0" t="e">
        <f aca="false">sheet1!arw136</f>
        <v>#NAME?</v>
      </c>
      <c r="K135" s="0" t="e">
        <f aca="false">sheet1!arx136</f>
        <v>#NAME?</v>
      </c>
      <c r="L135" s="0" t="e">
        <f aca="false">sheet1!ary136</f>
        <v>#NAME?</v>
      </c>
      <c r="M135" s="0" t="e">
        <f aca="false">sheet1!arz136</f>
        <v>#NAME?</v>
      </c>
    </row>
    <row r="136" customFormat="false" ht="13.5" hidden="false" customHeight="false" outlineLevel="0" collapsed="false">
      <c r="A136" s="0" t="s">
        <v>85</v>
      </c>
      <c r="B136" s="1" t="n">
        <v>43996</v>
      </c>
      <c r="C136" s="0" t="e">
        <f aca="false">sheet1!arp137</f>
        <v>#NAME?</v>
      </c>
      <c r="D136" s="0" t="e">
        <f aca="false">sheet1!arq137</f>
        <v>#NAME?</v>
      </c>
      <c r="E136" s="0" t="e">
        <f aca="false">sheet1!arr137</f>
        <v>#NAME?</v>
      </c>
      <c r="F136" s="0" t="e">
        <f aca="false">sheet1!ars137</f>
        <v>#NAME?</v>
      </c>
      <c r="G136" s="0" t="e">
        <f aca="false">sheet1!art137</f>
        <v>#NAME?</v>
      </c>
      <c r="H136" s="0" t="e">
        <f aca="false">sheet1!aru137</f>
        <v>#NAME?</v>
      </c>
      <c r="I136" s="0" t="e">
        <f aca="false">sheet1!arv137</f>
        <v>#NAME?</v>
      </c>
      <c r="J136" s="0" t="e">
        <f aca="false">sheet1!arw137</f>
        <v>#NAME?</v>
      </c>
      <c r="K136" s="0" t="e">
        <f aca="false">sheet1!arx137</f>
        <v>#NAME?</v>
      </c>
      <c r="L136" s="0" t="e">
        <f aca="false">sheet1!ary137</f>
        <v>#NAME?</v>
      </c>
      <c r="M136" s="0" t="e">
        <f aca="false">sheet1!arz137</f>
        <v>#NAME?</v>
      </c>
    </row>
    <row r="137" customFormat="false" ht="13.5" hidden="false" customHeight="false" outlineLevel="0" collapsed="false">
      <c r="A137" s="0" t="s">
        <v>85</v>
      </c>
      <c r="B137" s="1" t="n">
        <v>43997</v>
      </c>
      <c r="C137" s="0" t="e">
        <f aca="false">sheet1!arp138</f>
        <v>#NAME?</v>
      </c>
      <c r="D137" s="0" t="e">
        <f aca="false">sheet1!arq138</f>
        <v>#NAME?</v>
      </c>
      <c r="E137" s="0" t="e">
        <f aca="false">sheet1!arr138</f>
        <v>#NAME?</v>
      </c>
      <c r="F137" s="0" t="e">
        <f aca="false">sheet1!ars138</f>
        <v>#NAME?</v>
      </c>
      <c r="G137" s="0" t="e">
        <f aca="false">sheet1!art138</f>
        <v>#NAME?</v>
      </c>
      <c r="H137" s="0" t="e">
        <f aca="false">sheet1!aru138</f>
        <v>#NAME?</v>
      </c>
      <c r="I137" s="0" t="e">
        <f aca="false">sheet1!arv138</f>
        <v>#NAME?</v>
      </c>
      <c r="J137" s="0" t="e">
        <f aca="false">sheet1!arw138</f>
        <v>#NAME?</v>
      </c>
      <c r="K137" s="0" t="e">
        <f aca="false">sheet1!arx138</f>
        <v>#NAME?</v>
      </c>
      <c r="L137" s="0" t="e">
        <f aca="false">sheet1!ary138</f>
        <v>#NAME?</v>
      </c>
      <c r="M137" s="0" t="e">
        <f aca="false">sheet1!arz138</f>
        <v>#NAME?</v>
      </c>
    </row>
    <row r="138" customFormat="false" ht="13.5" hidden="false" customHeight="false" outlineLevel="0" collapsed="false">
      <c r="A138" s="0" t="s">
        <v>85</v>
      </c>
      <c r="B138" s="1" t="n">
        <v>43998</v>
      </c>
      <c r="C138" s="0" t="e">
        <f aca="false">sheet1!arp139</f>
        <v>#NAME?</v>
      </c>
      <c r="D138" s="0" t="e">
        <f aca="false">sheet1!arq139</f>
        <v>#NAME?</v>
      </c>
      <c r="E138" s="0" t="e">
        <f aca="false">sheet1!arr139</f>
        <v>#NAME?</v>
      </c>
      <c r="F138" s="0" t="e">
        <f aca="false">sheet1!ars139</f>
        <v>#NAME?</v>
      </c>
      <c r="G138" s="0" t="e">
        <f aca="false">sheet1!art139</f>
        <v>#NAME?</v>
      </c>
      <c r="H138" s="0" t="e">
        <f aca="false">sheet1!aru139</f>
        <v>#NAME?</v>
      </c>
      <c r="I138" s="0" t="e">
        <f aca="false">sheet1!arv139</f>
        <v>#NAME?</v>
      </c>
      <c r="J138" s="0" t="e">
        <f aca="false">sheet1!arw139</f>
        <v>#NAME?</v>
      </c>
      <c r="K138" s="0" t="e">
        <f aca="false">sheet1!arx139</f>
        <v>#NAME?</v>
      </c>
      <c r="L138" s="0" t="e">
        <f aca="false">sheet1!ary139</f>
        <v>#NAME?</v>
      </c>
      <c r="M138" s="0" t="e">
        <f aca="false">sheet1!arz139</f>
        <v>#NAME?</v>
      </c>
    </row>
    <row r="139" customFormat="false" ht="13.5" hidden="false" customHeight="false" outlineLevel="0" collapsed="false">
      <c r="A139" s="0" t="s">
        <v>85</v>
      </c>
      <c r="B139" s="1" t="n">
        <v>43999</v>
      </c>
      <c r="C139" s="0" t="e">
        <f aca="false">sheet1!arp140</f>
        <v>#NAME?</v>
      </c>
      <c r="D139" s="0" t="e">
        <f aca="false">sheet1!arq140</f>
        <v>#NAME?</v>
      </c>
      <c r="E139" s="0" t="e">
        <f aca="false">sheet1!arr140</f>
        <v>#NAME?</v>
      </c>
      <c r="F139" s="0" t="e">
        <f aca="false">sheet1!ars140</f>
        <v>#NAME?</v>
      </c>
      <c r="G139" s="0" t="e">
        <f aca="false">sheet1!art140</f>
        <v>#NAME?</v>
      </c>
      <c r="H139" s="0" t="e">
        <f aca="false">sheet1!aru140</f>
        <v>#NAME?</v>
      </c>
      <c r="I139" s="0" t="e">
        <f aca="false">sheet1!arv140</f>
        <v>#NAME?</v>
      </c>
      <c r="J139" s="0" t="e">
        <f aca="false">sheet1!arw140</f>
        <v>#NAME?</v>
      </c>
      <c r="K139" s="0" t="e">
        <f aca="false">sheet1!arx140</f>
        <v>#NAME?</v>
      </c>
      <c r="L139" s="0" t="e">
        <f aca="false">sheet1!ary140</f>
        <v>#NAME?</v>
      </c>
      <c r="M139" s="0" t="e">
        <f aca="false">sheet1!arz140</f>
        <v>#NAME?</v>
      </c>
    </row>
    <row r="140" customFormat="false" ht="13.5" hidden="false" customHeight="false" outlineLevel="0" collapsed="false">
      <c r="A140" s="0" t="s">
        <v>85</v>
      </c>
      <c r="B140" s="1" t="n">
        <v>44000</v>
      </c>
      <c r="C140" s="0" t="e">
        <f aca="false">sheet1!arp141</f>
        <v>#NAME?</v>
      </c>
      <c r="D140" s="0" t="e">
        <f aca="false">sheet1!arq141</f>
        <v>#NAME?</v>
      </c>
      <c r="E140" s="0" t="e">
        <f aca="false">sheet1!arr141</f>
        <v>#NAME?</v>
      </c>
      <c r="F140" s="0" t="e">
        <f aca="false">sheet1!ars141</f>
        <v>#NAME?</v>
      </c>
      <c r="G140" s="0" t="e">
        <f aca="false">sheet1!art141</f>
        <v>#NAME?</v>
      </c>
      <c r="H140" s="0" t="e">
        <f aca="false">sheet1!aru141</f>
        <v>#NAME?</v>
      </c>
      <c r="I140" s="0" t="e">
        <f aca="false">sheet1!arv141</f>
        <v>#NAME?</v>
      </c>
      <c r="J140" s="0" t="e">
        <f aca="false">sheet1!arw141</f>
        <v>#NAME?</v>
      </c>
      <c r="K140" s="0" t="e">
        <f aca="false">sheet1!arx141</f>
        <v>#NAME?</v>
      </c>
      <c r="L140" s="0" t="e">
        <f aca="false">sheet1!ary141</f>
        <v>#NAME?</v>
      </c>
      <c r="M140" s="0" t="e">
        <f aca="false">sheet1!arz141</f>
        <v>#NAME?</v>
      </c>
    </row>
    <row r="141" customFormat="false" ht="13.5" hidden="false" customHeight="false" outlineLevel="0" collapsed="false">
      <c r="A141" s="0" t="s">
        <v>85</v>
      </c>
      <c r="B141" s="1" t="n">
        <v>44001</v>
      </c>
      <c r="C141" s="0" t="e">
        <f aca="false">sheet1!arp142</f>
        <v>#NAME?</v>
      </c>
      <c r="D141" s="0" t="e">
        <f aca="false">sheet1!arq142</f>
        <v>#NAME?</v>
      </c>
      <c r="E141" s="0" t="e">
        <f aca="false">sheet1!arr142</f>
        <v>#NAME?</v>
      </c>
      <c r="F141" s="0" t="e">
        <f aca="false">sheet1!ars142</f>
        <v>#NAME?</v>
      </c>
      <c r="G141" s="0" t="e">
        <f aca="false">sheet1!art142</f>
        <v>#NAME?</v>
      </c>
      <c r="H141" s="0" t="e">
        <f aca="false">sheet1!aru142</f>
        <v>#NAME?</v>
      </c>
      <c r="I141" s="0" t="e">
        <f aca="false">sheet1!arv142</f>
        <v>#NAME?</v>
      </c>
      <c r="J141" s="0" t="e">
        <f aca="false">sheet1!arw142</f>
        <v>#NAME?</v>
      </c>
      <c r="K141" s="0" t="e">
        <f aca="false">sheet1!arx142</f>
        <v>#NAME?</v>
      </c>
      <c r="L141" s="0" t="e">
        <f aca="false">sheet1!ary142</f>
        <v>#NAME?</v>
      </c>
      <c r="M141" s="0" t="e">
        <f aca="false">sheet1!arz142</f>
        <v>#NAME?</v>
      </c>
    </row>
    <row r="142" customFormat="false" ht="13.5" hidden="false" customHeight="false" outlineLevel="0" collapsed="false">
      <c r="A142" s="0" t="s">
        <v>85</v>
      </c>
      <c r="B142" s="1" t="n">
        <v>44002</v>
      </c>
      <c r="C142" s="0" t="e">
        <f aca="false">sheet1!arp143</f>
        <v>#NAME?</v>
      </c>
      <c r="D142" s="0" t="e">
        <f aca="false">sheet1!arq143</f>
        <v>#NAME?</v>
      </c>
      <c r="E142" s="0" t="e">
        <f aca="false">sheet1!arr143</f>
        <v>#NAME?</v>
      </c>
      <c r="F142" s="0" t="e">
        <f aca="false">sheet1!ars143</f>
        <v>#NAME?</v>
      </c>
      <c r="G142" s="0" t="e">
        <f aca="false">sheet1!art143</f>
        <v>#NAME?</v>
      </c>
      <c r="H142" s="0" t="e">
        <f aca="false">sheet1!aru143</f>
        <v>#NAME?</v>
      </c>
      <c r="I142" s="0" t="e">
        <f aca="false">sheet1!arv143</f>
        <v>#NAME?</v>
      </c>
      <c r="J142" s="0" t="e">
        <f aca="false">sheet1!arw143</f>
        <v>#NAME?</v>
      </c>
      <c r="K142" s="0" t="e">
        <f aca="false">sheet1!arx143</f>
        <v>#NAME?</v>
      </c>
      <c r="L142" s="0" t="e">
        <f aca="false">sheet1!ary143</f>
        <v>#NAME?</v>
      </c>
      <c r="M142" s="0" t="e">
        <f aca="false">sheet1!arz143</f>
        <v>#NAME?</v>
      </c>
    </row>
    <row r="143" customFormat="false" ht="13.5" hidden="false" customHeight="false" outlineLevel="0" collapsed="false">
      <c r="A143" s="0" t="s">
        <v>85</v>
      </c>
      <c r="B143" s="1" t="n">
        <v>44003</v>
      </c>
      <c r="C143" s="0" t="e">
        <f aca="false">sheet1!arp144</f>
        <v>#NAME?</v>
      </c>
      <c r="D143" s="0" t="e">
        <f aca="false">sheet1!arq144</f>
        <v>#NAME?</v>
      </c>
      <c r="E143" s="0" t="e">
        <f aca="false">sheet1!arr144</f>
        <v>#NAME?</v>
      </c>
      <c r="F143" s="0" t="e">
        <f aca="false">sheet1!ars144</f>
        <v>#NAME?</v>
      </c>
      <c r="G143" s="0" t="e">
        <f aca="false">sheet1!art144</f>
        <v>#NAME?</v>
      </c>
      <c r="H143" s="0" t="e">
        <f aca="false">sheet1!aru144</f>
        <v>#NAME?</v>
      </c>
      <c r="I143" s="0" t="e">
        <f aca="false">sheet1!arv144</f>
        <v>#NAME?</v>
      </c>
      <c r="J143" s="0" t="e">
        <f aca="false">sheet1!arw144</f>
        <v>#NAME?</v>
      </c>
      <c r="K143" s="0" t="e">
        <f aca="false">sheet1!arx144</f>
        <v>#NAME?</v>
      </c>
      <c r="L143" s="0" t="e">
        <f aca="false">sheet1!ary144</f>
        <v>#NAME?</v>
      </c>
      <c r="M143" s="0" t="e">
        <f aca="false">sheet1!arz144</f>
        <v>#NAME?</v>
      </c>
    </row>
    <row r="144" customFormat="false" ht="13.5" hidden="false" customHeight="false" outlineLevel="0" collapsed="false">
      <c r="A144" s="0" t="s">
        <v>85</v>
      </c>
      <c r="B144" s="1" t="n">
        <v>44004</v>
      </c>
      <c r="C144" s="0" t="e">
        <f aca="false">sheet1!arp145</f>
        <v>#NAME?</v>
      </c>
      <c r="D144" s="0" t="e">
        <f aca="false">sheet1!arq145</f>
        <v>#NAME?</v>
      </c>
      <c r="E144" s="0" t="e">
        <f aca="false">sheet1!arr145</f>
        <v>#NAME?</v>
      </c>
      <c r="F144" s="0" t="e">
        <f aca="false">sheet1!ars145</f>
        <v>#NAME?</v>
      </c>
      <c r="G144" s="0" t="e">
        <f aca="false">sheet1!art145</f>
        <v>#NAME?</v>
      </c>
      <c r="H144" s="0" t="e">
        <f aca="false">sheet1!aru145</f>
        <v>#NAME?</v>
      </c>
      <c r="I144" s="0" t="e">
        <f aca="false">sheet1!arv145</f>
        <v>#NAME?</v>
      </c>
      <c r="J144" s="0" t="e">
        <f aca="false">sheet1!arw145</f>
        <v>#NAME?</v>
      </c>
      <c r="K144" s="0" t="e">
        <f aca="false">sheet1!arx145</f>
        <v>#NAME?</v>
      </c>
      <c r="L144" s="0" t="e">
        <f aca="false">sheet1!ary145</f>
        <v>#NAME?</v>
      </c>
      <c r="M144" s="0" t="e">
        <f aca="false">sheet1!arz145</f>
        <v>#NAME?</v>
      </c>
    </row>
    <row r="145" customFormat="false" ht="13.5" hidden="false" customHeight="false" outlineLevel="0" collapsed="false">
      <c r="A145" s="0" t="s">
        <v>85</v>
      </c>
      <c r="B145" s="1" t="n">
        <v>44005</v>
      </c>
      <c r="C145" s="0" t="e">
        <f aca="false">sheet1!arp146</f>
        <v>#NAME?</v>
      </c>
      <c r="D145" s="0" t="e">
        <f aca="false">sheet1!arq146</f>
        <v>#NAME?</v>
      </c>
      <c r="E145" s="0" t="e">
        <f aca="false">sheet1!arr146</f>
        <v>#NAME?</v>
      </c>
      <c r="F145" s="0" t="e">
        <f aca="false">sheet1!ars146</f>
        <v>#NAME?</v>
      </c>
      <c r="G145" s="0" t="e">
        <f aca="false">sheet1!art146</f>
        <v>#NAME?</v>
      </c>
      <c r="H145" s="0" t="e">
        <f aca="false">sheet1!aru146</f>
        <v>#NAME?</v>
      </c>
      <c r="I145" s="0" t="e">
        <f aca="false">sheet1!arv146</f>
        <v>#NAME?</v>
      </c>
      <c r="J145" s="0" t="e">
        <f aca="false">sheet1!arw146</f>
        <v>#NAME?</v>
      </c>
      <c r="K145" s="0" t="e">
        <f aca="false">sheet1!arx146</f>
        <v>#NAME?</v>
      </c>
      <c r="L145" s="0" t="e">
        <f aca="false">sheet1!ary146</f>
        <v>#NAME?</v>
      </c>
      <c r="M145" s="0" t="e">
        <f aca="false">sheet1!arz146</f>
        <v>#NAME?</v>
      </c>
    </row>
    <row r="146" customFormat="false" ht="13.5" hidden="false" customHeight="false" outlineLevel="0" collapsed="false">
      <c r="A146" s="0" t="s">
        <v>85</v>
      </c>
      <c r="B146" s="1" t="n">
        <v>44006</v>
      </c>
      <c r="C146" s="0" t="e">
        <f aca="false">sheet1!arp147</f>
        <v>#NAME?</v>
      </c>
      <c r="D146" s="0" t="e">
        <f aca="false">sheet1!arq147</f>
        <v>#NAME?</v>
      </c>
      <c r="E146" s="0" t="e">
        <f aca="false">sheet1!arr147</f>
        <v>#NAME?</v>
      </c>
      <c r="F146" s="0" t="e">
        <f aca="false">sheet1!ars147</f>
        <v>#NAME?</v>
      </c>
      <c r="G146" s="0" t="e">
        <f aca="false">sheet1!art147</f>
        <v>#NAME?</v>
      </c>
      <c r="H146" s="0" t="e">
        <f aca="false">sheet1!aru147</f>
        <v>#NAME?</v>
      </c>
      <c r="I146" s="0" t="e">
        <f aca="false">sheet1!arv147</f>
        <v>#NAME?</v>
      </c>
      <c r="J146" s="0" t="e">
        <f aca="false">sheet1!arw147</f>
        <v>#NAME?</v>
      </c>
      <c r="K146" s="0" t="e">
        <f aca="false">sheet1!arx147</f>
        <v>#NAME?</v>
      </c>
      <c r="L146" s="0" t="e">
        <f aca="false">sheet1!ary147</f>
        <v>#NAME?</v>
      </c>
      <c r="M146" s="0" t="e">
        <f aca="false">sheet1!arz147</f>
        <v>#NAME?</v>
      </c>
    </row>
    <row r="147" customFormat="false" ht="13.5" hidden="false" customHeight="false" outlineLevel="0" collapsed="false">
      <c r="A147" s="0" t="s">
        <v>85</v>
      </c>
      <c r="B147" s="1" t="n">
        <v>44007</v>
      </c>
      <c r="C147" s="0" t="e">
        <f aca="false">sheet1!arp148</f>
        <v>#NAME?</v>
      </c>
      <c r="D147" s="0" t="e">
        <f aca="false">sheet1!arq148</f>
        <v>#NAME?</v>
      </c>
      <c r="E147" s="0" t="e">
        <f aca="false">sheet1!arr148</f>
        <v>#NAME?</v>
      </c>
      <c r="F147" s="0" t="e">
        <f aca="false">sheet1!ars148</f>
        <v>#NAME?</v>
      </c>
      <c r="G147" s="0" t="e">
        <f aca="false">sheet1!art148</f>
        <v>#NAME?</v>
      </c>
      <c r="H147" s="0" t="e">
        <f aca="false">sheet1!aru148</f>
        <v>#NAME?</v>
      </c>
      <c r="I147" s="0" t="e">
        <f aca="false">sheet1!arv148</f>
        <v>#NAME?</v>
      </c>
      <c r="J147" s="0" t="e">
        <f aca="false">sheet1!arw148</f>
        <v>#NAME?</v>
      </c>
      <c r="K147" s="0" t="e">
        <f aca="false">sheet1!arx148</f>
        <v>#NAME?</v>
      </c>
      <c r="L147" s="0" t="e">
        <f aca="false">sheet1!ary148</f>
        <v>#NAME?</v>
      </c>
      <c r="M147" s="0" t="e">
        <f aca="false">sheet1!arz148</f>
        <v>#NAME?</v>
      </c>
    </row>
    <row r="148" customFormat="false" ht="13.5" hidden="false" customHeight="false" outlineLevel="0" collapsed="false">
      <c r="A148" s="0" t="s">
        <v>85</v>
      </c>
      <c r="B148" s="1" t="n">
        <v>44008</v>
      </c>
      <c r="C148" s="0" t="e">
        <f aca="false">sheet1!arp149</f>
        <v>#NAME?</v>
      </c>
      <c r="D148" s="0" t="e">
        <f aca="false">sheet1!arq149</f>
        <v>#NAME?</v>
      </c>
      <c r="E148" s="0" t="e">
        <f aca="false">sheet1!arr149</f>
        <v>#NAME?</v>
      </c>
      <c r="F148" s="0" t="e">
        <f aca="false">sheet1!ars149</f>
        <v>#NAME?</v>
      </c>
      <c r="G148" s="0" t="e">
        <f aca="false">sheet1!art149</f>
        <v>#NAME?</v>
      </c>
      <c r="H148" s="0" t="e">
        <f aca="false">sheet1!aru149</f>
        <v>#NAME?</v>
      </c>
      <c r="I148" s="0" t="e">
        <f aca="false">sheet1!arv149</f>
        <v>#NAME?</v>
      </c>
      <c r="J148" s="0" t="e">
        <f aca="false">sheet1!arw149</f>
        <v>#NAME?</v>
      </c>
      <c r="K148" s="0" t="e">
        <f aca="false">sheet1!arx149</f>
        <v>#NAME?</v>
      </c>
      <c r="L148" s="0" t="e">
        <f aca="false">sheet1!ary149</f>
        <v>#NAME?</v>
      </c>
      <c r="M148" s="0" t="e">
        <f aca="false">sheet1!arz149</f>
        <v>#NAME?</v>
      </c>
    </row>
    <row r="149" customFormat="false" ht="13.5" hidden="false" customHeight="false" outlineLevel="0" collapsed="false">
      <c r="A149" s="0" t="s">
        <v>85</v>
      </c>
      <c r="B149" s="1" t="n">
        <v>44009</v>
      </c>
      <c r="C149" s="0" t="e">
        <f aca="false">sheet1!arp150</f>
        <v>#NAME?</v>
      </c>
      <c r="D149" s="0" t="e">
        <f aca="false">sheet1!arq150</f>
        <v>#NAME?</v>
      </c>
      <c r="E149" s="0" t="e">
        <f aca="false">sheet1!arr150</f>
        <v>#NAME?</v>
      </c>
      <c r="F149" s="0" t="e">
        <f aca="false">sheet1!ars150</f>
        <v>#NAME?</v>
      </c>
      <c r="G149" s="0" t="e">
        <f aca="false">sheet1!art150</f>
        <v>#NAME?</v>
      </c>
      <c r="H149" s="0" t="e">
        <f aca="false">sheet1!aru150</f>
        <v>#NAME?</v>
      </c>
      <c r="I149" s="0" t="e">
        <f aca="false">sheet1!arv150</f>
        <v>#NAME?</v>
      </c>
      <c r="J149" s="0" t="e">
        <f aca="false">sheet1!arw150</f>
        <v>#NAME?</v>
      </c>
      <c r="K149" s="0" t="e">
        <f aca="false">sheet1!arx150</f>
        <v>#NAME?</v>
      </c>
      <c r="L149" s="0" t="e">
        <f aca="false">sheet1!ary150</f>
        <v>#NAME?</v>
      </c>
      <c r="M149" s="0" t="e">
        <f aca="false">sheet1!arz150</f>
        <v>#NAME?</v>
      </c>
    </row>
    <row r="150" customFormat="false" ht="13.5" hidden="false" customHeight="false" outlineLevel="0" collapsed="false">
      <c r="A150" s="0" t="s">
        <v>85</v>
      </c>
      <c r="B150" s="1" t="n">
        <v>44010</v>
      </c>
      <c r="C150" s="0" t="e">
        <f aca="false">sheet1!arp151</f>
        <v>#NAME?</v>
      </c>
      <c r="D150" s="0" t="e">
        <f aca="false">sheet1!arq151</f>
        <v>#NAME?</v>
      </c>
      <c r="E150" s="0" t="e">
        <f aca="false">sheet1!arr151</f>
        <v>#NAME?</v>
      </c>
      <c r="F150" s="0" t="e">
        <f aca="false">sheet1!ars151</f>
        <v>#NAME?</v>
      </c>
      <c r="G150" s="0" t="e">
        <f aca="false">sheet1!art151</f>
        <v>#NAME?</v>
      </c>
      <c r="H150" s="0" t="e">
        <f aca="false">sheet1!aru151</f>
        <v>#NAME?</v>
      </c>
      <c r="I150" s="0" t="e">
        <f aca="false">sheet1!arv151</f>
        <v>#NAME?</v>
      </c>
      <c r="J150" s="0" t="e">
        <f aca="false">sheet1!arw151</f>
        <v>#NAME?</v>
      </c>
      <c r="K150" s="0" t="e">
        <f aca="false">sheet1!arx151</f>
        <v>#NAME?</v>
      </c>
      <c r="L150" s="0" t="e">
        <f aca="false">sheet1!ary151</f>
        <v>#NAME?</v>
      </c>
      <c r="M150" s="0" t="e">
        <f aca="false">sheet1!arz151</f>
        <v>#NAME?</v>
      </c>
    </row>
    <row r="151" customFormat="false" ht="13.5" hidden="false" customHeight="false" outlineLevel="0" collapsed="false">
      <c r="A151" s="0" t="s">
        <v>85</v>
      </c>
      <c r="B151" s="1" t="n">
        <v>44011</v>
      </c>
      <c r="C151" s="0" t="e">
        <f aca="false">sheet1!arp152</f>
        <v>#NAME?</v>
      </c>
      <c r="D151" s="0" t="e">
        <f aca="false">sheet1!arq152</f>
        <v>#NAME?</v>
      </c>
      <c r="E151" s="0" t="e">
        <f aca="false">sheet1!arr152</f>
        <v>#NAME?</v>
      </c>
      <c r="F151" s="0" t="e">
        <f aca="false">sheet1!ars152</f>
        <v>#NAME?</v>
      </c>
      <c r="G151" s="0" t="e">
        <f aca="false">sheet1!art152</f>
        <v>#NAME?</v>
      </c>
      <c r="H151" s="0" t="e">
        <f aca="false">sheet1!aru152</f>
        <v>#NAME?</v>
      </c>
      <c r="I151" s="0" t="e">
        <f aca="false">sheet1!arv152</f>
        <v>#NAME?</v>
      </c>
      <c r="J151" s="0" t="e">
        <f aca="false">sheet1!arw152</f>
        <v>#NAME?</v>
      </c>
      <c r="K151" s="0" t="e">
        <f aca="false">sheet1!arx152</f>
        <v>#NAME?</v>
      </c>
      <c r="L151" s="0" t="e">
        <f aca="false">sheet1!ary152</f>
        <v>#NAME?</v>
      </c>
      <c r="M151" s="0" t="e">
        <f aca="false">sheet1!arz152</f>
        <v>#NAME?</v>
      </c>
    </row>
    <row r="152" customFormat="false" ht="13.5" hidden="false" customHeight="false" outlineLevel="0" collapsed="false">
      <c r="A152" s="0" t="s">
        <v>85</v>
      </c>
      <c r="B152" s="1" t="n">
        <v>44012</v>
      </c>
      <c r="C152" s="0" t="e">
        <f aca="false">sheet1!arp153</f>
        <v>#NAME?</v>
      </c>
      <c r="D152" s="0" t="e">
        <f aca="false">sheet1!arq153</f>
        <v>#NAME?</v>
      </c>
      <c r="E152" s="0" t="e">
        <f aca="false">sheet1!arr153</f>
        <v>#NAME?</v>
      </c>
      <c r="F152" s="0" t="e">
        <f aca="false">sheet1!ars153</f>
        <v>#NAME?</v>
      </c>
      <c r="G152" s="0" t="e">
        <f aca="false">sheet1!art153</f>
        <v>#NAME?</v>
      </c>
      <c r="H152" s="0" t="e">
        <f aca="false">sheet1!aru153</f>
        <v>#NAME?</v>
      </c>
      <c r="I152" s="0" t="e">
        <f aca="false">sheet1!arv153</f>
        <v>#NAME?</v>
      </c>
      <c r="J152" s="0" t="e">
        <f aca="false">sheet1!arw153</f>
        <v>#NAME?</v>
      </c>
      <c r="K152" s="0" t="e">
        <f aca="false">sheet1!arx153</f>
        <v>#NAME?</v>
      </c>
      <c r="L152" s="0" t="e">
        <f aca="false">sheet1!ary153</f>
        <v>#NAME?</v>
      </c>
      <c r="M152" s="0" t="e">
        <f aca="false">sheet1!arz153</f>
        <v>#NAME?</v>
      </c>
    </row>
    <row r="153" customFormat="false" ht="13.5" hidden="false" customHeight="false" outlineLevel="0" collapsed="false">
      <c r="A153" s="0" t="s">
        <v>85</v>
      </c>
      <c r="B153" s="1" t="n">
        <v>44013</v>
      </c>
      <c r="C153" s="0" t="e">
        <f aca="false">sheet1!arp154</f>
        <v>#NAME?</v>
      </c>
      <c r="D153" s="0" t="e">
        <f aca="false">sheet1!arq154</f>
        <v>#NAME?</v>
      </c>
      <c r="E153" s="0" t="e">
        <f aca="false">sheet1!arr154</f>
        <v>#NAME?</v>
      </c>
      <c r="F153" s="0" t="e">
        <f aca="false">sheet1!ars154</f>
        <v>#NAME?</v>
      </c>
      <c r="G153" s="0" t="e">
        <f aca="false">sheet1!art154</f>
        <v>#NAME?</v>
      </c>
      <c r="H153" s="0" t="e">
        <f aca="false">sheet1!aru154</f>
        <v>#NAME?</v>
      </c>
      <c r="I153" s="0" t="e">
        <f aca="false">sheet1!arv154</f>
        <v>#NAME?</v>
      </c>
      <c r="J153" s="0" t="e">
        <f aca="false">sheet1!arw154</f>
        <v>#NAME?</v>
      </c>
      <c r="K153" s="0" t="e">
        <f aca="false">sheet1!arx154</f>
        <v>#NAME?</v>
      </c>
      <c r="L153" s="0" t="e">
        <f aca="false">sheet1!ary154</f>
        <v>#NAME?</v>
      </c>
      <c r="M153" s="0" t="e">
        <f aca="false">sheet1!arz154</f>
        <v>#NAME?</v>
      </c>
    </row>
    <row r="154" customFormat="false" ht="13.5" hidden="false" customHeight="false" outlineLevel="0" collapsed="false">
      <c r="A154" s="0" t="s">
        <v>85</v>
      </c>
      <c r="B154" s="1" t="n">
        <v>44014</v>
      </c>
      <c r="C154" s="0" t="e">
        <f aca="false">sheet1!arp155</f>
        <v>#NAME?</v>
      </c>
      <c r="D154" s="0" t="e">
        <f aca="false">sheet1!arq155</f>
        <v>#NAME?</v>
      </c>
      <c r="E154" s="0" t="e">
        <f aca="false">sheet1!arr155</f>
        <v>#NAME?</v>
      </c>
      <c r="F154" s="0" t="e">
        <f aca="false">sheet1!ars155</f>
        <v>#NAME?</v>
      </c>
      <c r="G154" s="0" t="e">
        <f aca="false">sheet1!art155</f>
        <v>#NAME?</v>
      </c>
      <c r="H154" s="0" t="e">
        <f aca="false">sheet1!aru155</f>
        <v>#NAME?</v>
      </c>
      <c r="I154" s="0" t="e">
        <f aca="false">sheet1!arv155</f>
        <v>#NAME?</v>
      </c>
      <c r="J154" s="0" t="e">
        <f aca="false">sheet1!arw155</f>
        <v>#NAME?</v>
      </c>
      <c r="K154" s="0" t="e">
        <f aca="false">sheet1!arx155</f>
        <v>#NAME?</v>
      </c>
      <c r="L154" s="0" t="e">
        <f aca="false">sheet1!ary155</f>
        <v>#NAME?</v>
      </c>
      <c r="M154" s="0" t="e">
        <f aca="false">sheet1!arz155</f>
        <v>#NAME?</v>
      </c>
    </row>
    <row r="155" customFormat="false" ht="13.5" hidden="false" customHeight="false" outlineLevel="0" collapsed="false">
      <c r="A155" s="0" t="s">
        <v>85</v>
      </c>
      <c r="B155" s="1" t="n">
        <v>44015</v>
      </c>
      <c r="C155" s="0" t="e">
        <f aca="false">sheet1!arp156</f>
        <v>#NAME?</v>
      </c>
      <c r="D155" s="0" t="e">
        <f aca="false">sheet1!arq156</f>
        <v>#NAME?</v>
      </c>
      <c r="E155" s="0" t="e">
        <f aca="false">sheet1!arr156</f>
        <v>#NAME?</v>
      </c>
      <c r="F155" s="0" t="e">
        <f aca="false">sheet1!ars156</f>
        <v>#NAME?</v>
      </c>
      <c r="G155" s="0" t="e">
        <f aca="false">sheet1!art156</f>
        <v>#NAME?</v>
      </c>
      <c r="H155" s="0" t="e">
        <f aca="false">sheet1!aru156</f>
        <v>#NAME?</v>
      </c>
      <c r="I155" s="0" t="e">
        <f aca="false">sheet1!arv156</f>
        <v>#NAME?</v>
      </c>
      <c r="J155" s="0" t="e">
        <f aca="false">sheet1!arw156</f>
        <v>#NAME?</v>
      </c>
      <c r="K155" s="0" t="e">
        <f aca="false">sheet1!arx156</f>
        <v>#NAME?</v>
      </c>
      <c r="L155" s="0" t="e">
        <f aca="false">sheet1!ary156</f>
        <v>#NAME?</v>
      </c>
      <c r="M155" s="0" t="e">
        <f aca="false">sheet1!arz156</f>
        <v>#NAME?</v>
      </c>
    </row>
    <row r="156" customFormat="false" ht="13.5" hidden="false" customHeight="false" outlineLevel="0" collapsed="false">
      <c r="A156" s="0" t="s">
        <v>85</v>
      </c>
      <c r="B156" s="1" t="n">
        <v>44016</v>
      </c>
      <c r="C156" s="0" t="e">
        <f aca="false">sheet1!arp157</f>
        <v>#NAME?</v>
      </c>
      <c r="D156" s="0" t="e">
        <f aca="false">sheet1!arq157</f>
        <v>#NAME?</v>
      </c>
      <c r="E156" s="0" t="e">
        <f aca="false">sheet1!arr157</f>
        <v>#NAME?</v>
      </c>
      <c r="F156" s="0" t="e">
        <f aca="false">sheet1!ars157</f>
        <v>#NAME?</v>
      </c>
      <c r="G156" s="0" t="e">
        <f aca="false">sheet1!art157</f>
        <v>#NAME?</v>
      </c>
      <c r="H156" s="0" t="e">
        <f aca="false">sheet1!aru157</f>
        <v>#NAME?</v>
      </c>
      <c r="I156" s="0" t="e">
        <f aca="false">sheet1!arv157</f>
        <v>#NAME?</v>
      </c>
      <c r="J156" s="0" t="e">
        <f aca="false">sheet1!arw157</f>
        <v>#NAME?</v>
      </c>
      <c r="K156" s="0" t="e">
        <f aca="false">sheet1!arx157</f>
        <v>#NAME?</v>
      </c>
      <c r="L156" s="0" t="e">
        <f aca="false">sheet1!ary157</f>
        <v>#NAME?</v>
      </c>
      <c r="M156" s="0" t="e">
        <f aca="false">sheet1!arz157</f>
        <v>#NAME?</v>
      </c>
    </row>
    <row r="157" customFormat="false" ht="13.5" hidden="false" customHeight="false" outlineLevel="0" collapsed="false">
      <c r="A157" s="0" t="s">
        <v>85</v>
      </c>
      <c r="B157" s="1" t="n">
        <v>44017</v>
      </c>
      <c r="C157" s="0" t="e">
        <f aca="false">sheet1!arp158</f>
        <v>#NAME?</v>
      </c>
      <c r="D157" s="0" t="e">
        <f aca="false">sheet1!arq158</f>
        <v>#NAME?</v>
      </c>
      <c r="E157" s="0" t="e">
        <f aca="false">sheet1!arr158</f>
        <v>#NAME?</v>
      </c>
      <c r="F157" s="0" t="e">
        <f aca="false">sheet1!ars158</f>
        <v>#NAME?</v>
      </c>
      <c r="G157" s="0" t="e">
        <f aca="false">sheet1!art158</f>
        <v>#NAME?</v>
      </c>
      <c r="H157" s="0" t="e">
        <f aca="false">sheet1!aru158</f>
        <v>#NAME?</v>
      </c>
      <c r="I157" s="0" t="e">
        <f aca="false">sheet1!arv158</f>
        <v>#NAME?</v>
      </c>
      <c r="J157" s="0" t="e">
        <f aca="false">sheet1!arw158</f>
        <v>#NAME?</v>
      </c>
      <c r="K157" s="0" t="e">
        <f aca="false">sheet1!arx158</f>
        <v>#NAME?</v>
      </c>
      <c r="L157" s="0" t="e">
        <f aca="false">sheet1!ary158</f>
        <v>#NAME?</v>
      </c>
      <c r="M157" s="0" t="e">
        <f aca="false">sheet1!arz158</f>
        <v>#NAME?</v>
      </c>
    </row>
    <row r="158" customFormat="false" ht="13.5" hidden="false" customHeight="false" outlineLevel="0" collapsed="false">
      <c r="A158" s="0" t="s">
        <v>85</v>
      </c>
      <c r="B158" s="1" t="n">
        <v>44018</v>
      </c>
      <c r="C158" s="0" t="e">
        <f aca="false">sheet1!arp159</f>
        <v>#NAME?</v>
      </c>
      <c r="D158" s="0" t="e">
        <f aca="false">sheet1!arq159</f>
        <v>#NAME?</v>
      </c>
      <c r="E158" s="0" t="e">
        <f aca="false">sheet1!arr159</f>
        <v>#NAME?</v>
      </c>
      <c r="F158" s="0" t="e">
        <f aca="false">sheet1!ars159</f>
        <v>#NAME?</v>
      </c>
      <c r="G158" s="0" t="e">
        <f aca="false">sheet1!art159</f>
        <v>#NAME?</v>
      </c>
      <c r="H158" s="0" t="e">
        <f aca="false">sheet1!aru159</f>
        <v>#NAME?</v>
      </c>
      <c r="I158" s="0" t="e">
        <f aca="false">sheet1!arv159</f>
        <v>#NAME?</v>
      </c>
      <c r="J158" s="0" t="e">
        <f aca="false">sheet1!arw159</f>
        <v>#NAME?</v>
      </c>
      <c r="K158" s="0" t="e">
        <f aca="false">sheet1!arx159</f>
        <v>#NAME?</v>
      </c>
      <c r="L158" s="0" t="e">
        <f aca="false">sheet1!ary159</f>
        <v>#NAME?</v>
      </c>
      <c r="M158" s="0" t="e">
        <f aca="false">sheet1!arz159</f>
        <v>#NAME?</v>
      </c>
    </row>
    <row r="159" customFormat="false" ht="13.5" hidden="false" customHeight="false" outlineLevel="0" collapsed="false">
      <c r="A159" s="0" t="s">
        <v>85</v>
      </c>
      <c r="B159" s="1" t="n">
        <v>44019</v>
      </c>
      <c r="C159" s="0" t="e">
        <f aca="false">sheet1!arp160</f>
        <v>#NAME?</v>
      </c>
      <c r="D159" s="0" t="e">
        <f aca="false">sheet1!arq160</f>
        <v>#NAME?</v>
      </c>
      <c r="E159" s="0" t="e">
        <f aca="false">sheet1!arr160</f>
        <v>#NAME?</v>
      </c>
      <c r="F159" s="0" t="e">
        <f aca="false">sheet1!ars160</f>
        <v>#NAME?</v>
      </c>
      <c r="G159" s="0" t="e">
        <f aca="false">sheet1!art160</f>
        <v>#NAME?</v>
      </c>
      <c r="H159" s="0" t="e">
        <f aca="false">sheet1!aru160</f>
        <v>#NAME?</v>
      </c>
      <c r="I159" s="0" t="e">
        <f aca="false">sheet1!arv160</f>
        <v>#NAME?</v>
      </c>
      <c r="J159" s="0" t="e">
        <f aca="false">sheet1!arw160</f>
        <v>#NAME?</v>
      </c>
      <c r="K159" s="0" t="e">
        <f aca="false">sheet1!arx160</f>
        <v>#NAME?</v>
      </c>
      <c r="L159" s="0" t="e">
        <f aca="false">sheet1!ary160</f>
        <v>#NAME?</v>
      </c>
      <c r="M159" s="0" t="e">
        <f aca="false">sheet1!arz160</f>
        <v>#NAME?</v>
      </c>
    </row>
    <row r="160" customFormat="false" ht="13.5" hidden="false" customHeight="false" outlineLevel="0" collapsed="false">
      <c r="A160" s="0" t="s">
        <v>85</v>
      </c>
      <c r="B160" s="1" t="n">
        <v>44020</v>
      </c>
      <c r="C160" s="0" t="e">
        <f aca="false">sheet1!arp161</f>
        <v>#NAME?</v>
      </c>
      <c r="D160" s="0" t="e">
        <f aca="false">sheet1!arq161</f>
        <v>#NAME?</v>
      </c>
      <c r="E160" s="0" t="e">
        <f aca="false">sheet1!arr161</f>
        <v>#NAME?</v>
      </c>
      <c r="F160" s="0" t="e">
        <f aca="false">sheet1!ars161</f>
        <v>#NAME?</v>
      </c>
      <c r="G160" s="0" t="e">
        <f aca="false">sheet1!art161</f>
        <v>#NAME?</v>
      </c>
      <c r="H160" s="0" t="e">
        <f aca="false">sheet1!aru161</f>
        <v>#NAME?</v>
      </c>
      <c r="I160" s="0" t="e">
        <f aca="false">sheet1!arv161</f>
        <v>#NAME?</v>
      </c>
      <c r="J160" s="0" t="e">
        <f aca="false">sheet1!arw161</f>
        <v>#NAME?</v>
      </c>
      <c r="K160" s="0" t="e">
        <f aca="false">sheet1!arx161</f>
        <v>#NAME?</v>
      </c>
      <c r="L160" s="0" t="e">
        <f aca="false">sheet1!ary161</f>
        <v>#NAME?</v>
      </c>
      <c r="M160" s="0" t="e">
        <f aca="false">sheet1!arz161</f>
        <v>#NAME?</v>
      </c>
    </row>
    <row r="161" customFormat="false" ht="13.5" hidden="false" customHeight="false" outlineLevel="0" collapsed="false">
      <c r="A161" s="0" t="s">
        <v>85</v>
      </c>
      <c r="B161" s="1" t="n">
        <v>44021</v>
      </c>
      <c r="C161" s="0" t="e">
        <f aca="false">sheet1!arp162</f>
        <v>#NAME?</v>
      </c>
      <c r="D161" s="0" t="e">
        <f aca="false">sheet1!arq162</f>
        <v>#NAME?</v>
      </c>
      <c r="E161" s="0" t="e">
        <f aca="false">sheet1!arr162</f>
        <v>#NAME?</v>
      </c>
      <c r="F161" s="0" t="e">
        <f aca="false">sheet1!ars162</f>
        <v>#NAME?</v>
      </c>
      <c r="G161" s="0" t="e">
        <f aca="false">sheet1!art162</f>
        <v>#NAME?</v>
      </c>
      <c r="H161" s="0" t="e">
        <f aca="false">sheet1!aru162</f>
        <v>#NAME?</v>
      </c>
      <c r="I161" s="0" t="e">
        <f aca="false">sheet1!arv162</f>
        <v>#NAME?</v>
      </c>
      <c r="J161" s="0" t="e">
        <f aca="false">sheet1!arw162</f>
        <v>#NAME?</v>
      </c>
      <c r="K161" s="0" t="e">
        <f aca="false">sheet1!arx162</f>
        <v>#NAME?</v>
      </c>
      <c r="L161" s="0" t="e">
        <f aca="false">sheet1!ary162</f>
        <v>#NAME?</v>
      </c>
      <c r="M161" s="0" t="e">
        <f aca="false">sheet1!arz162</f>
        <v>#NAME?</v>
      </c>
    </row>
    <row r="162" customFormat="false" ht="13.5" hidden="false" customHeight="false" outlineLevel="0" collapsed="false">
      <c r="A162" s="0" t="s">
        <v>85</v>
      </c>
      <c r="B162" s="1" t="n">
        <v>44022</v>
      </c>
      <c r="C162" s="0" t="e">
        <f aca="false">sheet1!arp163</f>
        <v>#NAME?</v>
      </c>
      <c r="D162" s="0" t="e">
        <f aca="false">sheet1!arq163</f>
        <v>#NAME?</v>
      </c>
      <c r="E162" s="0" t="e">
        <f aca="false">sheet1!arr163</f>
        <v>#NAME?</v>
      </c>
      <c r="F162" s="0" t="e">
        <f aca="false">sheet1!ars163</f>
        <v>#NAME?</v>
      </c>
      <c r="G162" s="0" t="e">
        <f aca="false">sheet1!art163</f>
        <v>#NAME?</v>
      </c>
      <c r="H162" s="0" t="e">
        <f aca="false">sheet1!aru163</f>
        <v>#NAME?</v>
      </c>
      <c r="I162" s="0" t="e">
        <f aca="false">sheet1!arv163</f>
        <v>#NAME?</v>
      </c>
      <c r="J162" s="0" t="e">
        <f aca="false">sheet1!arw163</f>
        <v>#NAME?</v>
      </c>
      <c r="K162" s="0" t="e">
        <f aca="false">sheet1!arx163</f>
        <v>#NAME?</v>
      </c>
      <c r="L162" s="0" t="e">
        <f aca="false">sheet1!ary163</f>
        <v>#NAME?</v>
      </c>
      <c r="M162" s="0" t="e">
        <f aca="false">sheet1!arz163</f>
        <v>#NAME?</v>
      </c>
    </row>
    <row r="163" customFormat="false" ht="13.5" hidden="false" customHeight="false" outlineLevel="0" collapsed="false">
      <c r="A163" s="0" t="s">
        <v>85</v>
      </c>
      <c r="B163" s="1" t="n">
        <v>44023</v>
      </c>
      <c r="C163" s="0" t="e">
        <f aca="false">sheet1!arp164</f>
        <v>#NAME?</v>
      </c>
      <c r="D163" s="0" t="e">
        <f aca="false">sheet1!arq164</f>
        <v>#NAME?</v>
      </c>
      <c r="E163" s="0" t="e">
        <f aca="false">sheet1!arr164</f>
        <v>#NAME?</v>
      </c>
      <c r="F163" s="0" t="e">
        <f aca="false">sheet1!ars164</f>
        <v>#NAME?</v>
      </c>
      <c r="G163" s="0" t="e">
        <f aca="false">sheet1!art164</f>
        <v>#NAME?</v>
      </c>
      <c r="H163" s="0" t="e">
        <f aca="false">sheet1!aru164</f>
        <v>#NAME?</v>
      </c>
      <c r="I163" s="0" t="e">
        <f aca="false">sheet1!arv164</f>
        <v>#NAME?</v>
      </c>
      <c r="J163" s="0" t="e">
        <f aca="false">sheet1!arw164</f>
        <v>#NAME?</v>
      </c>
      <c r="K163" s="0" t="e">
        <f aca="false">sheet1!arx164</f>
        <v>#NAME?</v>
      </c>
      <c r="L163" s="0" t="e">
        <f aca="false">sheet1!ary164</f>
        <v>#NAME?</v>
      </c>
      <c r="M163" s="0" t="e">
        <f aca="false">sheet1!arz164</f>
        <v>#NAME?</v>
      </c>
    </row>
    <row r="164" customFormat="false" ht="13.5" hidden="false" customHeight="false" outlineLevel="0" collapsed="false">
      <c r="A164" s="0" t="s">
        <v>85</v>
      </c>
      <c r="B164" s="1" t="n">
        <v>44024</v>
      </c>
      <c r="C164" s="0" t="e">
        <f aca="false">sheet1!arp165</f>
        <v>#NAME?</v>
      </c>
      <c r="D164" s="0" t="e">
        <f aca="false">sheet1!arq165</f>
        <v>#NAME?</v>
      </c>
      <c r="E164" s="0" t="e">
        <f aca="false">sheet1!arr165</f>
        <v>#NAME?</v>
      </c>
      <c r="F164" s="0" t="e">
        <f aca="false">sheet1!ars165</f>
        <v>#NAME?</v>
      </c>
      <c r="G164" s="0" t="e">
        <f aca="false">sheet1!art165</f>
        <v>#NAME?</v>
      </c>
      <c r="H164" s="0" t="e">
        <f aca="false">sheet1!aru165</f>
        <v>#NAME?</v>
      </c>
      <c r="I164" s="0" t="e">
        <f aca="false">sheet1!arv165</f>
        <v>#NAME?</v>
      </c>
      <c r="J164" s="0" t="e">
        <f aca="false">sheet1!arw165</f>
        <v>#NAME?</v>
      </c>
      <c r="K164" s="0" t="e">
        <f aca="false">sheet1!arx165</f>
        <v>#NAME?</v>
      </c>
      <c r="L164" s="0" t="e">
        <f aca="false">sheet1!ary165</f>
        <v>#NAME?</v>
      </c>
      <c r="M164" s="0" t="e">
        <f aca="false">sheet1!arz165</f>
        <v>#NAME?</v>
      </c>
    </row>
    <row r="165" customFormat="false" ht="13.5" hidden="false" customHeight="false" outlineLevel="0" collapsed="false">
      <c r="A165" s="0" t="s">
        <v>85</v>
      </c>
      <c r="B165" s="1" t="n">
        <v>44025</v>
      </c>
      <c r="C165" s="0" t="e">
        <f aca="false">sheet1!arp166</f>
        <v>#NAME?</v>
      </c>
      <c r="D165" s="0" t="e">
        <f aca="false">sheet1!arq166</f>
        <v>#NAME?</v>
      </c>
      <c r="E165" s="0" t="e">
        <f aca="false">sheet1!arr166</f>
        <v>#NAME?</v>
      </c>
      <c r="F165" s="0" t="e">
        <f aca="false">sheet1!ars166</f>
        <v>#NAME?</v>
      </c>
      <c r="G165" s="0" t="e">
        <f aca="false">sheet1!art166</f>
        <v>#NAME?</v>
      </c>
      <c r="H165" s="0" t="e">
        <f aca="false">sheet1!aru166</f>
        <v>#NAME?</v>
      </c>
      <c r="I165" s="0" t="e">
        <f aca="false">sheet1!arv166</f>
        <v>#NAME?</v>
      </c>
      <c r="J165" s="0" t="e">
        <f aca="false">sheet1!arw166</f>
        <v>#NAME?</v>
      </c>
      <c r="K165" s="0" t="e">
        <f aca="false">sheet1!arx166</f>
        <v>#NAME?</v>
      </c>
      <c r="L165" s="0" t="e">
        <f aca="false">sheet1!ary166</f>
        <v>#NAME?</v>
      </c>
      <c r="M165" s="0" t="e">
        <f aca="false">sheet1!arz166</f>
        <v>#NAME?</v>
      </c>
    </row>
    <row r="166" customFormat="false" ht="13.5" hidden="false" customHeight="false" outlineLevel="0" collapsed="false">
      <c r="A166" s="0" t="s">
        <v>85</v>
      </c>
      <c r="B166" s="1" t="n">
        <v>44026</v>
      </c>
      <c r="C166" s="0" t="e">
        <f aca="false">sheet1!arp167</f>
        <v>#NAME?</v>
      </c>
      <c r="D166" s="0" t="e">
        <f aca="false">sheet1!arq167</f>
        <v>#NAME?</v>
      </c>
      <c r="E166" s="0" t="e">
        <f aca="false">sheet1!arr167</f>
        <v>#NAME?</v>
      </c>
      <c r="F166" s="0" t="e">
        <f aca="false">sheet1!ars167</f>
        <v>#NAME?</v>
      </c>
      <c r="G166" s="0" t="e">
        <f aca="false">sheet1!art167</f>
        <v>#NAME?</v>
      </c>
      <c r="H166" s="0" t="e">
        <f aca="false">sheet1!aru167</f>
        <v>#NAME?</v>
      </c>
      <c r="I166" s="0" t="e">
        <f aca="false">sheet1!arv167</f>
        <v>#NAME?</v>
      </c>
      <c r="J166" s="0" t="e">
        <f aca="false">sheet1!arw167</f>
        <v>#NAME?</v>
      </c>
      <c r="K166" s="0" t="e">
        <f aca="false">sheet1!arx167</f>
        <v>#NAME?</v>
      </c>
      <c r="L166" s="0" t="e">
        <f aca="false">sheet1!ary167</f>
        <v>#NAME?</v>
      </c>
      <c r="M166" s="0" t="e">
        <f aca="false">sheet1!arz167</f>
        <v>#NAME?</v>
      </c>
    </row>
    <row r="167" customFormat="false" ht="13.5" hidden="false" customHeight="false" outlineLevel="0" collapsed="false">
      <c r="A167" s="0" t="s">
        <v>85</v>
      </c>
      <c r="B167" s="1" t="n">
        <v>44027</v>
      </c>
      <c r="C167" s="0" t="e">
        <f aca="false">sheet1!arp168</f>
        <v>#NAME?</v>
      </c>
      <c r="D167" s="0" t="e">
        <f aca="false">sheet1!arq168</f>
        <v>#NAME?</v>
      </c>
      <c r="E167" s="0" t="e">
        <f aca="false">sheet1!arr168</f>
        <v>#NAME?</v>
      </c>
      <c r="F167" s="0" t="e">
        <f aca="false">sheet1!ars168</f>
        <v>#NAME?</v>
      </c>
      <c r="G167" s="0" t="e">
        <f aca="false">sheet1!art168</f>
        <v>#NAME?</v>
      </c>
      <c r="H167" s="0" t="e">
        <f aca="false">sheet1!aru168</f>
        <v>#NAME?</v>
      </c>
      <c r="I167" s="0" t="e">
        <f aca="false">sheet1!arv168</f>
        <v>#NAME?</v>
      </c>
      <c r="J167" s="0" t="e">
        <f aca="false">sheet1!arw168</f>
        <v>#NAME?</v>
      </c>
      <c r="K167" s="0" t="e">
        <f aca="false">sheet1!arx168</f>
        <v>#NAME?</v>
      </c>
      <c r="L167" s="0" t="e">
        <f aca="false">sheet1!ary168</f>
        <v>#NAME?</v>
      </c>
      <c r="M167" s="0" t="e">
        <f aca="false">sheet1!arz168</f>
        <v>#NAME?</v>
      </c>
    </row>
    <row r="168" customFormat="false" ht="13.5" hidden="false" customHeight="false" outlineLevel="0" collapsed="false">
      <c r="A168" s="0" t="s">
        <v>85</v>
      </c>
      <c r="B168" s="1" t="n">
        <v>44028</v>
      </c>
      <c r="C168" s="0" t="e">
        <f aca="false">sheet1!arp169</f>
        <v>#NAME?</v>
      </c>
      <c r="D168" s="0" t="e">
        <f aca="false">sheet1!arq169</f>
        <v>#NAME?</v>
      </c>
      <c r="E168" s="0" t="e">
        <f aca="false">sheet1!arr169</f>
        <v>#NAME?</v>
      </c>
      <c r="F168" s="0" t="e">
        <f aca="false">sheet1!ars169</f>
        <v>#NAME?</v>
      </c>
      <c r="G168" s="0" t="e">
        <f aca="false">sheet1!art169</f>
        <v>#NAME?</v>
      </c>
      <c r="H168" s="0" t="e">
        <f aca="false">sheet1!aru169</f>
        <v>#NAME?</v>
      </c>
      <c r="I168" s="0" t="e">
        <f aca="false">sheet1!arv169</f>
        <v>#NAME?</v>
      </c>
      <c r="J168" s="0" t="e">
        <f aca="false">sheet1!arw169</f>
        <v>#NAME?</v>
      </c>
      <c r="K168" s="0" t="e">
        <f aca="false">sheet1!arx169</f>
        <v>#NAME?</v>
      </c>
      <c r="L168" s="0" t="e">
        <f aca="false">sheet1!ary169</f>
        <v>#NAME?</v>
      </c>
      <c r="M168" s="0" t="e">
        <f aca="false">sheet1!arz169</f>
        <v>#NAME?</v>
      </c>
    </row>
    <row r="169" customFormat="false" ht="13.5" hidden="false" customHeight="false" outlineLevel="0" collapsed="false">
      <c r="A169" s="0" t="s">
        <v>85</v>
      </c>
      <c r="B169" s="1" t="n">
        <v>44029</v>
      </c>
      <c r="C169" s="0" t="e">
        <f aca="false">sheet1!arp170</f>
        <v>#NAME?</v>
      </c>
      <c r="D169" s="0" t="e">
        <f aca="false">sheet1!arq170</f>
        <v>#NAME?</v>
      </c>
      <c r="E169" s="0" t="e">
        <f aca="false">sheet1!arr170</f>
        <v>#NAME?</v>
      </c>
      <c r="F169" s="0" t="e">
        <f aca="false">sheet1!ars170</f>
        <v>#NAME?</v>
      </c>
      <c r="G169" s="0" t="e">
        <f aca="false">sheet1!art170</f>
        <v>#NAME?</v>
      </c>
      <c r="H169" s="0" t="e">
        <f aca="false">sheet1!aru170</f>
        <v>#NAME?</v>
      </c>
      <c r="I169" s="0" t="e">
        <f aca="false">sheet1!arv170</f>
        <v>#NAME?</v>
      </c>
      <c r="J169" s="0" t="e">
        <f aca="false">sheet1!arw170</f>
        <v>#NAME?</v>
      </c>
      <c r="K169" s="0" t="e">
        <f aca="false">sheet1!arx170</f>
        <v>#NAME?</v>
      </c>
      <c r="L169" s="0" t="e">
        <f aca="false">sheet1!ary170</f>
        <v>#NAME?</v>
      </c>
      <c r="M169" s="0" t="e">
        <f aca="false">sheet1!arz170</f>
        <v>#NAME?</v>
      </c>
    </row>
    <row r="170" customFormat="false" ht="13.5" hidden="false" customHeight="false" outlineLevel="0" collapsed="false">
      <c r="A170" s="0" t="s">
        <v>85</v>
      </c>
      <c r="B170" s="1" t="n">
        <v>44030</v>
      </c>
      <c r="C170" s="0" t="e">
        <f aca="false">sheet1!arp171</f>
        <v>#NAME?</v>
      </c>
      <c r="D170" s="0" t="e">
        <f aca="false">sheet1!arq171</f>
        <v>#NAME?</v>
      </c>
      <c r="E170" s="0" t="e">
        <f aca="false">sheet1!arr171</f>
        <v>#NAME?</v>
      </c>
      <c r="F170" s="0" t="e">
        <f aca="false">sheet1!ars171</f>
        <v>#NAME?</v>
      </c>
      <c r="G170" s="0" t="e">
        <f aca="false">sheet1!art171</f>
        <v>#NAME?</v>
      </c>
      <c r="H170" s="0" t="e">
        <f aca="false">sheet1!aru171</f>
        <v>#NAME?</v>
      </c>
      <c r="I170" s="0" t="e">
        <f aca="false">sheet1!arv171</f>
        <v>#NAME?</v>
      </c>
      <c r="J170" s="0" t="e">
        <f aca="false">sheet1!arw171</f>
        <v>#NAME?</v>
      </c>
      <c r="K170" s="0" t="e">
        <f aca="false">sheet1!arx171</f>
        <v>#NAME?</v>
      </c>
      <c r="L170" s="0" t="e">
        <f aca="false">sheet1!ary171</f>
        <v>#NAME?</v>
      </c>
      <c r="M170" s="0" t="e">
        <f aca="false">sheet1!arz171</f>
        <v>#NAME?</v>
      </c>
    </row>
    <row r="171" customFormat="false" ht="13.5" hidden="false" customHeight="false" outlineLevel="0" collapsed="false">
      <c r="A171" s="0" t="s">
        <v>85</v>
      </c>
      <c r="B171" s="1" t="n">
        <v>44031</v>
      </c>
      <c r="C171" s="0" t="e">
        <f aca="false">sheet1!arp172</f>
        <v>#NAME?</v>
      </c>
      <c r="D171" s="0" t="e">
        <f aca="false">sheet1!arq172</f>
        <v>#NAME?</v>
      </c>
      <c r="E171" s="0" t="e">
        <f aca="false">sheet1!arr172</f>
        <v>#NAME?</v>
      </c>
      <c r="F171" s="0" t="e">
        <f aca="false">sheet1!ars172</f>
        <v>#NAME?</v>
      </c>
      <c r="G171" s="0" t="e">
        <f aca="false">sheet1!art172</f>
        <v>#NAME?</v>
      </c>
      <c r="H171" s="0" t="e">
        <f aca="false">sheet1!aru172</f>
        <v>#NAME?</v>
      </c>
      <c r="I171" s="0" t="e">
        <f aca="false">sheet1!arv172</f>
        <v>#NAME?</v>
      </c>
      <c r="J171" s="0" t="e">
        <f aca="false">sheet1!arw172</f>
        <v>#NAME?</v>
      </c>
      <c r="K171" s="0" t="e">
        <f aca="false">sheet1!arx172</f>
        <v>#NAME?</v>
      </c>
      <c r="L171" s="0" t="e">
        <f aca="false">sheet1!ary172</f>
        <v>#NAME?</v>
      </c>
      <c r="M171" s="0" t="e">
        <f aca="false">sheet1!arz172</f>
        <v>#NAME?</v>
      </c>
    </row>
    <row r="172" customFormat="false" ht="13.5" hidden="false" customHeight="false" outlineLevel="0" collapsed="false">
      <c r="A172" s="0" t="s">
        <v>85</v>
      </c>
      <c r="B172" s="1" t="n">
        <v>44032</v>
      </c>
      <c r="C172" s="0" t="e">
        <f aca="false">sheet1!arp173</f>
        <v>#NAME?</v>
      </c>
      <c r="D172" s="0" t="e">
        <f aca="false">sheet1!arq173</f>
        <v>#NAME?</v>
      </c>
      <c r="E172" s="0" t="e">
        <f aca="false">sheet1!arr173</f>
        <v>#NAME?</v>
      </c>
      <c r="F172" s="0" t="e">
        <f aca="false">sheet1!ars173</f>
        <v>#NAME?</v>
      </c>
      <c r="G172" s="0" t="e">
        <f aca="false">sheet1!art173</f>
        <v>#NAME?</v>
      </c>
      <c r="H172" s="0" t="e">
        <f aca="false">sheet1!aru173</f>
        <v>#NAME?</v>
      </c>
      <c r="I172" s="0" t="e">
        <f aca="false">sheet1!arv173</f>
        <v>#NAME?</v>
      </c>
      <c r="J172" s="0" t="e">
        <f aca="false">sheet1!arw173</f>
        <v>#NAME?</v>
      </c>
      <c r="K172" s="0" t="e">
        <f aca="false">sheet1!arx173</f>
        <v>#NAME?</v>
      </c>
      <c r="L172" s="0" t="e">
        <f aca="false">sheet1!ary173</f>
        <v>#NAME?</v>
      </c>
      <c r="M172" s="0" t="e">
        <f aca="false">sheet1!arz173</f>
        <v>#NAME?</v>
      </c>
    </row>
    <row r="173" customFormat="false" ht="13.5" hidden="false" customHeight="false" outlineLevel="0" collapsed="false">
      <c r="A173" s="0" t="s">
        <v>85</v>
      </c>
      <c r="B173" s="1" t="n">
        <v>44033</v>
      </c>
      <c r="C173" s="0" t="e">
        <f aca="false">sheet1!arp174</f>
        <v>#NAME?</v>
      </c>
      <c r="D173" s="0" t="e">
        <f aca="false">sheet1!arq174</f>
        <v>#NAME?</v>
      </c>
      <c r="E173" s="0" t="e">
        <f aca="false">sheet1!arr174</f>
        <v>#NAME?</v>
      </c>
      <c r="F173" s="0" t="e">
        <f aca="false">sheet1!ars174</f>
        <v>#NAME?</v>
      </c>
      <c r="G173" s="0" t="e">
        <f aca="false">sheet1!art174</f>
        <v>#NAME?</v>
      </c>
      <c r="H173" s="0" t="e">
        <f aca="false">sheet1!aru174</f>
        <v>#NAME?</v>
      </c>
      <c r="I173" s="0" t="e">
        <f aca="false">sheet1!arv174</f>
        <v>#NAME?</v>
      </c>
      <c r="J173" s="0" t="e">
        <f aca="false">sheet1!arw174</f>
        <v>#NAME?</v>
      </c>
      <c r="K173" s="0" t="e">
        <f aca="false">sheet1!arx174</f>
        <v>#NAME?</v>
      </c>
      <c r="L173" s="0" t="e">
        <f aca="false">sheet1!ary174</f>
        <v>#NAME?</v>
      </c>
      <c r="M173" s="0" t="e">
        <f aca="false">sheet1!arz174</f>
        <v>#NAME?</v>
      </c>
    </row>
    <row r="174" customFormat="false" ht="13.5" hidden="false" customHeight="false" outlineLevel="0" collapsed="false">
      <c r="A174" s="0" t="s">
        <v>85</v>
      </c>
      <c r="B174" s="1" t="n">
        <v>44034</v>
      </c>
      <c r="C174" s="0" t="e">
        <f aca="false">sheet1!arp175</f>
        <v>#NAME?</v>
      </c>
      <c r="D174" s="0" t="e">
        <f aca="false">sheet1!arq175</f>
        <v>#NAME?</v>
      </c>
      <c r="E174" s="0" t="e">
        <f aca="false">sheet1!arr175</f>
        <v>#NAME?</v>
      </c>
      <c r="F174" s="0" t="e">
        <f aca="false">sheet1!ars175</f>
        <v>#NAME?</v>
      </c>
      <c r="G174" s="0" t="e">
        <f aca="false">sheet1!art175</f>
        <v>#NAME?</v>
      </c>
      <c r="H174" s="0" t="e">
        <f aca="false">sheet1!aru175</f>
        <v>#NAME?</v>
      </c>
      <c r="I174" s="0" t="e">
        <f aca="false">sheet1!arv175</f>
        <v>#NAME?</v>
      </c>
      <c r="J174" s="0" t="e">
        <f aca="false">sheet1!arw175</f>
        <v>#NAME?</v>
      </c>
      <c r="K174" s="0" t="e">
        <f aca="false">sheet1!arx175</f>
        <v>#NAME?</v>
      </c>
      <c r="L174" s="0" t="e">
        <f aca="false">sheet1!ary175</f>
        <v>#NAME?</v>
      </c>
      <c r="M174" s="0" t="e">
        <f aca="false">sheet1!arz175</f>
        <v>#NAME?</v>
      </c>
    </row>
    <row r="175" customFormat="false" ht="13.5" hidden="false" customHeight="false" outlineLevel="0" collapsed="false">
      <c r="A175" s="0" t="s">
        <v>85</v>
      </c>
      <c r="B175" s="1" t="n">
        <v>44035</v>
      </c>
      <c r="C175" s="0" t="e">
        <f aca="false">sheet1!arp176</f>
        <v>#NAME?</v>
      </c>
      <c r="D175" s="0" t="e">
        <f aca="false">sheet1!arq176</f>
        <v>#NAME?</v>
      </c>
      <c r="E175" s="0" t="e">
        <f aca="false">sheet1!arr176</f>
        <v>#NAME?</v>
      </c>
      <c r="F175" s="0" t="e">
        <f aca="false">sheet1!ars176</f>
        <v>#NAME?</v>
      </c>
      <c r="G175" s="0" t="e">
        <f aca="false">sheet1!art176</f>
        <v>#NAME?</v>
      </c>
      <c r="H175" s="0" t="e">
        <f aca="false">sheet1!aru176</f>
        <v>#NAME?</v>
      </c>
      <c r="I175" s="0" t="e">
        <f aca="false">sheet1!arv176</f>
        <v>#NAME?</v>
      </c>
      <c r="J175" s="0" t="e">
        <f aca="false">sheet1!arw176</f>
        <v>#NAME?</v>
      </c>
      <c r="K175" s="0" t="e">
        <f aca="false">sheet1!arx176</f>
        <v>#NAME?</v>
      </c>
      <c r="L175" s="0" t="e">
        <f aca="false">sheet1!ary176</f>
        <v>#NAME?</v>
      </c>
      <c r="M175" s="0" t="e">
        <f aca="false">sheet1!arz176</f>
        <v>#NAME?</v>
      </c>
    </row>
    <row r="176" customFormat="false" ht="13.5" hidden="false" customHeight="false" outlineLevel="0" collapsed="false">
      <c r="A176" s="0" t="s">
        <v>85</v>
      </c>
      <c r="B176" s="1" t="n">
        <v>44036</v>
      </c>
      <c r="C176" s="0" t="e">
        <f aca="false">sheet1!arp177</f>
        <v>#NAME?</v>
      </c>
      <c r="D176" s="0" t="e">
        <f aca="false">sheet1!arq177</f>
        <v>#NAME?</v>
      </c>
      <c r="E176" s="0" t="e">
        <f aca="false">sheet1!arr177</f>
        <v>#NAME?</v>
      </c>
      <c r="F176" s="0" t="e">
        <f aca="false">sheet1!ars177</f>
        <v>#NAME?</v>
      </c>
      <c r="G176" s="0" t="e">
        <f aca="false">sheet1!art177</f>
        <v>#NAME?</v>
      </c>
      <c r="H176" s="0" t="e">
        <f aca="false">sheet1!aru177</f>
        <v>#NAME?</v>
      </c>
      <c r="I176" s="0" t="e">
        <f aca="false">sheet1!arv177</f>
        <v>#NAME?</v>
      </c>
      <c r="J176" s="0" t="e">
        <f aca="false">sheet1!arw177</f>
        <v>#NAME?</v>
      </c>
      <c r="K176" s="0" t="e">
        <f aca="false">sheet1!arx177</f>
        <v>#NAME?</v>
      </c>
      <c r="L176" s="0" t="e">
        <f aca="false">sheet1!ary177</f>
        <v>#NAME?</v>
      </c>
      <c r="M176" s="0" t="e">
        <f aca="false">sheet1!arz177</f>
        <v>#NAME?</v>
      </c>
    </row>
    <row r="177" customFormat="false" ht="13.5" hidden="false" customHeight="false" outlineLevel="0" collapsed="false">
      <c r="A177" s="0" t="s">
        <v>85</v>
      </c>
      <c r="B177" s="1" t="n">
        <v>44037</v>
      </c>
      <c r="C177" s="0" t="e">
        <f aca="false">sheet1!arp178</f>
        <v>#NAME?</v>
      </c>
      <c r="D177" s="0" t="e">
        <f aca="false">sheet1!arq178</f>
        <v>#NAME?</v>
      </c>
      <c r="E177" s="0" t="e">
        <f aca="false">sheet1!arr178</f>
        <v>#NAME?</v>
      </c>
      <c r="F177" s="0" t="e">
        <f aca="false">sheet1!ars178</f>
        <v>#NAME?</v>
      </c>
      <c r="G177" s="0" t="e">
        <f aca="false">sheet1!art178</f>
        <v>#NAME?</v>
      </c>
      <c r="H177" s="0" t="e">
        <f aca="false">sheet1!aru178</f>
        <v>#NAME?</v>
      </c>
      <c r="I177" s="0" t="e">
        <f aca="false">sheet1!arv178</f>
        <v>#NAME?</v>
      </c>
      <c r="J177" s="0" t="e">
        <f aca="false">sheet1!arw178</f>
        <v>#NAME?</v>
      </c>
      <c r="K177" s="0" t="e">
        <f aca="false">sheet1!arx178</f>
        <v>#NAME?</v>
      </c>
      <c r="L177" s="0" t="e">
        <f aca="false">sheet1!ary178</f>
        <v>#NAME?</v>
      </c>
      <c r="M177" s="0" t="e">
        <f aca="false">sheet1!arz178</f>
        <v>#NAME?</v>
      </c>
    </row>
    <row r="178" customFormat="false" ht="13.5" hidden="false" customHeight="false" outlineLevel="0" collapsed="false">
      <c r="A178" s="0" t="s">
        <v>85</v>
      </c>
      <c r="B178" s="1" t="n">
        <v>44038</v>
      </c>
      <c r="C178" s="0" t="e">
        <f aca="false">sheet1!arp179</f>
        <v>#NAME?</v>
      </c>
      <c r="D178" s="0" t="e">
        <f aca="false">sheet1!arq179</f>
        <v>#NAME?</v>
      </c>
      <c r="E178" s="0" t="e">
        <f aca="false">sheet1!arr179</f>
        <v>#NAME?</v>
      </c>
      <c r="F178" s="0" t="e">
        <f aca="false">sheet1!ars179</f>
        <v>#NAME?</v>
      </c>
      <c r="G178" s="0" t="e">
        <f aca="false">sheet1!art179</f>
        <v>#NAME?</v>
      </c>
      <c r="H178" s="0" t="e">
        <f aca="false">sheet1!aru179</f>
        <v>#NAME?</v>
      </c>
      <c r="I178" s="0" t="e">
        <f aca="false">sheet1!arv179</f>
        <v>#NAME?</v>
      </c>
      <c r="J178" s="0" t="e">
        <f aca="false">sheet1!arw179</f>
        <v>#NAME?</v>
      </c>
      <c r="K178" s="0" t="e">
        <f aca="false">sheet1!arx179</f>
        <v>#NAME?</v>
      </c>
      <c r="L178" s="0" t="e">
        <f aca="false">sheet1!ary179</f>
        <v>#NAME?</v>
      </c>
      <c r="M178" s="0" t="e">
        <f aca="false">sheet1!arz179</f>
        <v>#NAME?</v>
      </c>
    </row>
    <row r="179" customFormat="false" ht="13.5" hidden="false" customHeight="false" outlineLevel="0" collapsed="false">
      <c r="A179" s="0" t="s">
        <v>85</v>
      </c>
      <c r="B179" s="1" t="n">
        <v>44039</v>
      </c>
      <c r="C179" s="0" t="e">
        <f aca="false">sheet1!arp180</f>
        <v>#NAME?</v>
      </c>
      <c r="D179" s="0" t="e">
        <f aca="false">sheet1!arq180</f>
        <v>#NAME?</v>
      </c>
      <c r="E179" s="0" t="e">
        <f aca="false">sheet1!arr180</f>
        <v>#NAME?</v>
      </c>
      <c r="F179" s="0" t="e">
        <f aca="false">sheet1!ars180</f>
        <v>#NAME?</v>
      </c>
      <c r="G179" s="0" t="e">
        <f aca="false">sheet1!art180</f>
        <v>#NAME?</v>
      </c>
      <c r="H179" s="0" t="e">
        <f aca="false">sheet1!aru180</f>
        <v>#NAME?</v>
      </c>
      <c r="I179" s="0" t="e">
        <f aca="false">sheet1!arv180</f>
        <v>#NAME?</v>
      </c>
      <c r="J179" s="0" t="e">
        <f aca="false">sheet1!arw180</f>
        <v>#NAME?</v>
      </c>
      <c r="K179" s="0" t="e">
        <f aca="false">sheet1!arx180</f>
        <v>#NAME?</v>
      </c>
      <c r="L179" s="0" t="e">
        <f aca="false">sheet1!ary180</f>
        <v>#NAME?</v>
      </c>
      <c r="M179" s="0" t="e">
        <f aca="false">sheet1!arz180</f>
        <v>#NAME?</v>
      </c>
    </row>
    <row r="180" customFormat="false" ht="13.5" hidden="false" customHeight="false" outlineLevel="0" collapsed="false">
      <c r="A180" s="0" t="s">
        <v>85</v>
      </c>
      <c r="B180" s="1" t="n">
        <v>44040</v>
      </c>
      <c r="C180" s="0" t="e">
        <f aca="false">sheet1!arp181</f>
        <v>#NAME?</v>
      </c>
      <c r="D180" s="0" t="e">
        <f aca="false">sheet1!arq181</f>
        <v>#NAME?</v>
      </c>
      <c r="E180" s="0" t="e">
        <f aca="false">sheet1!arr181</f>
        <v>#NAME?</v>
      </c>
      <c r="F180" s="0" t="e">
        <f aca="false">sheet1!ars181</f>
        <v>#NAME?</v>
      </c>
      <c r="G180" s="0" t="e">
        <f aca="false">sheet1!art181</f>
        <v>#NAME?</v>
      </c>
      <c r="H180" s="0" t="e">
        <f aca="false">sheet1!aru181</f>
        <v>#NAME?</v>
      </c>
      <c r="I180" s="0" t="e">
        <f aca="false">sheet1!arv181</f>
        <v>#NAME?</v>
      </c>
      <c r="J180" s="0" t="e">
        <f aca="false">sheet1!arw181</f>
        <v>#NAME?</v>
      </c>
      <c r="K180" s="0" t="e">
        <f aca="false">sheet1!arx181</f>
        <v>#NAME?</v>
      </c>
      <c r="L180" s="0" t="e">
        <f aca="false">sheet1!ary181</f>
        <v>#NAME?</v>
      </c>
      <c r="M180" s="0" t="e">
        <f aca="false">sheet1!arz181</f>
        <v>#NAME?</v>
      </c>
    </row>
    <row r="181" customFormat="false" ht="13.5" hidden="false" customHeight="false" outlineLevel="0" collapsed="false">
      <c r="A181" s="0" t="s">
        <v>85</v>
      </c>
      <c r="B181" s="1" t="n">
        <v>44041</v>
      </c>
      <c r="C181" s="0" t="e">
        <f aca="false">sheet1!arp182</f>
        <v>#NAME?</v>
      </c>
      <c r="D181" s="0" t="e">
        <f aca="false">sheet1!arq182</f>
        <v>#NAME?</v>
      </c>
      <c r="E181" s="0" t="e">
        <f aca="false">sheet1!arr182</f>
        <v>#NAME?</v>
      </c>
      <c r="F181" s="0" t="e">
        <f aca="false">sheet1!ars182</f>
        <v>#NAME?</v>
      </c>
      <c r="G181" s="0" t="e">
        <f aca="false">sheet1!art182</f>
        <v>#NAME?</v>
      </c>
      <c r="H181" s="0" t="e">
        <f aca="false">sheet1!aru182</f>
        <v>#NAME?</v>
      </c>
      <c r="I181" s="0" t="e">
        <f aca="false">sheet1!arv182</f>
        <v>#NAME?</v>
      </c>
      <c r="J181" s="0" t="e">
        <f aca="false">sheet1!arw182</f>
        <v>#NAME?</v>
      </c>
      <c r="K181" s="0" t="e">
        <f aca="false">sheet1!arx182</f>
        <v>#NAME?</v>
      </c>
      <c r="L181" s="0" t="e">
        <f aca="false">sheet1!ary182</f>
        <v>#NAME?</v>
      </c>
      <c r="M181" s="0" t="e">
        <f aca="false">sheet1!arz182</f>
        <v>#NAME?</v>
      </c>
    </row>
    <row r="182" customFormat="false" ht="13.5" hidden="false" customHeight="false" outlineLevel="0" collapsed="false">
      <c r="A182" s="0" t="s">
        <v>85</v>
      </c>
      <c r="B182" s="1" t="n">
        <v>44042</v>
      </c>
      <c r="C182" s="0" t="e">
        <f aca="false">sheet1!arp183</f>
        <v>#NAME?</v>
      </c>
      <c r="D182" s="0" t="e">
        <f aca="false">sheet1!arq183</f>
        <v>#NAME?</v>
      </c>
      <c r="E182" s="0" t="e">
        <f aca="false">sheet1!arr183</f>
        <v>#NAME?</v>
      </c>
      <c r="F182" s="0" t="e">
        <f aca="false">sheet1!ars183</f>
        <v>#NAME?</v>
      </c>
      <c r="G182" s="0" t="e">
        <f aca="false">sheet1!art183</f>
        <v>#NAME?</v>
      </c>
      <c r="H182" s="0" t="e">
        <f aca="false">sheet1!aru183</f>
        <v>#NAME?</v>
      </c>
      <c r="I182" s="0" t="e">
        <f aca="false">sheet1!arv183</f>
        <v>#NAME?</v>
      </c>
      <c r="J182" s="0" t="e">
        <f aca="false">sheet1!arw183</f>
        <v>#NAME?</v>
      </c>
      <c r="K182" s="0" t="e">
        <f aca="false">sheet1!arx183</f>
        <v>#NAME?</v>
      </c>
      <c r="L182" s="0" t="e">
        <f aca="false">sheet1!ary183</f>
        <v>#NAME?</v>
      </c>
      <c r="M182" s="0" t="e">
        <f aca="false">sheet1!arz183</f>
        <v>#NAME?</v>
      </c>
    </row>
    <row r="183" customFormat="false" ht="13.5" hidden="false" customHeight="false" outlineLevel="0" collapsed="false">
      <c r="A183" s="0" t="s">
        <v>85</v>
      </c>
      <c r="B183" s="1" t="n">
        <v>44043</v>
      </c>
      <c r="C183" s="0" t="e">
        <f aca="false">sheet1!arp184</f>
        <v>#NAME?</v>
      </c>
      <c r="D183" s="0" t="e">
        <f aca="false">sheet1!arq184</f>
        <v>#NAME?</v>
      </c>
      <c r="E183" s="0" t="e">
        <f aca="false">sheet1!arr184</f>
        <v>#NAME?</v>
      </c>
      <c r="F183" s="0" t="e">
        <f aca="false">sheet1!ars184</f>
        <v>#NAME?</v>
      </c>
      <c r="G183" s="0" t="e">
        <f aca="false">sheet1!art184</f>
        <v>#NAME?</v>
      </c>
      <c r="H183" s="0" t="e">
        <f aca="false">sheet1!aru184</f>
        <v>#NAME?</v>
      </c>
      <c r="I183" s="0" t="e">
        <f aca="false">sheet1!arv184</f>
        <v>#NAME?</v>
      </c>
      <c r="J183" s="0" t="e">
        <f aca="false">sheet1!arw184</f>
        <v>#NAME?</v>
      </c>
      <c r="K183" s="0" t="e">
        <f aca="false">sheet1!arx184</f>
        <v>#NAME?</v>
      </c>
      <c r="L183" s="0" t="e">
        <f aca="false">sheet1!ary184</f>
        <v>#NAME?</v>
      </c>
      <c r="M183" s="0" t="e">
        <f aca="false">sheet1!arz184</f>
        <v>#NAME?</v>
      </c>
    </row>
    <row r="184" customFormat="false" ht="13.5" hidden="false" customHeight="false" outlineLevel="0" collapsed="false">
      <c r="A184" s="0" t="s">
        <v>85</v>
      </c>
      <c r="B184" s="1" t="n">
        <v>44044</v>
      </c>
      <c r="C184" s="0" t="e">
        <f aca="false">sheet1!arp185</f>
        <v>#NAME?</v>
      </c>
      <c r="D184" s="0" t="e">
        <f aca="false">sheet1!arq185</f>
        <v>#NAME?</v>
      </c>
      <c r="E184" s="0" t="e">
        <f aca="false">sheet1!arr185</f>
        <v>#NAME?</v>
      </c>
      <c r="F184" s="0" t="e">
        <f aca="false">sheet1!ars185</f>
        <v>#NAME?</v>
      </c>
      <c r="G184" s="0" t="e">
        <f aca="false">sheet1!art185</f>
        <v>#NAME?</v>
      </c>
      <c r="H184" s="0" t="e">
        <f aca="false">sheet1!aru185</f>
        <v>#NAME?</v>
      </c>
      <c r="I184" s="0" t="e">
        <f aca="false">sheet1!arv185</f>
        <v>#NAME?</v>
      </c>
      <c r="J184" s="0" t="e">
        <f aca="false">sheet1!arw185</f>
        <v>#NAME?</v>
      </c>
      <c r="K184" s="0" t="e">
        <f aca="false">sheet1!arx185</f>
        <v>#NAME?</v>
      </c>
      <c r="L184" s="0" t="e">
        <f aca="false">sheet1!ary185</f>
        <v>#NAME?</v>
      </c>
      <c r="M184" s="0" t="e">
        <f aca="false">sheet1!arz185</f>
        <v>#NAME?</v>
      </c>
    </row>
    <row r="185" customFormat="false" ht="13.5" hidden="false" customHeight="false" outlineLevel="0" collapsed="false">
      <c r="A185" s="0" t="s">
        <v>85</v>
      </c>
      <c r="B185" s="1" t="n">
        <v>44045</v>
      </c>
      <c r="C185" s="0" t="e">
        <f aca="false">sheet1!arp186</f>
        <v>#NAME?</v>
      </c>
      <c r="D185" s="0" t="e">
        <f aca="false">sheet1!arq186</f>
        <v>#NAME?</v>
      </c>
      <c r="E185" s="0" t="e">
        <f aca="false">sheet1!arr186</f>
        <v>#NAME?</v>
      </c>
      <c r="F185" s="0" t="e">
        <f aca="false">sheet1!ars186</f>
        <v>#NAME?</v>
      </c>
      <c r="G185" s="0" t="e">
        <f aca="false">sheet1!art186</f>
        <v>#NAME?</v>
      </c>
      <c r="H185" s="0" t="e">
        <f aca="false">sheet1!aru186</f>
        <v>#NAME?</v>
      </c>
      <c r="I185" s="0" t="e">
        <f aca="false">sheet1!arv186</f>
        <v>#NAME?</v>
      </c>
      <c r="J185" s="0" t="e">
        <f aca="false">sheet1!arw186</f>
        <v>#NAME?</v>
      </c>
      <c r="K185" s="0" t="e">
        <f aca="false">sheet1!arx186</f>
        <v>#NAME?</v>
      </c>
      <c r="L185" s="0" t="e">
        <f aca="false">sheet1!ary186</f>
        <v>#NAME?</v>
      </c>
      <c r="M185" s="0" t="e">
        <f aca="false">sheet1!arz186</f>
        <v>#NAME?</v>
      </c>
    </row>
    <row r="186" customFormat="false" ht="13.5" hidden="false" customHeight="false" outlineLevel="0" collapsed="false">
      <c r="A186" s="0" t="s">
        <v>85</v>
      </c>
      <c r="B186" s="1" t="n">
        <v>44046</v>
      </c>
      <c r="C186" s="0" t="e">
        <f aca="false">sheet1!arp187</f>
        <v>#NAME?</v>
      </c>
      <c r="D186" s="0" t="e">
        <f aca="false">sheet1!arq187</f>
        <v>#NAME?</v>
      </c>
      <c r="E186" s="0" t="e">
        <f aca="false">sheet1!arr187</f>
        <v>#NAME?</v>
      </c>
      <c r="F186" s="0" t="e">
        <f aca="false">sheet1!ars187</f>
        <v>#NAME?</v>
      </c>
      <c r="G186" s="0" t="e">
        <f aca="false">sheet1!art187</f>
        <v>#NAME?</v>
      </c>
      <c r="H186" s="0" t="e">
        <f aca="false">sheet1!aru187</f>
        <v>#NAME?</v>
      </c>
      <c r="I186" s="0" t="e">
        <f aca="false">sheet1!arv187</f>
        <v>#NAME?</v>
      </c>
      <c r="J186" s="0" t="e">
        <f aca="false">sheet1!arw187</f>
        <v>#NAME?</v>
      </c>
      <c r="K186" s="0" t="e">
        <f aca="false">sheet1!arx187</f>
        <v>#NAME?</v>
      </c>
      <c r="L186" s="0" t="e">
        <f aca="false">sheet1!ary187</f>
        <v>#NAME?</v>
      </c>
      <c r="M186" s="0" t="e">
        <f aca="false">sheet1!arz187</f>
        <v>#NAME?</v>
      </c>
    </row>
    <row r="187" customFormat="false" ht="13.5" hidden="false" customHeight="false" outlineLevel="0" collapsed="false">
      <c r="A187" s="0" t="s">
        <v>85</v>
      </c>
      <c r="B187" s="1" t="n">
        <v>44047</v>
      </c>
      <c r="C187" s="0" t="e">
        <f aca="false">sheet1!arp188</f>
        <v>#NAME?</v>
      </c>
      <c r="D187" s="0" t="e">
        <f aca="false">sheet1!arq188</f>
        <v>#NAME?</v>
      </c>
      <c r="E187" s="0" t="e">
        <f aca="false">sheet1!arr188</f>
        <v>#NAME?</v>
      </c>
      <c r="F187" s="0" t="e">
        <f aca="false">sheet1!ars188</f>
        <v>#NAME?</v>
      </c>
      <c r="G187" s="0" t="e">
        <f aca="false">sheet1!art188</f>
        <v>#NAME?</v>
      </c>
      <c r="H187" s="0" t="e">
        <f aca="false">sheet1!aru188</f>
        <v>#NAME?</v>
      </c>
      <c r="I187" s="0" t="e">
        <f aca="false">sheet1!arv188</f>
        <v>#NAME?</v>
      </c>
      <c r="J187" s="0" t="e">
        <f aca="false">sheet1!arw188</f>
        <v>#NAME?</v>
      </c>
      <c r="K187" s="0" t="e">
        <f aca="false">sheet1!arx188</f>
        <v>#NAME?</v>
      </c>
      <c r="L187" s="0" t="e">
        <f aca="false">sheet1!ary188</f>
        <v>#NAME?</v>
      </c>
      <c r="M187" s="0" t="e">
        <f aca="false">sheet1!arz188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86</v>
      </c>
      <c r="B2" s="1" t="n">
        <v>43862</v>
      </c>
    </row>
    <row r="3" customFormat="false" ht="13.5" hidden="false" customHeight="false" outlineLevel="0" collapsed="false">
      <c r="A3" s="0" t="s">
        <v>86</v>
      </c>
      <c r="B3" s="1" t="n">
        <v>43863</v>
      </c>
    </row>
    <row r="4" customFormat="false" ht="13.5" hidden="false" customHeight="false" outlineLevel="0" collapsed="false">
      <c r="A4" s="0" t="s">
        <v>86</v>
      </c>
      <c r="B4" s="1" t="n">
        <v>43864</v>
      </c>
    </row>
    <row r="5" customFormat="false" ht="13.5" hidden="false" customHeight="false" outlineLevel="0" collapsed="false">
      <c r="A5" s="0" t="s">
        <v>86</v>
      </c>
      <c r="B5" s="1" t="n">
        <v>43865</v>
      </c>
    </row>
    <row r="6" customFormat="false" ht="13.5" hidden="false" customHeight="false" outlineLevel="0" collapsed="false">
      <c r="A6" s="0" t="s">
        <v>86</v>
      </c>
      <c r="B6" s="1" t="n">
        <v>43866</v>
      </c>
    </row>
    <row r="7" customFormat="false" ht="13.5" hidden="false" customHeight="false" outlineLevel="0" collapsed="false">
      <c r="A7" s="0" t="s">
        <v>86</v>
      </c>
      <c r="B7" s="1" t="n">
        <v>43867</v>
      </c>
    </row>
    <row r="8" customFormat="false" ht="13.5" hidden="false" customHeight="false" outlineLevel="0" collapsed="false">
      <c r="A8" s="0" t="s">
        <v>86</v>
      </c>
      <c r="B8" s="1" t="n">
        <v>43868</v>
      </c>
    </row>
    <row r="9" customFormat="false" ht="13.5" hidden="false" customHeight="false" outlineLevel="0" collapsed="false">
      <c r="A9" s="0" t="s">
        <v>86</v>
      </c>
      <c r="B9" s="1" t="n">
        <v>43869</v>
      </c>
    </row>
    <row r="10" customFormat="false" ht="13.5" hidden="false" customHeight="false" outlineLevel="0" collapsed="false">
      <c r="A10" s="0" t="s">
        <v>86</v>
      </c>
      <c r="B10" s="1" t="n">
        <v>43870</v>
      </c>
    </row>
    <row r="11" customFormat="false" ht="13.5" hidden="false" customHeight="false" outlineLevel="0" collapsed="false">
      <c r="A11" s="0" t="s">
        <v>86</v>
      </c>
      <c r="B11" s="1" t="n">
        <v>43871</v>
      </c>
    </row>
    <row r="12" customFormat="false" ht="13.5" hidden="false" customHeight="false" outlineLevel="0" collapsed="false">
      <c r="A12" s="0" t="s">
        <v>86</v>
      </c>
      <c r="B12" s="1" t="n">
        <v>43872</v>
      </c>
    </row>
    <row r="13" customFormat="false" ht="13.5" hidden="false" customHeight="false" outlineLevel="0" collapsed="false">
      <c r="A13" s="0" t="s">
        <v>86</v>
      </c>
      <c r="B13" s="1" t="n">
        <v>43873</v>
      </c>
    </row>
    <row r="14" customFormat="false" ht="13.5" hidden="false" customHeight="false" outlineLevel="0" collapsed="false">
      <c r="A14" s="0" t="s">
        <v>86</v>
      </c>
      <c r="B14" s="1" t="n">
        <v>43874</v>
      </c>
    </row>
    <row r="15" customFormat="false" ht="13.5" hidden="false" customHeight="false" outlineLevel="0" collapsed="false">
      <c r="A15" s="0" t="s">
        <v>86</v>
      </c>
      <c r="B15" s="1" t="n">
        <v>43875</v>
      </c>
    </row>
    <row r="16" customFormat="false" ht="13.5" hidden="false" customHeight="false" outlineLevel="0" collapsed="false">
      <c r="A16" s="0" t="s">
        <v>86</v>
      </c>
      <c r="B16" s="1" t="n">
        <v>43876</v>
      </c>
    </row>
    <row r="17" customFormat="false" ht="13.5" hidden="false" customHeight="false" outlineLevel="0" collapsed="false">
      <c r="A17" s="0" t="s">
        <v>86</v>
      </c>
      <c r="B17" s="1" t="n">
        <v>43877</v>
      </c>
    </row>
    <row r="18" customFormat="false" ht="13.5" hidden="false" customHeight="false" outlineLevel="0" collapsed="false">
      <c r="A18" s="0" t="s">
        <v>86</v>
      </c>
      <c r="B18" s="1" t="n">
        <v>43878</v>
      </c>
    </row>
    <row r="19" customFormat="false" ht="13.5" hidden="false" customHeight="false" outlineLevel="0" collapsed="false">
      <c r="A19" s="0" t="s">
        <v>86</v>
      </c>
      <c r="B19" s="1" t="n">
        <v>43879</v>
      </c>
    </row>
    <row r="20" customFormat="false" ht="13.5" hidden="false" customHeight="false" outlineLevel="0" collapsed="false">
      <c r="A20" s="0" t="s">
        <v>86</v>
      </c>
      <c r="B20" s="1" t="n">
        <v>43880</v>
      </c>
    </row>
    <row r="21" customFormat="false" ht="13.5" hidden="false" customHeight="false" outlineLevel="0" collapsed="false">
      <c r="A21" s="0" t="s">
        <v>86</v>
      </c>
      <c r="B21" s="1" t="n">
        <v>43881</v>
      </c>
    </row>
    <row r="22" customFormat="false" ht="13.5" hidden="false" customHeight="false" outlineLevel="0" collapsed="false">
      <c r="A22" s="0" t="s">
        <v>86</v>
      </c>
      <c r="B22" s="1" t="n">
        <v>43882</v>
      </c>
    </row>
    <row r="23" customFormat="false" ht="13.5" hidden="false" customHeight="false" outlineLevel="0" collapsed="false">
      <c r="A23" s="0" t="s">
        <v>86</v>
      </c>
      <c r="B23" s="1" t="n">
        <v>43883</v>
      </c>
    </row>
    <row r="24" customFormat="false" ht="13.5" hidden="false" customHeight="false" outlineLevel="0" collapsed="false">
      <c r="A24" s="0" t="s">
        <v>86</v>
      </c>
      <c r="B24" s="1" t="n">
        <v>43884</v>
      </c>
    </row>
    <row r="25" customFormat="false" ht="13.5" hidden="false" customHeight="false" outlineLevel="0" collapsed="false">
      <c r="A25" s="0" t="s">
        <v>86</v>
      </c>
      <c r="B25" s="1" t="n">
        <v>43885</v>
      </c>
    </row>
    <row r="26" customFormat="false" ht="13.5" hidden="false" customHeight="false" outlineLevel="0" collapsed="false">
      <c r="A26" s="0" t="s">
        <v>86</v>
      </c>
      <c r="B26" s="1" t="n">
        <v>43886</v>
      </c>
    </row>
    <row r="27" customFormat="false" ht="13.5" hidden="false" customHeight="false" outlineLevel="0" collapsed="false">
      <c r="A27" s="0" t="s">
        <v>86</v>
      </c>
      <c r="B27" s="1" t="n">
        <v>43887</v>
      </c>
    </row>
    <row r="28" customFormat="false" ht="13.5" hidden="false" customHeight="false" outlineLevel="0" collapsed="false">
      <c r="A28" s="0" t="s">
        <v>86</v>
      </c>
      <c r="B28" s="1" t="n">
        <v>43888</v>
      </c>
    </row>
    <row r="29" customFormat="false" ht="13.5" hidden="false" customHeight="false" outlineLevel="0" collapsed="false">
      <c r="A29" s="0" t="s">
        <v>86</v>
      </c>
      <c r="B29" s="1" t="n">
        <v>43889</v>
      </c>
    </row>
    <row r="30" customFormat="false" ht="13.5" hidden="false" customHeight="false" outlineLevel="0" collapsed="false">
      <c r="A30" s="0" t="s">
        <v>86</v>
      </c>
      <c r="B30" s="1" t="n">
        <v>43890</v>
      </c>
    </row>
    <row r="31" customFormat="false" ht="13.5" hidden="false" customHeight="false" outlineLevel="0" collapsed="false">
      <c r="A31" s="0" t="s">
        <v>86</v>
      </c>
      <c r="B31" s="1" t="n">
        <v>43891</v>
      </c>
    </row>
    <row r="32" customFormat="false" ht="13.5" hidden="false" customHeight="false" outlineLevel="0" collapsed="false">
      <c r="A32" s="0" t="s">
        <v>86</v>
      </c>
      <c r="B32" s="1" t="n">
        <v>43892</v>
      </c>
    </row>
    <row r="33" customFormat="false" ht="13.5" hidden="false" customHeight="false" outlineLevel="0" collapsed="false">
      <c r="A33" s="0" t="s">
        <v>86</v>
      </c>
      <c r="B33" s="1" t="n">
        <v>43893</v>
      </c>
    </row>
    <row r="34" customFormat="false" ht="13.5" hidden="false" customHeight="false" outlineLevel="0" collapsed="false">
      <c r="A34" s="0" t="s">
        <v>86</v>
      </c>
      <c r="B34" s="1" t="n">
        <v>43894</v>
      </c>
    </row>
    <row r="35" customFormat="false" ht="13.5" hidden="false" customHeight="false" outlineLevel="0" collapsed="false">
      <c r="A35" s="0" t="s">
        <v>86</v>
      </c>
      <c r="B35" s="1" t="n">
        <v>43895</v>
      </c>
    </row>
    <row r="36" customFormat="false" ht="13.5" hidden="false" customHeight="false" outlineLevel="0" collapsed="false">
      <c r="A36" s="0" t="s">
        <v>86</v>
      </c>
      <c r="B36" s="1" t="n">
        <v>43896</v>
      </c>
    </row>
    <row r="37" customFormat="false" ht="13.5" hidden="false" customHeight="false" outlineLevel="0" collapsed="false">
      <c r="A37" s="0" t="s">
        <v>86</v>
      </c>
      <c r="B37" s="1" t="n">
        <v>43897</v>
      </c>
      <c r="C37" s="0" t="n">
        <v>6</v>
      </c>
      <c r="H37" s="0" t="n">
        <v>6</v>
      </c>
    </row>
    <row r="38" customFormat="false" ht="13.5" hidden="false" customHeight="false" outlineLevel="0" collapsed="false">
      <c r="A38" s="0" t="s">
        <v>86</v>
      </c>
      <c r="B38" s="1" t="n">
        <v>43898</v>
      </c>
      <c r="C38" s="0" t="n">
        <v>9</v>
      </c>
      <c r="D38" s="0" t="n">
        <v>3</v>
      </c>
      <c r="H38" s="0" t="n">
        <v>9</v>
      </c>
      <c r="J38" s="0" t="n">
        <v>0.9</v>
      </c>
    </row>
    <row r="39" customFormat="false" ht="13.5" hidden="false" customHeight="false" outlineLevel="0" collapsed="false">
      <c r="A39" s="0" t="s">
        <v>86</v>
      </c>
      <c r="B39" s="1" t="n">
        <v>43899</v>
      </c>
      <c r="C39" s="0" t="n">
        <v>9</v>
      </c>
      <c r="D39" s="0" t="n">
        <v>0</v>
      </c>
      <c r="H39" s="0" t="n">
        <v>9</v>
      </c>
      <c r="J39" s="0" t="n">
        <v>0.9</v>
      </c>
    </row>
    <row r="40" customFormat="false" ht="13.5" hidden="false" customHeight="false" outlineLevel="0" collapsed="false">
      <c r="A40" s="0" t="s">
        <v>86</v>
      </c>
      <c r="B40" s="1" t="n">
        <v>43900</v>
      </c>
      <c r="C40" s="0" t="n">
        <v>9</v>
      </c>
      <c r="D40" s="0" t="n">
        <v>0</v>
      </c>
      <c r="H40" s="0" t="n">
        <v>9</v>
      </c>
      <c r="J40" s="0" t="n">
        <v>0.9</v>
      </c>
    </row>
    <row r="41" customFormat="false" ht="13.5" hidden="false" customHeight="false" outlineLevel="0" collapsed="false">
      <c r="A41" s="0" t="s">
        <v>86</v>
      </c>
      <c r="B41" s="1" t="n">
        <v>43901</v>
      </c>
      <c r="C41" s="0" t="n">
        <v>11</v>
      </c>
      <c r="D41" s="0" t="n">
        <v>2</v>
      </c>
      <c r="H41" s="0" t="n">
        <v>11</v>
      </c>
      <c r="J41" s="0" t="n">
        <v>1.1</v>
      </c>
    </row>
    <row r="42" customFormat="false" ht="13.5" hidden="false" customHeight="false" outlineLevel="0" collapsed="false">
      <c r="A42" s="0" t="s">
        <v>86</v>
      </c>
      <c r="B42" s="1" t="n">
        <v>43902</v>
      </c>
      <c r="C42" s="0" t="n">
        <v>11</v>
      </c>
      <c r="D42" s="0" t="n">
        <v>0</v>
      </c>
      <c r="G42" s="0" t="n">
        <v>3</v>
      </c>
      <c r="H42" s="0" t="n">
        <v>8</v>
      </c>
      <c r="J42" s="0" t="n">
        <v>1.1</v>
      </c>
    </row>
    <row r="43" customFormat="false" ht="13.5" hidden="false" customHeight="false" outlineLevel="0" collapsed="false">
      <c r="A43" s="0" t="s">
        <v>86</v>
      </c>
      <c r="B43" s="1" t="n">
        <v>43903</v>
      </c>
      <c r="C43" s="0" t="n">
        <v>15</v>
      </c>
      <c r="D43" s="0" t="n">
        <v>4</v>
      </c>
      <c r="E43" s="0" t="n">
        <v>1</v>
      </c>
      <c r="F43" s="0" t="n">
        <v>1</v>
      </c>
      <c r="G43" s="0" t="n">
        <v>3</v>
      </c>
      <c r="H43" s="0" t="n">
        <v>11</v>
      </c>
      <c r="J43" s="0" t="n">
        <v>1.5</v>
      </c>
    </row>
    <row r="44" customFormat="false" ht="13.5" hidden="false" customHeight="false" outlineLevel="0" collapsed="false">
      <c r="A44" s="0" t="s">
        <v>86</v>
      </c>
      <c r="B44" s="1" t="n">
        <v>43904</v>
      </c>
      <c r="C44" s="0" t="n">
        <v>15</v>
      </c>
      <c r="D44" s="0" t="n">
        <v>0</v>
      </c>
      <c r="E44" s="0" t="n">
        <v>1</v>
      </c>
      <c r="G44" s="0" t="n">
        <v>3</v>
      </c>
      <c r="H44" s="0" t="n">
        <v>11</v>
      </c>
      <c r="J44" s="0" t="n">
        <v>1.5</v>
      </c>
    </row>
    <row r="45" customFormat="false" ht="13.5" hidden="false" customHeight="false" outlineLevel="0" collapsed="false">
      <c r="A45" s="0" t="s">
        <v>86</v>
      </c>
      <c r="B45" s="1" t="n">
        <v>43905</v>
      </c>
      <c r="C45" s="0" t="n">
        <v>15</v>
      </c>
      <c r="D45" s="0" t="n">
        <v>0</v>
      </c>
      <c r="E45" s="0" t="n">
        <v>1</v>
      </c>
      <c r="G45" s="0" t="n">
        <v>3</v>
      </c>
      <c r="H45" s="0" t="n">
        <v>11</v>
      </c>
      <c r="J45" s="0" t="n">
        <v>1.5</v>
      </c>
    </row>
    <row r="46" customFormat="false" ht="13.5" hidden="false" customHeight="false" outlineLevel="0" collapsed="false">
      <c r="A46" s="0" t="s">
        <v>86</v>
      </c>
      <c r="B46" s="1" t="n">
        <v>43906</v>
      </c>
      <c r="C46" s="0" t="n">
        <v>23</v>
      </c>
      <c r="D46" s="0" t="n">
        <v>8</v>
      </c>
      <c r="E46" s="0" t="n">
        <v>1</v>
      </c>
      <c r="G46" s="0" t="n">
        <v>6</v>
      </c>
      <c r="H46" s="0" t="n">
        <v>16</v>
      </c>
      <c r="J46" s="0" t="n">
        <v>2.3</v>
      </c>
    </row>
    <row r="47" customFormat="false" ht="13.5" hidden="false" customHeight="false" outlineLevel="0" collapsed="false">
      <c r="A47" s="0" t="s">
        <v>86</v>
      </c>
      <c r="B47" s="1" t="n">
        <v>43907</v>
      </c>
      <c r="C47" s="0" t="n">
        <v>25</v>
      </c>
      <c r="D47" s="0" t="n">
        <v>2</v>
      </c>
      <c r="E47" s="0" t="n">
        <v>1</v>
      </c>
      <c r="G47" s="0" t="n">
        <v>6</v>
      </c>
      <c r="H47" s="0" t="n">
        <v>18</v>
      </c>
      <c r="J47" s="0" t="n">
        <v>2.5</v>
      </c>
    </row>
    <row r="48" customFormat="false" ht="13.5" hidden="false" customHeight="false" outlineLevel="0" collapsed="false">
      <c r="A48" s="0" t="s">
        <v>86</v>
      </c>
      <c r="B48" s="1" t="n">
        <v>43908</v>
      </c>
      <c r="C48" s="0" t="n">
        <v>34</v>
      </c>
      <c r="D48" s="0" t="n">
        <v>9</v>
      </c>
      <c r="E48" s="0" t="n">
        <v>1</v>
      </c>
      <c r="G48" s="0" t="n">
        <v>6</v>
      </c>
      <c r="H48" s="0" t="n">
        <v>27</v>
      </c>
      <c r="J48" s="0" t="n">
        <v>3.4</v>
      </c>
    </row>
    <row r="49" customFormat="false" ht="13.5" hidden="false" customHeight="false" outlineLevel="0" collapsed="false">
      <c r="A49" s="0" t="s">
        <v>86</v>
      </c>
      <c r="B49" s="1" t="n">
        <v>43909</v>
      </c>
      <c r="C49" s="0" t="n">
        <v>34</v>
      </c>
      <c r="D49" s="0" t="n">
        <v>0</v>
      </c>
      <c r="E49" s="0" t="n">
        <v>1</v>
      </c>
      <c r="G49" s="0" t="n">
        <v>6</v>
      </c>
      <c r="H49" s="0" t="n">
        <v>27</v>
      </c>
      <c r="J49" s="0" t="n">
        <v>3</v>
      </c>
    </row>
    <row r="50" customFormat="false" ht="13.5" hidden="false" customHeight="false" outlineLevel="0" collapsed="false">
      <c r="A50" s="0" t="s">
        <v>86</v>
      </c>
      <c r="B50" s="1" t="n">
        <v>43910</v>
      </c>
      <c r="C50" s="0" t="n">
        <v>44</v>
      </c>
      <c r="D50" s="0" t="n">
        <v>10</v>
      </c>
      <c r="E50" s="0" t="n">
        <v>1</v>
      </c>
      <c r="G50" s="0" t="n">
        <v>7</v>
      </c>
      <c r="H50" s="0" t="n">
        <v>36</v>
      </c>
      <c r="J50" s="0" t="n">
        <v>4</v>
      </c>
    </row>
    <row r="51" customFormat="false" ht="13.5" hidden="false" customHeight="false" outlineLevel="0" collapsed="false">
      <c r="A51" s="0" t="s">
        <v>86</v>
      </c>
      <c r="B51" s="1" t="n">
        <v>43911</v>
      </c>
      <c r="C51" s="0" t="n">
        <v>44</v>
      </c>
      <c r="D51" s="0" t="n">
        <v>0</v>
      </c>
      <c r="E51" s="0" t="n">
        <v>1</v>
      </c>
      <c r="G51" s="0" t="n">
        <v>7</v>
      </c>
      <c r="H51" s="0" t="n">
        <v>36</v>
      </c>
      <c r="J51" s="0" t="n">
        <v>4</v>
      </c>
    </row>
    <row r="52" customFormat="false" ht="13.5" hidden="false" customHeight="false" outlineLevel="0" collapsed="false">
      <c r="A52" s="0" t="s">
        <v>86</v>
      </c>
      <c r="B52" s="1" t="n">
        <v>43912</v>
      </c>
      <c r="C52" s="0" t="n">
        <v>53</v>
      </c>
      <c r="D52" s="0" t="n">
        <v>9</v>
      </c>
      <c r="E52" s="0" t="n">
        <v>1</v>
      </c>
      <c r="G52" s="0" t="n">
        <v>11</v>
      </c>
      <c r="H52" s="0" t="n">
        <v>41</v>
      </c>
      <c r="J52" s="0" t="n">
        <v>5</v>
      </c>
    </row>
    <row r="53" customFormat="false" ht="13.5" hidden="false" customHeight="false" outlineLevel="0" collapsed="false">
      <c r="A53" s="0" t="s">
        <v>86</v>
      </c>
      <c r="B53" s="1" t="n">
        <v>43913</v>
      </c>
      <c r="C53" s="0" t="n">
        <v>65</v>
      </c>
      <c r="D53" s="0" t="n">
        <v>12</v>
      </c>
      <c r="E53" s="0" t="n">
        <v>1</v>
      </c>
      <c r="G53" s="0" t="n">
        <v>11</v>
      </c>
      <c r="H53" s="0" t="n">
        <v>53</v>
      </c>
      <c r="J53" s="0" t="n">
        <v>6</v>
      </c>
    </row>
    <row r="54" customFormat="false" ht="13.5" hidden="false" customHeight="false" outlineLevel="0" collapsed="false">
      <c r="A54" s="0" t="s">
        <v>86</v>
      </c>
      <c r="B54" s="1" t="n">
        <v>43914</v>
      </c>
      <c r="C54" s="0" t="n">
        <v>72</v>
      </c>
      <c r="D54" s="0" t="n">
        <v>7</v>
      </c>
      <c r="E54" s="0" t="n">
        <v>1</v>
      </c>
      <c r="G54" s="0" t="n">
        <v>10</v>
      </c>
      <c r="H54" s="0" t="n">
        <v>61</v>
      </c>
      <c r="I54" s="0" t="n">
        <v>3</v>
      </c>
      <c r="J54" s="0" t="n">
        <v>7</v>
      </c>
    </row>
    <row r="55" customFormat="false" ht="13.5" hidden="false" customHeight="false" outlineLevel="0" collapsed="false">
      <c r="A55" s="0" t="s">
        <v>86</v>
      </c>
      <c r="B55" s="1" t="n">
        <v>43915</v>
      </c>
      <c r="C55" s="0" t="n">
        <v>87</v>
      </c>
      <c r="D55" s="0" t="n">
        <v>15</v>
      </c>
      <c r="E55" s="0" t="n">
        <v>1</v>
      </c>
      <c r="G55" s="0" t="n">
        <v>10</v>
      </c>
      <c r="H55" s="0" t="n">
        <v>76</v>
      </c>
      <c r="I55" s="0" t="n">
        <v>6</v>
      </c>
      <c r="J55" s="0" t="n">
        <v>9</v>
      </c>
      <c r="K55" s="0" t="n">
        <v>0.1</v>
      </c>
    </row>
    <row r="56" customFormat="false" ht="13.5" hidden="false" customHeight="false" outlineLevel="0" collapsed="false">
      <c r="A56" s="0" t="s">
        <v>86</v>
      </c>
      <c r="B56" s="1" t="n">
        <v>43916</v>
      </c>
      <c r="C56" s="0" t="n">
        <v>93</v>
      </c>
      <c r="D56" s="0" t="n">
        <v>6</v>
      </c>
      <c r="E56" s="0" t="n">
        <v>2</v>
      </c>
      <c r="F56" s="0" t="n">
        <v>1</v>
      </c>
      <c r="G56" s="0" t="n">
        <v>10</v>
      </c>
      <c r="H56" s="0" t="n">
        <v>81</v>
      </c>
      <c r="I56" s="0" t="n">
        <v>6</v>
      </c>
      <c r="J56" s="0" t="n">
        <v>9</v>
      </c>
      <c r="K56" s="0" t="n">
        <v>0.2</v>
      </c>
    </row>
    <row r="57" customFormat="false" ht="13.5" hidden="false" customHeight="false" outlineLevel="0" collapsed="false">
      <c r="A57" s="0" t="s">
        <v>86</v>
      </c>
      <c r="B57" s="1" t="n">
        <v>43917</v>
      </c>
      <c r="C57" s="0" t="n">
        <v>122</v>
      </c>
      <c r="D57" s="0" t="n">
        <v>29</v>
      </c>
      <c r="E57" s="0" t="n">
        <v>3</v>
      </c>
      <c r="F57" s="0" t="n">
        <v>1</v>
      </c>
      <c r="G57" s="0" t="n">
        <v>15</v>
      </c>
      <c r="H57" s="0" t="n">
        <v>104</v>
      </c>
      <c r="I57" s="0" t="n">
        <v>6</v>
      </c>
      <c r="J57" s="0" t="n">
        <v>12</v>
      </c>
      <c r="K57" s="0" t="n">
        <v>0.3</v>
      </c>
    </row>
    <row r="58" customFormat="false" ht="13.5" hidden="false" customHeight="false" outlineLevel="0" collapsed="false">
      <c r="A58" s="0" t="s">
        <v>86</v>
      </c>
      <c r="B58" s="1" t="n">
        <v>43918</v>
      </c>
      <c r="C58" s="0" t="n">
        <v>165</v>
      </c>
      <c r="D58" s="0" t="n">
        <v>43</v>
      </c>
      <c r="E58" s="0" t="n">
        <v>3</v>
      </c>
      <c r="G58" s="0" t="n">
        <v>15</v>
      </c>
      <c r="H58" s="0" t="n">
        <v>147</v>
      </c>
      <c r="I58" s="0" t="n">
        <v>6</v>
      </c>
      <c r="J58" s="0" t="n">
        <v>16</v>
      </c>
      <c r="K58" s="0" t="n">
        <v>0.3</v>
      </c>
    </row>
    <row r="59" customFormat="false" ht="13.5" hidden="false" customHeight="false" outlineLevel="0" collapsed="false">
      <c r="A59" s="0" t="s">
        <v>86</v>
      </c>
      <c r="B59" s="1" t="n">
        <v>43919</v>
      </c>
      <c r="C59" s="0" t="n">
        <v>182</v>
      </c>
      <c r="D59" s="0" t="n">
        <v>17</v>
      </c>
      <c r="E59" s="0" t="n">
        <v>4</v>
      </c>
      <c r="F59" s="0" t="n">
        <v>1</v>
      </c>
      <c r="G59" s="0" t="n">
        <v>15</v>
      </c>
      <c r="H59" s="0" t="n">
        <v>163</v>
      </c>
      <c r="I59" s="0" t="n">
        <v>23</v>
      </c>
      <c r="J59" s="0" t="n">
        <v>18</v>
      </c>
      <c r="K59" s="0" t="n">
        <v>0.4</v>
      </c>
    </row>
    <row r="60" customFormat="false" ht="13.5" hidden="false" customHeight="false" outlineLevel="0" collapsed="false">
      <c r="A60" s="0" t="s">
        <v>86</v>
      </c>
      <c r="B60" s="1" t="n">
        <v>43920</v>
      </c>
      <c r="C60" s="0" t="n">
        <v>209</v>
      </c>
      <c r="D60" s="0" t="n">
        <v>27</v>
      </c>
      <c r="E60" s="0" t="n">
        <v>4</v>
      </c>
      <c r="G60" s="0" t="n">
        <v>15</v>
      </c>
      <c r="H60" s="0" t="n">
        <v>190</v>
      </c>
      <c r="I60" s="0" t="n">
        <v>23</v>
      </c>
      <c r="J60" s="0" t="n">
        <v>21</v>
      </c>
      <c r="K60" s="0" t="n">
        <v>0.4</v>
      </c>
    </row>
    <row r="61" customFormat="false" ht="13.5" hidden="false" customHeight="false" outlineLevel="0" collapsed="false">
      <c r="A61" s="0" t="s">
        <v>86</v>
      </c>
      <c r="B61" s="1" t="n">
        <v>43921</v>
      </c>
      <c r="C61" s="0" t="n">
        <v>273</v>
      </c>
      <c r="D61" s="0" t="n">
        <v>64</v>
      </c>
      <c r="E61" s="0" t="n">
        <v>4</v>
      </c>
      <c r="G61" s="0" t="n">
        <v>26</v>
      </c>
      <c r="H61" s="0" t="n">
        <v>243</v>
      </c>
      <c r="I61" s="0" t="n">
        <v>23</v>
      </c>
      <c r="J61" s="0" t="n">
        <v>27</v>
      </c>
      <c r="K61" s="0" t="n">
        <v>0.4</v>
      </c>
    </row>
    <row r="62" customFormat="false" ht="13.5" hidden="false" customHeight="false" outlineLevel="0" collapsed="false">
      <c r="A62" s="0" t="s">
        <v>86</v>
      </c>
      <c r="B62" s="1" t="n">
        <v>43922</v>
      </c>
      <c r="C62" s="0" t="n">
        <v>298</v>
      </c>
      <c r="D62" s="0" t="n">
        <v>25</v>
      </c>
      <c r="E62" s="0" t="n">
        <v>5</v>
      </c>
      <c r="F62" s="0" t="n">
        <v>1</v>
      </c>
      <c r="G62" s="0" t="n">
        <v>26</v>
      </c>
      <c r="H62" s="0" t="n">
        <v>267</v>
      </c>
      <c r="I62" s="0" t="n">
        <v>11</v>
      </c>
      <c r="J62" s="0" t="n">
        <v>29</v>
      </c>
      <c r="K62" s="0" t="n">
        <v>0.5</v>
      </c>
    </row>
    <row r="63" customFormat="false" ht="13.5" hidden="false" customHeight="false" outlineLevel="0" collapsed="false">
      <c r="A63" s="0" t="s">
        <v>86</v>
      </c>
      <c r="B63" s="1" t="n">
        <v>43923</v>
      </c>
      <c r="C63" s="0" t="n">
        <v>359</v>
      </c>
      <c r="D63" s="0" t="n">
        <v>61</v>
      </c>
      <c r="E63" s="0" t="n">
        <v>5</v>
      </c>
      <c r="G63" s="0" t="n">
        <v>26</v>
      </c>
      <c r="H63" s="0" t="n">
        <v>328</v>
      </c>
      <c r="I63" s="0" t="n">
        <v>7</v>
      </c>
      <c r="J63" s="0" t="n">
        <v>35</v>
      </c>
      <c r="K63" s="0" t="n">
        <v>0.5</v>
      </c>
    </row>
    <row r="64" customFormat="false" ht="13.5" hidden="false" customHeight="false" outlineLevel="0" collapsed="false">
      <c r="A64" s="0" t="s">
        <v>86</v>
      </c>
      <c r="B64" s="1" t="n">
        <v>43924</v>
      </c>
      <c r="C64" s="0" t="n">
        <v>400</v>
      </c>
      <c r="D64" s="0" t="n">
        <v>41</v>
      </c>
      <c r="E64" s="0" t="n">
        <v>5</v>
      </c>
      <c r="G64" s="0" t="n">
        <v>26</v>
      </c>
      <c r="H64" s="0" t="n">
        <v>369</v>
      </c>
      <c r="I64" s="0" t="n">
        <v>7</v>
      </c>
      <c r="J64" s="0" t="n">
        <v>39</v>
      </c>
      <c r="K64" s="0" t="n">
        <v>0.5</v>
      </c>
    </row>
    <row r="65" customFormat="false" ht="13.5" hidden="false" customHeight="false" outlineLevel="0" collapsed="false">
      <c r="A65" s="0" t="s">
        <v>86</v>
      </c>
      <c r="B65" s="1" t="n">
        <v>43925</v>
      </c>
      <c r="C65" s="0" t="n">
        <v>443</v>
      </c>
      <c r="D65" s="0" t="n">
        <v>43</v>
      </c>
      <c r="E65" s="0" t="n">
        <v>5</v>
      </c>
      <c r="G65" s="0" t="n">
        <v>32</v>
      </c>
      <c r="H65" s="0" t="n">
        <v>406</v>
      </c>
      <c r="I65" s="0" t="n">
        <v>7</v>
      </c>
      <c r="J65" s="0" t="n">
        <v>44</v>
      </c>
      <c r="K65" s="0" t="n">
        <v>0.5</v>
      </c>
    </row>
    <row r="66" customFormat="false" ht="13.5" hidden="false" customHeight="false" outlineLevel="0" collapsed="false">
      <c r="A66" s="0" t="s">
        <v>86</v>
      </c>
      <c r="B66" s="1" t="n">
        <v>43926</v>
      </c>
      <c r="C66" s="0" t="n">
        <v>521</v>
      </c>
      <c r="D66" s="0" t="n">
        <v>78</v>
      </c>
      <c r="E66" s="0" t="n">
        <v>5</v>
      </c>
      <c r="G66" s="0" t="n">
        <v>32</v>
      </c>
      <c r="H66" s="0" t="n">
        <v>484</v>
      </c>
      <c r="I66" s="0" t="n">
        <v>17</v>
      </c>
      <c r="J66" s="0" t="n">
        <v>51</v>
      </c>
      <c r="K66" s="0" t="n">
        <v>0.5</v>
      </c>
      <c r="L66" s="0" t="n">
        <v>35000</v>
      </c>
      <c r="M66" s="0" t="n">
        <v>3452</v>
      </c>
    </row>
    <row r="67" customFormat="false" ht="13.5" hidden="false" customHeight="false" outlineLevel="0" collapsed="false">
      <c r="A67" s="0" t="s">
        <v>86</v>
      </c>
      <c r="B67" s="1" t="n">
        <v>43927</v>
      </c>
      <c r="C67" s="0" t="n">
        <v>584</v>
      </c>
      <c r="D67" s="0" t="n">
        <v>63</v>
      </c>
      <c r="E67" s="0" t="n">
        <v>7</v>
      </c>
      <c r="F67" s="0" t="n">
        <v>2</v>
      </c>
      <c r="G67" s="0" t="n">
        <v>32</v>
      </c>
      <c r="H67" s="0" t="n">
        <v>545</v>
      </c>
      <c r="I67" s="0" t="n">
        <v>17</v>
      </c>
      <c r="J67" s="0" t="n">
        <v>58</v>
      </c>
      <c r="K67" s="0" t="n">
        <v>0.7</v>
      </c>
      <c r="L67" s="0" t="n">
        <v>40000</v>
      </c>
      <c r="M67" s="0" t="n">
        <v>3945</v>
      </c>
    </row>
    <row r="68" customFormat="false" ht="13.5" hidden="false" customHeight="false" outlineLevel="0" collapsed="false">
      <c r="A68" s="0" t="s">
        <v>86</v>
      </c>
      <c r="B68" s="1" t="n">
        <v>43928</v>
      </c>
      <c r="C68" s="0" t="n">
        <v>641</v>
      </c>
      <c r="D68" s="0" t="n">
        <v>57</v>
      </c>
      <c r="E68" s="0" t="n">
        <v>7</v>
      </c>
      <c r="G68" s="0" t="n">
        <v>44</v>
      </c>
      <c r="H68" s="0" t="n">
        <v>590</v>
      </c>
      <c r="I68" s="0" t="n">
        <v>11</v>
      </c>
      <c r="J68" s="0" t="n">
        <v>63</v>
      </c>
      <c r="K68" s="0" t="n">
        <v>0.7</v>
      </c>
      <c r="L68" s="0" t="n">
        <v>45000</v>
      </c>
      <c r="M68" s="0" t="n">
        <v>4438</v>
      </c>
    </row>
    <row r="69" customFormat="false" ht="13.5" hidden="false" customHeight="false" outlineLevel="0" collapsed="false">
      <c r="A69" s="0" t="s">
        <v>86</v>
      </c>
      <c r="B69" s="1" t="n">
        <v>43929</v>
      </c>
      <c r="C69" s="0" t="n">
        <v>717</v>
      </c>
      <c r="D69" s="0" t="n">
        <v>76</v>
      </c>
      <c r="E69" s="0" t="n">
        <v>8</v>
      </c>
      <c r="F69" s="0" t="n">
        <v>1</v>
      </c>
      <c r="G69" s="0" t="n">
        <v>44</v>
      </c>
      <c r="H69" s="0" t="n">
        <v>665</v>
      </c>
      <c r="I69" s="0" t="n">
        <v>23</v>
      </c>
      <c r="J69" s="0" t="n">
        <v>71</v>
      </c>
      <c r="K69" s="0" t="n">
        <v>0.8</v>
      </c>
      <c r="L69" s="0" t="n">
        <v>53300</v>
      </c>
      <c r="M69" s="0" t="n">
        <v>5257</v>
      </c>
    </row>
    <row r="70" customFormat="false" ht="13.5" hidden="false" customHeight="false" outlineLevel="0" collapsed="false">
      <c r="A70" s="0" t="s">
        <v>86</v>
      </c>
      <c r="B70" s="1" t="n">
        <v>43930</v>
      </c>
      <c r="C70" s="0" t="n">
        <v>822</v>
      </c>
      <c r="D70" s="0" t="n">
        <v>105</v>
      </c>
      <c r="E70" s="0" t="n">
        <v>8</v>
      </c>
      <c r="G70" s="0" t="n">
        <v>63</v>
      </c>
      <c r="H70" s="0" t="n">
        <v>751</v>
      </c>
      <c r="I70" s="0" t="n">
        <v>23</v>
      </c>
      <c r="J70" s="0" t="n">
        <v>81</v>
      </c>
      <c r="K70" s="0" t="n">
        <v>0.8</v>
      </c>
      <c r="L70" s="0" t="n">
        <v>53300</v>
      </c>
      <c r="M70" s="0" t="n">
        <v>5257</v>
      </c>
    </row>
    <row r="71" customFormat="false" ht="13.5" hidden="false" customHeight="false" outlineLevel="0" collapsed="false">
      <c r="A71" s="0" t="s">
        <v>86</v>
      </c>
      <c r="B71" s="1" t="n">
        <v>43931</v>
      </c>
      <c r="C71" s="0" t="n">
        <v>926</v>
      </c>
      <c r="D71" s="0" t="n">
        <v>104</v>
      </c>
      <c r="E71" s="0" t="n">
        <v>9</v>
      </c>
      <c r="F71" s="0" t="n">
        <v>1</v>
      </c>
      <c r="G71" s="0" t="n">
        <v>101</v>
      </c>
      <c r="H71" s="0" t="n">
        <v>816</v>
      </c>
      <c r="I71" s="0" t="n">
        <v>27</v>
      </c>
      <c r="J71" s="0" t="n">
        <v>91</v>
      </c>
      <c r="K71" s="0" t="n">
        <v>0.9</v>
      </c>
      <c r="L71" s="0" t="n">
        <v>57371</v>
      </c>
      <c r="M71" s="0" t="n">
        <v>5658</v>
      </c>
    </row>
    <row r="72" customFormat="false" ht="13.5" hidden="false" customHeight="false" outlineLevel="0" collapsed="false">
      <c r="A72" s="0" t="s">
        <v>86</v>
      </c>
      <c r="B72" s="1" t="n">
        <v>43932</v>
      </c>
      <c r="C72" s="0" t="n">
        <v>991</v>
      </c>
      <c r="D72" s="0" t="n">
        <v>65</v>
      </c>
      <c r="E72" s="0" t="n">
        <v>10</v>
      </c>
      <c r="F72" s="0" t="n">
        <v>1</v>
      </c>
      <c r="G72" s="0" t="n">
        <v>159</v>
      </c>
      <c r="H72" s="0" t="n">
        <v>822</v>
      </c>
      <c r="I72" s="0" t="n">
        <v>27</v>
      </c>
      <c r="J72" s="0" t="n">
        <v>98</v>
      </c>
      <c r="K72" s="0" t="n">
        <v>1</v>
      </c>
      <c r="L72" s="0" t="n">
        <v>61342</v>
      </c>
      <c r="M72" s="0" t="n">
        <v>6050</v>
      </c>
    </row>
    <row r="73" customFormat="false" ht="13.5" hidden="false" customHeight="false" outlineLevel="0" collapsed="false">
      <c r="A73" s="0" t="s">
        <v>86</v>
      </c>
      <c r="B73" s="1" t="n">
        <v>43933</v>
      </c>
      <c r="C73" s="0" t="n">
        <v>1058</v>
      </c>
      <c r="D73" s="0" t="n">
        <v>67</v>
      </c>
      <c r="E73" s="0" t="n">
        <v>11</v>
      </c>
      <c r="F73" s="0" t="n">
        <v>1</v>
      </c>
      <c r="G73" s="0" t="n">
        <v>200</v>
      </c>
      <c r="H73" s="0" t="n">
        <v>847</v>
      </c>
      <c r="I73" s="0" t="n">
        <v>27</v>
      </c>
      <c r="J73" s="0" t="n">
        <v>104</v>
      </c>
      <c r="K73" s="0" t="n">
        <v>1</v>
      </c>
      <c r="L73" s="0" t="n">
        <v>61342</v>
      </c>
      <c r="M73" s="0" t="n">
        <v>6050</v>
      </c>
    </row>
    <row r="74" customFormat="false" ht="13.5" hidden="false" customHeight="false" outlineLevel="0" collapsed="false">
      <c r="A74" s="0" t="s">
        <v>86</v>
      </c>
      <c r="B74" s="1" t="n">
        <v>43934</v>
      </c>
      <c r="C74" s="0" t="n">
        <v>1098</v>
      </c>
      <c r="D74" s="0" t="n">
        <v>40</v>
      </c>
      <c r="E74" s="0" t="n">
        <v>11</v>
      </c>
      <c r="F74" s="0" t="n">
        <v>0</v>
      </c>
      <c r="G74" s="0" t="n">
        <v>250</v>
      </c>
      <c r="H74" s="0" t="n">
        <v>837</v>
      </c>
      <c r="I74" s="0" t="n">
        <v>27</v>
      </c>
      <c r="J74" s="0" t="n">
        <v>108</v>
      </c>
      <c r="K74" s="0" t="n">
        <v>1</v>
      </c>
      <c r="L74" s="0" t="n">
        <v>66677</v>
      </c>
      <c r="M74" s="0" t="n">
        <v>6576</v>
      </c>
    </row>
    <row r="75" customFormat="false" ht="13.5" hidden="false" customHeight="false" outlineLevel="0" collapsed="false">
      <c r="A75" s="0" t="s">
        <v>86</v>
      </c>
      <c r="B75" s="1" t="n">
        <v>43935</v>
      </c>
      <c r="C75" s="0" t="n">
        <v>1148</v>
      </c>
      <c r="D75" s="0" t="n">
        <v>50</v>
      </c>
      <c r="E75" s="0" t="n">
        <v>12</v>
      </c>
      <c r="F75" s="0" t="n">
        <v>1</v>
      </c>
      <c r="G75" s="0" t="n">
        <v>289</v>
      </c>
      <c r="H75" s="0" t="n">
        <v>847</v>
      </c>
      <c r="I75" s="0" t="n">
        <v>25</v>
      </c>
      <c r="J75" s="0" t="n">
        <v>113</v>
      </c>
      <c r="K75" s="0" t="n">
        <v>1</v>
      </c>
      <c r="L75" s="0" t="n">
        <v>66677</v>
      </c>
      <c r="M75" s="0" t="n">
        <v>6576</v>
      </c>
    </row>
    <row r="76" customFormat="false" ht="13.5" hidden="false" customHeight="false" outlineLevel="0" collapsed="false">
      <c r="A76" s="0" t="s">
        <v>86</v>
      </c>
      <c r="B76" s="1" t="n">
        <v>43936</v>
      </c>
      <c r="C76" s="0" t="n">
        <v>1197</v>
      </c>
      <c r="D76" s="0" t="n">
        <v>49</v>
      </c>
      <c r="E76" s="0" t="n">
        <v>13</v>
      </c>
      <c r="F76" s="0" t="n">
        <v>1</v>
      </c>
      <c r="G76" s="0" t="n">
        <v>351</v>
      </c>
      <c r="H76" s="0" t="n">
        <v>833</v>
      </c>
      <c r="I76" s="0" t="n">
        <v>25</v>
      </c>
      <c r="J76" s="0" t="n">
        <v>118</v>
      </c>
      <c r="K76" s="0" t="n">
        <v>1</v>
      </c>
      <c r="L76" s="0" t="n">
        <v>71736</v>
      </c>
      <c r="M76" s="0" t="n">
        <v>7075</v>
      </c>
    </row>
    <row r="77" customFormat="false" ht="13.5" hidden="false" customHeight="false" outlineLevel="0" collapsed="false">
      <c r="A77" s="0" t="s">
        <v>86</v>
      </c>
      <c r="B77" s="1" t="n">
        <v>43937</v>
      </c>
      <c r="C77" s="0" t="n">
        <v>1253</v>
      </c>
      <c r="D77" s="0" t="n">
        <v>56</v>
      </c>
      <c r="E77" s="0" t="n">
        <v>13</v>
      </c>
      <c r="F77" s="0" t="n">
        <v>0</v>
      </c>
      <c r="G77" s="0" t="n">
        <v>404</v>
      </c>
      <c r="H77" s="0" t="n">
        <v>836</v>
      </c>
      <c r="I77" s="0" t="n">
        <v>24</v>
      </c>
      <c r="J77" s="0" t="n">
        <v>124</v>
      </c>
      <c r="K77" s="0" t="n">
        <v>1</v>
      </c>
      <c r="L77" s="0" t="n">
        <v>75397</v>
      </c>
      <c r="M77" s="0" t="n">
        <v>7436</v>
      </c>
    </row>
    <row r="78" customFormat="false" ht="13.5" hidden="false" customHeight="false" outlineLevel="0" collapsed="false">
      <c r="A78" s="0" t="s">
        <v>86</v>
      </c>
      <c r="B78" s="1" t="n">
        <v>43938</v>
      </c>
      <c r="C78" s="0" t="n">
        <v>1283</v>
      </c>
      <c r="D78" s="0" t="n">
        <v>30</v>
      </c>
      <c r="E78" s="0" t="n">
        <v>15</v>
      </c>
      <c r="F78" s="0" t="n">
        <v>2</v>
      </c>
      <c r="G78" s="0" t="n">
        <v>460</v>
      </c>
      <c r="H78" s="0" t="n">
        <v>808</v>
      </c>
      <c r="I78" s="0" t="n">
        <v>28</v>
      </c>
      <c r="J78" s="0" t="n">
        <v>127</v>
      </c>
      <c r="K78" s="0" t="n">
        <v>1</v>
      </c>
      <c r="L78" s="0" t="n">
        <v>75397</v>
      </c>
      <c r="M78" s="0" t="n">
        <v>7436</v>
      </c>
    </row>
    <row r="79" customFormat="false" ht="13.5" hidden="false" customHeight="false" outlineLevel="0" collapsed="false">
      <c r="A79" s="0" t="s">
        <v>86</v>
      </c>
      <c r="B79" s="1" t="n">
        <v>43939</v>
      </c>
      <c r="C79" s="0" t="n">
        <v>1340</v>
      </c>
      <c r="D79" s="0" t="n">
        <v>57</v>
      </c>
      <c r="E79" s="0" t="n">
        <v>15</v>
      </c>
      <c r="F79" s="0" t="n">
        <v>0</v>
      </c>
      <c r="G79" s="0" t="n">
        <v>528</v>
      </c>
      <c r="H79" s="0" t="n">
        <v>797</v>
      </c>
      <c r="I79" s="0" t="n">
        <v>26</v>
      </c>
      <c r="J79" s="0" t="n">
        <v>132</v>
      </c>
      <c r="K79" s="0" t="n">
        <v>1</v>
      </c>
      <c r="L79" s="0" t="n">
        <v>86607</v>
      </c>
      <c r="M79" s="0" t="n">
        <v>8542</v>
      </c>
    </row>
    <row r="80" customFormat="false" ht="13.5" hidden="false" customHeight="false" outlineLevel="0" collapsed="false">
      <c r="A80" s="0" t="s">
        <v>86</v>
      </c>
      <c r="B80" s="1" t="n">
        <v>43940</v>
      </c>
      <c r="C80" s="0" t="n">
        <v>1373</v>
      </c>
      <c r="D80" s="0" t="n">
        <v>33</v>
      </c>
      <c r="E80" s="0" t="n">
        <v>18</v>
      </c>
      <c r="F80" s="0" t="n">
        <v>3</v>
      </c>
      <c r="G80" s="0" t="n">
        <v>590</v>
      </c>
      <c r="H80" s="0" t="n">
        <v>765</v>
      </c>
      <c r="I80" s="0" t="n">
        <v>21</v>
      </c>
      <c r="J80" s="0" t="n">
        <v>135</v>
      </c>
      <c r="K80" s="0" t="n">
        <v>2</v>
      </c>
      <c r="L80" s="0" t="n">
        <v>86607</v>
      </c>
      <c r="M80" s="0" t="n">
        <v>8542</v>
      </c>
    </row>
    <row r="81" customFormat="false" ht="13.5" hidden="false" customHeight="false" outlineLevel="0" collapsed="false">
      <c r="A81" s="0" t="s">
        <v>86</v>
      </c>
      <c r="B81" s="1" t="n">
        <v>43941</v>
      </c>
      <c r="C81" s="0" t="n">
        <v>1398</v>
      </c>
      <c r="D81" s="0" t="n">
        <v>25</v>
      </c>
      <c r="E81" s="0" t="n">
        <v>19</v>
      </c>
      <c r="F81" s="0" t="n">
        <v>1</v>
      </c>
      <c r="G81" s="0" t="n">
        <v>712</v>
      </c>
      <c r="H81" s="0" t="n">
        <v>667</v>
      </c>
      <c r="I81" s="0" t="n">
        <v>21</v>
      </c>
      <c r="J81" s="0" t="n">
        <v>138</v>
      </c>
      <c r="K81" s="0" t="n">
        <v>2</v>
      </c>
      <c r="L81" s="0" t="n">
        <v>95747</v>
      </c>
      <c r="M81" s="0" t="n">
        <v>9443</v>
      </c>
    </row>
    <row r="82" customFormat="false" ht="13.5" hidden="false" customHeight="false" outlineLevel="0" collapsed="false">
      <c r="A82" s="0" t="s">
        <v>86</v>
      </c>
      <c r="B82" s="1" t="n">
        <v>43942</v>
      </c>
      <c r="C82" s="0" t="n">
        <v>1436</v>
      </c>
      <c r="D82" s="0" t="n">
        <v>38</v>
      </c>
      <c r="E82" s="0" t="n">
        <v>19</v>
      </c>
      <c r="F82" s="0" t="n">
        <v>0</v>
      </c>
      <c r="G82" s="0" t="n">
        <v>791</v>
      </c>
      <c r="H82" s="0" t="n">
        <v>626</v>
      </c>
      <c r="I82" s="0" t="n">
        <v>16</v>
      </c>
      <c r="J82" s="0" t="n">
        <v>142</v>
      </c>
      <c r="K82" s="0" t="n">
        <v>2</v>
      </c>
      <c r="L82" s="0" t="n">
        <v>95747</v>
      </c>
      <c r="M82" s="0" t="n">
        <v>9443</v>
      </c>
    </row>
    <row r="83" customFormat="false" ht="13.5" hidden="false" customHeight="false" outlineLevel="0" collapsed="false">
      <c r="A83" s="0" t="s">
        <v>86</v>
      </c>
      <c r="B83" s="1" t="n">
        <v>43943</v>
      </c>
      <c r="C83" s="0" t="n">
        <v>1480</v>
      </c>
      <c r="D83" s="0" t="n">
        <v>44</v>
      </c>
      <c r="E83" s="0" t="n">
        <v>20</v>
      </c>
      <c r="F83" s="0" t="n">
        <v>1</v>
      </c>
      <c r="G83" s="0" t="n">
        <v>865</v>
      </c>
      <c r="H83" s="0" t="n">
        <v>595</v>
      </c>
      <c r="I83" s="0" t="n">
        <v>16</v>
      </c>
      <c r="J83" s="0" t="n">
        <v>146</v>
      </c>
      <c r="K83" s="0" t="n">
        <v>2</v>
      </c>
      <c r="L83" s="0" t="n">
        <v>102764</v>
      </c>
      <c r="M83" s="0" t="n">
        <v>10135</v>
      </c>
    </row>
    <row r="84" customFormat="false" ht="13.5" hidden="false" customHeight="false" outlineLevel="0" collapsed="false">
      <c r="A84" s="0" t="s">
        <v>86</v>
      </c>
      <c r="B84" s="1" t="n">
        <v>43944</v>
      </c>
      <c r="C84" s="0" t="n">
        <v>1518</v>
      </c>
      <c r="D84" s="0" t="n">
        <v>38</v>
      </c>
      <c r="E84" s="0" t="n">
        <v>20</v>
      </c>
      <c r="F84" s="0" t="n">
        <v>0</v>
      </c>
      <c r="G84" s="0" t="n">
        <v>907</v>
      </c>
      <c r="H84" s="0" t="n">
        <v>591</v>
      </c>
      <c r="I84" s="0" t="n">
        <v>14</v>
      </c>
      <c r="J84" s="0" t="n">
        <v>150</v>
      </c>
      <c r="K84" s="0" t="n">
        <v>2</v>
      </c>
      <c r="L84" s="0" t="n">
        <v>108221</v>
      </c>
      <c r="M84" s="0" t="n">
        <v>10674</v>
      </c>
    </row>
    <row r="85" customFormat="false" ht="13.5" hidden="false" customHeight="false" outlineLevel="0" collapsed="false">
      <c r="A85" s="0" t="s">
        <v>86</v>
      </c>
      <c r="B85" s="1" t="n">
        <v>43945</v>
      </c>
      <c r="C85" s="0" t="n">
        <v>1548</v>
      </c>
      <c r="D85" s="0" t="n">
        <v>30</v>
      </c>
      <c r="E85" s="0" t="n">
        <v>20</v>
      </c>
      <c r="F85" s="0" t="n">
        <v>0</v>
      </c>
      <c r="G85" s="0" t="n">
        <v>948</v>
      </c>
      <c r="H85" s="0" t="n">
        <v>580</v>
      </c>
      <c r="I85" s="0" t="n">
        <v>14</v>
      </c>
      <c r="J85" s="0" t="n">
        <v>153</v>
      </c>
      <c r="K85" s="0" t="n">
        <v>2</v>
      </c>
      <c r="L85" s="0" t="n">
        <v>108221</v>
      </c>
      <c r="M85" s="0" t="n">
        <v>10674</v>
      </c>
    </row>
    <row r="86" customFormat="false" ht="13.5" hidden="false" customHeight="false" outlineLevel="0" collapsed="false">
      <c r="A86" s="0" t="s">
        <v>86</v>
      </c>
      <c r="B86" s="1" t="n">
        <v>43946</v>
      </c>
      <c r="C86" s="0" t="n">
        <v>1592</v>
      </c>
      <c r="D86" s="0" t="n">
        <v>44</v>
      </c>
      <c r="E86" s="0" t="n">
        <v>21</v>
      </c>
      <c r="F86" s="0" t="n">
        <v>1</v>
      </c>
      <c r="G86" s="0" t="n">
        <v>1013</v>
      </c>
      <c r="H86" s="0" t="n">
        <v>558</v>
      </c>
      <c r="I86" s="0" t="n">
        <v>14</v>
      </c>
      <c r="J86" s="0" t="n">
        <v>157</v>
      </c>
      <c r="K86" s="0" t="n">
        <v>2</v>
      </c>
      <c r="L86" s="0" t="n">
        <v>114410</v>
      </c>
      <c r="M86" s="0" t="n">
        <v>11284</v>
      </c>
    </row>
    <row r="87" customFormat="false" ht="13.5" hidden="false" customHeight="false" outlineLevel="0" collapsed="false">
      <c r="A87" s="0" t="s">
        <v>86</v>
      </c>
      <c r="B87" s="1" t="n">
        <v>43947</v>
      </c>
      <c r="C87" s="0" t="n">
        <v>1617</v>
      </c>
      <c r="D87" s="0" t="n">
        <v>25</v>
      </c>
      <c r="E87" s="0" t="n">
        <v>21</v>
      </c>
      <c r="F87" s="0" t="n">
        <v>0</v>
      </c>
      <c r="G87" s="0" t="n">
        <v>1080</v>
      </c>
      <c r="H87" s="0" t="n">
        <v>516</v>
      </c>
      <c r="I87" s="0" t="n">
        <v>15</v>
      </c>
      <c r="J87" s="0" t="n">
        <v>159</v>
      </c>
      <c r="K87" s="0" t="n">
        <v>2</v>
      </c>
      <c r="L87" s="0" t="n">
        <v>120479</v>
      </c>
      <c r="M87" s="0" t="n">
        <v>11883</v>
      </c>
    </row>
    <row r="88" customFormat="false" ht="13.5" hidden="false" customHeight="false" outlineLevel="0" collapsed="false">
      <c r="A88" s="0" t="s">
        <v>86</v>
      </c>
      <c r="B88" s="1" t="n">
        <v>43948</v>
      </c>
      <c r="C88" s="0" t="n">
        <v>1645</v>
      </c>
      <c r="D88" s="0" t="n">
        <v>28</v>
      </c>
      <c r="E88" s="0" t="n">
        <v>21</v>
      </c>
      <c r="F88" s="0" t="n">
        <v>0</v>
      </c>
      <c r="G88" s="0" t="n">
        <v>1139</v>
      </c>
      <c r="H88" s="0" t="n">
        <v>485</v>
      </c>
      <c r="I88" s="0" t="n">
        <v>15</v>
      </c>
      <c r="J88" s="0" t="n">
        <v>162</v>
      </c>
      <c r="K88" s="0" t="n">
        <v>2</v>
      </c>
      <c r="L88" s="0" t="n">
        <v>120479</v>
      </c>
      <c r="M88" s="0" t="n">
        <v>11883</v>
      </c>
    </row>
    <row r="89" customFormat="false" ht="13.5" hidden="false" customHeight="false" outlineLevel="0" collapsed="false">
      <c r="A89" s="0" t="s">
        <v>86</v>
      </c>
      <c r="B89" s="1" t="n">
        <v>43949</v>
      </c>
      <c r="C89" s="0" t="n">
        <v>1678</v>
      </c>
      <c r="D89" s="0" t="n">
        <v>33</v>
      </c>
      <c r="E89" s="0" t="n">
        <v>22</v>
      </c>
      <c r="F89" s="0" t="n">
        <v>1</v>
      </c>
      <c r="G89" s="0" t="n">
        <v>1162</v>
      </c>
      <c r="H89" s="0" t="n">
        <v>494</v>
      </c>
      <c r="I89" s="0" t="n">
        <v>15</v>
      </c>
      <c r="J89" s="0" t="n">
        <v>165</v>
      </c>
      <c r="K89" s="0" t="n">
        <v>2</v>
      </c>
      <c r="L89" s="0" t="n">
        <v>128807</v>
      </c>
      <c r="M89" s="0" t="n">
        <v>12704</v>
      </c>
    </row>
    <row r="90" customFormat="false" ht="13.5" hidden="false" customHeight="false" outlineLevel="0" collapsed="false">
      <c r="A90" s="0" t="s">
        <v>86</v>
      </c>
      <c r="B90" s="1" t="n">
        <v>43950</v>
      </c>
      <c r="C90" s="0" t="n">
        <v>1717</v>
      </c>
      <c r="D90" s="0" t="n">
        <v>39</v>
      </c>
      <c r="E90" s="0" t="n">
        <v>22</v>
      </c>
      <c r="F90" s="0" t="n">
        <v>0</v>
      </c>
      <c r="G90" s="0" t="n">
        <v>1221</v>
      </c>
      <c r="H90" s="0" t="n">
        <v>474</v>
      </c>
      <c r="I90" s="0" t="n">
        <v>15</v>
      </c>
      <c r="J90" s="0" t="n">
        <v>169</v>
      </c>
      <c r="K90" s="0" t="n">
        <v>2</v>
      </c>
      <c r="L90" s="0" t="n">
        <v>132640</v>
      </c>
      <c r="M90" s="0" t="n">
        <v>13082</v>
      </c>
    </row>
    <row r="91" customFormat="false" ht="13.5" hidden="false" customHeight="false" outlineLevel="0" collapsed="false">
      <c r="A91" s="0" t="s">
        <v>86</v>
      </c>
      <c r="B91" s="1" t="n">
        <v>43951</v>
      </c>
      <c r="C91" s="0" t="n">
        <v>1766</v>
      </c>
      <c r="D91" s="0" t="n">
        <v>49</v>
      </c>
      <c r="E91" s="0" t="n">
        <v>23</v>
      </c>
      <c r="F91" s="0" t="n">
        <v>1</v>
      </c>
      <c r="G91" s="0" t="n">
        <v>1267</v>
      </c>
      <c r="H91" s="0" t="n">
        <v>476</v>
      </c>
      <c r="I91" s="0" t="n">
        <v>18</v>
      </c>
      <c r="J91" s="0" t="n">
        <v>174</v>
      </c>
      <c r="K91" s="0" t="n">
        <v>2</v>
      </c>
      <c r="L91" s="0" t="n">
        <v>137379</v>
      </c>
      <c r="M91" s="0" t="n">
        <v>13549</v>
      </c>
    </row>
    <row r="92" customFormat="false" ht="13.5" hidden="false" customHeight="false" outlineLevel="0" collapsed="false">
      <c r="A92" s="0" t="s">
        <v>86</v>
      </c>
      <c r="B92" s="1" t="n">
        <v>43952</v>
      </c>
      <c r="C92" s="0" t="n">
        <v>1804</v>
      </c>
      <c r="D92" s="0" t="n">
        <v>38</v>
      </c>
      <c r="E92" s="0" t="n">
        <v>24</v>
      </c>
      <c r="F92" s="0" t="n">
        <v>1</v>
      </c>
      <c r="G92" s="0" t="n">
        <v>1325</v>
      </c>
      <c r="H92" s="0" t="n">
        <v>455</v>
      </c>
      <c r="I92" s="0" t="n">
        <v>17</v>
      </c>
      <c r="J92" s="0" t="n">
        <v>178</v>
      </c>
      <c r="K92" s="0" t="n">
        <v>2</v>
      </c>
      <c r="L92" s="0" t="n">
        <v>143079</v>
      </c>
      <c r="M92" s="0" t="n">
        <v>14112</v>
      </c>
    </row>
    <row r="93" customFormat="false" ht="13.5" hidden="false" customHeight="false" outlineLevel="0" collapsed="false">
      <c r="A93" s="0" t="s">
        <v>86</v>
      </c>
      <c r="B93" s="1" t="n">
        <v>43953</v>
      </c>
      <c r="C93" s="0" t="n">
        <v>1854</v>
      </c>
      <c r="D93" s="0" t="n">
        <v>50</v>
      </c>
      <c r="E93" s="0" t="n">
        <v>25</v>
      </c>
      <c r="F93" s="0" t="n">
        <v>1</v>
      </c>
      <c r="G93" s="0" t="n">
        <v>1365</v>
      </c>
      <c r="H93" s="0" t="n">
        <v>464</v>
      </c>
      <c r="I93" s="0" t="n">
        <v>17</v>
      </c>
      <c r="J93" s="0" t="n">
        <v>183</v>
      </c>
      <c r="K93" s="0" t="n">
        <v>2</v>
      </c>
      <c r="L93" s="0" t="n">
        <v>146630</v>
      </c>
      <c r="M93" s="0" t="n">
        <v>14462</v>
      </c>
    </row>
    <row r="94" customFormat="false" ht="13.5" hidden="false" customHeight="false" outlineLevel="0" collapsed="false">
      <c r="A94" s="0" t="s">
        <v>86</v>
      </c>
      <c r="B94" s="1" t="n">
        <v>43954</v>
      </c>
      <c r="C94" s="0" t="n">
        <v>1894</v>
      </c>
      <c r="D94" s="0" t="n">
        <v>40</v>
      </c>
      <c r="E94" s="0" t="n">
        <v>25</v>
      </c>
      <c r="F94" s="0" t="n">
        <v>0</v>
      </c>
      <c r="G94" s="0" t="n">
        <v>1411</v>
      </c>
      <c r="H94" s="0" t="n">
        <v>458</v>
      </c>
      <c r="I94" s="0" t="n">
        <v>17</v>
      </c>
      <c r="J94" s="0" t="n">
        <v>187</v>
      </c>
      <c r="K94" s="0" t="n">
        <v>2</v>
      </c>
      <c r="L94" s="0" t="n">
        <v>152597</v>
      </c>
      <c r="M94" s="0" t="n">
        <v>15050</v>
      </c>
    </row>
    <row r="95" customFormat="false" ht="13.5" hidden="false" customHeight="false" outlineLevel="0" collapsed="false">
      <c r="A95" s="0" t="s">
        <v>86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86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86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86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86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86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86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86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86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86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86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86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86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86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86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86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86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86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86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86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86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86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86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86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86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86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86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86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86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86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86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86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86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86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86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86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86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86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86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86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86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86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86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86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86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86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86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86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86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86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86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86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86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86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86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86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86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86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86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86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86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86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86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86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86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86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86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86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86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86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86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86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86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86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86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86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86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86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86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86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86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86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86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86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86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86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86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86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86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86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86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86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86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87</v>
      </c>
      <c r="B2" s="1" t="n">
        <v>43862</v>
      </c>
    </row>
    <row r="3" customFormat="false" ht="13.5" hidden="false" customHeight="false" outlineLevel="0" collapsed="false">
      <c r="A3" s="0" t="s">
        <v>87</v>
      </c>
      <c r="B3" s="1" t="n">
        <v>43863</v>
      </c>
    </row>
    <row r="4" customFormat="false" ht="13.5" hidden="false" customHeight="false" outlineLevel="0" collapsed="false">
      <c r="A4" s="0" t="s">
        <v>87</v>
      </c>
      <c r="B4" s="1" t="n">
        <v>43864</v>
      </c>
    </row>
    <row r="5" customFormat="false" ht="13.5" hidden="false" customHeight="false" outlineLevel="0" collapsed="false">
      <c r="A5" s="0" t="s">
        <v>87</v>
      </c>
      <c r="B5" s="1" t="n">
        <v>43865</v>
      </c>
    </row>
    <row r="6" customFormat="false" ht="13.5" hidden="false" customHeight="false" outlineLevel="0" collapsed="false">
      <c r="A6" s="0" t="s">
        <v>87</v>
      </c>
      <c r="B6" s="1" t="n">
        <v>43866</v>
      </c>
    </row>
    <row r="7" customFormat="false" ht="13.5" hidden="false" customHeight="false" outlineLevel="0" collapsed="false">
      <c r="A7" s="0" t="s">
        <v>87</v>
      </c>
      <c r="B7" s="1" t="n">
        <v>43867</v>
      </c>
    </row>
    <row r="8" customFormat="false" ht="13.5" hidden="false" customHeight="false" outlineLevel="0" collapsed="false">
      <c r="A8" s="0" t="s">
        <v>87</v>
      </c>
      <c r="B8" s="1" t="n">
        <v>43868</v>
      </c>
    </row>
    <row r="9" customFormat="false" ht="13.5" hidden="false" customHeight="false" outlineLevel="0" collapsed="false">
      <c r="A9" s="0" t="s">
        <v>87</v>
      </c>
      <c r="B9" s="1" t="n">
        <v>43869</v>
      </c>
    </row>
    <row r="10" customFormat="false" ht="13.5" hidden="false" customHeight="false" outlineLevel="0" collapsed="false">
      <c r="A10" s="0" t="s">
        <v>87</v>
      </c>
      <c r="B10" s="1" t="n">
        <v>43870</v>
      </c>
    </row>
    <row r="11" customFormat="false" ht="13.5" hidden="false" customHeight="false" outlineLevel="0" collapsed="false">
      <c r="A11" s="0" t="s">
        <v>87</v>
      </c>
      <c r="B11" s="1" t="n">
        <v>43871</v>
      </c>
    </row>
    <row r="12" customFormat="false" ht="13.5" hidden="false" customHeight="false" outlineLevel="0" collapsed="false">
      <c r="A12" s="0" t="s">
        <v>87</v>
      </c>
      <c r="B12" s="1" t="n">
        <v>43872</v>
      </c>
    </row>
    <row r="13" customFormat="false" ht="13.5" hidden="false" customHeight="false" outlineLevel="0" collapsed="false">
      <c r="A13" s="0" t="s">
        <v>87</v>
      </c>
      <c r="B13" s="1" t="n">
        <v>43873</v>
      </c>
    </row>
    <row r="14" customFormat="false" ht="13.5" hidden="false" customHeight="false" outlineLevel="0" collapsed="false">
      <c r="A14" s="0" t="s">
        <v>87</v>
      </c>
      <c r="B14" s="1" t="n">
        <v>43874</v>
      </c>
    </row>
    <row r="15" customFormat="false" ht="13.5" hidden="false" customHeight="false" outlineLevel="0" collapsed="false">
      <c r="A15" s="0" t="s">
        <v>87</v>
      </c>
      <c r="B15" s="1" t="n">
        <v>43875</v>
      </c>
    </row>
    <row r="16" customFormat="false" ht="13.5" hidden="false" customHeight="false" outlineLevel="0" collapsed="false">
      <c r="A16" s="0" t="s">
        <v>87</v>
      </c>
      <c r="B16" s="1" t="n">
        <v>43876</v>
      </c>
    </row>
    <row r="17" customFormat="false" ht="13.5" hidden="false" customHeight="false" outlineLevel="0" collapsed="false">
      <c r="A17" s="0" t="s">
        <v>87</v>
      </c>
      <c r="B17" s="1" t="n">
        <v>43877</v>
      </c>
    </row>
    <row r="18" customFormat="false" ht="13.5" hidden="false" customHeight="false" outlineLevel="0" collapsed="false">
      <c r="A18" s="0" t="s">
        <v>87</v>
      </c>
      <c r="B18" s="1" t="n">
        <v>43878</v>
      </c>
    </row>
    <row r="19" customFormat="false" ht="13.5" hidden="false" customHeight="false" outlineLevel="0" collapsed="false">
      <c r="A19" s="0" t="s">
        <v>87</v>
      </c>
      <c r="B19" s="1" t="n">
        <v>43879</v>
      </c>
    </row>
    <row r="20" customFormat="false" ht="13.5" hidden="false" customHeight="false" outlineLevel="0" collapsed="false">
      <c r="A20" s="0" t="s">
        <v>87</v>
      </c>
      <c r="B20" s="1" t="n">
        <v>43880</v>
      </c>
    </row>
    <row r="21" customFormat="false" ht="13.5" hidden="false" customHeight="false" outlineLevel="0" collapsed="false">
      <c r="A21" s="0" t="s">
        <v>87</v>
      </c>
      <c r="B21" s="1" t="n">
        <v>43881</v>
      </c>
    </row>
    <row r="22" customFormat="false" ht="13.5" hidden="false" customHeight="false" outlineLevel="0" collapsed="false">
      <c r="A22" s="0" t="s">
        <v>87</v>
      </c>
      <c r="B22" s="1" t="n">
        <v>43882</v>
      </c>
    </row>
    <row r="23" customFormat="false" ht="13.5" hidden="false" customHeight="false" outlineLevel="0" collapsed="false">
      <c r="A23" s="0" t="s">
        <v>87</v>
      </c>
      <c r="B23" s="1" t="n">
        <v>43883</v>
      </c>
    </row>
    <row r="24" customFormat="false" ht="13.5" hidden="false" customHeight="false" outlineLevel="0" collapsed="false">
      <c r="A24" s="0" t="s">
        <v>87</v>
      </c>
      <c r="B24" s="1" t="n">
        <v>43884</v>
      </c>
    </row>
    <row r="25" customFormat="false" ht="13.5" hidden="false" customHeight="false" outlineLevel="0" collapsed="false">
      <c r="A25" s="0" t="s">
        <v>87</v>
      </c>
      <c r="B25" s="1" t="n">
        <v>43885</v>
      </c>
    </row>
    <row r="26" customFormat="false" ht="13.5" hidden="false" customHeight="false" outlineLevel="0" collapsed="false">
      <c r="A26" s="0" t="s">
        <v>87</v>
      </c>
      <c r="B26" s="1" t="n">
        <v>43886</v>
      </c>
    </row>
    <row r="27" customFormat="false" ht="13.5" hidden="false" customHeight="false" outlineLevel="0" collapsed="false">
      <c r="A27" s="0" t="s">
        <v>87</v>
      </c>
      <c r="B27" s="1" t="n">
        <v>43887</v>
      </c>
    </row>
    <row r="28" customFormat="false" ht="13.5" hidden="false" customHeight="false" outlineLevel="0" collapsed="false">
      <c r="A28" s="0" t="s">
        <v>87</v>
      </c>
      <c r="B28" s="1" t="n">
        <v>43888</v>
      </c>
    </row>
    <row r="29" customFormat="false" ht="13.5" hidden="false" customHeight="false" outlineLevel="0" collapsed="false">
      <c r="A29" s="0" t="s">
        <v>87</v>
      </c>
      <c r="B29" s="1" t="n">
        <v>43889</v>
      </c>
    </row>
    <row r="30" customFormat="false" ht="13.5" hidden="false" customHeight="false" outlineLevel="0" collapsed="false">
      <c r="A30" s="0" t="s">
        <v>87</v>
      </c>
      <c r="B30" s="1" t="n">
        <v>43890</v>
      </c>
    </row>
    <row r="31" customFormat="false" ht="13.5" hidden="false" customHeight="false" outlineLevel="0" collapsed="false">
      <c r="A31" s="0" t="s">
        <v>87</v>
      </c>
      <c r="B31" s="1" t="n">
        <v>43891</v>
      </c>
    </row>
    <row r="32" customFormat="false" ht="13.5" hidden="false" customHeight="false" outlineLevel="0" collapsed="false">
      <c r="A32" s="0" t="s">
        <v>87</v>
      </c>
      <c r="B32" s="1" t="n">
        <v>43892</v>
      </c>
    </row>
    <row r="33" customFormat="false" ht="13.5" hidden="false" customHeight="false" outlineLevel="0" collapsed="false">
      <c r="A33" s="0" t="s">
        <v>87</v>
      </c>
      <c r="B33" s="1" t="n">
        <v>43893</v>
      </c>
    </row>
    <row r="34" customFormat="false" ht="13.5" hidden="false" customHeight="false" outlineLevel="0" collapsed="false">
      <c r="A34" s="0" t="s">
        <v>87</v>
      </c>
      <c r="B34" s="1" t="n">
        <v>43894</v>
      </c>
    </row>
    <row r="35" customFormat="false" ht="13.5" hidden="false" customHeight="false" outlineLevel="0" collapsed="false">
      <c r="A35" s="0" t="s">
        <v>87</v>
      </c>
      <c r="B35" s="1" t="n">
        <v>43895</v>
      </c>
    </row>
    <row r="36" customFormat="false" ht="13.5" hidden="false" customHeight="false" outlineLevel="0" collapsed="false">
      <c r="A36" s="0" t="s">
        <v>87</v>
      </c>
      <c r="B36" s="1" t="n">
        <v>43896</v>
      </c>
    </row>
    <row r="37" customFormat="false" ht="13.5" hidden="false" customHeight="false" outlineLevel="0" collapsed="false">
      <c r="A37" s="0" t="s">
        <v>87</v>
      </c>
      <c r="B37" s="1" t="n">
        <v>43897</v>
      </c>
      <c r="C37" s="0" t="n">
        <v>3</v>
      </c>
      <c r="D37" s="0" t="n">
        <v>1</v>
      </c>
      <c r="H37" s="0" t="n">
        <v>3</v>
      </c>
    </row>
    <row r="38" customFormat="false" ht="13.5" hidden="false" customHeight="false" outlineLevel="0" collapsed="false">
      <c r="A38" s="0" t="s">
        <v>87</v>
      </c>
      <c r="B38" s="1" t="n">
        <v>43898</v>
      </c>
      <c r="C38" s="0" t="n">
        <v>3</v>
      </c>
      <c r="D38" s="0" t="n">
        <v>0</v>
      </c>
      <c r="H38" s="0" t="n">
        <v>3</v>
      </c>
      <c r="J38" s="0" t="n">
        <v>0.9</v>
      </c>
    </row>
    <row r="39" customFormat="false" ht="13.5" hidden="false" customHeight="false" outlineLevel="0" collapsed="false">
      <c r="A39" s="0" t="s">
        <v>87</v>
      </c>
      <c r="B39" s="1" t="n">
        <v>43899</v>
      </c>
      <c r="C39" s="0" t="n">
        <v>3</v>
      </c>
      <c r="D39" s="0" t="n">
        <v>0</v>
      </c>
      <c r="H39" s="0" t="n">
        <v>3</v>
      </c>
      <c r="J39" s="0" t="n">
        <v>0.9</v>
      </c>
    </row>
    <row r="40" customFormat="false" ht="13.5" hidden="false" customHeight="false" outlineLevel="0" collapsed="false">
      <c r="A40" s="0" t="s">
        <v>87</v>
      </c>
      <c r="B40" s="1" t="n">
        <v>43900</v>
      </c>
      <c r="C40" s="0" t="n">
        <v>5</v>
      </c>
      <c r="D40" s="0" t="n">
        <v>2</v>
      </c>
      <c r="H40" s="0" t="n">
        <v>5</v>
      </c>
      <c r="J40" s="0" t="n">
        <v>1.5</v>
      </c>
    </row>
    <row r="41" customFormat="false" ht="13.5" hidden="false" customHeight="false" outlineLevel="0" collapsed="false">
      <c r="A41" s="0" t="s">
        <v>87</v>
      </c>
      <c r="B41" s="1" t="n">
        <v>43901</v>
      </c>
      <c r="C41" s="0" t="n">
        <v>5</v>
      </c>
      <c r="D41" s="0" t="n">
        <v>0</v>
      </c>
      <c r="H41" s="0" t="n">
        <v>5</v>
      </c>
      <c r="J41" s="0" t="n">
        <v>1.5</v>
      </c>
    </row>
    <row r="42" customFormat="false" ht="13.5" hidden="false" customHeight="false" outlineLevel="0" collapsed="false">
      <c r="A42" s="0" t="s">
        <v>87</v>
      </c>
      <c r="B42" s="1" t="n">
        <v>43902</v>
      </c>
      <c r="C42" s="0" t="n">
        <v>7</v>
      </c>
      <c r="D42" s="0" t="n">
        <v>2</v>
      </c>
      <c r="H42" s="0" t="n">
        <v>7</v>
      </c>
      <c r="J42" s="0" t="n">
        <v>2.1</v>
      </c>
    </row>
    <row r="43" customFormat="false" ht="13.5" hidden="false" customHeight="false" outlineLevel="0" collapsed="false">
      <c r="A43" s="0" t="s">
        <v>87</v>
      </c>
      <c r="B43" s="1" t="n">
        <v>43903</v>
      </c>
      <c r="C43" s="0" t="n">
        <v>11</v>
      </c>
      <c r="D43" s="0" t="n">
        <v>4</v>
      </c>
      <c r="H43" s="0" t="n">
        <v>11</v>
      </c>
      <c r="J43" s="0" t="n">
        <v>3.4</v>
      </c>
    </row>
    <row r="44" customFormat="false" ht="13.5" hidden="false" customHeight="false" outlineLevel="0" collapsed="false">
      <c r="A44" s="0" t="s">
        <v>87</v>
      </c>
      <c r="B44" s="1" t="n">
        <v>43904</v>
      </c>
      <c r="C44" s="0" t="n">
        <v>18</v>
      </c>
      <c r="D44" s="0" t="n">
        <v>7</v>
      </c>
      <c r="H44" s="0" t="n">
        <v>18</v>
      </c>
      <c r="J44" s="0" t="n">
        <v>5.5</v>
      </c>
    </row>
    <row r="45" customFormat="false" ht="13.5" hidden="false" customHeight="false" outlineLevel="0" collapsed="false">
      <c r="A45" s="0" t="s">
        <v>87</v>
      </c>
      <c r="B45" s="1" t="n">
        <v>43905</v>
      </c>
      <c r="C45" s="0" t="n">
        <v>21</v>
      </c>
      <c r="D45" s="0" t="n">
        <v>3</v>
      </c>
      <c r="H45" s="0" t="n">
        <v>21</v>
      </c>
      <c r="J45" s="0" t="n">
        <v>6.4</v>
      </c>
    </row>
    <row r="46" customFormat="false" ht="13.5" hidden="false" customHeight="false" outlineLevel="0" collapsed="false">
      <c r="A46" s="0" t="s">
        <v>87</v>
      </c>
      <c r="B46" s="1" t="n">
        <v>43906</v>
      </c>
      <c r="C46" s="0" t="n">
        <v>24</v>
      </c>
      <c r="D46" s="0" t="n">
        <v>3</v>
      </c>
      <c r="H46" s="0" t="n">
        <v>24</v>
      </c>
      <c r="J46" s="0" t="n">
        <v>7.3</v>
      </c>
    </row>
    <row r="47" customFormat="false" ht="13.5" hidden="false" customHeight="false" outlineLevel="0" collapsed="false">
      <c r="A47" s="0" t="s">
        <v>87</v>
      </c>
      <c r="B47" s="1" t="n">
        <v>43907</v>
      </c>
      <c r="C47" s="0" t="n">
        <v>25</v>
      </c>
      <c r="D47" s="0" t="n">
        <v>1</v>
      </c>
      <c r="G47" s="0" t="n">
        <v>2</v>
      </c>
      <c r="H47" s="0" t="n">
        <v>23</v>
      </c>
      <c r="J47" s="0" t="n">
        <v>7.6</v>
      </c>
    </row>
    <row r="48" customFormat="false" ht="13.5" hidden="false" customHeight="false" outlineLevel="0" collapsed="false">
      <c r="A48" s="0" t="s">
        <v>87</v>
      </c>
      <c r="B48" s="1" t="n">
        <v>43908</v>
      </c>
      <c r="C48" s="0" t="n">
        <v>34</v>
      </c>
      <c r="D48" s="0" t="n">
        <v>9</v>
      </c>
      <c r="G48" s="0" t="n">
        <v>2</v>
      </c>
      <c r="H48" s="0" t="n">
        <v>32</v>
      </c>
      <c r="J48" s="0" t="n">
        <v>10.4</v>
      </c>
    </row>
    <row r="49" customFormat="false" ht="13.5" hidden="false" customHeight="false" outlineLevel="0" collapsed="false">
      <c r="A49" s="0" t="s">
        <v>87</v>
      </c>
      <c r="B49" s="1" t="n">
        <v>43909</v>
      </c>
      <c r="C49" s="0" t="n">
        <v>39</v>
      </c>
      <c r="D49" s="0" t="n">
        <v>5</v>
      </c>
      <c r="G49" s="0" t="n">
        <v>2</v>
      </c>
      <c r="H49" s="0" t="n">
        <v>37</v>
      </c>
      <c r="J49" s="0" t="n">
        <v>12</v>
      </c>
    </row>
    <row r="50" customFormat="false" ht="13.5" hidden="false" customHeight="false" outlineLevel="0" collapsed="false">
      <c r="A50" s="0" t="s">
        <v>87</v>
      </c>
      <c r="B50" s="1" t="n">
        <v>43910</v>
      </c>
      <c r="C50" s="0" t="n">
        <v>64</v>
      </c>
      <c r="D50" s="0" t="n">
        <v>25</v>
      </c>
      <c r="G50" s="0" t="n">
        <v>2</v>
      </c>
      <c r="H50" s="0" t="n">
        <v>62</v>
      </c>
      <c r="J50" s="0" t="n">
        <v>20</v>
      </c>
    </row>
    <row r="51" customFormat="false" ht="13.5" hidden="false" customHeight="false" outlineLevel="0" collapsed="false">
      <c r="A51" s="0" t="s">
        <v>87</v>
      </c>
      <c r="B51" s="1" t="n">
        <v>43911</v>
      </c>
      <c r="C51" s="0" t="n">
        <v>90</v>
      </c>
      <c r="D51" s="0" t="n">
        <v>26</v>
      </c>
      <c r="G51" s="0" t="n">
        <v>2</v>
      </c>
      <c r="H51" s="0" t="n">
        <v>88</v>
      </c>
      <c r="I51" s="0" t="n">
        <v>1</v>
      </c>
      <c r="J51" s="0" t="n">
        <v>27</v>
      </c>
    </row>
    <row r="52" customFormat="false" ht="13.5" hidden="false" customHeight="false" outlineLevel="0" collapsed="false">
      <c r="A52" s="0" t="s">
        <v>87</v>
      </c>
      <c r="B52" s="1" t="n">
        <v>43912</v>
      </c>
      <c r="C52" s="0" t="n">
        <v>93</v>
      </c>
      <c r="D52" s="0" t="n">
        <v>3</v>
      </c>
      <c r="E52" s="0" t="n">
        <v>1</v>
      </c>
      <c r="F52" s="0" t="n">
        <v>1</v>
      </c>
      <c r="G52" s="0" t="n">
        <v>2</v>
      </c>
      <c r="H52" s="0" t="n">
        <v>90</v>
      </c>
      <c r="I52" s="0" t="n">
        <v>1</v>
      </c>
      <c r="J52" s="0" t="n">
        <v>28</v>
      </c>
    </row>
    <row r="53" customFormat="false" ht="13.5" hidden="false" customHeight="false" outlineLevel="0" collapsed="false">
      <c r="A53" s="0" t="s">
        <v>87</v>
      </c>
      <c r="B53" s="1" t="n">
        <v>43913</v>
      </c>
      <c r="C53" s="0" t="n">
        <v>126</v>
      </c>
      <c r="D53" s="0" t="n">
        <v>33</v>
      </c>
      <c r="E53" s="0" t="n">
        <v>1</v>
      </c>
      <c r="F53" s="0" t="n">
        <v>0</v>
      </c>
      <c r="G53" s="0" t="n">
        <v>2</v>
      </c>
      <c r="H53" s="0" t="n">
        <v>123</v>
      </c>
      <c r="I53" s="0" t="n">
        <v>1</v>
      </c>
      <c r="J53" s="0" t="n">
        <v>38</v>
      </c>
    </row>
    <row r="54" customFormat="false" ht="13.5" hidden="false" customHeight="false" outlineLevel="0" collapsed="false">
      <c r="A54" s="0" t="s">
        <v>87</v>
      </c>
      <c r="B54" s="1" t="n">
        <v>43914</v>
      </c>
      <c r="C54" s="0" t="n">
        <v>132</v>
      </c>
      <c r="D54" s="0" t="n">
        <v>6</v>
      </c>
      <c r="E54" s="0" t="n">
        <v>1</v>
      </c>
      <c r="F54" s="0" t="n">
        <v>0</v>
      </c>
      <c r="G54" s="0" t="n">
        <v>2</v>
      </c>
      <c r="H54" s="0" t="n">
        <v>129</v>
      </c>
      <c r="I54" s="0" t="n">
        <v>1</v>
      </c>
      <c r="J54" s="0" t="n">
        <v>40</v>
      </c>
    </row>
    <row r="55" customFormat="false" ht="13.5" hidden="false" customHeight="false" outlineLevel="0" collapsed="false">
      <c r="A55" s="0" t="s">
        <v>87</v>
      </c>
      <c r="B55" s="1" t="n">
        <v>43915</v>
      </c>
      <c r="C55" s="0" t="n">
        <v>166</v>
      </c>
      <c r="D55" s="0" t="n">
        <v>34</v>
      </c>
      <c r="E55" s="0" t="n">
        <v>3</v>
      </c>
      <c r="F55" s="0" t="n">
        <v>2</v>
      </c>
      <c r="G55" s="0" t="n">
        <v>2</v>
      </c>
      <c r="H55" s="0" t="n">
        <v>161</v>
      </c>
      <c r="I55" s="0" t="n">
        <v>1</v>
      </c>
      <c r="J55" s="0" t="n">
        <v>51</v>
      </c>
      <c r="K55" s="0" t="n">
        <v>0.9</v>
      </c>
    </row>
    <row r="56" customFormat="false" ht="13.5" hidden="false" customHeight="false" outlineLevel="0" collapsed="false">
      <c r="A56" s="0" t="s">
        <v>87</v>
      </c>
      <c r="B56" s="1" t="n">
        <v>43916</v>
      </c>
      <c r="C56" s="0" t="n">
        <v>176</v>
      </c>
      <c r="D56" s="0" t="n">
        <v>10</v>
      </c>
      <c r="E56" s="0" t="n">
        <v>3</v>
      </c>
      <c r="F56" s="0" t="n">
        <v>0</v>
      </c>
      <c r="G56" s="0" t="n">
        <v>2</v>
      </c>
      <c r="H56" s="0" t="n">
        <v>171</v>
      </c>
      <c r="I56" s="0" t="n">
        <v>1</v>
      </c>
      <c r="J56" s="0" t="n">
        <v>54</v>
      </c>
      <c r="K56" s="0" t="n">
        <v>0.9</v>
      </c>
    </row>
    <row r="57" customFormat="false" ht="13.5" hidden="false" customHeight="false" outlineLevel="0" collapsed="false">
      <c r="A57" s="0" t="s">
        <v>87</v>
      </c>
      <c r="B57" s="1" t="n">
        <v>43917</v>
      </c>
      <c r="C57" s="0" t="n">
        <v>189</v>
      </c>
      <c r="D57" s="0" t="n">
        <v>13</v>
      </c>
      <c r="E57" s="0" t="n">
        <v>3</v>
      </c>
      <c r="F57" s="0" t="n">
        <v>0</v>
      </c>
      <c r="G57" s="0" t="n">
        <v>2</v>
      </c>
      <c r="H57" s="0" t="n">
        <v>184</v>
      </c>
      <c r="I57" s="0" t="n">
        <v>1</v>
      </c>
      <c r="J57" s="0" t="n">
        <v>58</v>
      </c>
      <c r="K57" s="0" t="n">
        <v>0.9</v>
      </c>
    </row>
    <row r="58" customFormat="false" ht="13.5" hidden="false" customHeight="false" outlineLevel="0" collapsed="false">
      <c r="A58" s="0" t="s">
        <v>87</v>
      </c>
      <c r="B58" s="1" t="n">
        <v>43918</v>
      </c>
      <c r="C58" s="0" t="n">
        <v>232</v>
      </c>
      <c r="D58" s="0" t="n">
        <v>43</v>
      </c>
      <c r="E58" s="0" t="n">
        <v>4</v>
      </c>
      <c r="F58" s="0" t="n">
        <v>1</v>
      </c>
      <c r="G58" s="0" t="n">
        <v>5</v>
      </c>
      <c r="H58" s="0" t="n">
        <v>223</v>
      </c>
      <c r="I58" s="0" t="n">
        <v>1</v>
      </c>
      <c r="J58" s="0" t="n">
        <v>71</v>
      </c>
      <c r="K58" s="0" t="n">
        <v>1</v>
      </c>
    </row>
    <row r="59" customFormat="false" ht="13.5" hidden="false" customHeight="false" outlineLevel="0" collapsed="false">
      <c r="A59" s="0" t="s">
        <v>87</v>
      </c>
      <c r="B59" s="1" t="n">
        <v>43919</v>
      </c>
      <c r="C59" s="0" t="n">
        <v>258</v>
      </c>
      <c r="D59" s="0" t="n">
        <v>26</v>
      </c>
      <c r="E59" s="0" t="n">
        <v>5</v>
      </c>
      <c r="F59" s="0" t="n">
        <v>1</v>
      </c>
      <c r="G59" s="0" t="n">
        <v>5</v>
      </c>
      <c r="H59" s="0" t="n">
        <v>248</v>
      </c>
      <c r="I59" s="0" t="n">
        <v>1</v>
      </c>
      <c r="J59" s="0" t="n">
        <v>79</v>
      </c>
      <c r="K59" s="0" t="n">
        <v>2</v>
      </c>
    </row>
    <row r="60" customFormat="false" ht="13.5" hidden="false" customHeight="false" outlineLevel="0" collapsed="false">
      <c r="A60" s="0" t="s">
        <v>87</v>
      </c>
      <c r="B60" s="1" t="n">
        <v>43920</v>
      </c>
      <c r="C60" s="0" t="n">
        <v>323</v>
      </c>
      <c r="D60" s="0" t="n">
        <v>65</v>
      </c>
      <c r="E60" s="0" t="n">
        <v>6</v>
      </c>
      <c r="F60" s="0" t="n">
        <v>1</v>
      </c>
      <c r="G60" s="0" t="n">
        <v>8</v>
      </c>
      <c r="H60" s="0" t="n">
        <v>309</v>
      </c>
      <c r="I60" s="0" t="n">
        <v>1</v>
      </c>
      <c r="J60" s="0" t="n">
        <v>98</v>
      </c>
      <c r="K60" s="0" t="n">
        <v>2</v>
      </c>
    </row>
    <row r="61" customFormat="false" ht="13.5" hidden="false" customHeight="false" outlineLevel="0" collapsed="false">
      <c r="A61" s="0" t="s">
        <v>87</v>
      </c>
      <c r="B61" s="1" t="n">
        <v>43921</v>
      </c>
      <c r="C61" s="0" t="n">
        <v>358</v>
      </c>
      <c r="D61" s="0" t="n">
        <v>35</v>
      </c>
      <c r="E61" s="0" t="n">
        <v>9</v>
      </c>
      <c r="F61" s="0" t="n">
        <v>3</v>
      </c>
      <c r="G61" s="0" t="n">
        <v>17</v>
      </c>
      <c r="H61" s="0" t="n">
        <v>332</v>
      </c>
      <c r="I61" s="0" t="n">
        <v>1</v>
      </c>
      <c r="J61" s="0" t="n">
        <v>109</v>
      </c>
      <c r="K61" s="0" t="n">
        <v>3</v>
      </c>
    </row>
    <row r="62" customFormat="false" ht="13.5" hidden="false" customHeight="false" outlineLevel="0" collapsed="false">
      <c r="A62" s="0" t="s">
        <v>87</v>
      </c>
      <c r="B62" s="1" t="n">
        <v>43922</v>
      </c>
      <c r="C62" s="0" t="n">
        <v>420</v>
      </c>
      <c r="D62" s="0" t="n">
        <v>62</v>
      </c>
      <c r="E62" s="0" t="n">
        <v>13</v>
      </c>
      <c r="F62" s="0" t="n">
        <v>4</v>
      </c>
      <c r="G62" s="0" t="n">
        <v>17</v>
      </c>
      <c r="H62" s="0" t="n">
        <v>390</v>
      </c>
      <c r="I62" s="0" t="n">
        <v>1</v>
      </c>
      <c r="J62" s="0" t="n">
        <v>128</v>
      </c>
      <c r="K62" s="0" t="n">
        <v>4</v>
      </c>
    </row>
    <row r="63" customFormat="false" ht="13.5" hidden="false" customHeight="false" outlineLevel="0" collapsed="false">
      <c r="A63" s="0" t="s">
        <v>87</v>
      </c>
      <c r="B63" s="1" t="n">
        <v>43923</v>
      </c>
      <c r="C63" s="0" t="n">
        <v>459</v>
      </c>
      <c r="D63" s="0" t="n">
        <v>39</v>
      </c>
      <c r="E63" s="0" t="n">
        <v>13</v>
      </c>
      <c r="F63" s="0" t="n">
        <v>0</v>
      </c>
      <c r="G63" s="0" t="n">
        <v>19</v>
      </c>
      <c r="H63" s="0" t="n">
        <v>427</v>
      </c>
      <c r="I63" s="0" t="n">
        <v>1</v>
      </c>
      <c r="J63" s="0" t="n">
        <v>140</v>
      </c>
      <c r="K63" s="0" t="n">
        <v>4</v>
      </c>
    </row>
    <row r="64" customFormat="false" ht="13.5" hidden="false" customHeight="false" outlineLevel="0" collapsed="false">
      <c r="A64" s="0" t="s">
        <v>87</v>
      </c>
      <c r="B64" s="1" t="n">
        <v>43924</v>
      </c>
      <c r="C64" s="0" t="n">
        <v>533</v>
      </c>
      <c r="D64" s="0" t="n">
        <v>74</v>
      </c>
      <c r="E64" s="0" t="n">
        <v>16</v>
      </c>
      <c r="F64" s="0" t="n">
        <v>3</v>
      </c>
      <c r="G64" s="0" t="n">
        <v>20</v>
      </c>
      <c r="H64" s="0" t="n">
        <v>497</v>
      </c>
      <c r="I64" s="0" t="n">
        <v>4</v>
      </c>
      <c r="J64" s="0" t="n">
        <v>162</v>
      </c>
      <c r="K64" s="0" t="n">
        <v>5</v>
      </c>
    </row>
    <row r="65" customFormat="false" ht="13.5" hidden="false" customHeight="false" outlineLevel="0" collapsed="false">
      <c r="A65" s="0" t="s">
        <v>87</v>
      </c>
      <c r="B65" s="1" t="n">
        <v>43925</v>
      </c>
      <c r="C65" s="0" t="n">
        <v>579</v>
      </c>
      <c r="D65" s="0" t="n">
        <v>46</v>
      </c>
      <c r="E65" s="0" t="n">
        <v>17</v>
      </c>
      <c r="F65" s="0" t="n">
        <v>1</v>
      </c>
      <c r="G65" s="0" t="n">
        <v>27</v>
      </c>
      <c r="H65" s="0" t="n">
        <v>535</v>
      </c>
      <c r="I65" s="0" t="n">
        <v>4</v>
      </c>
      <c r="J65" s="0" t="n">
        <v>176</v>
      </c>
      <c r="K65" s="0" t="n">
        <v>5</v>
      </c>
    </row>
    <row r="66" customFormat="false" ht="13.5" hidden="false" customHeight="false" outlineLevel="0" collapsed="false">
      <c r="A66" s="0" t="s">
        <v>87</v>
      </c>
      <c r="B66" s="1" t="n">
        <v>43926</v>
      </c>
      <c r="C66" s="0" t="n">
        <v>624</v>
      </c>
      <c r="D66" s="0" t="n">
        <v>45</v>
      </c>
      <c r="E66" s="0" t="n">
        <v>21</v>
      </c>
      <c r="F66" s="0" t="n">
        <v>4</v>
      </c>
      <c r="G66" s="0" t="n">
        <v>30</v>
      </c>
      <c r="H66" s="0" t="n">
        <v>573</v>
      </c>
      <c r="I66" s="0" t="n">
        <v>4</v>
      </c>
      <c r="J66" s="0" t="n">
        <v>190</v>
      </c>
      <c r="K66" s="0" t="n">
        <v>6</v>
      </c>
      <c r="L66" s="0" t="n">
        <v>4696</v>
      </c>
      <c r="M66" s="0" t="n">
        <v>1431</v>
      </c>
    </row>
    <row r="67" customFormat="false" ht="13.5" hidden="false" customHeight="false" outlineLevel="0" collapsed="false">
      <c r="A67" s="0" t="s">
        <v>87</v>
      </c>
      <c r="B67" s="1" t="n">
        <v>43927</v>
      </c>
      <c r="C67" s="0" t="n">
        <v>654</v>
      </c>
      <c r="D67" s="0" t="n">
        <v>30</v>
      </c>
      <c r="E67" s="0" t="n">
        <v>23</v>
      </c>
      <c r="F67" s="0" t="n">
        <v>2</v>
      </c>
      <c r="G67" s="0" t="n">
        <v>30</v>
      </c>
      <c r="H67" s="0" t="n">
        <v>601</v>
      </c>
      <c r="I67" s="0" t="n">
        <v>4</v>
      </c>
      <c r="J67" s="0" t="n">
        <v>199</v>
      </c>
      <c r="K67" s="0" t="n">
        <v>7</v>
      </c>
      <c r="L67" s="0" t="n">
        <v>5349</v>
      </c>
      <c r="M67" s="0" t="n">
        <v>1630</v>
      </c>
    </row>
    <row r="68" customFormat="false" ht="13.5" hidden="false" customHeight="false" outlineLevel="0" collapsed="false">
      <c r="A68" s="0" t="s">
        <v>87</v>
      </c>
      <c r="B68" s="1" t="n">
        <v>43928</v>
      </c>
      <c r="C68" s="0" t="n">
        <v>674</v>
      </c>
      <c r="D68" s="0" t="n">
        <v>20</v>
      </c>
      <c r="E68" s="0" t="n">
        <v>29</v>
      </c>
      <c r="F68" s="0" t="n">
        <v>6</v>
      </c>
      <c r="G68" s="0" t="n">
        <v>47</v>
      </c>
      <c r="H68" s="0" t="n">
        <v>598</v>
      </c>
      <c r="I68" s="0" t="n">
        <v>4</v>
      </c>
      <c r="J68" s="0" t="n">
        <v>205</v>
      </c>
      <c r="K68" s="0" t="n">
        <v>9</v>
      </c>
      <c r="L68" s="0" t="n">
        <v>5934</v>
      </c>
      <c r="M68" s="0" t="n">
        <v>1809</v>
      </c>
    </row>
    <row r="69" customFormat="false" ht="13.5" hidden="false" customHeight="false" outlineLevel="0" collapsed="false">
      <c r="A69" s="0" t="s">
        <v>87</v>
      </c>
      <c r="B69" s="1" t="n">
        <v>43929</v>
      </c>
      <c r="C69" s="0" t="n">
        <v>764</v>
      </c>
      <c r="D69" s="0" t="n">
        <v>90</v>
      </c>
      <c r="E69" s="0" t="n">
        <v>33</v>
      </c>
      <c r="F69" s="0" t="n">
        <v>4</v>
      </c>
      <c r="G69" s="0" t="n">
        <v>68</v>
      </c>
      <c r="H69" s="0" t="n">
        <v>663</v>
      </c>
      <c r="I69" s="0" t="n">
        <v>4</v>
      </c>
      <c r="J69" s="0" t="n">
        <v>233</v>
      </c>
      <c r="K69" s="0" t="n">
        <v>10</v>
      </c>
      <c r="L69" s="0" t="n">
        <v>6911</v>
      </c>
      <c r="M69" s="0" t="n">
        <v>2106</v>
      </c>
    </row>
    <row r="70" customFormat="false" ht="13.5" hidden="false" customHeight="false" outlineLevel="0" collapsed="false">
      <c r="A70" s="0" t="s">
        <v>87</v>
      </c>
      <c r="B70" s="1" t="n">
        <v>43930</v>
      </c>
      <c r="C70" s="0" t="n">
        <v>804</v>
      </c>
      <c r="D70" s="0" t="n">
        <v>40</v>
      </c>
      <c r="E70" s="0" t="n">
        <v>34</v>
      </c>
      <c r="F70" s="0" t="n">
        <v>1</v>
      </c>
      <c r="G70" s="0" t="n">
        <v>79</v>
      </c>
      <c r="H70" s="0" t="n">
        <v>691</v>
      </c>
      <c r="I70" s="0" t="n">
        <v>4</v>
      </c>
      <c r="J70" s="0" t="n">
        <v>245</v>
      </c>
      <c r="K70" s="0" t="n">
        <v>10</v>
      </c>
      <c r="L70" s="0" t="n">
        <v>6911</v>
      </c>
      <c r="M70" s="0" t="n">
        <v>2106</v>
      </c>
    </row>
    <row r="71" customFormat="false" ht="13.5" hidden="false" customHeight="false" outlineLevel="0" collapsed="false">
      <c r="A71" s="0" t="s">
        <v>87</v>
      </c>
      <c r="B71" s="1" t="n">
        <v>43931</v>
      </c>
      <c r="C71" s="0" t="n">
        <v>858</v>
      </c>
      <c r="D71" s="0" t="n">
        <v>54</v>
      </c>
      <c r="E71" s="0" t="n">
        <v>35</v>
      </c>
      <c r="F71" s="0" t="n">
        <v>1</v>
      </c>
      <c r="G71" s="0" t="n">
        <v>101</v>
      </c>
      <c r="H71" s="0" t="n">
        <v>722</v>
      </c>
      <c r="I71" s="0" t="n">
        <v>4</v>
      </c>
      <c r="J71" s="0" t="n">
        <v>262</v>
      </c>
      <c r="K71" s="0" t="n">
        <v>11</v>
      </c>
      <c r="L71" s="0" t="n">
        <v>6911</v>
      </c>
      <c r="M71" s="0" t="n">
        <v>2106</v>
      </c>
    </row>
    <row r="72" customFormat="false" ht="13.5" hidden="false" customHeight="false" outlineLevel="0" collapsed="false">
      <c r="A72" s="0" t="s">
        <v>87</v>
      </c>
      <c r="B72" s="1" t="n">
        <v>43932</v>
      </c>
      <c r="C72" s="0" t="n">
        <v>901</v>
      </c>
      <c r="D72" s="0" t="n">
        <v>43</v>
      </c>
      <c r="E72" s="0" t="n">
        <v>36</v>
      </c>
      <c r="F72" s="0" t="n">
        <v>1</v>
      </c>
      <c r="G72" s="0" t="n">
        <v>129</v>
      </c>
      <c r="H72" s="0" t="n">
        <v>736</v>
      </c>
      <c r="I72" s="0" t="n">
        <v>4</v>
      </c>
      <c r="J72" s="0" t="n">
        <v>275</v>
      </c>
      <c r="K72" s="0" t="n">
        <v>11</v>
      </c>
      <c r="L72" s="0" t="n">
        <v>6911</v>
      </c>
      <c r="M72" s="0" t="n">
        <v>2106</v>
      </c>
    </row>
    <row r="73" customFormat="false" ht="13.5" hidden="false" customHeight="false" outlineLevel="0" collapsed="false">
      <c r="A73" s="0" t="s">
        <v>87</v>
      </c>
      <c r="B73" s="1" t="n">
        <v>43933</v>
      </c>
      <c r="C73" s="0" t="n">
        <v>946</v>
      </c>
      <c r="D73" s="0" t="n">
        <v>45</v>
      </c>
      <c r="E73" s="0" t="n">
        <v>37</v>
      </c>
      <c r="F73" s="0" t="n">
        <v>1</v>
      </c>
      <c r="G73" s="0" t="n">
        <v>139</v>
      </c>
      <c r="H73" s="0" t="n">
        <v>770</v>
      </c>
      <c r="I73" s="0" t="n">
        <v>4</v>
      </c>
      <c r="J73" s="0" t="n">
        <v>288</v>
      </c>
      <c r="K73" s="0" t="n">
        <v>11</v>
      </c>
      <c r="L73" s="0" t="n">
        <v>6911</v>
      </c>
      <c r="M73" s="0" t="n">
        <v>2106</v>
      </c>
    </row>
    <row r="74" customFormat="false" ht="13.5" hidden="false" customHeight="false" outlineLevel="0" collapsed="false">
      <c r="A74" s="0" t="s">
        <v>87</v>
      </c>
      <c r="B74" s="1" t="n">
        <v>43934</v>
      </c>
      <c r="C74" s="0" t="n">
        <v>1004</v>
      </c>
      <c r="D74" s="0" t="n">
        <v>58</v>
      </c>
      <c r="E74" s="0" t="n">
        <v>39</v>
      </c>
      <c r="F74" s="0" t="n">
        <v>2</v>
      </c>
      <c r="G74" s="0" t="n">
        <v>193</v>
      </c>
      <c r="H74" s="0" t="n">
        <v>772</v>
      </c>
      <c r="I74" s="0" t="n">
        <v>4</v>
      </c>
      <c r="J74" s="0" t="n">
        <v>306</v>
      </c>
      <c r="K74" s="0" t="n">
        <v>12</v>
      </c>
      <c r="L74" s="0" t="n">
        <v>10975</v>
      </c>
      <c r="M74" s="0" t="n">
        <v>3345</v>
      </c>
    </row>
    <row r="75" customFormat="false" ht="13.5" hidden="false" customHeight="false" outlineLevel="0" collapsed="false">
      <c r="A75" s="0" t="s">
        <v>87</v>
      </c>
      <c r="B75" s="1" t="n">
        <v>43935</v>
      </c>
      <c r="C75" s="0" t="n">
        <v>1037</v>
      </c>
      <c r="D75" s="0" t="n">
        <v>33</v>
      </c>
      <c r="E75" s="0" t="n">
        <v>39</v>
      </c>
      <c r="F75" s="0" t="n">
        <v>0</v>
      </c>
      <c r="G75" s="0" t="n">
        <v>206</v>
      </c>
      <c r="H75" s="0" t="n">
        <v>792</v>
      </c>
      <c r="I75" s="0" t="n">
        <v>4</v>
      </c>
      <c r="J75" s="0" t="n">
        <v>316</v>
      </c>
      <c r="K75" s="0" t="n">
        <v>12</v>
      </c>
      <c r="L75" s="0" t="n">
        <v>11612</v>
      </c>
      <c r="M75" s="0" t="n">
        <v>3539</v>
      </c>
    </row>
    <row r="76" customFormat="false" ht="13.5" hidden="false" customHeight="false" outlineLevel="0" collapsed="false">
      <c r="A76" s="0" t="s">
        <v>87</v>
      </c>
      <c r="B76" s="1" t="n">
        <v>43936</v>
      </c>
      <c r="C76" s="0" t="n">
        <v>1083</v>
      </c>
      <c r="D76" s="0" t="n">
        <v>46</v>
      </c>
      <c r="E76" s="0" t="n">
        <v>40</v>
      </c>
      <c r="F76" s="0" t="n">
        <v>1</v>
      </c>
      <c r="G76" s="0" t="n">
        <v>236</v>
      </c>
      <c r="H76" s="0" t="n">
        <v>807</v>
      </c>
      <c r="I76" s="0" t="n">
        <v>4</v>
      </c>
      <c r="J76" s="0" t="n">
        <v>330</v>
      </c>
      <c r="K76" s="0" t="n">
        <v>12</v>
      </c>
      <c r="L76" s="0" t="n">
        <v>12407</v>
      </c>
      <c r="M76" s="0" t="n">
        <v>3782</v>
      </c>
    </row>
    <row r="77" customFormat="false" ht="13.5" hidden="false" customHeight="false" outlineLevel="0" collapsed="false">
      <c r="A77" s="0" t="s">
        <v>87</v>
      </c>
      <c r="B77" s="1" t="n">
        <v>43937</v>
      </c>
      <c r="C77" s="0" t="n">
        <v>1110</v>
      </c>
      <c r="D77" s="0" t="n">
        <v>27</v>
      </c>
      <c r="E77" s="0" t="n">
        <v>41</v>
      </c>
      <c r="F77" s="0" t="n">
        <v>1</v>
      </c>
      <c r="G77" s="0" t="n">
        <v>253</v>
      </c>
      <c r="H77" s="0" t="n">
        <v>816</v>
      </c>
      <c r="I77" s="0" t="n">
        <v>4</v>
      </c>
      <c r="J77" s="0" t="n">
        <v>338</v>
      </c>
      <c r="K77" s="0" t="n">
        <v>12</v>
      </c>
      <c r="L77" s="0" t="n">
        <v>13339</v>
      </c>
      <c r="M77" s="0" t="n">
        <v>4066</v>
      </c>
    </row>
    <row r="78" customFormat="false" ht="13.5" hidden="false" customHeight="false" outlineLevel="0" collapsed="false">
      <c r="A78" s="0" t="s">
        <v>87</v>
      </c>
      <c r="B78" s="1" t="n">
        <v>43938</v>
      </c>
      <c r="C78" s="0" t="n">
        <v>1167</v>
      </c>
      <c r="D78" s="0" t="n">
        <v>57</v>
      </c>
      <c r="E78" s="0" t="n">
        <v>43</v>
      </c>
      <c r="F78" s="0" t="n">
        <v>2</v>
      </c>
      <c r="G78" s="0" t="n">
        <v>277</v>
      </c>
      <c r="H78" s="0" t="n">
        <v>847</v>
      </c>
      <c r="I78" s="0" t="n">
        <v>4</v>
      </c>
      <c r="J78" s="0" t="n">
        <v>356</v>
      </c>
      <c r="K78" s="0" t="n">
        <v>13</v>
      </c>
      <c r="L78" s="0" t="n">
        <v>14743</v>
      </c>
      <c r="M78" s="0" t="n">
        <v>4494</v>
      </c>
    </row>
    <row r="79" customFormat="false" ht="13.5" hidden="false" customHeight="false" outlineLevel="0" collapsed="false">
      <c r="A79" s="0" t="s">
        <v>87</v>
      </c>
      <c r="B79" s="1" t="n">
        <v>43939</v>
      </c>
      <c r="C79" s="0" t="n">
        <v>1214</v>
      </c>
      <c r="D79" s="0" t="n">
        <v>47</v>
      </c>
      <c r="E79" s="0" t="n">
        <v>46</v>
      </c>
      <c r="F79" s="0" t="n">
        <v>3</v>
      </c>
      <c r="G79" s="0" t="n">
        <v>320</v>
      </c>
      <c r="H79" s="0" t="n">
        <v>848</v>
      </c>
      <c r="I79" s="0" t="n">
        <v>4</v>
      </c>
      <c r="J79" s="0" t="n">
        <v>370</v>
      </c>
      <c r="K79" s="0" t="n">
        <v>14</v>
      </c>
      <c r="L79" s="0" t="n">
        <v>15751</v>
      </c>
      <c r="M79" s="0" t="n">
        <v>4801</v>
      </c>
    </row>
    <row r="80" customFormat="false" ht="13.5" hidden="false" customHeight="false" outlineLevel="0" collapsed="false">
      <c r="A80" s="0" t="s">
        <v>87</v>
      </c>
      <c r="B80" s="1" t="n">
        <v>43940</v>
      </c>
      <c r="C80" s="0" t="n">
        <v>1268</v>
      </c>
      <c r="D80" s="0" t="n">
        <v>54</v>
      </c>
      <c r="E80" s="0" t="n">
        <v>47</v>
      </c>
      <c r="F80" s="0" t="n">
        <v>1</v>
      </c>
      <c r="G80" s="0" t="n">
        <v>338</v>
      </c>
      <c r="H80" s="0" t="n">
        <v>883</v>
      </c>
      <c r="I80" s="0" t="n">
        <v>4</v>
      </c>
      <c r="J80" s="0" t="n">
        <v>386</v>
      </c>
      <c r="K80" s="0" t="n">
        <v>14</v>
      </c>
      <c r="L80" s="0" t="n">
        <v>16868</v>
      </c>
      <c r="M80" s="0" t="n">
        <v>5141</v>
      </c>
    </row>
    <row r="81" customFormat="false" ht="13.5" hidden="false" customHeight="false" outlineLevel="0" collapsed="false">
      <c r="A81" s="0" t="s">
        <v>87</v>
      </c>
      <c r="B81" s="1" t="n">
        <v>43941</v>
      </c>
      <c r="C81" s="0" t="n">
        <v>1285</v>
      </c>
      <c r="D81" s="0" t="n">
        <v>17</v>
      </c>
      <c r="E81" s="0" t="n">
        <v>48</v>
      </c>
      <c r="F81" s="0" t="n">
        <v>1</v>
      </c>
      <c r="G81" s="0" t="n">
        <v>347</v>
      </c>
      <c r="H81" s="0" t="n">
        <v>890</v>
      </c>
      <c r="I81" s="0" t="n">
        <v>4</v>
      </c>
      <c r="J81" s="0" t="n">
        <v>392</v>
      </c>
      <c r="K81" s="0" t="n">
        <v>15</v>
      </c>
      <c r="L81" s="0" t="n">
        <v>17818</v>
      </c>
      <c r="M81" s="0" t="n">
        <v>5431</v>
      </c>
    </row>
    <row r="82" customFormat="false" ht="13.5" hidden="false" customHeight="false" outlineLevel="0" collapsed="false">
      <c r="A82" s="0" t="s">
        <v>87</v>
      </c>
      <c r="B82" s="1" t="n">
        <v>43942</v>
      </c>
      <c r="C82" s="0" t="n">
        <v>1309</v>
      </c>
      <c r="D82" s="0" t="n">
        <v>24</v>
      </c>
      <c r="E82" s="0" t="n">
        <v>49</v>
      </c>
      <c r="F82" s="0" t="n">
        <v>1</v>
      </c>
      <c r="G82" s="0" t="n">
        <v>381</v>
      </c>
      <c r="H82" s="0" t="n">
        <v>879</v>
      </c>
      <c r="I82" s="0" t="n">
        <v>4</v>
      </c>
      <c r="J82" s="0" t="n">
        <v>399</v>
      </c>
      <c r="K82" s="0" t="n">
        <v>15</v>
      </c>
      <c r="L82" s="0" t="n">
        <v>18538</v>
      </c>
      <c r="M82" s="0" t="n">
        <v>5650</v>
      </c>
    </row>
    <row r="83" customFormat="false" ht="13.5" hidden="false" customHeight="false" outlineLevel="0" collapsed="false">
      <c r="A83" s="0" t="s">
        <v>87</v>
      </c>
      <c r="B83" s="1" t="n">
        <v>43943</v>
      </c>
      <c r="C83" s="0" t="n">
        <v>1342</v>
      </c>
      <c r="D83" s="0" t="n">
        <v>33</v>
      </c>
      <c r="E83" s="0" t="n">
        <v>51</v>
      </c>
      <c r="F83" s="0" t="n">
        <v>2</v>
      </c>
      <c r="G83" s="0" t="n">
        <v>437</v>
      </c>
      <c r="H83" s="0" t="n">
        <v>854</v>
      </c>
      <c r="I83" s="0" t="n">
        <v>4</v>
      </c>
      <c r="J83" s="0" t="n">
        <v>409</v>
      </c>
      <c r="K83" s="0" t="n">
        <v>16</v>
      </c>
      <c r="L83" s="0" t="n">
        <v>19195</v>
      </c>
      <c r="M83" s="0" t="n">
        <v>5851</v>
      </c>
    </row>
    <row r="84" customFormat="false" ht="13.5" hidden="false" customHeight="false" outlineLevel="0" collapsed="false">
      <c r="A84" s="0" t="s">
        <v>87</v>
      </c>
      <c r="B84" s="1" t="n">
        <v>43944</v>
      </c>
      <c r="C84" s="0" t="n">
        <v>1368</v>
      </c>
      <c r="D84" s="0" t="n">
        <v>26</v>
      </c>
      <c r="E84" s="0" t="n">
        <v>53</v>
      </c>
      <c r="F84" s="0" t="n">
        <v>2</v>
      </c>
      <c r="G84" s="0" t="n">
        <v>460</v>
      </c>
      <c r="H84" s="0" t="n">
        <v>855</v>
      </c>
      <c r="I84" s="0" t="n">
        <v>4</v>
      </c>
      <c r="J84" s="0" t="n">
        <v>417</v>
      </c>
      <c r="K84" s="0" t="n">
        <v>16</v>
      </c>
      <c r="L84" s="0" t="n">
        <v>20125</v>
      </c>
      <c r="M84" s="0" t="n">
        <v>6134</v>
      </c>
    </row>
    <row r="85" customFormat="false" ht="13.5" hidden="false" customHeight="false" outlineLevel="0" collapsed="false">
      <c r="A85" s="0" t="s">
        <v>87</v>
      </c>
      <c r="B85" s="1" t="n">
        <v>43945</v>
      </c>
      <c r="C85" s="0" t="n">
        <v>1413</v>
      </c>
      <c r="D85" s="0" t="n">
        <v>45</v>
      </c>
      <c r="E85" s="0" t="n">
        <v>54</v>
      </c>
      <c r="F85" s="0" t="n">
        <v>1</v>
      </c>
      <c r="G85" s="0" t="n">
        <v>485</v>
      </c>
      <c r="H85" s="0" t="n">
        <v>874</v>
      </c>
      <c r="I85" s="0" t="n">
        <v>4</v>
      </c>
      <c r="J85" s="0" t="n">
        <v>431</v>
      </c>
      <c r="K85" s="0" t="n">
        <v>16</v>
      </c>
      <c r="L85" s="0" t="n">
        <v>21432</v>
      </c>
      <c r="M85" s="0" t="n">
        <v>6533</v>
      </c>
    </row>
    <row r="86" customFormat="false" ht="13.5" hidden="false" customHeight="false" outlineLevel="0" collapsed="false">
      <c r="A86" s="0" t="s">
        <v>87</v>
      </c>
      <c r="B86" s="1" t="n">
        <v>43946</v>
      </c>
      <c r="C86" s="0" t="n">
        <v>1421</v>
      </c>
      <c r="D86" s="0" t="n">
        <v>8</v>
      </c>
      <c r="E86" s="0" t="n">
        <v>55</v>
      </c>
      <c r="F86" s="0" t="n">
        <v>1</v>
      </c>
      <c r="G86" s="0" t="n">
        <v>538</v>
      </c>
      <c r="H86" s="0" t="n">
        <v>828</v>
      </c>
      <c r="I86" s="0" t="n">
        <v>4</v>
      </c>
      <c r="J86" s="0" t="n">
        <v>433</v>
      </c>
      <c r="K86" s="0" t="n">
        <v>17</v>
      </c>
      <c r="L86" s="0" t="n">
        <v>21432</v>
      </c>
      <c r="M86" s="0" t="n">
        <v>6533</v>
      </c>
    </row>
    <row r="87" customFormat="false" ht="13.5" hidden="false" customHeight="false" outlineLevel="0" collapsed="false">
      <c r="A87" s="0" t="s">
        <v>87</v>
      </c>
      <c r="B87" s="1" t="n">
        <v>43947</v>
      </c>
      <c r="C87" s="0" t="n">
        <v>1486</v>
      </c>
      <c r="D87" s="0" t="n">
        <v>65</v>
      </c>
      <c r="E87" s="0" t="n">
        <v>57</v>
      </c>
      <c r="F87" s="0" t="n">
        <v>2</v>
      </c>
      <c r="G87" s="0" t="n">
        <v>592</v>
      </c>
      <c r="H87" s="0" t="n">
        <v>837</v>
      </c>
      <c r="I87" s="0" t="n">
        <v>4</v>
      </c>
      <c r="J87" s="0" t="n">
        <v>453</v>
      </c>
      <c r="K87" s="0" t="n">
        <v>17</v>
      </c>
      <c r="L87" s="0" t="n">
        <v>24676</v>
      </c>
      <c r="M87" s="0" t="n">
        <v>7521</v>
      </c>
    </row>
    <row r="88" customFormat="false" ht="13.5" hidden="false" customHeight="false" outlineLevel="0" collapsed="false">
      <c r="A88" s="0" t="s">
        <v>87</v>
      </c>
      <c r="B88" s="1" t="n">
        <v>43948</v>
      </c>
      <c r="C88" s="0" t="n">
        <v>1516</v>
      </c>
      <c r="D88" s="0" t="n">
        <v>30</v>
      </c>
      <c r="E88" s="0" t="n">
        <v>59</v>
      </c>
      <c r="F88" s="0" t="n">
        <v>2</v>
      </c>
      <c r="G88" s="0" t="n">
        <v>624</v>
      </c>
      <c r="H88" s="0" t="n">
        <v>833</v>
      </c>
      <c r="I88" s="0" t="n">
        <v>4</v>
      </c>
      <c r="J88" s="0" t="n">
        <v>462</v>
      </c>
      <c r="K88" s="0" t="n">
        <v>18</v>
      </c>
      <c r="L88" s="0" t="n">
        <v>25830</v>
      </c>
      <c r="M88" s="0" t="n">
        <v>7873</v>
      </c>
    </row>
    <row r="89" customFormat="false" ht="13.5" hidden="false" customHeight="false" outlineLevel="0" collapsed="false">
      <c r="A89" s="0" t="s">
        <v>87</v>
      </c>
      <c r="B89" s="1" t="n">
        <v>43949</v>
      </c>
      <c r="C89" s="0" t="n">
        <v>1565</v>
      </c>
      <c r="D89" s="0" t="n">
        <v>49</v>
      </c>
      <c r="E89" s="0" t="n">
        <v>60</v>
      </c>
      <c r="F89" s="0" t="n">
        <v>1</v>
      </c>
      <c r="G89" s="0" t="n">
        <v>659</v>
      </c>
      <c r="H89" s="0" t="n">
        <v>846</v>
      </c>
      <c r="I89" s="0" t="n">
        <v>4</v>
      </c>
      <c r="J89" s="0" t="n">
        <v>477</v>
      </c>
      <c r="K89" s="0" t="n">
        <v>18</v>
      </c>
      <c r="L89" s="0" t="n">
        <v>26822</v>
      </c>
      <c r="M89" s="0" t="n">
        <v>8175</v>
      </c>
    </row>
    <row r="90" customFormat="false" ht="13.5" hidden="false" customHeight="false" outlineLevel="0" collapsed="false">
      <c r="A90" s="0" t="s">
        <v>87</v>
      </c>
      <c r="B90" s="1" t="n">
        <v>43950</v>
      </c>
      <c r="C90" s="0" t="n">
        <v>1585</v>
      </c>
      <c r="D90" s="0" t="n">
        <v>20</v>
      </c>
      <c r="E90" s="0" t="n">
        <v>63</v>
      </c>
      <c r="F90" s="0" t="n">
        <v>3</v>
      </c>
      <c r="G90" s="0" t="n">
        <v>682</v>
      </c>
      <c r="H90" s="0" t="n">
        <v>840</v>
      </c>
      <c r="I90" s="0" t="n">
        <v>4</v>
      </c>
      <c r="J90" s="0" t="n">
        <v>483</v>
      </c>
      <c r="K90" s="0" t="n">
        <v>19</v>
      </c>
      <c r="L90" s="0" t="n">
        <v>27603</v>
      </c>
      <c r="M90" s="0" t="n">
        <v>8413</v>
      </c>
    </row>
    <row r="91" customFormat="false" ht="13.5" hidden="false" customHeight="false" outlineLevel="0" collapsed="false">
      <c r="A91" s="0" t="s">
        <v>87</v>
      </c>
      <c r="B91" s="1" t="n">
        <v>43951</v>
      </c>
      <c r="C91" s="0" t="n">
        <v>1677</v>
      </c>
      <c r="D91" s="0" t="n">
        <v>92</v>
      </c>
      <c r="E91" s="0" t="n">
        <v>65</v>
      </c>
      <c r="F91" s="0" t="n">
        <v>2</v>
      </c>
      <c r="G91" s="0" t="n">
        <v>710</v>
      </c>
      <c r="H91" s="0" t="n">
        <v>902</v>
      </c>
      <c r="I91" s="0" t="n">
        <v>4</v>
      </c>
      <c r="J91" s="0" t="n">
        <v>511</v>
      </c>
      <c r="K91" s="0" t="n">
        <v>20</v>
      </c>
      <c r="L91" s="0" t="n">
        <v>29130</v>
      </c>
      <c r="M91" s="0" t="n">
        <v>8879</v>
      </c>
    </row>
    <row r="92" customFormat="false" ht="13.5" hidden="false" customHeight="false" outlineLevel="0" collapsed="false">
      <c r="A92" s="0" t="s">
        <v>87</v>
      </c>
      <c r="B92" s="1" t="n">
        <v>43952</v>
      </c>
      <c r="C92" s="0" t="n">
        <v>1757</v>
      </c>
      <c r="D92" s="0" t="n">
        <v>80</v>
      </c>
      <c r="E92" s="0" t="n">
        <v>69</v>
      </c>
      <c r="F92" s="0" t="n">
        <v>4</v>
      </c>
      <c r="G92" s="0" t="n">
        <v>727</v>
      </c>
      <c r="H92" s="0" t="n">
        <v>961</v>
      </c>
      <c r="I92" s="0" t="n">
        <v>4</v>
      </c>
      <c r="J92" s="0" t="n">
        <v>536</v>
      </c>
      <c r="K92" s="0" t="n">
        <v>21</v>
      </c>
      <c r="L92" s="0" t="n">
        <v>30793</v>
      </c>
      <c r="M92" s="0" t="n">
        <v>9386</v>
      </c>
    </row>
    <row r="93" customFormat="false" ht="13.5" hidden="false" customHeight="false" outlineLevel="0" collapsed="false">
      <c r="A93" s="0" t="s">
        <v>87</v>
      </c>
      <c r="B93" s="1" t="n">
        <v>43953</v>
      </c>
      <c r="C93" s="0" t="n">
        <v>1781</v>
      </c>
      <c r="D93" s="0" t="n">
        <v>24</v>
      </c>
      <c r="E93" s="0" t="n">
        <v>70</v>
      </c>
      <c r="F93" s="0" t="n">
        <v>1</v>
      </c>
      <c r="G93" s="0" t="n">
        <v>755</v>
      </c>
      <c r="H93" s="0" t="n">
        <v>956</v>
      </c>
      <c r="I93" s="0" t="n">
        <v>4</v>
      </c>
      <c r="J93" s="0" t="n">
        <v>543</v>
      </c>
      <c r="K93" s="0" t="n">
        <v>21</v>
      </c>
      <c r="L93" s="0" t="n">
        <v>32178</v>
      </c>
      <c r="M93" s="0" t="n">
        <v>9808</v>
      </c>
    </row>
    <row r="94" customFormat="false" ht="13.5" hidden="false" customHeight="false" outlineLevel="0" collapsed="false">
      <c r="A94" s="0" t="s">
        <v>87</v>
      </c>
      <c r="B94" s="1" t="n">
        <v>43954</v>
      </c>
      <c r="C94" s="0" t="n">
        <v>1839</v>
      </c>
      <c r="D94" s="0" t="n">
        <v>58</v>
      </c>
      <c r="E94" s="0" t="n">
        <v>72</v>
      </c>
      <c r="F94" s="0" t="n">
        <v>2</v>
      </c>
      <c r="G94" s="0" t="n">
        <v>779</v>
      </c>
      <c r="H94" s="0" t="n">
        <v>988</v>
      </c>
      <c r="I94" s="0" t="n">
        <v>4</v>
      </c>
      <c r="J94" s="0" t="n">
        <v>561</v>
      </c>
      <c r="K94" s="0" t="n">
        <v>22</v>
      </c>
      <c r="L94" s="0" t="n">
        <v>32783</v>
      </c>
      <c r="M94" s="0" t="n">
        <v>9992</v>
      </c>
    </row>
    <row r="95" customFormat="false" ht="13.5" hidden="false" customHeight="false" outlineLevel="0" collapsed="false">
      <c r="A95" s="0" t="s">
        <v>87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87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87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87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87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87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87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87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87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87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87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87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87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87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87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87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87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87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87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87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87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87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87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87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87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87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87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87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87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87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87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87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87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87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87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87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87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87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87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87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87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87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87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87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87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87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87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87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87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87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87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87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87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87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87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87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87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87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87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87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87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87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87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87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87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87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87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87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87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87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87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87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87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87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87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87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87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87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87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87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87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87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87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87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87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87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87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87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87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87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87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87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87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88</v>
      </c>
      <c r="B2" s="1" t="n">
        <v>43862</v>
      </c>
    </row>
    <row r="3" customFormat="false" ht="13.5" hidden="false" customHeight="false" outlineLevel="0" collapsed="false">
      <c r="A3" s="0" t="s">
        <v>88</v>
      </c>
      <c r="B3" s="1" t="n">
        <v>43863</v>
      </c>
    </row>
    <row r="4" customFormat="false" ht="13.5" hidden="false" customHeight="false" outlineLevel="0" collapsed="false">
      <c r="A4" s="0" t="s">
        <v>88</v>
      </c>
      <c r="B4" s="1" t="n">
        <v>43864</v>
      </c>
    </row>
    <row r="5" customFormat="false" ht="13.5" hidden="false" customHeight="false" outlineLevel="0" collapsed="false">
      <c r="A5" s="0" t="s">
        <v>88</v>
      </c>
      <c r="B5" s="1" t="n">
        <v>43865</v>
      </c>
    </row>
    <row r="6" customFormat="false" ht="13.5" hidden="false" customHeight="false" outlineLevel="0" collapsed="false">
      <c r="A6" s="0" t="s">
        <v>88</v>
      </c>
      <c r="B6" s="1" t="n">
        <v>43866</v>
      </c>
    </row>
    <row r="7" customFormat="false" ht="13.5" hidden="false" customHeight="false" outlineLevel="0" collapsed="false">
      <c r="A7" s="0" t="s">
        <v>88</v>
      </c>
      <c r="B7" s="1" t="n">
        <v>43867</v>
      </c>
    </row>
    <row r="8" customFormat="false" ht="13.5" hidden="false" customHeight="false" outlineLevel="0" collapsed="false">
      <c r="A8" s="0" t="s">
        <v>88</v>
      </c>
      <c r="B8" s="1" t="n">
        <v>43868</v>
      </c>
    </row>
    <row r="9" customFormat="false" ht="13.5" hidden="false" customHeight="false" outlineLevel="0" collapsed="false">
      <c r="A9" s="0" t="s">
        <v>88</v>
      </c>
      <c r="B9" s="1" t="n">
        <v>43869</v>
      </c>
    </row>
    <row r="10" customFormat="false" ht="13.5" hidden="false" customHeight="false" outlineLevel="0" collapsed="false">
      <c r="A10" s="0" t="s">
        <v>88</v>
      </c>
      <c r="B10" s="1" t="n">
        <v>43870</v>
      </c>
    </row>
    <row r="11" customFormat="false" ht="13.5" hidden="false" customHeight="false" outlineLevel="0" collapsed="false">
      <c r="A11" s="0" t="s">
        <v>88</v>
      </c>
      <c r="B11" s="1" t="n">
        <v>43871</v>
      </c>
    </row>
    <row r="12" customFormat="false" ht="13.5" hidden="false" customHeight="false" outlineLevel="0" collapsed="false">
      <c r="A12" s="0" t="s">
        <v>88</v>
      </c>
      <c r="B12" s="1" t="n">
        <v>43872</v>
      </c>
    </row>
    <row r="13" customFormat="false" ht="13.5" hidden="false" customHeight="false" outlineLevel="0" collapsed="false">
      <c r="A13" s="0" t="s">
        <v>88</v>
      </c>
      <c r="B13" s="1" t="n">
        <v>43873</v>
      </c>
    </row>
    <row r="14" customFormat="false" ht="13.5" hidden="false" customHeight="false" outlineLevel="0" collapsed="false">
      <c r="A14" s="0" t="s">
        <v>88</v>
      </c>
      <c r="B14" s="1" t="n">
        <v>43874</v>
      </c>
    </row>
    <row r="15" customFormat="false" ht="13.5" hidden="false" customHeight="false" outlineLevel="0" collapsed="false">
      <c r="A15" s="0" t="s">
        <v>88</v>
      </c>
      <c r="B15" s="1" t="n">
        <v>43875</v>
      </c>
    </row>
    <row r="16" customFormat="false" ht="13.5" hidden="false" customHeight="false" outlineLevel="0" collapsed="false">
      <c r="A16" s="0" t="s">
        <v>88</v>
      </c>
      <c r="B16" s="1" t="n">
        <v>43876</v>
      </c>
    </row>
    <row r="17" customFormat="false" ht="13.5" hidden="false" customHeight="false" outlineLevel="0" collapsed="false">
      <c r="A17" s="0" t="s">
        <v>88</v>
      </c>
      <c r="B17" s="1" t="n">
        <v>43877</v>
      </c>
    </row>
    <row r="18" customFormat="false" ht="13.5" hidden="false" customHeight="false" outlineLevel="0" collapsed="false">
      <c r="A18" s="0" t="s">
        <v>88</v>
      </c>
      <c r="B18" s="1" t="n">
        <v>43878</v>
      </c>
    </row>
    <row r="19" customFormat="false" ht="13.5" hidden="false" customHeight="false" outlineLevel="0" collapsed="false">
      <c r="A19" s="0" t="s">
        <v>88</v>
      </c>
      <c r="B19" s="1" t="n">
        <v>43879</v>
      </c>
    </row>
    <row r="20" customFormat="false" ht="13.5" hidden="false" customHeight="false" outlineLevel="0" collapsed="false">
      <c r="A20" s="0" t="s">
        <v>88</v>
      </c>
      <c r="B20" s="1" t="n">
        <v>43880</v>
      </c>
    </row>
    <row r="21" customFormat="false" ht="13.5" hidden="false" customHeight="false" outlineLevel="0" collapsed="false">
      <c r="A21" s="0" t="s">
        <v>88</v>
      </c>
      <c r="B21" s="1" t="n">
        <v>43881</v>
      </c>
    </row>
    <row r="22" customFormat="false" ht="13.5" hidden="false" customHeight="false" outlineLevel="0" collapsed="false">
      <c r="A22" s="0" t="s">
        <v>88</v>
      </c>
      <c r="B22" s="1" t="n">
        <v>43882</v>
      </c>
    </row>
    <row r="23" customFormat="false" ht="13.5" hidden="false" customHeight="false" outlineLevel="0" collapsed="false">
      <c r="A23" s="0" t="s">
        <v>88</v>
      </c>
      <c r="B23" s="1" t="n">
        <v>43883</v>
      </c>
    </row>
    <row r="24" customFormat="false" ht="13.5" hidden="false" customHeight="false" outlineLevel="0" collapsed="false">
      <c r="A24" s="0" t="s">
        <v>88</v>
      </c>
      <c r="B24" s="1" t="n">
        <v>43884</v>
      </c>
    </row>
    <row r="25" customFormat="false" ht="13.5" hidden="false" customHeight="false" outlineLevel="0" collapsed="false">
      <c r="A25" s="0" t="s">
        <v>88</v>
      </c>
      <c r="B25" s="1" t="n">
        <v>43885</v>
      </c>
    </row>
    <row r="26" customFormat="false" ht="13.5" hidden="false" customHeight="false" outlineLevel="0" collapsed="false">
      <c r="A26" s="0" t="s">
        <v>88</v>
      </c>
      <c r="B26" s="1" t="n">
        <v>43886</v>
      </c>
    </row>
    <row r="27" customFormat="false" ht="13.5" hidden="false" customHeight="false" outlineLevel="0" collapsed="false">
      <c r="A27" s="0" t="s">
        <v>88</v>
      </c>
      <c r="B27" s="1" t="n">
        <v>43887</v>
      </c>
    </row>
    <row r="28" customFormat="false" ht="13.5" hidden="false" customHeight="false" outlineLevel="0" collapsed="false">
      <c r="A28" s="0" t="s">
        <v>88</v>
      </c>
      <c r="B28" s="1" t="n">
        <v>43888</v>
      </c>
    </row>
    <row r="29" customFormat="false" ht="13.5" hidden="false" customHeight="false" outlineLevel="0" collapsed="false">
      <c r="A29" s="0" t="s">
        <v>88</v>
      </c>
      <c r="B29" s="1" t="n">
        <v>43889</v>
      </c>
    </row>
    <row r="30" customFormat="false" ht="13.5" hidden="false" customHeight="false" outlineLevel="0" collapsed="false">
      <c r="A30" s="0" t="s">
        <v>88</v>
      </c>
      <c r="B30" s="1" t="n">
        <v>43890</v>
      </c>
    </row>
    <row r="31" customFormat="false" ht="13.5" hidden="false" customHeight="false" outlineLevel="0" collapsed="false">
      <c r="A31" s="0" t="s">
        <v>88</v>
      </c>
      <c r="B31" s="1" t="n">
        <v>43891</v>
      </c>
    </row>
    <row r="32" customFormat="false" ht="13.5" hidden="false" customHeight="false" outlineLevel="0" collapsed="false">
      <c r="A32" s="0" t="s">
        <v>88</v>
      </c>
      <c r="B32" s="1" t="n">
        <v>43892</v>
      </c>
    </row>
    <row r="33" customFormat="false" ht="13.5" hidden="false" customHeight="false" outlineLevel="0" collapsed="false">
      <c r="A33" s="0" t="s">
        <v>88</v>
      </c>
      <c r="B33" s="1" t="n">
        <v>43893</v>
      </c>
    </row>
    <row r="34" customFormat="false" ht="13.5" hidden="false" customHeight="false" outlineLevel="0" collapsed="false">
      <c r="A34" s="0" t="s">
        <v>88</v>
      </c>
      <c r="B34" s="1" t="n">
        <v>43894</v>
      </c>
    </row>
    <row r="35" customFormat="false" ht="13.5" hidden="false" customHeight="false" outlineLevel="0" collapsed="false">
      <c r="A35" s="0" t="s">
        <v>88</v>
      </c>
      <c r="B35" s="1" t="n">
        <v>43895</v>
      </c>
    </row>
    <row r="36" customFormat="false" ht="13.5" hidden="false" customHeight="false" outlineLevel="0" collapsed="false">
      <c r="A36" s="0" t="s">
        <v>88</v>
      </c>
      <c r="B36" s="1" t="n">
        <v>43896</v>
      </c>
    </row>
    <row r="37" customFormat="false" ht="13.5" hidden="false" customHeight="false" outlineLevel="0" collapsed="false">
      <c r="A37" s="0" t="s">
        <v>88</v>
      </c>
      <c r="B37" s="1" t="n">
        <v>43897</v>
      </c>
    </row>
    <row r="38" customFormat="false" ht="13.5" hidden="false" customHeight="false" outlineLevel="0" collapsed="false">
      <c r="A38" s="0" t="s">
        <v>88</v>
      </c>
      <c r="B38" s="1" t="n">
        <v>43898</v>
      </c>
    </row>
    <row r="39" customFormat="false" ht="13.5" hidden="false" customHeight="false" outlineLevel="0" collapsed="false">
      <c r="A39" s="0" t="s">
        <v>88</v>
      </c>
      <c r="B39" s="1" t="n">
        <v>43899</v>
      </c>
    </row>
    <row r="40" customFormat="false" ht="13.5" hidden="false" customHeight="false" outlineLevel="0" collapsed="false">
      <c r="A40" s="0" t="s">
        <v>88</v>
      </c>
      <c r="B40" s="1" t="n">
        <v>43900</v>
      </c>
    </row>
    <row r="41" customFormat="false" ht="13.5" hidden="false" customHeight="false" outlineLevel="0" collapsed="false">
      <c r="A41" s="0" t="s">
        <v>88</v>
      </c>
      <c r="B41" s="1" t="n">
        <v>43901</v>
      </c>
    </row>
    <row r="42" customFormat="false" ht="13.5" hidden="false" customHeight="false" outlineLevel="0" collapsed="false">
      <c r="A42" s="0" t="s">
        <v>88</v>
      </c>
      <c r="B42" s="1" t="n">
        <v>43902</v>
      </c>
    </row>
    <row r="43" customFormat="false" ht="13.5" hidden="false" customHeight="false" outlineLevel="0" collapsed="false">
      <c r="A43" s="0" t="s">
        <v>88</v>
      </c>
      <c r="B43" s="1" t="n">
        <v>43903</v>
      </c>
    </row>
    <row r="44" customFormat="false" ht="13.5" hidden="false" customHeight="false" outlineLevel="0" collapsed="false">
      <c r="A44" s="0" t="s">
        <v>88</v>
      </c>
      <c r="B44" s="1" t="n">
        <v>43904</v>
      </c>
      <c r="C44" s="0" t="n">
        <v>1</v>
      </c>
      <c r="D44" s="0" t="n">
        <v>1</v>
      </c>
      <c r="H44" s="0" t="n">
        <v>1</v>
      </c>
      <c r="J44" s="0" t="n">
        <v>0.1</v>
      </c>
    </row>
    <row r="45" customFormat="false" ht="13.5" hidden="false" customHeight="false" outlineLevel="0" collapsed="false">
      <c r="A45" s="0" t="s">
        <v>88</v>
      </c>
      <c r="B45" s="1" t="n">
        <v>43905</v>
      </c>
      <c r="C45" s="0" t="n">
        <v>1</v>
      </c>
      <c r="D45" s="0" t="n">
        <v>0</v>
      </c>
      <c r="H45" s="0" t="n">
        <v>1</v>
      </c>
      <c r="J45" s="0" t="n">
        <v>0.1</v>
      </c>
    </row>
    <row r="46" customFormat="false" ht="13.5" hidden="false" customHeight="false" outlineLevel="0" collapsed="false">
      <c r="A46" s="0" t="s">
        <v>88</v>
      </c>
      <c r="B46" s="1" t="n">
        <v>43906</v>
      </c>
      <c r="C46" s="0" t="n">
        <v>1</v>
      </c>
      <c r="D46" s="0" t="n">
        <v>0</v>
      </c>
      <c r="H46" s="0" t="n">
        <v>1</v>
      </c>
      <c r="J46" s="0" t="n">
        <v>0.1</v>
      </c>
    </row>
    <row r="47" customFormat="false" ht="13.5" hidden="false" customHeight="false" outlineLevel="0" collapsed="false">
      <c r="A47" s="0" t="s">
        <v>88</v>
      </c>
      <c r="B47" s="1" t="n">
        <v>43907</v>
      </c>
      <c r="C47" s="0" t="n">
        <v>1</v>
      </c>
      <c r="D47" s="0" t="n">
        <v>0</v>
      </c>
      <c r="H47" s="0" t="n">
        <v>1</v>
      </c>
      <c r="J47" s="0" t="n">
        <v>0.1</v>
      </c>
    </row>
    <row r="48" customFormat="false" ht="13.5" hidden="false" customHeight="false" outlineLevel="0" collapsed="false">
      <c r="A48" s="0" t="s">
        <v>88</v>
      </c>
      <c r="B48" s="1" t="n">
        <v>43908</v>
      </c>
      <c r="C48" s="0" t="n">
        <v>1</v>
      </c>
      <c r="D48" s="0" t="n">
        <v>0</v>
      </c>
      <c r="H48" s="0" t="n">
        <v>1</v>
      </c>
      <c r="J48" s="0" t="n">
        <v>0.1</v>
      </c>
    </row>
    <row r="49" customFormat="false" ht="13.5" hidden="false" customHeight="false" outlineLevel="0" collapsed="false">
      <c r="A49" s="0" t="s">
        <v>88</v>
      </c>
      <c r="B49" s="1" t="n">
        <v>43909</v>
      </c>
      <c r="C49" s="0" t="n">
        <v>1</v>
      </c>
      <c r="D49" s="0" t="n">
        <v>0</v>
      </c>
      <c r="H49" s="0" t="n">
        <v>1</v>
      </c>
      <c r="J49" s="0" t="n">
        <v>0.1</v>
      </c>
    </row>
    <row r="50" customFormat="false" ht="13.5" hidden="false" customHeight="false" outlineLevel="0" collapsed="false">
      <c r="A50" s="0" t="s">
        <v>88</v>
      </c>
      <c r="B50" s="1" t="n">
        <v>43910</v>
      </c>
      <c r="C50" s="0" t="n">
        <v>1</v>
      </c>
      <c r="D50" s="0" t="n">
        <v>0</v>
      </c>
      <c r="H50" s="0" t="n">
        <v>1</v>
      </c>
      <c r="J50" s="0" t="n">
        <v>0.1</v>
      </c>
    </row>
    <row r="51" customFormat="false" ht="13.5" hidden="false" customHeight="false" outlineLevel="0" collapsed="false">
      <c r="A51" s="0" t="s">
        <v>88</v>
      </c>
      <c r="B51" s="1" t="n">
        <v>43911</v>
      </c>
      <c r="C51" s="0" t="n">
        <v>2</v>
      </c>
      <c r="D51" s="0" t="n">
        <v>1</v>
      </c>
      <c r="H51" s="0" t="n">
        <v>2</v>
      </c>
      <c r="J51" s="0" t="n">
        <v>0.2</v>
      </c>
    </row>
    <row r="52" customFormat="false" ht="13.5" hidden="false" customHeight="false" outlineLevel="0" collapsed="false">
      <c r="A52" s="0" t="s">
        <v>88</v>
      </c>
      <c r="B52" s="1" t="n">
        <v>43912</v>
      </c>
      <c r="C52" s="0" t="n">
        <v>2</v>
      </c>
      <c r="D52" s="0" t="n">
        <v>0</v>
      </c>
      <c r="H52" s="0" t="n">
        <v>2</v>
      </c>
      <c r="J52" s="0" t="n">
        <v>0.2</v>
      </c>
    </row>
    <row r="53" customFormat="false" ht="13.5" hidden="false" customHeight="false" outlineLevel="0" collapsed="false">
      <c r="A53" s="0" t="s">
        <v>88</v>
      </c>
      <c r="B53" s="1" t="n">
        <v>43913</v>
      </c>
      <c r="C53" s="0" t="n">
        <v>2</v>
      </c>
      <c r="D53" s="0" t="n">
        <v>0</v>
      </c>
      <c r="H53" s="0" t="n">
        <v>2</v>
      </c>
      <c r="J53" s="0" t="n">
        <v>0.2</v>
      </c>
    </row>
    <row r="54" customFormat="false" ht="13.5" hidden="false" customHeight="false" outlineLevel="0" collapsed="false">
      <c r="A54" s="0" t="s">
        <v>88</v>
      </c>
      <c r="B54" s="1" t="n">
        <v>43914</v>
      </c>
      <c r="C54" s="0" t="n">
        <v>4</v>
      </c>
      <c r="D54" s="0" t="n">
        <v>2</v>
      </c>
      <c r="H54" s="0" t="n">
        <v>4</v>
      </c>
      <c r="J54" s="0" t="n">
        <v>0.3</v>
      </c>
    </row>
    <row r="55" customFormat="false" ht="13.5" hidden="false" customHeight="false" outlineLevel="0" collapsed="false">
      <c r="A55" s="0" t="s">
        <v>88</v>
      </c>
      <c r="B55" s="1" t="n">
        <v>43915</v>
      </c>
      <c r="C55" s="0" t="n">
        <v>4</v>
      </c>
      <c r="D55" s="0" t="n">
        <v>0</v>
      </c>
      <c r="H55" s="0" t="n">
        <v>4</v>
      </c>
      <c r="J55" s="0" t="n">
        <v>0.3</v>
      </c>
    </row>
    <row r="56" customFormat="false" ht="13.5" hidden="false" customHeight="false" outlineLevel="0" collapsed="false">
      <c r="A56" s="0" t="s">
        <v>88</v>
      </c>
      <c r="B56" s="1" t="n">
        <v>43916</v>
      </c>
      <c r="C56" s="0" t="n">
        <v>4</v>
      </c>
      <c r="D56" s="0" t="n">
        <v>0</v>
      </c>
      <c r="H56" s="0" t="n">
        <v>4</v>
      </c>
      <c r="J56" s="0" t="n">
        <v>0.3</v>
      </c>
    </row>
    <row r="57" customFormat="false" ht="13.5" hidden="false" customHeight="false" outlineLevel="0" collapsed="false">
      <c r="A57" s="0" t="s">
        <v>88</v>
      </c>
      <c r="B57" s="1" t="n">
        <v>43917</v>
      </c>
      <c r="C57" s="0" t="n">
        <v>4</v>
      </c>
      <c r="D57" s="0" t="n">
        <v>0</v>
      </c>
      <c r="H57" s="0" t="n">
        <v>4</v>
      </c>
      <c r="J57" s="0" t="n">
        <v>0.3</v>
      </c>
    </row>
    <row r="58" customFormat="false" ht="13.5" hidden="false" customHeight="false" outlineLevel="0" collapsed="false">
      <c r="A58" s="0" t="s">
        <v>88</v>
      </c>
      <c r="B58" s="1" t="n">
        <v>43918</v>
      </c>
      <c r="C58" s="0" t="n">
        <v>8</v>
      </c>
      <c r="D58" s="0" t="n">
        <v>4</v>
      </c>
      <c r="H58" s="0" t="n">
        <v>8</v>
      </c>
      <c r="J58" s="0" t="n">
        <v>0.6</v>
      </c>
    </row>
    <row r="59" customFormat="false" ht="13.5" hidden="false" customHeight="false" outlineLevel="0" collapsed="false">
      <c r="A59" s="0" t="s">
        <v>88</v>
      </c>
      <c r="B59" s="1" t="n">
        <v>43919</v>
      </c>
      <c r="C59" s="0" t="n">
        <v>8</v>
      </c>
      <c r="D59" s="0" t="n">
        <v>0</v>
      </c>
      <c r="H59" s="0" t="n">
        <v>8</v>
      </c>
      <c r="J59" s="0" t="n">
        <v>0.6</v>
      </c>
    </row>
    <row r="60" customFormat="false" ht="13.5" hidden="false" customHeight="false" outlineLevel="0" collapsed="false">
      <c r="A60" s="0" t="s">
        <v>88</v>
      </c>
      <c r="B60" s="1" t="n">
        <v>43920</v>
      </c>
      <c r="C60" s="0" t="n">
        <v>16</v>
      </c>
      <c r="D60" s="0" t="n">
        <v>8</v>
      </c>
      <c r="H60" s="0" t="n">
        <v>16</v>
      </c>
      <c r="J60" s="0" t="n">
        <v>1</v>
      </c>
    </row>
    <row r="61" customFormat="false" ht="13.5" hidden="false" customHeight="false" outlineLevel="0" collapsed="false">
      <c r="A61" s="0" t="s">
        <v>88</v>
      </c>
      <c r="B61" s="1" t="n">
        <v>43921</v>
      </c>
      <c r="C61" s="0" t="n">
        <v>22</v>
      </c>
      <c r="D61" s="0" t="n">
        <v>6</v>
      </c>
      <c r="H61" s="0" t="n">
        <v>22</v>
      </c>
      <c r="J61" s="0" t="n">
        <v>2</v>
      </c>
    </row>
    <row r="62" customFormat="false" ht="13.5" hidden="false" customHeight="false" outlineLevel="0" collapsed="false">
      <c r="A62" s="0" t="s">
        <v>88</v>
      </c>
      <c r="B62" s="1" t="n">
        <v>43922</v>
      </c>
      <c r="C62" s="0" t="n">
        <v>22</v>
      </c>
      <c r="D62" s="0" t="n">
        <v>0</v>
      </c>
      <c r="H62" s="0" t="n">
        <v>22</v>
      </c>
      <c r="J62" s="0" t="n">
        <v>2</v>
      </c>
    </row>
    <row r="63" customFormat="false" ht="13.5" hidden="false" customHeight="false" outlineLevel="0" collapsed="false">
      <c r="A63" s="0" t="s">
        <v>88</v>
      </c>
      <c r="B63" s="1" t="n">
        <v>43923</v>
      </c>
      <c r="C63" s="0" t="n">
        <v>30</v>
      </c>
      <c r="D63" s="0" t="n">
        <v>8</v>
      </c>
      <c r="H63" s="0" t="n">
        <v>30</v>
      </c>
      <c r="J63" s="0" t="n">
        <v>2</v>
      </c>
    </row>
    <row r="64" customFormat="false" ht="13.5" hidden="false" customHeight="false" outlineLevel="0" collapsed="false">
      <c r="A64" s="0" t="s">
        <v>88</v>
      </c>
      <c r="B64" s="1" t="n">
        <v>43924</v>
      </c>
      <c r="C64" s="0" t="n">
        <v>52</v>
      </c>
      <c r="D64" s="0" t="n">
        <v>22</v>
      </c>
      <c r="H64" s="0" t="n">
        <v>52</v>
      </c>
      <c r="J64" s="0" t="n">
        <v>4</v>
      </c>
    </row>
    <row r="65" customFormat="false" ht="13.5" hidden="false" customHeight="false" outlineLevel="0" collapsed="false">
      <c r="A65" s="0" t="s">
        <v>88</v>
      </c>
      <c r="B65" s="1" t="n">
        <v>43925</v>
      </c>
      <c r="C65" s="0" t="n">
        <v>73</v>
      </c>
      <c r="D65" s="0" t="n">
        <v>21</v>
      </c>
      <c r="G65" s="0" t="n">
        <v>2</v>
      </c>
      <c r="H65" s="0" t="n">
        <v>71</v>
      </c>
      <c r="J65" s="0" t="n">
        <v>6</v>
      </c>
    </row>
    <row r="66" customFormat="false" ht="14.25" hidden="false" customHeight="false" outlineLevel="0" collapsed="false">
      <c r="A66" s="0" t="s">
        <v>88</v>
      </c>
      <c r="B66" s="1" t="n">
        <v>43926</v>
      </c>
      <c r="C66" s="0" t="n">
        <v>111</v>
      </c>
      <c r="D66" s="0" t="n">
        <v>38</v>
      </c>
      <c r="G66" s="0" t="n">
        <v>5</v>
      </c>
      <c r="H66" s="0" t="n">
        <v>106</v>
      </c>
      <c r="J66" s="0" t="n">
        <v>8</v>
      </c>
    </row>
    <row r="67" customFormat="false" ht="15.75" hidden="false" customHeight="false" outlineLevel="0" collapsed="false">
      <c r="A67" s="0" t="s">
        <v>88</v>
      </c>
      <c r="B67" s="1" t="n">
        <v>43927</v>
      </c>
      <c r="C67" s="0" t="n">
        <v>121</v>
      </c>
      <c r="D67" s="0" t="n">
        <v>10</v>
      </c>
      <c r="G67" s="0" t="n">
        <v>5</v>
      </c>
      <c r="H67" s="0" t="n">
        <v>116</v>
      </c>
      <c r="J67" s="0" t="n">
        <v>9</v>
      </c>
      <c r="L67" s="6"/>
    </row>
    <row r="68" customFormat="false" ht="15.75" hidden="false" customHeight="false" outlineLevel="0" collapsed="false">
      <c r="A68" s="0" t="s">
        <v>88</v>
      </c>
      <c r="B68" s="1" t="n">
        <v>43928</v>
      </c>
      <c r="C68" s="0" t="n">
        <v>121</v>
      </c>
      <c r="D68" s="0" t="n">
        <v>0</v>
      </c>
      <c r="G68" s="0" t="n">
        <v>5</v>
      </c>
      <c r="H68" s="0" t="n">
        <v>116</v>
      </c>
      <c r="J68" s="0" t="n">
        <v>9</v>
      </c>
      <c r="L68" s="6"/>
    </row>
    <row r="69" customFormat="false" ht="15.75" hidden="false" customHeight="false" outlineLevel="0" collapsed="false">
      <c r="A69" s="0" t="s">
        <v>88</v>
      </c>
      <c r="B69" s="1" t="n">
        <v>43929</v>
      </c>
      <c r="C69" s="0" t="n">
        <v>144</v>
      </c>
      <c r="D69" s="0" t="n">
        <v>23</v>
      </c>
      <c r="G69" s="0" t="n">
        <v>5</v>
      </c>
      <c r="H69" s="0" t="n">
        <v>139</v>
      </c>
      <c r="J69" s="0" t="n">
        <v>11</v>
      </c>
      <c r="L69" s="6"/>
    </row>
    <row r="70" customFormat="false" ht="15.75" hidden="false" customHeight="false" outlineLevel="0" collapsed="false">
      <c r="A70" s="0" t="s">
        <v>88</v>
      </c>
      <c r="B70" s="1" t="n">
        <v>43930</v>
      </c>
      <c r="C70" s="0" t="n">
        <v>164</v>
      </c>
      <c r="D70" s="0" t="n">
        <v>20</v>
      </c>
      <c r="G70" s="0" t="n">
        <v>5</v>
      </c>
      <c r="H70" s="0" t="n">
        <v>159</v>
      </c>
      <c r="J70" s="0" t="n">
        <v>12</v>
      </c>
      <c r="L70" s="6"/>
    </row>
    <row r="71" customFormat="false" ht="13.5" hidden="false" customHeight="false" outlineLevel="0" collapsed="false">
      <c r="A71" s="0" t="s">
        <v>88</v>
      </c>
      <c r="B71" s="1" t="n">
        <v>43931</v>
      </c>
      <c r="C71" s="0" t="n">
        <v>194</v>
      </c>
      <c r="D71" s="0" t="n">
        <v>30</v>
      </c>
      <c r="G71" s="0" t="n">
        <v>11</v>
      </c>
      <c r="H71" s="0" t="n">
        <v>183</v>
      </c>
      <c r="J71" s="0" t="n">
        <v>15</v>
      </c>
    </row>
    <row r="72" customFormat="false" ht="13.5" hidden="false" customHeight="false" outlineLevel="0" collapsed="false">
      <c r="A72" s="0" t="s">
        <v>88</v>
      </c>
      <c r="B72" s="1" t="n">
        <v>43932</v>
      </c>
      <c r="C72" s="0" t="n">
        <v>194</v>
      </c>
      <c r="D72" s="0" t="n">
        <v>0</v>
      </c>
      <c r="G72" s="0" t="n">
        <v>11</v>
      </c>
      <c r="H72" s="0" t="n">
        <v>183</v>
      </c>
      <c r="J72" s="0" t="n">
        <v>15</v>
      </c>
    </row>
    <row r="73" customFormat="false" ht="13.5" hidden="false" customHeight="false" outlineLevel="0" collapsed="false">
      <c r="A73" s="0" t="s">
        <v>88</v>
      </c>
      <c r="B73" s="1" t="n">
        <v>43933</v>
      </c>
      <c r="C73" s="0" t="n">
        <v>250</v>
      </c>
      <c r="D73" s="0" t="n">
        <v>56</v>
      </c>
      <c r="G73" s="0" t="n">
        <v>17</v>
      </c>
      <c r="H73" s="0" t="n">
        <v>233</v>
      </c>
      <c r="J73" s="0" t="n">
        <v>19</v>
      </c>
    </row>
    <row r="74" customFormat="false" ht="13.5" hidden="false" customHeight="false" outlineLevel="0" collapsed="false">
      <c r="A74" s="0" t="s">
        <v>88</v>
      </c>
      <c r="B74" s="1" t="n">
        <v>43934</v>
      </c>
      <c r="C74" s="0" t="n">
        <v>250</v>
      </c>
      <c r="D74" s="0" t="n">
        <v>0</v>
      </c>
      <c r="G74" s="0" t="n">
        <v>17</v>
      </c>
      <c r="H74" s="0" t="n">
        <v>233</v>
      </c>
      <c r="J74" s="0" t="n">
        <v>19</v>
      </c>
    </row>
    <row r="75" customFormat="false" ht="13.5" hidden="false" customHeight="false" outlineLevel="0" collapsed="false">
      <c r="A75" s="0" t="s">
        <v>88</v>
      </c>
      <c r="B75" s="1" t="n">
        <v>43935</v>
      </c>
      <c r="C75" s="0" t="n">
        <v>319</v>
      </c>
      <c r="D75" s="0" t="n">
        <v>69</v>
      </c>
      <c r="G75" s="0" t="n">
        <v>17</v>
      </c>
      <c r="H75" s="0" t="n">
        <v>302</v>
      </c>
      <c r="J75" s="0" t="n">
        <v>24</v>
      </c>
    </row>
    <row r="76" customFormat="false" ht="13.5" hidden="false" customHeight="false" outlineLevel="0" collapsed="false">
      <c r="A76" s="0" t="s">
        <v>88</v>
      </c>
      <c r="B76" s="1" t="n">
        <v>43936</v>
      </c>
      <c r="C76" s="0" t="n">
        <v>363</v>
      </c>
      <c r="D76" s="0" t="n">
        <v>44</v>
      </c>
      <c r="E76" s="0" t="n">
        <v>0</v>
      </c>
      <c r="F76" s="0" t="n">
        <v>0</v>
      </c>
      <c r="G76" s="0" t="n">
        <v>31</v>
      </c>
      <c r="H76" s="0" t="n">
        <v>332</v>
      </c>
      <c r="I76" s="0" t="n">
        <v>0</v>
      </c>
      <c r="J76" s="0" t="n">
        <v>28</v>
      </c>
    </row>
    <row r="77" customFormat="false" ht="13.5" hidden="false" customHeight="false" outlineLevel="0" collapsed="false">
      <c r="A77" s="0" t="s">
        <v>88</v>
      </c>
      <c r="B77" s="1" t="n">
        <v>43937</v>
      </c>
      <c r="C77" s="0" t="n">
        <v>404</v>
      </c>
      <c r="D77" s="0" t="n">
        <v>41</v>
      </c>
      <c r="E77" s="0" t="n">
        <v>1</v>
      </c>
      <c r="F77" s="0" t="n">
        <v>1</v>
      </c>
      <c r="G77" s="0" t="n">
        <v>31</v>
      </c>
      <c r="H77" s="0" t="n">
        <v>372</v>
      </c>
      <c r="I77" s="0" t="n">
        <v>0</v>
      </c>
      <c r="J77" s="0" t="n">
        <v>31</v>
      </c>
      <c r="K77" s="0" t="n">
        <v>0.08</v>
      </c>
    </row>
    <row r="78" customFormat="false" ht="13.5" hidden="false" customHeight="false" outlineLevel="0" collapsed="false">
      <c r="A78" s="0" t="s">
        <v>88</v>
      </c>
      <c r="B78" s="1" t="n">
        <v>43938</v>
      </c>
      <c r="C78" s="0" t="n">
        <v>438</v>
      </c>
      <c r="D78" s="0" t="n">
        <v>34</v>
      </c>
      <c r="E78" s="0" t="n">
        <v>1</v>
      </c>
      <c r="F78" s="0" t="n">
        <v>0</v>
      </c>
      <c r="G78" s="0" t="n">
        <v>49</v>
      </c>
      <c r="H78" s="0" t="n">
        <v>388</v>
      </c>
      <c r="I78" s="0" t="n">
        <v>0</v>
      </c>
      <c r="J78" s="0" t="n">
        <v>33</v>
      </c>
      <c r="K78" s="0" t="n">
        <v>0.08</v>
      </c>
    </row>
    <row r="79" customFormat="false" ht="13.5" hidden="false" customHeight="false" outlineLevel="0" collapsed="false">
      <c r="A79" s="0" t="s">
        <v>88</v>
      </c>
      <c r="B79" s="1" t="n">
        <v>43939</v>
      </c>
      <c r="C79" s="0" t="n">
        <v>477</v>
      </c>
      <c r="D79" s="0" t="n">
        <v>39</v>
      </c>
      <c r="E79" s="0" t="n">
        <v>3</v>
      </c>
      <c r="F79" s="0" t="n">
        <v>2</v>
      </c>
      <c r="G79" s="0" t="n">
        <v>59</v>
      </c>
      <c r="H79" s="0" t="n">
        <v>415</v>
      </c>
      <c r="I79" s="0" t="n">
        <v>0</v>
      </c>
      <c r="J79" s="0" t="n">
        <v>36</v>
      </c>
      <c r="K79" s="0" t="n">
        <v>0.2</v>
      </c>
    </row>
    <row r="80" customFormat="false" ht="13.5" hidden="false" customHeight="false" outlineLevel="0" collapsed="false">
      <c r="A80" s="0" t="s">
        <v>88</v>
      </c>
      <c r="B80" s="1" t="n">
        <v>43940</v>
      </c>
      <c r="C80" s="0" t="n">
        <v>518</v>
      </c>
      <c r="D80" s="0" t="n">
        <v>41</v>
      </c>
      <c r="E80" s="0" t="n">
        <v>3</v>
      </c>
      <c r="F80" s="0" t="n">
        <v>0</v>
      </c>
      <c r="G80" s="0" t="n">
        <v>65</v>
      </c>
      <c r="H80" s="0" t="n">
        <v>450</v>
      </c>
      <c r="I80" s="0" t="n">
        <v>0</v>
      </c>
      <c r="J80" s="0" t="n">
        <v>39</v>
      </c>
      <c r="K80" s="0" t="n">
        <v>0.2</v>
      </c>
    </row>
    <row r="81" customFormat="false" ht="13.5" hidden="false" customHeight="false" outlineLevel="0" collapsed="false">
      <c r="A81" s="0" t="s">
        <v>88</v>
      </c>
      <c r="B81" s="1" t="n">
        <v>43941</v>
      </c>
      <c r="C81" s="0" t="n">
        <v>579</v>
      </c>
      <c r="D81" s="0" t="n">
        <v>61</v>
      </c>
      <c r="E81" s="0" t="n">
        <v>5</v>
      </c>
      <c r="F81" s="0" t="n">
        <v>2</v>
      </c>
      <c r="G81" s="0" t="n">
        <v>87</v>
      </c>
      <c r="H81" s="0" t="n">
        <v>487</v>
      </c>
      <c r="I81" s="0" t="n">
        <v>0</v>
      </c>
      <c r="J81" s="0" t="n">
        <v>44</v>
      </c>
      <c r="K81" s="0" t="n">
        <v>0.4</v>
      </c>
    </row>
    <row r="82" customFormat="false" ht="13.5" hidden="false" customHeight="false" outlineLevel="0" collapsed="false">
      <c r="A82" s="0" t="s">
        <v>88</v>
      </c>
      <c r="B82" s="1" t="n">
        <v>43942</v>
      </c>
      <c r="C82" s="0" t="n">
        <v>579</v>
      </c>
      <c r="D82" s="0" t="n">
        <v>0</v>
      </c>
      <c r="E82" s="0" t="n">
        <v>5</v>
      </c>
      <c r="F82" s="0" t="n">
        <v>0</v>
      </c>
      <c r="G82" s="0" t="n">
        <v>87</v>
      </c>
      <c r="H82" s="0" t="n">
        <v>487</v>
      </c>
      <c r="I82" s="0" t="n">
        <v>0</v>
      </c>
      <c r="J82" s="0" t="n">
        <v>44</v>
      </c>
      <c r="K82" s="0" t="n">
        <v>0.4</v>
      </c>
    </row>
    <row r="83" customFormat="false" ht="13.5" hidden="false" customHeight="false" outlineLevel="0" collapsed="false">
      <c r="A83" s="0" t="s">
        <v>88</v>
      </c>
      <c r="B83" s="1" t="n">
        <v>43943</v>
      </c>
      <c r="C83" s="0" t="n">
        <v>688</v>
      </c>
      <c r="D83" s="0" t="n">
        <v>109</v>
      </c>
      <c r="E83" s="0" t="n">
        <v>6</v>
      </c>
      <c r="F83" s="0" t="n">
        <v>1</v>
      </c>
      <c r="G83" s="0" t="n">
        <v>127</v>
      </c>
      <c r="H83" s="0" t="n">
        <v>555</v>
      </c>
      <c r="I83" s="0" t="n">
        <v>0</v>
      </c>
      <c r="J83" s="0" t="n">
        <v>52</v>
      </c>
      <c r="K83" s="0" t="n">
        <v>0.5</v>
      </c>
    </row>
    <row r="84" customFormat="false" ht="13.5" hidden="false" customHeight="false" outlineLevel="0" collapsed="false">
      <c r="A84" s="0" t="s">
        <v>88</v>
      </c>
      <c r="B84" s="1" t="n">
        <v>43944</v>
      </c>
      <c r="C84" s="0" t="n">
        <v>761</v>
      </c>
      <c r="D84" s="0" t="n">
        <v>73</v>
      </c>
      <c r="E84" s="0" t="n">
        <v>6</v>
      </c>
      <c r="F84" s="0" t="n">
        <v>0</v>
      </c>
      <c r="G84" s="0" t="n">
        <v>164</v>
      </c>
      <c r="H84" s="0" t="n">
        <v>591</v>
      </c>
      <c r="I84" s="0" t="n">
        <v>0</v>
      </c>
      <c r="J84" s="0" t="n">
        <v>58</v>
      </c>
      <c r="K84" s="0" t="n">
        <v>0.5</v>
      </c>
    </row>
    <row r="85" customFormat="false" ht="13.5" hidden="false" customHeight="false" outlineLevel="0" collapsed="false">
      <c r="A85" s="0" t="s">
        <v>88</v>
      </c>
      <c r="B85" s="1" t="n">
        <v>43945</v>
      </c>
      <c r="C85" s="0" t="n">
        <v>862</v>
      </c>
      <c r="D85" s="0" t="n">
        <v>101</v>
      </c>
      <c r="E85" s="0" t="n">
        <v>6</v>
      </c>
      <c r="F85" s="0" t="n">
        <v>0</v>
      </c>
      <c r="G85" s="0" t="n">
        <v>170</v>
      </c>
      <c r="H85" s="0" t="n">
        <v>686</v>
      </c>
      <c r="I85" s="0" t="n">
        <v>0</v>
      </c>
      <c r="J85" s="0" t="n">
        <v>66</v>
      </c>
      <c r="K85" s="0" t="n">
        <v>0.5</v>
      </c>
    </row>
    <row r="86" customFormat="false" ht="13.5" hidden="false" customHeight="false" outlineLevel="0" collapsed="false">
      <c r="A86" s="0" t="s">
        <v>88</v>
      </c>
      <c r="B86" s="1" t="n">
        <v>43946</v>
      </c>
      <c r="C86" s="0" t="n">
        <v>862</v>
      </c>
      <c r="D86" s="0" t="n">
        <v>0</v>
      </c>
      <c r="E86" s="0" t="n">
        <v>6</v>
      </c>
      <c r="F86" s="0" t="n">
        <v>0</v>
      </c>
      <c r="G86" s="0" t="n">
        <v>170</v>
      </c>
      <c r="H86" s="0" t="n">
        <v>686</v>
      </c>
      <c r="I86" s="0" t="n">
        <v>0</v>
      </c>
      <c r="J86" s="0" t="n">
        <v>66</v>
      </c>
      <c r="K86" s="0" t="n">
        <v>0.5</v>
      </c>
    </row>
    <row r="87" customFormat="false" ht="13.5" hidden="false" customHeight="false" outlineLevel="0" collapsed="false">
      <c r="A87" s="0" t="s">
        <v>88</v>
      </c>
      <c r="B87" s="1" t="n">
        <v>43947</v>
      </c>
      <c r="C87" s="0" t="n">
        <v>996</v>
      </c>
      <c r="D87" s="0" t="n">
        <v>134</v>
      </c>
      <c r="E87" s="0" t="n">
        <v>7</v>
      </c>
      <c r="F87" s="0" t="n">
        <v>1</v>
      </c>
      <c r="G87" s="0" t="n">
        <v>208</v>
      </c>
      <c r="H87" s="0" t="n">
        <v>781</v>
      </c>
      <c r="I87" s="0" t="n">
        <v>0</v>
      </c>
      <c r="J87" s="0" t="n">
        <v>76</v>
      </c>
      <c r="K87" s="0" t="n">
        <v>0.5</v>
      </c>
    </row>
    <row r="88" customFormat="false" ht="13.5" hidden="false" customHeight="false" outlineLevel="0" collapsed="false">
      <c r="A88" s="0" t="s">
        <v>88</v>
      </c>
      <c r="B88" s="1" t="n">
        <v>43948</v>
      </c>
      <c r="C88" s="0" t="n">
        <v>996</v>
      </c>
      <c r="D88" s="0" t="n">
        <v>0</v>
      </c>
      <c r="E88" s="0" t="n">
        <v>7</v>
      </c>
      <c r="F88" s="0" t="n">
        <v>0</v>
      </c>
      <c r="G88" s="0" t="n">
        <v>208</v>
      </c>
      <c r="H88" s="0" t="n">
        <v>781</v>
      </c>
      <c r="I88" s="0" t="n">
        <v>0</v>
      </c>
      <c r="J88" s="0" t="n">
        <v>76</v>
      </c>
      <c r="K88" s="0" t="n">
        <v>0.5</v>
      </c>
    </row>
    <row r="89" customFormat="false" ht="13.5" hidden="false" customHeight="false" outlineLevel="0" collapsed="false">
      <c r="A89" s="0" t="s">
        <v>88</v>
      </c>
      <c r="B89" s="1" t="n">
        <v>43949</v>
      </c>
      <c r="C89" s="0" t="n">
        <v>1163</v>
      </c>
      <c r="D89" s="0" t="n">
        <v>167</v>
      </c>
      <c r="E89" s="0" t="n">
        <v>7</v>
      </c>
      <c r="F89" s="0" t="n">
        <v>0</v>
      </c>
      <c r="G89" s="0" t="n">
        <v>246</v>
      </c>
      <c r="H89" s="0" t="n">
        <v>910</v>
      </c>
      <c r="I89" s="0" t="n">
        <v>0</v>
      </c>
      <c r="J89" s="0" t="n">
        <v>89</v>
      </c>
      <c r="K89" s="0" t="n">
        <v>0.5</v>
      </c>
    </row>
    <row r="90" customFormat="false" ht="13.5" hidden="false" customHeight="false" outlineLevel="0" collapsed="false">
      <c r="A90" s="0" t="s">
        <v>88</v>
      </c>
      <c r="B90" s="1" t="n">
        <v>43950</v>
      </c>
      <c r="C90" s="0" t="n">
        <v>1163</v>
      </c>
      <c r="D90" s="0" t="n">
        <v>0</v>
      </c>
      <c r="E90" s="0" t="n">
        <v>7</v>
      </c>
      <c r="F90" s="0" t="n">
        <v>0</v>
      </c>
      <c r="G90" s="0" t="n">
        <v>246</v>
      </c>
      <c r="H90" s="0" t="n">
        <v>910</v>
      </c>
      <c r="I90" s="0" t="n">
        <v>0</v>
      </c>
      <c r="J90" s="0" t="n">
        <v>89</v>
      </c>
      <c r="K90" s="0" t="n">
        <v>0.5</v>
      </c>
    </row>
    <row r="91" customFormat="false" ht="13.5" hidden="false" customHeight="false" outlineLevel="0" collapsed="false">
      <c r="A91" s="0" t="s">
        <v>88</v>
      </c>
      <c r="B91" s="1" t="n">
        <v>43951</v>
      </c>
      <c r="C91" s="0" t="n">
        <v>1351</v>
      </c>
      <c r="D91" s="0" t="n">
        <v>188</v>
      </c>
      <c r="E91" s="0" t="n">
        <v>7</v>
      </c>
      <c r="F91" s="0" t="n">
        <v>0</v>
      </c>
      <c r="G91" s="0" t="n">
        <v>313</v>
      </c>
      <c r="H91" s="0" t="n">
        <v>1031</v>
      </c>
      <c r="I91" s="0" t="n">
        <v>0</v>
      </c>
      <c r="J91" s="0" t="n">
        <v>103</v>
      </c>
      <c r="K91" s="0" t="n">
        <v>0.5</v>
      </c>
    </row>
    <row r="92" customFormat="false" ht="13.5" hidden="false" customHeight="false" outlineLevel="0" collapsed="false">
      <c r="A92" s="0" t="s">
        <v>88</v>
      </c>
      <c r="B92" s="1" t="n">
        <v>43952</v>
      </c>
      <c r="C92" s="0" t="n">
        <v>1495</v>
      </c>
      <c r="D92" s="0" t="n">
        <v>144</v>
      </c>
      <c r="E92" s="0" t="n">
        <v>7</v>
      </c>
      <c r="F92" s="0" t="n">
        <v>0</v>
      </c>
      <c r="G92" s="0" t="n">
        <v>329</v>
      </c>
      <c r="H92" s="0" t="n">
        <v>1159</v>
      </c>
      <c r="I92" s="0" t="n">
        <v>0</v>
      </c>
      <c r="J92" s="0" t="n">
        <v>114</v>
      </c>
      <c r="K92" s="0" t="n">
        <v>0.5</v>
      </c>
    </row>
    <row r="93" customFormat="false" ht="13.5" hidden="false" customHeight="false" outlineLevel="0" collapsed="false">
      <c r="A93" s="0" t="s">
        <v>88</v>
      </c>
      <c r="B93" s="1" t="n">
        <v>43953</v>
      </c>
      <c r="C93" s="0" t="n">
        <v>1537</v>
      </c>
      <c r="D93" s="0" t="n">
        <v>42</v>
      </c>
      <c r="E93" s="0" t="n">
        <v>7</v>
      </c>
      <c r="F93" s="0" t="n">
        <v>0</v>
      </c>
      <c r="G93" s="0" t="n">
        <v>342</v>
      </c>
      <c r="H93" s="0" t="n">
        <v>1188</v>
      </c>
      <c r="I93" s="0" t="n">
        <v>0</v>
      </c>
      <c r="J93" s="0" t="n">
        <v>117</v>
      </c>
      <c r="K93" s="0" t="n">
        <v>0.5</v>
      </c>
    </row>
    <row r="94" customFormat="false" ht="13.5" hidden="false" customHeight="false" outlineLevel="0" collapsed="false">
      <c r="A94" s="0" t="s">
        <v>88</v>
      </c>
      <c r="B94" s="1" t="n">
        <v>43954</v>
      </c>
      <c r="C94" s="0" t="n">
        <v>1586</v>
      </c>
      <c r="D94" s="0" t="n">
        <v>49</v>
      </c>
      <c r="E94" s="0" t="n">
        <v>7</v>
      </c>
      <c r="F94" s="0" t="n">
        <v>0</v>
      </c>
      <c r="G94" s="0" t="n">
        <v>405</v>
      </c>
      <c r="H94" s="0" t="n">
        <v>1174</v>
      </c>
      <c r="I94" s="0" t="n">
        <v>0</v>
      </c>
      <c r="J94" s="0" t="n">
        <v>121</v>
      </c>
      <c r="K94" s="0" t="n">
        <v>0.5</v>
      </c>
    </row>
    <row r="95" customFormat="false" ht="13.5" hidden="false" customHeight="false" outlineLevel="0" collapsed="false">
      <c r="A95" s="0" t="s">
        <v>88</v>
      </c>
      <c r="B95" s="1" t="n">
        <v>43955</v>
      </c>
      <c r="C95" s="0" t="n">
        <v>1586</v>
      </c>
      <c r="D95" s="0" t="n">
        <v>0</v>
      </c>
      <c r="E95" s="0" t="n">
        <v>7</v>
      </c>
      <c r="F95" s="0" t="n">
        <v>0</v>
      </c>
      <c r="G95" s="0" t="n">
        <v>405</v>
      </c>
      <c r="H95" s="0" t="n">
        <v>1174</v>
      </c>
      <c r="I95" s="0" t="n">
        <v>0</v>
      </c>
      <c r="J95" s="0" t="n">
        <v>121</v>
      </c>
      <c r="K95" s="0" t="n">
        <v>0.5</v>
      </c>
    </row>
    <row r="96" customFormat="false" ht="13.5" hidden="false" customHeight="false" outlineLevel="0" collapsed="false">
      <c r="A96" s="0" t="s">
        <v>88</v>
      </c>
      <c r="B96" s="1" t="n">
        <v>43956</v>
      </c>
      <c r="C96" s="0" t="n">
        <v>1710</v>
      </c>
      <c r="D96" s="0" t="n">
        <v>124</v>
      </c>
      <c r="E96" s="0" t="n">
        <v>9</v>
      </c>
      <c r="F96" s="0" t="n">
        <v>2</v>
      </c>
      <c r="G96" s="0" t="n">
        <v>450</v>
      </c>
      <c r="H96" s="0" t="n">
        <v>1251</v>
      </c>
      <c r="I96" s="0" t="n">
        <v>0</v>
      </c>
      <c r="J96" s="0" t="n">
        <v>130</v>
      </c>
      <c r="K96" s="0" t="n">
        <v>0.7</v>
      </c>
    </row>
    <row r="97" customFormat="false" ht="13.5" hidden="false" customHeight="false" outlineLevel="0" collapsed="false">
      <c r="A97" s="0" t="s">
        <v>88</v>
      </c>
      <c r="B97" s="1" t="n">
        <v>43957</v>
      </c>
      <c r="C97" s="0" t="n">
        <v>1811</v>
      </c>
      <c r="D97" s="0" t="n">
        <v>101</v>
      </c>
      <c r="E97" s="0" t="n">
        <v>10</v>
      </c>
      <c r="F97" s="0" t="n">
        <v>1</v>
      </c>
      <c r="G97" s="0" t="n">
        <v>498</v>
      </c>
      <c r="H97" s="0" t="n">
        <v>1303</v>
      </c>
      <c r="I97" s="0" t="n">
        <v>0</v>
      </c>
      <c r="J97" s="0" t="n">
        <v>138</v>
      </c>
      <c r="K97" s="0" t="n">
        <v>0.8</v>
      </c>
    </row>
    <row r="98" customFormat="false" ht="13.5" hidden="false" customHeight="false" outlineLevel="0" collapsed="false">
      <c r="A98" s="0" t="s">
        <v>88</v>
      </c>
      <c r="B98" s="1" t="n">
        <v>43958</v>
      </c>
      <c r="C98" s="0" t="n">
        <v>1856</v>
      </c>
      <c r="D98" s="0" t="n">
        <v>45</v>
      </c>
      <c r="E98" s="0" t="n">
        <v>11</v>
      </c>
      <c r="F98" s="0" t="n">
        <v>1</v>
      </c>
      <c r="G98" s="0" t="n">
        <v>597</v>
      </c>
      <c r="H98" s="0" t="n">
        <v>1248</v>
      </c>
      <c r="I98" s="0" t="n">
        <v>0</v>
      </c>
      <c r="J98" s="0" t="n">
        <v>141</v>
      </c>
      <c r="K98" s="0" t="n">
        <v>0.8</v>
      </c>
    </row>
    <row r="99" customFormat="false" ht="13.5" hidden="false" customHeight="false" outlineLevel="0" collapsed="false">
      <c r="A99" s="0" t="s">
        <v>88</v>
      </c>
      <c r="B99" s="1" t="n">
        <v>43959</v>
      </c>
      <c r="C99" s="0" t="n">
        <v>1927</v>
      </c>
      <c r="D99" s="0" t="n">
        <v>71</v>
      </c>
      <c r="E99" s="0" t="n">
        <v>11</v>
      </c>
      <c r="F99" s="0" t="n">
        <v>0</v>
      </c>
      <c r="G99" s="0" t="n">
        <v>629</v>
      </c>
      <c r="H99" s="0" t="n">
        <v>1287</v>
      </c>
      <c r="I99" s="0" t="n">
        <v>0</v>
      </c>
      <c r="J99" s="0" t="n">
        <v>147</v>
      </c>
      <c r="K99" s="0" t="n">
        <v>0.8</v>
      </c>
    </row>
    <row r="100" customFormat="false" ht="13.5" hidden="false" customHeight="false" outlineLevel="0" collapsed="false">
      <c r="A100" s="0" t="s">
        <v>88</v>
      </c>
      <c r="B100" s="1" t="n">
        <v>43960</v>
      </c>
      <c r="C100" s="0" t="n">
        <v>2009</v>
      </c>
      <c r="D100" s="0" t="n">
        <v>82</v>
      </c>
      <c r="E100" s="0" t="n">
        <v>11</v>
      </c>
      <c r="F100" s="0" t="n">
        <v>0</v>
      </c>
      <c r="G100" s="0" t="n">
        <v>663</v>
      </c>
      <c r="H100" s="0" t="n">
        <v>1335</v>
      </c>
      <c r="I100" s="0" t="n">
        <v>0</v>
      </c>
      <c r="J100" s="0" t="n">
        <v>153</v>
      </c>
      <c r="K100" s="0" t="n">
        <v>0.8</v>
      </c>
    </row>
    <row r="101" customFormat="false" ht="13.5" hidden="false" customHeight="false" outlineLevel="0" collapsed="false">
      <c r="A101" s="0" t="s">
        <v>88</v>
      </c>
      <c r="B101" s="1" t="n">
        <v>43961</v>
      </c>
      <c r="C101" s="0" t="n">
        <v>2042</v>
      </c>
      <c r="D101" s="0" t="n">
        <v>33</v>
      </c>
      <c r="E101" s="0" t="n">
        <v>11</v>
      </c>
      <c r="F101" s="0" t="n">
        <v>0</v>
      </c>
      <c r="G101" s="0" t="n">
        <v>698</v>
      </c>
      <c r="H101" s="0" t="n">
        <v>1333</v>
      </c>
      <c r="I101" s="0" t="n">
        <v>0</v>
      </c>
      <c r="J101" s="0" t="n">
        <v>155</v>
      </c>
      <c r="K101" s="0" t="n">
        <v>0.8</v>
      </c>
    </row>
    <row r="102" customFormat="false" ht="13.5" hidden="false" customHeight="false" outlineLevel="0" collapsed="false">
      <c r="A102" s="0" t="s">
        <v>88</v>
      </c>
      <c r="B102" s="1" t="n">
        <v>43962</v>
      </c>
      <c r="C102" s="0" t="n">
        <v>2146</v>
      </c>
      <c r="D102" s="0" t="n">
        <v>104</v>
      </c>
      <c r="E102" s="0" t="n">
        <v>11</v>
      </c>
      <c r="F102" s="0" t="n">
        <v>0</v>
      </c>
      <c r="G102" s="0" t="n">
        <v>714</v>
      </c>
      <c r="H102" s="0" t="n">
        <v>1421</v>
      </c>
      <c r="I102" s="0" t="n">
        <v>0</v>
      </c>
      <c r="J102" s="0" t="n">
        <v>163</v>
      </c>
      <c r="K102" s="0" t="n">
        <v>0.8</v>
      </c>
    </row>
    <row r="103" customFormat="false" ht="13.5" hidden="false" customHeight="false" outlineLevel="0" collapsed="false">
      <c r="A103" s="0" t="s">
        <v>88</v>
      </c>
      <c r="B103" s="1" t="n">
        <v>43963</v>
      </c>
      <c r="C103" s="0" t="n">
        <v>2146</v>
      </c>
      <c r="D103" s="0" t="n">
        <v>0</v>
      </c>
      <c r="E103" s="0" t="n">
        <v>11</v>
      </c>
      <c r="F103" s="0" t="n">
        <v>0</v>
      </c>
      <c r="G103" s="0" t="n">
        <v>714</v>
      </c>
      <c r="H103" s="0" t="n">
        <v>1421</v>
      </c>
      <c r="I103" s="0" t="n">
        <v>0</v>
      </c>
      <c r="J103" s="0" t="n">
        <v>163</v>
      </c>
      <c r="K103" s="0" t="n">
        <v>0.8</v>
      </c>
    </row>
    <row r="104" customFormat="false" ht="13.5" hidden="false" customHeight="false" outlineLevel="0" collapsed="false">
      <c r="A104" s="0" t="s">
        <v>88</v>
      </c>
      <c r="B104" s="1" t="n">
        <v>43964</v>
      </c>
      <c r="C104" s="0" t="n">
        <v>2298</v>
      </c>
      <c r="D104" s="0" t="n">
        <v>152</v>
      </c>
      <c r="E104" s="0" t="n">
        <v>11</v>
      </c>
      <c r="F104" s="0" t="n">
        <v>0</v>
      </c>
      <c r="G104" s="0" t="n">
        <v>816</v>
      </c>
      <c r="H104" s="0" t="n">
        <v>1471</v>
      </c>
      <c r="I104" s="0" t="n">
        <v>0</v>
      </c>
      <c r="J104" s="0" t="n">
        <v>175</v>
      </c>
      <c r="K104" s="0" t="n">
        <v>0.8</v>
      </c>
    </row>
    <row r="105" customFormat="false" ht="13.5" hidden="false" customHeight="false" outlineLevel="0" collapsed="false">
      <c r="A105" s="0" t="s">
        <v>88</v>
      </c>
      <c r="B105" s="1" t="n">
        <v>43965</v>
      </c>
      <c r="C105" s="0" t="n">
        <v>2374</v>
      </c>
      <c r="D105" s="0" t="n">
        <v>76</v>
      </c>
      <c r="E105" s="0" t="n">
        <v>14</v>
      </c>
      <c r="F105" s="0" t="n">
        <v>3</v>
      </c>
      <c r="G105" s="0" t="n">
        <v>856</v>
      </c>
      <c r="H105" s="0" t="n">
        <v>1504</v>
      </c>
      <c r="I105" s="0" t="n">
        <v>0</v>
      </c>
      <c r="J105" s="0" t="n">
        <v>181</v>
      </c>
      <c r="K105" s="0" t="n">
        <v>1</v>
      </c>
    </row>
    <row r="106" customFormat="false" ht="13.5" hidden="false" customHeight="false" outlineLevel="0" collapsed="false">
      <c r="A106" s="0" t="s">
        <v>88</v>
      </c>
      <c r="B106" s="1" t="n">
        <v>43966</v>
      </c>
      <c r="C106" s="0" t="n">
        <v>2374</v>
      </c>
      <c r="D106" s="0" t="n">
        <v>0</v>
      </c>
      <c r="E106" s="0" t="n">
        <v>15</v>
      </c>
      <c r="F106" s="0" t="n">
        <v>1</v>
      </c>
      <c r="G106" s="0" t="n">
        <v>856</v>
      </c>
      <c r="H106" s="0" t="n">
        <v>1503</v>
      </c>
      <c r="I106" s="0" t="n">
        <v>18</v>
      </c>
      <c r="J106" s="0" t="n">
        <v>181</v>
      </c>
      <c r="K106" s="0" t="n">
        <v>1</v>
      </c>
      <c r="L106" s="0" t="n">
        <v>10304</v>
      </c>
      <c r="M106" s="0" t="n">
        <v>785</v>
      </c>
    </row>
    <row r="107" customFormat="false" ht="13.5" hidden="false" customHeight="false" outlineLevel="0" collapsed="false">
      <c r="A107" s="0" t="s">
        <v>88</v>
      </c>
      <c r="B107" s="1" t="n">
        <v>43967</v>
      </c>
      <c r="C107" s="0" t="e">
        <f aca="false">sheet1!asa108</f>
        <v>#NAME?</v>
      </c>
      <c r="D107" s="0" t="e">
        <f aca="false">sheet1!asb108</f>
        <v>#NAME?</v>
      </c>
      <c r="E107" s="0" t="e">
        <f aca="false">sheet1!asc108</f>
        <v>#NAME?</v>
      </c>
      <c r="F107" s="0" t="e">
        <f aca="false">sheet1!asd108</f>
        <v>#NAME?</v>
      </c>
      <c r="G107" s="0" t="e">
        <f aca="false">sheet1!ase108</f>
        <v>#NAME?</v>
      </c>
      <c r="H107" s="0" t="e">
        <f aca="false">sheet1!asf108</f>
        <v>#NAME?</v>
      </c>
      <c r="I107" s="0" t="e">
        <f aca="false">sheet1!asg108</f>
        <v>#NAME?</v>
      </c>
      <c r="J107" s="0" t="e">
        <f aca="false">sheet1!ash108</f>
        <v>#NAME?</v>
      </c>
      <c r="K107" s="0" t="e">
        <f aca="false">sheet1!asi108</f>
        <v>#NAME?</v>
      </c>
      <c r="L107" s="0" t="e">
        <f aca="false">sheet1!asj108</f>
        <v>#NAME?</v>
      </c>
      <c r="M107" s="0" t="e">
        <f aca="false">sheet1!ask108</f>
        <v>#NAME?</v>
      </c>
    </row>
    <row r="108" customFormat="false" ht="13.5" hidden="false" customHeight="false" outlineLevel="0" collapsed="false">
      <c r="A108" s="0" t="s">
        <v>88</v>
      </c>
      <c r="B108" s="1" t="n">
        <v>43968</v>
      </c>
      <c r="C108" s="0" t="e">
        <f aca="false">sheet1!asa109</f>
        <v>#NAME?</v>
      </c>
      <c r="D108" s="0" t="e">
        <f aca="false">sheet1!asb109</f>
        <v>#NAME?</v>
      </c>
      <c r="E108" s="0" t="e">
        <f aca="false">sheet1!asc109</f>
        <v>#NAME?</v>
      </c>
      <c r="F108" s="0" t="e">
        <f aca="false">sheet1!asd109</f>
        <v>#NAME?</v>
      </c>
      <c r="G108" s="0" t="e">
        <f aca="false">sheet1!ase109</f>
        <v>#NAME?</v>
      </c>
      <c r="H108" s="0" t="e">
        <f aca="false">sheet1!asf109</f>
        <v>#NAME?</v>
      </c>
      <c r="I108" s="0" t="e">
        <f aca="false">sheet1!asg109</f>
        <v>#NAME?</v>
      </c>
      <c r="J108" s="0" t="e">
        <f aca="false">sheet1!ash109</f>
        <v>#NAME?</v>
      </c>
      <c r="K108" s="0" t="e">
        <f aca="false">sheet1!asi109</f>
        <v>#NAME?</v>
      </c>
      <c r="L108" s="0" t="e">
        <f aca="false">sheet1!asj109</f>
        <v>#NAME?</v>
      </c>
      <c r="M108" s="0" t="e">
        <f aca="false">sheet1!ask109</f>
        <v>#NAME?</v>
      </c>
    </row>
    <row r="109" customFormat="false" ht="13.5" hidden="false" customHeight="false" outlineLevel="0" collapsed="false">
      <c r="A109" s="0" t="s">
        <v>88</v>
      </c>
      <c r="B109" s="1" t="n">
        <v>43969</v>
      </c>
      <c r="C109" s="0" t="e">
        <f aca="false">sheet1!asa110</f>
        <v>#NAME?</v>
      </c>
      <c r="D109" s="0" t="e">
        <f aca="false">sheet1!asb110</f>
        <v>#NAME?</v>
      </c>
      <c r="E109" s="0" t="e">
        <f aca="false">sheet1!asc110</f>
        <v>#NAME?</v>
      </c>
      <c r="F109" s="0" t="e">
        <f aca="false">sheet1!asd110</f>
        <v>#NAME?</v>
      </c>
      <c r="G109" s="0" t="e">
        <f aca="false">sheet1!ase110</f>
        <v>#NAME?</v>
      </c>
      <c r="H109" s="0" t="e">
        <f aca="false">sheet1!asf110</f>
        <v>#NAME?</v>
      </c>
      <c r="I109" s="0" t="e">
        <f aca="false">sheet1!asg110</f>
        <v>#NAME?</v>
      </c>
      <c r="J109" s="0" t="e">
        <f aca="false">sheet1!ash110</f>
        <v>#NAME?</v>
      </c>
      <c r="K109" s="0" t="e">
        <f aca="false">sheet1!asi110</f>
        <v>#NAME?</v>
      </c>
      <c r="L109" s="0" t="e">
        <f aca="false">sheet1!asj110</f>
        <v>#NAME?</v>
      </c>
      <c r="M109" s="0" t="e">
        <f aca="false">sheet1!ask110</f>
        <v>#NAME?</v>
      </c>
    </row>
    <row r="110" customFormat="false" ht="13.5" hidden="false" customHeight="false" outlineLevel="0" collapsed="false">
      <c r="A110" s="0" t="s">
        <v>88</v>
      </c>
      <c r="B110" s="1" t="n">
        <v>43970</v>
      </c>
      <c r="C110" s="0" t="e">
        <f aca="false">sheet1!asa111</f>
        <v>#NAME?</v>
      </c>
      <c r="D110" s="0" t="e">
        <f aca="false">sheet1!asb111</f>
        <v>#NAME?</v>
      </c>
      <c r="E110" s="0" t="e">
        <f aca="false">sheet1!asc111</f>
        <v>#NAME?</v>
      </c>
      <c r="F110" s="0" t="e">
        <f aca="false">sheet1!asd111</f>
        <v>#NAME?</v>
      </c>
      <c r="G110" s="0" t="e">
        <f aca="false">sheet1!ase111</f>
        <v>#NAME?</v>
      </c>
      <c r="H110" s="0" t="e">
        <f aca="false">sheet1!asf111</f>
        <v>#NAME?</v>
      </c>
      <c r="I110" s="0" t="e">
        <f aca="false">sheet1!asg111</f>
        <v>#NAME?</v>
      </c>
      <c r="J110" s="0" t="e">
        <f aca="false">sheet1!ash111</f>
        <v>#NAME?</v>
      </c>
      <c r="K110" s="0" t="e">
        <f aca="false">sheet1!asi111</f>
        <v>#NAME?</v>
      </c>
      <c r="L110" s="0" t="e">
        <f aca="false">sheet1!asj111</f>
        <v>#NAME?</v>
      </c>
      <c r="M110" s="0" t="e">
        <f aca="false">sheet1!ask111</f>
        <v>#NAME?</v>
      </c>
    </row>
    <row r="111" customFormat="false" ht="13.5" hidden="false" customHeight="false" outlineLevel="0" collapsed="false">
      <c r="A111" s="0" t="s">
        <v>88</v>
      </c>
      <c r="B111" s="1" t="n">
        <v>43971</v>
      </c>
      <c r="C111" s="0" t="e">
        <f aca="false">sheet1!asa112</f>
        <v>#NAME?</v>
      </c>
      <c r="D111" s="0" t="e">
        <f aca="false">sheet1!asb112</f>
        <v>#NAME?</v>
      </c>
      <c r="E111" s="0" t="e">
        <f aca="false">sheet1!asc112</f>
        <v>#NAME?</v>
      </c>
      <c r="F111" s="0" t="e">
        <f aca="false">sheet1!asd112</f>
        <v>#NAME?</v>
      </c>
      <c r="G111" s="0" t="e">
        <f aca="false">sheet1!ase112</f>
        <v>#NAME?</v>
      </c>
      <c r="H111" s="0" t="e">
        <f aca="false">sheet1!asf112</f>
        <v>#NAME?</v>
      </c>
      <c r="I111" s="0" t="e">
        <f aca="false">sheet1!asg112</f>
        <v>#NAME?</v>
      </c>
      <c r="J111" s="0" t="e">
        <f aca="false">sheet1!ash112</f>
        <v>#NAME?</v>
      </c>
      <c r="K111" s="0" t="e">
        <f aca="false">sheet1!asi112</f>
        <v>#NAME?</v>
      </c>
      <c r="L111" s="0" t="e">
        <f aca="false">sheet1!asj112</f>
        <v>#NAME?</v>
      </c>
      <c r="M111" s="0" t="e">
        <f aca="false">sheet1!ask112</f>
        <v>#NAME?</v>
      </c>
    </row>
    <row r="112" customFormat="false" ht="13.5" hidden="false" customHeight="false" outlineLevel="0" collapsed="false">
      <c r="A112" s="0" t="s">
        <v>88</v>
      </c>
      <c r="B112" s="1" t="n">
        <v>43972</v>
      </c>
      <c r="C112" s="0" t="e">
        <f aca="false">sheet1!asa113</f>
        <v>#NAME?</v>
      </c>
      <c r="D112" s="0" t="e">
        <f aca="false">sheet1!asb113</f>
        <v>#NAME?</v>
      </c>
      <c r="E112" s="0" t="e">
        <f aca="false">sheet1!asc113</f>
        <v>#NAME?</v>
      </c>
      <c r="F112" s="0" t="e">
        <f aca="false">sheet1!asd113</f>
        <v>#NAME?</v>
      </c>
      <c r="G112" s="0" t="e">
        <f aca="false">sheet1!ase113</f>
        <v>#NAME?</v>
      </c>
      <c r="H112" s="0" t="e">
        <f aca="false">sheet1!asf113</f>
        <v>#NAME?</v>
      </c>
      <c r="I112" s="0" t="e">
        <f aca="false">sheet1!asg113</f>
        <v>#NAME?</v>
      </c>
      <c r="J112" s="0" t="e">
        <f aca="false">sheet1!ash113</f>
        <v>#NAME?</v>
      </c>
      <c r="K112" s="0" t="e">
        <f aca="false">sheet1!asi113</f>
        <v>#NAME?</v>
      </c>
      <c r="L112" s="0" t="e">
        <f aca="false">sheet1!asj113</f>
        <v>#NAME?</v>
      </c>
      <c r="M112" s="0" t="e">
        <f aca="false">sheet1!ask113</f>
        <v>#NAME?</v>
      </c>
    </row>
    <row r="113" customFormat="false" ht="13.5" hidden="false" customHeight="false" outlineLevel="0" collapsed="false">
      <c r="A113" s="0" t="s">
        <v>88</v>
      </c>
      <c r="B113" s="1" t="n">
        <v>43973</v>
      </c>
      <c r="C113" s="0" t="e">
        <f aca="false">sheet1!asa114</f>
        <v>#NAME?</v>
      </c>
      <c r="D113" s="0" t="e">
        <f aca="false">sheet1!asb114</f>
        <v>#NAME?</v>
      </c>
      <c r="E113" s="0" t="e">
        <f aca="false">sheet1!asc114</f>
        <v>#NAME?</v>
      </c>
      <c r="F113" s="0" t="e">
        <f aca="false">sheet1!asd114</f>
        <v>#NAME?</v>
      </c>
      <c r="G113" s="0" t="e">
        <f aca="false">sheet1!ase114</f>
        <v>#NAME?</v>
      </c>
      <c r="H113" s="0" t="e">
        <f aca="false">sheet1!asf114</f>
        <v>#NAME?</v>
      </c>
      <c r="I113" s="0" t="e">
        <f aca="false">sheet1!asg114</f>
        <v>#NAME?</v>
      </c>
      <c r="J113" s="0" t="e">
        <f aca="false">sheet1!ash114</f>
        <v>#NAME?</v>
      </c>
      <c r="K113" s="0" t="e">
        <f aca="false">sheet1!asi114</f>
        <v>#NAME?</v>
      </c>
      <c r="L113" s="0" t="e">
        <f aca="false">sheet1!asj114</f>
        <v>#NAME?</v>
      </c>
      <c r="M113" s="0" t="e">
        <f aca="false">sheet1!ask114</f>
        <v>#NAME?</v>
      </c>
    </row>
    <row r="114" customFormat="false" ht="13.5" hidden="false" customHeight="false" outlineLevel="0" collapsed="false">
      <c r="A114" s="0" t="s">
        <v>88</v>
      </c>
      <c r="B114" s="1" t="n">
        <v>43974</v>
      </c>
      <c r="C114" s="0" t="e">
        <f aca="false">sheet1!asa115</f>
        <v>#NAME?</v>
      </c>
      <c r="D114" s="0" t="e">
        <f aca="false">sheet1!asb115</f>
        <v>#NAME?</v>
      </c>
      <c r="E114" s="0" t="e">
        <f aca="false">sheet1!asc115</f>
        <v>#NAME?</v>
      </c>
      <c r="F114" s="0" t="e">
        <f aca="false">sheet1!asd115</f>
        <v>#NAME?</v>
      </c>
      <c r="G114" s="0" t="e">
        <f aca="false">sheet1!ase115</f>
        <v>#NAME?</v>
      </c>
      <c r="H114" s="0" t="e">
        <f aca="false">sheet1!asf115</f>
        <v>#NAME?</v>
      </c>
      <c r="I114" s="0" t="e">
        <f aca="false">sheet1!asg115</f>
        <v>#NAME?</v>
      </c>
      <c r="J114" s="0" t="e">
        <f aca="false">sheet1!ash115</f>
        <v>#NAME?</v>
      </c>
      <c r="K114" s="0" t="e">
        <f aca="false">sheet1!asi115</f>
        <v>#NAME?</v>
      </c>
      <c r="L114" s="0" t="e">
        <f aca="false">sheet1!asj115</f>
        <v>#NAME?</v>
      </c>
      <c r="M114" s="0" t="e">
        <f aca="false">sheet1!ask115</f>
        <v>#NAME?</v>
      </c>
    </row>
    <row r="115" customFormat="false" ht="13.5" hidden="false" customHeight="false" outlineLevel="0" collapsed="false">
      <c r="A115" s="0" t="s">
        <v>88</v>
      </c>
      <c r="B115" s="1" t="n">
        <v>43975</v>
      </c>
      <c r="C115" s="0" t="e">
        <f aca="false">sheet1!asa116</f>
        <v>#NAME?</v>
      </c>
      <c r="D115" s="0" t="e">
        <f aca="false">sheet1!asb116</f>
        <v>#NAME?</v>
      </c>
      <c r="E115" s="0" t="e">
        <f aca="false">sheet1!asc116</f>
        <v>#NAME?</v>
      </c>
      <c r="F115" s="0" t="e">
        <f aca="false">sheet1!asd116</f>
        <v>#NAME?</v>
      </c>
      <c r="G115" s="0" t="e">
        <f aca="false">sheet1!ase116</f>
        <v>#NAME?</v>
      </c>
      <c r="H115" s="0" t="e">
        <f aca="false">sheet1!asf116</f>
        <v>#NAME?</v>
      </c>
      <c r="I115" s="0" t="e">
        <f aca="false">sheet1!asg116</f>
        <v>#NAME?</v>
      </c>
      <c r="J115" s="0" t="e">
        <f aca="false">sheet1!ash116</f>
        <v>#NAME?</v>
      </c>
      <c r="K115" s="0" t="e">
        <f aca="false">sheet1!asi116</f>
        <v>#NAME?</v>
      </c>
      <c r="L115" s="0" t="e">
        <f aca="false">sheet1!asj116</f>
        <v>#NAME?</v>
      </c>
      <c r="M115" s="0" t="e">
        <f aca="false">sheet1!ask116</f>
        <v>#NAME?</v>
      </c>
    </row>
    <row r="116" customFormat="false" ht="13.5" hidden="false" customHeight="false" outlineLevel="0" collapsed="false">
      <c r="A116" s="0" t="s">
        <v>88</v>
      </c>
      <c r="B116" s="1" t="n">
        <v>43976</v>
      </c>
      <c r="C116" s="0" t="e">
        <f aca="false">sheet1!asa117</f>
        <v>#NAME?</v>
      </c>
      <c r="D116" s="0" t="e">
        <f aca="false">sheet1!asb117</f>
        <v>#NAME?</v>
      </c>
      <c r="E116" s="0" t="e">
        <f aca="false">sheet1!asc117</f>
        <v>#NAME?</v>
      </c>
      <c r="F116" s="0" t="e">
        <f aca="false">sheet1!asd117</f>
        <v>#NAME?</v>
      </c>
      <c r="G116" s="0" t="e">
        <f aca="false">sheet1!ase117</f>
        <v>#NAME?</v>
      </c>
      <c r="H116" s="0" t="e">
        <f aca="false">sheet1!asf117</f>
        <v>#NAME?</v>
      </c>
      <c r="I116" s="0" t="e">
        <f aca="false">sheet1!asg117</f>
        <v>#NAME?</v>
      </c>
      <c r="J116" s="0" t="e">
        <f aca="false">sheet1!ash117</f>
        <v>#NAME?</v>
      </c>
      <c r="K116" s="0" t="e">
        <f aca="false">sheet1!asi117</f>
        <v>#NAME?</v>
      </c>
      <c r="L116" s="0" t="e">
        <f aca="false">sheet1!asj117</f>
        <v>#NAME?</v>
      </c>
      <c r="M116" s="0" t="e">
        <f aca="false">sheet1!ask117</f>
        <v>#NAME?</v>
      </c>
    </row>
    <row r="117" customFormat="false" ht="13.5" hidden="false" customHeight="false" outlineLevel="0" collapsed="false">
      <c r="A117" s="0" t="s">
        <v>88</v>
      </c>
      <c r="B117" s="1" t="n">
        <v>43977</v>
      </c>
      <c r="C117" s="0" t="e">
        <f aca="false">sheet1!asa118</f>
        <v>#NAME?</v>
      </c>
      <c r="D117" s="0" t="e">
        <f aca="false">sheet1!asb118</f>
        <v>#NAME?</v>
      </c>
      <c r="E117" s="0" t="e">
        <f aca="false">sheet1!asc118</f>
        <v>#NAME?</v>
      </c>
      <c r="F117" s="0" t="e">
        <f aca="false">sheet1!asd118</f>
        <v>#NAME?</v>
      </c>
      <c r="G117" s="0" t="e">
        <f aca="false">sheet1!ase118</f>
        <v>#NAME?</v>
      </c>
      <c r="H117" s="0" t="e">
        <f aca="false">sheet1!asf118</f>
        <v>#NAME?</v>
      </c>
      <c r="I117" s="0" t="e">
        <f aca="false">sheet1!asg118</f>
        <v>#NAME?</v>
      </c>
      <c r="J117" s="0" t="e">
        <f aca="false">sheet1!ash118</f>
        <v>#NAME?</v>
      </c>
      <c r="K117" s="0" t="e">
        <f aca="false">sheet1!asi118</f>
        <v>#NAME?</v>
      </c>
      <c r="L117" s="0" t="e">
        <f aca="false">sheet1!asj118</f>
        <v>#NAME?</v>
      </c>
      <c r="M117" s="0" t="e">
        <f aca="false">sheet1!ask118</f>
        <v>#NAME?</v>
      </c>
    </row>
    <row r="118" customFormat="false" ht="13.5" hidden="false" customHeight="false" outlineLevel="0" collapsed="false">
      <c r="A118" s="0" t="s">
        <v>88</v>
      </c>
      <c r="B118" s="1" t="n">
        <v>43978</v>
      </c>
      <c r="C118" s="0" t="e">
        <f aca="false">sheet1!asa119</f>
        <v>#NAME?</v>
      </c>
      <c r="D118" s="0" t="e">
        <f aca="false">sheet1!asb119</f>
        <v>#NAME?</v>
      </c>
      <c r="E118" s="0" t="e">
        <f aca="false">sheet1!asc119</f>
        <v>#NAME?</v>
      </c>
      <c r="F118" s="0" t="e">
        <f aca="false">sheet1!asd119</f>
        <v>#NAME?</v>
      </c>
      <c r="G118" s="0" t="e">
        <f aca="false">sheet1!ase119</f>
        <v>#NAME?</v>
      </c>
      <c r="H118" s="0" t="e">
        <f aca="false">sheet1!asf119</f>
        <v>#NAME?</v>
      </c>
      <c r="I118" s="0" t="e">
        <f aca="false">sheet1!asg119</f>
        <v>#NAME?</v>
      </c>
      <c r="J118" s="0" t="e">
        <f aca="false">sheet1!ash119</f>
        <v>#NAME?</v>
      </c>
      <c r="K118" s="0" t="e">
        <f aca="false">sheet1!asi119</f>
        <v>#NAME?</v>
      </c>
      <c r="L118" s="0" t="e">
        <f aca="false">sheet1!asj119</f>
        <v>#NAME?</v>
      </c>
      <c r="M118" s="0" t="e">
        <f aca="false">sheet1!ask119</f>
        <v>#NAME?</v>
      </c>
    </row>
    <row r="119" customFormat="false" ht="13.5" hidden="false" customHeight="false" outlineLevel="0" collapsed="false">
      <c r="A119" s="0" t="s">
        <v>88</v>
      </c>
      <c r="B119" s="1" t="n">
        <v>43979</v>
      </c>
      <c r="C119" s="0" t="e">
        <f aca="false">sheet1!asa120</f>
        <v>#NAME?</v>
      </c>
      <c r="D119" s="0" t="e">
        <f aca="false">sheet1!asb120</f>
        <v>#NAME?</v>
      </c>
      <c r="E119" s="0" t="e">
        <f aca="false">sheet1!asc120</f>
        <v>#NAME?</v>
      </c>
      <c r="F119" s="0" t="e">
        <f aca="false">sheet1!asd120</f>
        <v>#NAME?</v>
      </c>
      <c r="G119" s="0" t="e">
        <f aca="false">sheet1!ase120</f>
        <v>#NAME?</v>
      </c>
      <c r="H119" s="0" t="e">
        <f aca="false">sheet1!asf120</f>
        <v>#NAME?</v>
      </c>
      <c r="I119" s="0" t="e">
        <f aca="false">sheet1!asg120</f>
        <v>#NAME?</v>
      </c>
      <c r="J119" s="0" t="e">
        <f aca="false">sheet1!ash120</f>
        <v>#NAME?</v>
      </c>
      <c r="K119" s="0" t="e">
        <f aca="false">sheet1!asi120</f>
        <v>#NAME?</v>
      </c>
      <c r="L119" s="0" t="e">
        <f aca="false">sheet1!asj120</f>
        <v>#NAME?</v>
      </c>
      <c r="M119" s="0" t="e">
        <f aca="false">sheet1!ask120</f>
        <v>#NAME?</v>
      </c>
    </row>
    <row r="120" customFormat="false" ht="13.5" hidden="false" customHeight="false" outlineLevel="0" collapsed="false">
      <c r="A120" s="0" t="s">
        <v>88</v>
      </c>
      <c r="B120" s="1" t="n">
        <v>43980</v>
      </c>
      <c r="C120" s="0" t="e">
        <f aca="false">sheet1!asa121</f>
        <v>#NAME?</v>
      </c>
      <c r="D120" s="0" t="e">
        <f aca="false">sheet1!asb121</f>
        <v>#NAME?</v>
      </c>
      <c r="E120" s="0" t="e">
        <f aca="false">sheet1!asc121</f>
        <v>#NAME?</v>
      </c>
      <c r="F120" s="0" t="e">
        <f aca="false">sheet1!asd121</f>
        <v>#NAME?</v>
      </c>
      <c r="G120" s="0" t="e">
        <f aca="false">sheet1!ase121</f>
        <v>#NAME?</v>
      </c>
      <c r="H120" s="0" t="e">
        <f aca="false">sheet1!asf121</f>
        <v>#NAME?</v>
      </c>
      <c r="I120" s="0" t="e">
        <f aca="false">sheet1!asg121</f>
        <v>#NAME?</v>
      </c>
      <c r="J120" s="0" t="e">
        <f aca="false">sheet1!ash121</f>
        <v>#NAME?</v>
      </c>
      <c r="K120" s="0" t="e">
        <f aca="false">sheet1!asi121</f>
        <v>#NAME?</v>
      </c>
      <c r="L120" s="0" t="e">
        <f aca="false">sheet1!asj121</f>
        <v>#NAME?</v>
      </c>
      <c r="M120" s="0" t="e">
        <f aca="false">sheet1!ask121</f>
        <v>#NAME?</v>
      </c>
    </row>
    <row r="121" customFormat="false" ht="13.5" hidden="false" customHeight="false" outlineLevel="0" collapsed="false">
      <c r="A121" s="0" t="s">
        <v>88</v>
      </c>
      <c r="B121" s="1" t="n">
        <v>43981</v>
      </c>
      <c r="C121" s="0" t="e">
        <f aca="false">sheet1!asa122</f>
        <v>#NAME?</v>
      </c>
      <c r="D121" s="0" t="e">
        <f aca="false">sheet1!asb122</f>
        <v>#NAME?</v>
      </c>
      <c r="E121" s="0" t="e">
        <f aca="false">sheet1!asc122</f>
        <v>#NAME?</v>
      </c>
      <c r="F121" s="0" t="e">
        <f aca="false">sheet1!asd122</f>
        <v>#NAME?</v>
      </c>
      <c r="G121" s="0" t="e">
        <f aca="false">sheet1!ase122</f>
        <v>#NAME?</v>
      </c>
      <c r="H121" s="0" t="e">
        <f aca="false">sheet1!asf122</f>
        <v>#NAME?</v>
      </c>
      <c r="I121" s="0" t="e">
        <f aca="false">sheet1!asg122</f>
        <v>#NAME?</v>
      </c>
      <c r="J121" s="0" t="e">
        <f aca="false">sheet1!ash122</f>
        <v>#NAME?</v>
      </c>
      <c r="K121" s="0" t="e">
        <f aca="false">sheet1!asi122</f>
        <v>#NAME?</v>
      </c>
      <c r="L121" s="0" t="e">
        <f aca="false">sheet1!asj122</f>
        <v>#NAME?</v>
      </c>
      <c r="M121" s="0" t="e">
        <f aca="false">sheet1!ask122</f>
        <v>#NAME?</v>
      </c>
    </row>
    <row r="122" customFormat="false" ht="13.5" hidden="false" customHeight="false" outlineLevel="0" collapsed="false">
      <c r="A122" s="0" t="s">
        <v>88</v>
      </c>
      <c r="B122" s="1" t="n">
        <v>43982</v>
      </c>
      <c r="C122" s="0" t="e">
        <f aca="false">sheet1!asa123</f>
        <v>#NAME?</v>
      </c>
      <c r="D122" s="0" t="e">
        <f aca="false">sheet1!asb123</f>
        <v>#NAME?</v>
      </c>
      <c r="E122" s="0" t="e">
        <f aca="false">sheet1!asc123</f>
        <v>#NAME?</v>
      </c>
      <c r="F122" s="0" t="e">
        <f aca="false">sheet1!asd123</f>
        <v>#NAME?</v>
      </c>
      <c r="G122" s="0" t="e">
        <f aca="false">sheet1!ase123</f>
        <v>#NAME?</v>
      </c>
      <c r="H122" s="0" t="e">
        <f aca="false">sheet1!asf123</f>
        <v>#NAME?</v>
      </c>
      <c r="I122" s="0" t="e">
        <f aca="false">sheet1!asg123</f>
        <v>#NAME?</v>
      </c>
      <c r="J122" s="0" t="e">
        <f aca="false">sheet1!ash123</f>
        <v>#NAME?</v>
      </c>
      <c r="K122" s="0" t="e">
        <f aca="false">sheet1!asi123</f>
        <v>#NAME?</v>
      </c>
      <c r="L122" s="0" t="e">
        <f aca="false">sheet1!asj123</f>
        <v>#NAME?</v>
      </c>
      <c r="M122" s="0" t="e">
        <f aca="false">sheet1!ask123</f>
        <v>#NAME?</v>
      </c>
    </row>
    <row r="123" customFormat="false" ht="13.5" hidden="false" customHeight="false" outlineLevel="0" collapsed="false">
      <c r="A123" s="0" t="s">
        <v>88</v>
      </c>
      <c r="B123" s="1" t="n">
        <v>43983</v>
      </c>
      <c r="C123" s="0" t="e">
        <f aca="false">sheet1!asa124</f>
        <v>#NAME?</v>
      </c>
      <c r="D123" s="0" t="e">
        <f aca="false">sheet1!asb124</f>
        <v>#NAME?</v>
      </c>
      <c r="E123" s="0" t="e">
        <f aca="false">sheet1!asc124</f>
        <v>#NAME?</v>
      </c>
      <c r="F123" s="0" t="e">
        <f aca="false">sheet1!asd124</f>
        <v>#NAME?</v>
      </c>
      <c r="G123" s="0" t="e">
        <f aca="false">sheet1!ase124</f>
        <v>#NAME?</v>
      </c>
      <c r="H123" s="0" t="e">
        <f aca="false">sheet1!asf124</f>
        <v>#NAME?</v>
      </c>
      <c r="I123" s="0" t="e">
        <f aca="false">sheet1!asg124</f>
        <v>#NAME?</v>
      </c>
      <c r="J123" s="0" t="e">
        <f aca="false">sheet1!ash124</f>
        <v>#NAME?</v>
      </c>
      <c r="K123" s="0" t="e">
        <f aca="false">sheet1!asi124</f>
        <v>#NAME?</v>
      </c>
      <c r="L123" s="0" t="e">
        <f aca="false">sheet1!asj124</f>
        <v>#NAME?</v>
      </c>
      <c r="M123" s="0" t="e">
        <f aca="false">sheet1!ask124</f>
        <v>#NAME?</v>
      </c>
    </row>
    <row r="124" customFormat="false" ht="13.5" hidden="false" customHeight="false" outlineLevel="0" collapsed="false">
      <c r="A124" s="0" t="s">
        <v>88</v>
      </c>
      <c r="B124" s="1" t="n">
        <v>43984</v>
      </c>
      <c r="C124" s="0" t="e">
        <f aca="false">sheet1!asa125</f>
        <v>#NAME?</v>
      </c>
      <c r="D124" s="0" t="e">
        <f aca="false">sheet1!asb125</f>
        <v>#NAME?</v>
      </c>
      <c r="E124" s="0" t="e">
        <f aca="false">sheet1!asc125</f>
        <v>#NAME?</v>
      </c>
      <c r="F124" s="0" t="e">
        <f aca="false">sheet1!asd125</f>
        <v>#NAME?</v>
      </c>
      <c r="G124" s="0" t="e">
        <f aca="false">sheet1!ase125</f>
        <v>#NAME?</v>
      </c>
      <c r="H124" s="0" t="e">
        <f aca="false">sheet1!asf125</f>
        <v>#NAME?</v>
      </c>
      <c r="I124" s="0" t="e">
        <f aca="false">sheet1!asg125</f>
        <v>#NAME?</v>
      </c>
      <c r="J124" s="0" t="e">
        <f aca="false">sheet1!ash125</f>
        <v>#NAME?</v>
      </c>
      <c r="K124" s="0" t="e">
        <f aca="false">sheet1!asi125</f>
        <v>#NAME?</v>
      </c>
      <c r="L124" s="0" t="e">
        <f aca="false">sheet1!asj125</f>
        <v>#NAME?</v>
      </c>
      <c r="M124" s="0" t="e">
        <f aca="false">sheet1!ask125</f>
        <v>#NAME?</v>
      </c>
    </row>
    <row r="125" customFormat="false" ht="13.5" hidden="false" customHeight="false" outlineLevel="0" collapsed="false">
      <c r="A125" s="0" t="s">
        <v>88</v>
      </c>
      <c r="B125" s="1" t="n">
        <v>43985</v>
      </c>
      <c r="C125" s="0" t="e">
        <f aca="false">sheet1!asa126</f>
        <v>#NAME?</v>
      </c>
      <c r="D125" s="0" t="e">
        <f aca="false">sheet1!asb126</f>
        <v>#NAME?</v>
      </c>
      <c r="E125" s="0" t="e">
        <f aca="false">sheet1!asc126</f>
        <v>#NAME?</v>
      </c>
      <c r="F125" s="0" t="e">
        <f aca="false">sheet1!asd126</f>
        <v>#NAME?</v>
      </c>
      <c r="G125" s="0" t="e">
        <f aca="false">sheet1!ase126</f>
        <v>#NAME?</v>
      </c>
      <c r="H125" s="0" t="e">
        <f aca="false">sheet1!asf126</f>
        <v>#NAME?</v>
      </c>
      <c r="I125" s="0" t="e">
        <f aca="false">sheet1!asg126</f>
        <v>#NAME?</v>
      </c>
      <c r="J125" s="0" t="e">
        <f aca="false">sheet1!ash126</f>
        <v>#NAME?</v>
      </c>
      <c r="K125" s="0" t="e">
        <f aca="false">sheet1!asi126</f>
        <v>#NAME?</v>
      </c>
      <c r="L125" s="0" t="e">
        <f aca="false">sheet1!asj126</f>
        <v>#NAME?</v>
      </c>
      <c r="M125" s="0" t="e">
        <f aca="false">sheet1!ask126</f>
        <v>#NAME?</v>
      </c>
    </row>
    <row r="126" customFormat="false" ht="13.5" hidden="false" customHeight="false" outlineLevel="0" collapsed="false">
      <c r="A126" s="0" t="s">
        <v>88</v>
      </c>
      <c r="B126" s="1" t="n">
        <v>43986</v>
      </c>
      <c r="C126" s="0" t="e">
        <f aca="false">sheet1!asa127</f>
        <v>#NAME?</v>
      </c>
      <c r="D126" s="0" t="e">
        <f aca="false">sheet1!asb127</f>
        <v>#NAME?</v>
      </c>
      <c r="E126" s="0" t="e">
        <f aca="false">sheet1!asc127</f>
        <v>#NAME?</v>
      </c>
      <c r="F126" s="0" t="e">
        <f aca="false">sheet1!asd127</f>
        <v>#NAME?</v>
      </c>
      <c r="G126" s="0" t="e">
        <f aca="false">sheet1!ase127</f>
        <v>#NAME?</v>
      </c>
      <c r="H126" s="0" t="e">
        <f aca="false">sheet1!asf127</f>
        <v>#NAME?</v>
      </c>
      <c r="I126" s="0" t="e">
        <f aca="false">sheet1!asg127</f>
        <v>#NAME?</v>
      </c>
      <c r="J126" s="0" t="e">
        <f aca="false">sheet1!ash127</f>
        <v>#NAME?</v>
      </c>
      <c r="K126" s="0" t="e">
        <f aca="false">sheet1!asi127</f>
        <v>#NAME?</v>
      </c>
      <c r="L126" s="0" t="e">
        <f aca="false">sheet1!asj127</f>
        <v>#NAME?</v>
      </c>
      <c r="M126" s="0" t="e">
        <f aca="false">sheet1!ask127</f>
        <v>#NAME?</v>
      </c>
    </row>
    <row r="127" customFormat="false" ht="13.5" hidden="false" customHeight="false" outlineLevel="0" collapsed="false">
      <c r="A127" s="0" t="s">
        <v>88</v>
      </c>
      <c r="B127" s="1" t="n">
        <v>43987</v>
      </c>
      <c r="C127" s="0" t="e">
        <f aca="false">sheet1!asa128</f>
        <v>#NAME?</v>
      </c>
      <c r="D127" s="0" t="e">
        <f aca="false">sheet1!asb128</f>
        <v>#NAME?</v>
      </c>
      <c r="E127" s="0" t="e">
        <f aca="false">sheet1!asc128</f>
        <v>#NAME?</v>
      </c>
      <c r="F127" s="0" t="e">
        <f aca="false">sheet1!asd128</f>
        <v>#NAME?</v>
      </c>
      <c r="G127" s="0" t="e">
        <f aca="false">sheet1!ase128</f>
        <v>#NAME?</v>
      </c>
      <c r="H127" s="0" t="e">
        <f aca="false">sheet1!asf128</f>
        <v>#NAME?</v>
      </c>
      <c r="I127" s="0" t="e">
        <f aca="false">sheet1!asg128</f>
        <v>#NAME?</v>
      </c>
      <c r="J127" s="0" t="e">
        <f aca="false">sheet1!ash128</f>
        <v>#NAME?</v>
      </c>
      <c r="K127" s="0" t="e">
        <f aca="false">sheet1!asi128</f>
        <v>#NAME?</v>
      </c>
      <c r="L127" s="0" t="e">
        <f aca="false">sheet1!asj128</f>
        <v>#NAME?</v>
      </c>
      <c r="M127" s="0" t="e">
        <f aca="false">sheet1!ask128</f>
        <v>#NAME?</v>
      </c>
    </row>
    <row r="128" customFormat="false" ht="13.5" hidden="false" customHeight="false" outlineLevel="0" collapsed="false">
      <c r="A128" s="0" t="s">
        <v>88</v>
      </c>
      <c r="B128" s="1" t="n">
        <v>43988</v>
      </c>
      <c r="C128" s="0" t="e">
        <f aca="false">sheet1!asa129</f>
        <v>#NAME?</v>
      </c>
      <c r="D128" s="0" t="e">
        <f aca="false">sheet1!asb129</f>
        <v>#NAME?</v>
      </c>
      <c r="E128" s="0" t="e">
        <f aca="false">sheet1!asc129</f>
        <v>#NAME?</v>
      </c>
      <c r="F128" s="0" t="e">
        <f aca="false">sheet1!asd129</f>
        <v>#NAME?</v>
      </c>
      <c r="G128" s="0" t="e">
        <f aca="false">sheet1!ase129</f>
        <v>#NAME?</v>
      </c>
      <c r="H128" s="0" t="e">
        <f aca="false">sheet1!asf129</f>
        <v>#NAME?</v>
      </c>
      <c r="I128" s="0" t="e">
        <f aca="false">sheet1!asg129</f>
        <v>#NAME?</v>
      </c>
      <c r="J128" s="0" t="e">
        <f aca="false">sheet1!ash129</f>
        <v>#NAME?</v>
      </c>
      <c r="K128" s="0" t="e">
        <f aca="false">sheet1!asi129</f>
        <v>#NAME?</v>
      </c>
      <c r="L128" s="0" t="e">
        <f aca="false">sheet1!asj129</f>
        <v>#NAME?</v>
      </c>
      <c r="M128" s="0" t="e">
        <f aca="false">sheet1!ask129</f>
        <v>#NAME?</v>
      </c>
    </row>
    <row r="129" customFormat="false" ht="13.5" hidden="false" customHeight="false" outlineLevel="0" collapsed="false">
      <c r="A129" s="0" t="s">
        <v>88</v>
      </c>
      <c r="B129" s="1" t="n">
        <v>43989</v>
      </c>
      <c r="C129" s="0" t="e">
        <f aca="false">sheet1!asa130</f>
        <v>#NAME?</v>
      </c>
      <c r="D129" s="0" t="e">
        <f aca="false">sheet1!asb130</f>
        <v>#NAME?</v>
      </c>
      <c r="E129" s="0" t="e">
        <f aca="false">sheet1!asc130</f>
        <v>#NAME?</v>
      </c>
      <c r="F129" s="0" t="e">
        <f aca="false">sheet1!asd130</f>
        <v>#NAME?</v>
      </c>
      <c r="G129" s="0" t="e">
        <f aca="false">sheet1!ase130</f>
        <v>#NAME?</v>
      </c>
      <c r="H129" s="0" t="e">
        <f aca="false">sheet1!asf130</f>
        <v>#NAME?</v>
      </c>
      <c r="I129" s="0" t="e">
        <f aca="false">sheet1!asg130</f>
        <v>#NAME?</v>
      </c>
      <c r="J129" s="0" t="e">
        <f aca="false">sheet1!ash130</f>
        <v>#NAME?</v>
      </c>
      <c r="K129" s="0" t="e">
        <f aca="false">sheet1!asi130</f>
        <v>#NAME?</v>
      </c>
      <c r="L129" s="0" t="e">
        <f aca="false">sheet1!asj130</f>
        <v>#NAME?</v>
      </c>
      <c r="M129" s="0" t="e">
        <f aca="false">sheet1!ask130</f>
        <v>#NAME?</v>
      </c>
    </row>
    <row r="130" customFormat="false" ht="13.5" hidden="false" customHeight="false" outlineLevel="0" collapsed="false">
      <c r="A130" s="0" t="s">
        <v>88</v>
      </c>
      <c r="B130" s="1" t="n">
        <v>43990</v>
      </c>
      <c r="C130" s="0" t="e">
        <f aca="false">sheet1!asa131</f>
        <v>#NAME?</v>
      </c>
      <c r="D130" s="0" t="e">
        <f aca="false">sheet1!asb131</f>
        <v>#NAME?</v>
      </c>
      <c r="E130" s="0" t="e">
        <f aca="false">sheet1!asc131</f>
        <v>#NAME?</v>
      </c>
      <c r="F130" s="0" t="e">
        <f aca="false">sheet1!asd131</f>
        <v>#NAME?</v>
      </c>
      <c r="G130" s="0" t="e">
        <f aca="false">sheet1!ase131</f>
        <v>#NAME?</v>
      </c>
      <c r="H130" s="0" t="e">
        <f aca="false">sheet1!asf131</f>
        <v>#NAME?</v>
      </c>
      <c r="I130" s="0" t="e">
        <f aca="false">sheet1!asg131</f>
        <v>#NAME?</v>
      </c>
      <c r="J130" s="0" t="e">
        <f aca="false">sheet1!ash131</f>
        <v>#NAME?</v>
      </c>
      <c r="K130" s="0" t="e">
        <f aca="false">sheet1!asi131</f>
        <v>#NAME?</v>
      </c>
      <c r="L130" s="0" t="e">
        <f aca="false">sheet1!asj131</f>
        <v>#NAME?</v>
      </c>
      <c r="M130" s="0" t="e">
        <f aca="false">sheet1!ask131</f>
        <v>#NAME?</v>
      </c>
    </row>
    <row r="131" customFormat="false" ht="13.5" hidden="false" customHeight="false" outlineLevel="0" collapsed="false">
      <c r="A131" s="0" t="s">
        <v>88</v>
      </c>
      <c r="B131" s="1" t="n">
        <v>43991</v>
      </c>
      <c r="C131" s="0" t="e">
        <f aca="false">sheet1!asa132</f>
        <v>#NAME?</v>
      </c>
      <c r="D131" s="0" t="e">
        <f aca="false">sheet1!asb132</f>
        <v>#NAME?</v>
      </c>
      <c r="E131" s="0" t="e">
        <f aca="false">sheet1!asc132</f>
        <v>#NAME?</v>
      </c>
      <c r="F131" s="0" t="e">
        <f aca="false">sheet1!asd132</f>
        <v>#NAME?</v>
      </c>
      <c r="G131" s="0" t="e">
        <f aca="false">sheet1!ase132</f>
        <v>#NAME?</v>
      </c>
      <c r="H131" s="0" t="e">
        <f aca="false">sheet1!asf132</f>
        <v>#NAME?</v>
      </c>
      <c r="I131" s="0" t="e">
        <f aca="false">sheet1!asg132</f>
        <v>#NAME?</v>
      </c>
      <c r="J131" s="0" t="e">
        <f aca="false">sheet1!ash132</f>
        <v>#NAME?</v>
      </c>
      <c r="K131" s="0" t="e">
        <f aca="false">sheet1!asi132</f>
        <v>#NAME?</v>
      </c>
      <c r="L131" s="0" t="e">
        <f aca="false">sheet1!asj132</f>
        <v>#NAME?</v>
      </c>
      <c r="M131" s="0" t="e">
        <f aca="false">sheet1!ask132</f>
        <v>#NAME?</v>
      </c>
    </row>
    <row r="132" customFormat="false" ht="13.5" hidden="false" customHeight="false" outlineLevel="0" collapsed="false">
      <c r="A132" s="0" t="s">
        <v>88</v>
      </c>
      <c r="B132" s="1" t="n">
        <v>43992</v>
      </c>
      <c r="C132" s="0" t="e">
        <f aca="false">sheet1!asa133</f>
        <v>#NAME?</v>
      </c>
      <c r="D132" s="0" t="e">
        <f aca="false">sheet1!asb133</f>
        <v>#NAME?</v>
      </c>
      <c r="E132" s="0" t="e">
        <f aca="false">sheet1!asc133</f>
        <v>#NAME?</v>
      </c>
      <c r="F132" s="0" t="e">
        <f aca="false">sheet1!asd133</f>
        <v>#NAME?</v>
      </c>
      <c r="G132" s="0" t="e">
        <f aca="false">sheet1!ase133</f>
        <v>#NAME?</v>
      </c>
      <c r="H132" s="0" t="e">
        <f aca="false">sheet1!asf133</f>
        <v>#NAME?</v>
      </c>
      <c r="I132" s="0" t="e">
        <f aca="false">sheet1!asg133</f>
        <v>#NAME?</v>
      </c>
      <c r="J132" s="0" t="e">
        <f aca="false">sheet1!ash133</f>
        <v>#NAME?</v>
      </c>
      <c r="K132" s="0" t="e">
        <f aca="false">sheet1!asi133</f>
        <v>#NAME?</v>
      </c>
      <c r="L132" s="0" t="e">
        <f aca="false">sheet1!asj133</f>
        <v>#NAME?</v>
      </c>
      <c r="M132" s="0" t="e">
        <f aca="false">sheet1!ask133</f>
        <v>#NAME?</v>
      </c>
    </row>
    <row r="133" customFormat="false" ht="13.5" hidden="false" customHeight="false" outlineLevel="0" collapsed="false">
      <c r="A133" s="0" t="s">
        <v>88</v>
      </c>
      <c r="B133" s="1" t="n">
        <v>43993</v>
      </c>
      <c r="C133" s="0" t="e">
        <f aca="false">sheet1!asa134</f>
        <v>#NAME?</v>
      </c>
      <c r="D133" s="0" t="e">
        <f aca="false">sheet1!asb134</f>
        <v>#NAME?</v>
      </c>
      <c r="E133" s="0" t="e">
        <f aca="false">sheet1!asc134</f>
        <v>#NAME?</v>
      </c>
      <c r="F133" s="0" t="e">
        <f aca="false">sheet1!asd134</f>
        <v>#NAME?</v>
      </c>
      <c r="G133" s="0" t="e">
        <f aca="false">sheet1!ase134</f>
        <v>#NAME?</v>
      </c>
      <c r="H133" s="0" t="e">
        <f aca="false">sheet1!asf134</f>
        <v>#NAME?</v>
      </c>
      <c r="I133" s="0" t="e">
        <f aca="false">sheet1!asg134</f>
        <v>#NAME?</v>
      </c>
      <c r="J133" s="0" t="e">
        <f aca="false">sheet1!ash134</f>
        <v>#NAME?</v>
      </c>
      <c r="K133" s="0" t="e">
        <f aca="false">sheet1!asi134</f>
        <v>#NAME?</v>
      </c>
      <c r="L133" s="0" t="e">
        <f aca="false">sheet1!asj134</f>
        <v>#NAME?</v>
      </c>
      <c r="M133" s="0" t="e">
        <f aca="false">sheet1!ask134</f>
        <v>#NAME?</v>
      </c>
    </row>
    <row r="134" customFormat="false" ht="13.5" hidden="false" customHeight="false" outlineLevel="0" collapsed="false">
      <c r="A134" s="0" t="s">
        <v>88</v>
      </c>
      <c r="B134" s="1" t="n">
        <v>43994</v>
      </c>
      <c r="C134" s="0" t="e">
        <f aca="false">sheet1!asa135</f>
        <v>#NAME?</v>
      </c>
      <c r="D134" s="0" t="e">
        <f aca="false">sheet1!asb135</f>
        <v>#NAME?</v>
      </c>
      <c r="E134" s="0" t="e">
        <f aca="false">sheet1!asc135</f>
        <v>#NAME?</v>
      </c>
      <c r="F134" s="0" t="e">
        <f aca="false">sheet1!asd135</f>
        <v>#NAME?</v>
      </c>
      <c r="G134" s="0" t="e">
        <f aca="false">sheet1!ase135</f>
        <v>#NAME?</v>
      </c>
      <c r="H134" s="0" t="e">
        <f aca="false">sheet1!asf135</f>
        <v>#NAME?</v>
      </c>
      <c r="I134" s="0" t="e">
        <f aca="false">sheet1!asg135</f>
        <v>#NAME?</v>
      </c>
      <c r="J134" s="0" t="e">
        <f aca="false">sheet1!ash135</f>
        <v>#NAME?</v>
      </c>
      <c r="K134" s="0" t="e">
        <f aca="false">sheet1!asi135</f>
        <v>#NAME?</v>
      </c>
      <c r="L134" s="0" t="e">
        <f aca="false">sheet1!asj135</f>
        <v>#NAME?</v>
      </c>
      <c r="M134" s="0" t="e">
        <f aca="false">sheet1!ask135</f>
        <v>#NAME?</v>
      </c>
    </row>
    <row r="135" customFormat="false" ht="13.5" hidden="false" customHeight="false" outlineLevel="0" collapsed="false">
      <c r="A135" s="0" t="s">
        <v>88</v>
      </c>
      <c r="B135" s="1" t="n">
        <v>43995</v>
      </c>
      <c r="C135" s="0" t="e">
        <f aca="false">sheet1!asa136</f>
        <v>#NAME?</v>
      </c>
      <c r="D135" s="0" t="e">
        <f aca="false">sheet1!asb136</f>
        <v>#NAME?</v>
      </c>
      <c r="E135" s="0" t="e">
        <f aca="false">sheet1!asc136</f>
        <v>#NAME?</v>
      </c>
      <c r="F135" s="0" t="e">
        <f aca="false">sheet1!asd136</f>
        <v>#NAME?</v>
      </c>
      <c r="G135" s="0" t="e">
        <f aca="false">sheet1!ase136</f>
        <v>#NAME?</v>
      </c>
      <c r="H135" s="0" t="e">
        <f aca="false">sheet1!asf136</f>
        <v>#NAME?</v>
      </c>
      <c r="I135" s="0" t="e">
        <f aca="false">sheet1!asg136</f>
        <v>#NAME?</v>
      </c>
      <c r="J135" s="0" t="e">
        <f aca="false">sheet1!ash136</f>
        <v>#NAME?</v>
      </c>
      <c r="K135" s="0" t="e">
        <f aca="false">sheet1!asi136</f>
        <v>#NAME?</v>
      </c>
      <c r="L135" s="0" t="e">
        <f aca="false">sheet1!asj136</f>
        <v>#NAME?</v>
      </c>
      <c r="M135" s="0" t="e">
        <f aca="false">sheet1!ask136</f>
        <v>#NAME?</v>
      </c>
    </row>
    <row r="136" customFormat="false" ht="13.5" hidden="false" customHeight="false" outlineLevel="0" collapsed="false">
      <c r="A136" s="0" t="s">
        <v>88</v>
      </c>
      <c r="B136" s="1" t="n">
        <v>43996</v>
      </c>
      <c r="C136" s="0" t="e">
        <f aca="false">sheet1!asa137</f>
        <v>#NAME?</v>
      </c>
      <c r="D136" s="0" t="e">
        <f aca="false">sheet1!asb137</f>
        <v>#NAME?</v>
      </c>
      <c r="E136" s="0" t="e">
        <f aca="false">sheet1!asc137</f>
        <v>#NAME?</v>
      </c>
      <c r="F136" s="0" t="e">
        <f aca="false">sheet1!asd137</f>
        <v>#NAME?</v>
      </c>
      <c r="G136" s="0" t="e">
        <f aca="false">sheet1!ase137</f>
        <v>#NAME?</v>
      </c>
      <c r="H136" s="0" t="e">
        <f aca="false">sheet1!asf137</f>
        <v>#NAME?</v>
      </c>
      <c r="I136" s="0" t="e">
        <f aca="false">sheet1!asg137</f>
        <v>#NAME?</v>
      </c>
      <c r="J136" s="0" t="e">
        <f aca="false">sheet1!ash137</f>
        <v>#NAME?</v>
      </c>
      <c r="K136" s="0" t="e">
        <f aca="false">sheet1!asi137</f>
        <v>#NAME?</v>
      </c>
      <c r="L136" s="0" t="e">
        <f aca="false">sheet1!asj137</f>
        <v>#NAME?</v>
      </c>
      <c r="M136" s="0" t="e">
        <f aca="false">sheet1!ask137</f>
        <v>#NAME?</v>
      </c>
    </row>
    <row r="137" customFormat="false" ht="13.5" hidden="false" customHeight="false" outlineLevel="0" collapsed="false">
      <c r="A137" s="0" t="s">
        <v>88</v>
      </c>
      <c r="B137" s="1" t="n">
        <v>43997</v>
      </c>
      <c r="C137" s="0" t="e">
        <f aca="false">sheet1!asa138</f>
        <v>#NAME?</v>
      </c>
      <c r="D137" s="0" t="e">
        <f aca="false">sheet1!asb138</f>
        <v>#NAME?</v>
      </c>
      <c r="E137" s="0" t="e">
        <f aca="false">sheet1!asc138</f>
        <v>#NAME?</v>
      </c>
      <c r="F137" s="0" t="e">
        <f aca="false">sheet1!asd138</f>
        <v>#NAME?</v>
      </c>
      <c r="G137" s="0" t="e">
        <f aca="false">sheet1!ase138</f>
        <v>#NAME?</v>
      </c>
      <c r="H137" s="0" t="e">
        <f aca="false">sheet1!asf138</f>
        <v>#NAME?</v>
      </c>
      <c r="I137" s="0" t="e">
        <f aca="false">sheet1!asg138</f>
        <v>#NAME?</v>
      </c>
      <c r="J137" s="0" t="e">
        <f aca="false">sheet1!ash138</f>
        <v>#NAME?</v>
      </c>
      <c r="K137" s="0" t="e">
        <f aca="false">sheet1!asi138</f>
        <v>#NAME?</v>
      </c>
      <c r="L137" s="0" t="e">
        <f aca="false">sheet1!asj138</f>
        <v>#NAME?</v>
      </c>
      <c r="M137" s="0" t="e">
        <f aca="false">sheet1!ask138</f>
        <v>#NAME?</v>
      </c>
    </row>
    <row r="138" customFormat="false" ht="13.5" hidden="false" customHeight="false" outlineLevel="0" collapsed="false">
      <c r="A138" s="0" t="s">
        <v>88</v>
      </c>
      <c r="B138" s="1" t="n">
        <v>43998</v>
      </c>
      <c r="C138" s="0" t="e">
        <f aca="false">sheet1!asa139</f>
        <v>#NAME?</v>
      </c>
      <c r="D138" s="0" t="e">
        <f aca="false">sheet1!asb139</f>
        <v>#NAME?</v>
      </c>
      <c r="E138" s="0" t="e">
        <f aca="false">sheet1!asc139</f>
        <v>#NAME?</v>
      </c>
      <c r="F138" s="0" t="e">
        <f aca="false">sheet1!asd139</f>
        <v>#NAME?</v>
      </c>
      <c r="G138" s="0" t="e">
        <f aca="false">sheet1!ase139</f>
        <v>#NAME?</v>
      </c>
      <c r="H138" s="0" t="e">
        <f aca="false">sheet1!asf139</f>
        <v>#NAME?</v>
      </c>
      <c r="I138" s="0" t="e">
        <f aca="false">sheet1!asg139</f>
        <v>#NAME?</v>
      </c>
      <c r="J138" s="0" t="e">
        <f aca="false">sheet1!ash139</f>
        <v>#NAME?</v>
      </c>
      <c r="K138" s="0" t="e">
        <f aca="false">sheet1!asi139</f>
        <v>#NAME?</v>
      </c>
      <c r="L138" s="0" t="e">
        <f aca="false">sheet1!asj139</f>
        <v>#NAME?</v>
      </c>
      <c r="M138" s="0" t="e">
        <f aca="false">sheet1!ask139</f>
        <v>#NAME?</v>
      </c>
    </row>
    <row r="139" customFormat="false" ht="13.5" hidden="false" customHeight="false" outlineLevel="0" collapsed="false">
      <c r="A139" s="0" t="s">
        <v>88</v>
      </c>
      <c r="B139" s="1" t="n">
        <v>43999</v>
      </c>
      <c r="C139" s="0" t="e">
        <f aca="false">sheet1!asa140</f>
        <v>#NAME?</v>
      </c>
      <c r="D139" s="0" t="e">
        <f aca="false">sheet1!asb140</f>
        <v>#NAME?</v>
      </c>
      <c r="E139" s="0" t="e">
        <f aca="false">sheet1!asc140</f>
        <v>#NAME?</v>
      </c>
      <c r="F139" s="0" t="e">
        <f aca="false">sheet1!asd140</f>
        <v>#NAME?</v>
      </c>
      <c r="G139" s="0" t="e">
        <f aca="false">sheet1!ase140</f>
        <v>#NAME?</v>
      </c>
      <c r="H139" s="0" t="e">
        <f aca="false">sheet1!asf140</f>
        <v>#NAME?</v>
      </c>
      <c r="I139" s="0" t="e">
        <f aca="false">sheet1!asg140</f>
        <v>#NAME?</v>
      </c>
      <c r="J139" s="0" t="e">
        <f aca="false">sheet1!ash140</f>
        <v>#NAME?</v>
      </c>
      <c r="K139" s="0" t="e">
        <f aca="false">sheet1!asi140</f>
        <v>#NAME?</v>
      </c>
      <c r="L139" s="0" t="e">
        <f aca="false">sheet1!asj140</f>
        <v>#NAME?</v>
      </c>
      <c r="M139" s="0" t="e">
        <f aca="false">sheet1!ask140</f>
        <v>#NAME?</v>
      </c>
    </row>
    <row r="140" customFormat="false" ht="13.5" hidden="false" customHeight="false" outlineLevel="0" collapsed="false">
      <c r="A140" s="0" t="s">
        <v>88</v>
      </c>
      <c r="B140" s="1" t="n">
        <v>44000</v>
      </c>
      <c r="C140" s="0" t="e">
        <f aca="false">sheet1!asa141</f>
        <v>#NAME?</v>
      </c>
      <c r="D140" s="0" t="e">
        <f aca="false">sheet1!asb141</f>
        <v>#NAME?</v>
      </c>
      <c r="E140" s="0" t="e">
        <f aca="false">sheet1!asc141</f>
        <v>#NAME?</v>
      </c>
      <c r="F140" s="0" t="e">
        <f aca="false">sheet1!asd141</f>
        <v>#NAME?</v>
      </c>
      <c r="G140" s="0" t="e">
        <f aca="false">sheet1!ase141</f>
        <v>#NAME?</v>
      </c>
      <c r="H140" s="0" t="e">
        <f aca="false">sheet1!asf141</f>
        <v>#NAME?</v>
      </c>
      <c r="I140" s="0" t="e">
        <f aca="false">sheet1!asg141</f>
        <v>#NAME?</v>
      </c>
      <c r="J140" s="0" t="e">
        <f aca="false">sheet1!ash141</f>
        <v>#NAME?</v>
      </c>
      <c r="K140" s="0" t="e">
        <f aca="false">sheet1!asi141</f>
        <v>#NAME?</v>
      </c>
      <c r="L140" s="0" t="e">
        <f aca="false">sheet1!asj141</f>
        <v>#NAME?</v>
      </c>
      <c r="M140" s="0" t="e">
        <f aca="false">sheet1!ask141</f>
        <v>#NAME?</v>
      </c>
    </row>
    <row r="141" customFormat="false" ht="13.5" hidden="false" customHeight="false" outlineLevel="0" collapsed="false">
      <c r="A141" s="0" t="s">
        <v>88</v>
      </c>
      <c r="B141" s="1" t="n">
        <v>44001</v>
      </c>
      <c r="C141" s="0" t="e">
        <f aca="false">sheet1!asa142</f>
        <v>#NAME?</v>
      </c>
      <c r="D141" s="0" t="e">
        <f aca="false">sheet1!asb142</f>
        <v>#NAME?</v>
      </c>
      <c r="E141" s="0" t="e">
        <f aca="false">sheet1!asc142</f>
        <v>#NAME?</v>
      </c>
      <c r="F141" s="0" t="e">
        <f aca="false">sheet1!asd142</f>
        <v>#NAME?</v>
      </c>
      <c r="G141" s="0" t="e">
        <f aca="false">sheet1!ase142</f>
        <v>#NAME?</v>
      </c>
      <c r="H141" s="0" t="e">
        <f aca="false">sheet1!asf142</f>
        <v>#NAME?</v>
      </c>
      <c r="I141" s="0" t="e">
        <f aca="false">sheet1!asg142</f>
        <v>#NAME?</v>
      </c>
      <c r="J141" s="0" t="e">
        <f aca="false">sheet1!ash142</f>
        <v>#NAME?</v>
      </c>
      <c r="K141" s="0" t="e">
        <f aca="false">sheet1!asi142</f>
        <v>#NAME?</v>
      </c>
      <c r="L141" s="0" t="e">
        <f aca="false">sheet1!asj142</f>
        <v>#NAME?</v>
      </c>
      <c r="M141" s="0" t="e">
        <f aca="false">sheet1!ask142</f>
        <v>#NAME?</v>
      </c>
    </row>
    <row r="142" customFormat="false" ht="13.5" hidden="false" customHeight="false" outlineLevel="0" collapsed="false">
      <c r="A142" s="0" t="s">
        <v>88</v>
      </c>
      <c r="B142" s="1" t="n">
        <v>44002</v>
      </c>
      <c r="C142" s="0" t="e">
        <f aca="false">sheet1!asa143</f>
        <v>#NAME?</v>
      </c>
      <c r="D142" s="0" t="e">
        <f aca="false">sheet1!asb143</f>
        <v>#NAME?</v>
      </c>
      <c r="E142" s="0" t="e">
        <f aca="false">sheet1!asc143</f>
        <v>#NAME?</v>
      </c>
      <c r="F142" s="0" t="e">
        <f aca="false">sheet1!asd143</f>
        <v>#NAME?</v>
      </c>
      <c r="G142" s="0" t="e">
        <f aca="false">sheet1!ase143</f>
        <v>#NAME?</v>
      </c>
      <c r="H142" s="0" t="e">
        <f aca="false">sheet1!asf143</f>
        <v>#NAME?</v>
      </c>
      <c r="I142" s="0" t="e">
        <f aca="false">sheet1!asg143</f>
        <v>#NAME?</v>
      </c>
      <c r="J142" s="0" t="e">
        <f aca="false">sheet1!ash143</f>
        <v>#NAME?</v>
      </c>
      <c r="K142" s="0" t="e">
        <f aca="false">sheet1!asi143</f>
        <v>#NAME?</v>
      </c>
      <c r="L142" s="0" t="e">
        <f aca="false">sheet1!asj143</f>
        <v>#NAME?</v>
      </c>
      <c r="M142" s="0" t="e">
        <f aca="false">sheet1!ask143</f>
        <v>#NAME?</v>
      </c>
    </row>
    <row r="143" customFormat="false" ht="13.5" hidden="false" customHeight="false" outlineLevel="0" collapsed="false">
      <c r="A143" s="0" t="s">
        <v>88</v>
      </c>
      <c r="B143" s="1" t="n">
        <v>44003</v>
      </c>
      <c r="C143" s="0" t="e">
        <f aca="false">sheet1!asa144</f>
        <v>#NAME?</v>
      </c>
      <c r="D143" s="0" t="e">
        <f aca="false">sheet1!asb144</f>
        <v>#NAME?</v>
      </c>
      <c r="E143" s="0" t="e">
        <f aca="false">sheet1!asc144</f>
        <v>#NAME?</v>
      </c>
      <c r="F143" s="0" t="e">
        <f aca="false">sheet1!asd144</f>
        <v>#NAME?</v>
      </c>
      <c r="G143" s="0" t="e">
        <f aca="false">sheet1!ase144</f>
        <v>#NAME?</v>
      </c>
      <c r="H143" s="0" t="e">
        <f aca="false">sheet1!asf144</f>
        <v>#NAME?</v>
      </c>
      <c r="I143" s="0" t="e">
        <f aca="false">sheet1!asg144</f>
        <v>#NAME?</v>
      </c>
      <c r="J143" s="0" t="e">
        <f aca="false">sheet1!ash144</f>
        <v>#NAME?</v>
      </c>
      <c r="K143" s="0" t="e">
        <f aca="false">sheet1!asi144</f>
        <v>#NAME?</v>
      </c>
      <c r="L143" s="0" t="e">
        <f aca="false">sheet1!asj144</f>
        <v>#NAME?</v>
      </c>
      <c r="M143" s="0" t="e">
        <f aca="false">sheet1!ask144</f>
        <v>#NAME?</v>
      </c>
    </row>
    <row r="144" customFormat="false" ht="13.5" hidden="false" customHeight="false" outlineLevel="0" collapsed="false">
      <c r="A144" s="0" t="s">
        <v>88</v>
      </c>
      <c r="B144" s="1" t="n">
        <v>44004</v>
      </c>
      <c r="C144" s="0" t="e">
        <f aca="false">sheet1!asa145</f>
        <v>#NAME?</v>
      </c>
      <c r="D144" s="0" t="e">
        <f aca="false">sheet1!asb145</f>
        <v>#NAME?</v>
      </c>
      <c r="E144" s="0" t="e">
        <f aca="false">sheet1!asc145</f>
        <v>#NAME?</v>
      </c>
      <c r="F144" s="0" t="e">
        <f aca="false">sheet1!asd145</f>
        <v>#NAME?</v>
      </c>
      <c r="G144" s="0" t="e">
        <f aca="false">sheet1!ase145</f>
        <v>#NAME?</v>
      </c>
      <c r="H144" s="0" t="e">
        <f aca="false">sheet1!asf145</f>
        <v>#NAME?</v>
      </c>
      <c r="I144" s="0" t="e">
        <f aca="false">sheet1!asg145</f>
        <v>#NAME?</v>
      </c>
      <c r="J144" s="0" t="e">
        <f aca="false">sheet1!ash145</f>
        <v>#NAME?</v>
      </c>
      <c r="K144" s="0" t="e">
        <f aca="false">sheet1!asi145</f>
        <v>#NAME?</v>
      </c>
      <c r="L144" s="0" t="e">
        <f aca="false">sheet1!asj145</f>
        <v>#NAME?</v>
      </c>
      <c r="M144" s="0" t="e">
        <f aca="false">sheet1!ask145</f>
        <v>#NAME?</v>
      </c>
    </row>
    <row r="145" customFormat="false" ht="13.5" hidden="false" customHeight="false" outlineLevel="0" collapsed="false">
      <c r="A145" s="0" t="s">
        <v>88</v>
      </c>
      <c r="B145" s="1" t="n">
        <v>44005</v>
      </c>
      <c r="C145" s="0" t="e">
        <f aca="false">sheet1!asa146</f>
        <v>#NAME?</v>
      </c>
      <c r="D145" s="0" t="e">
        <f aca="false">sheet1!asb146</f>
        <v>#NAME?</v>
      </c>
      <c r="E145" s="0" t="e">
        <f aca="false">sheet1!asc146</f>
        <v>#NAME?</v>
      </c>
      <c r="F145" s="0" t="e">
        <f aca="false">sheet1!asd146</f>
        <v>#NAME?</v>
      </c>
      <c r="G145" s="0" t="e">
        <f aca="false">sheet1!ase146</f>
        <v>#NAME?</v>
      </c>
      <c r="H145" s="0" t="e">
        <f aca="false">sheet1!asf146</f>
        <v>#NAME?</v>
      </c>
      <c r="I145" s="0" t="e">
        <f aca="false">sheet1!asg146</f>
        <v>#NAME?</v>
      </c>
      <c r="J145" s="0" t="e">
        <f aca="false">sheet1!ash146</f>
        <v>#NAME?</v>
      </c>
      <c r="K145" s="0" t="e">
        <f aca="false">sheet1!asi146</f>
        <v>#NAME?</v>
      </c>
      <c r="L145" s="0" t="e">
        <f aca="false">sheet1!asj146</f>
        <v>#NAME?</v>
      </c>
      <c r="M145" s="0" t="e">
        <f aca="false">sheet1!ask146</f>
        <v>#NAME?</v>
      </c>
    </row>
    <row r="146" customFormat="false" ht="13.5" hidden="false" customHeight="false" outlineLevel="0" collapsed="false">
      <c r="A146" s="0" t="s">
        <v>88</v>
      </c>
      <c r="B146" s="1" t="n">
        <v>44006</v>
      </c>
      <c r="C146" s="0" t="e">
        <f aca="false">sheet1!asa147</f>
        <v>#NAME?</v>
      </c>
      <c r="D146" s="0" t="e">
        <f aca="false">sheet1!asb147</f>
        <v>#NAME?</v>
      </c>
      <c r="E146" s="0" t="e">
        <f aca="false">sheet1!asc147</f>
        <v>#NAME?</v>
      </c>
      <c r="F146" s="0" t="e">
        <f aca="false">sheet1!asd147</f>
        <v>#NAME?</v>
      </c>
      <c r="G146" s="0" t="e">
        <f aca="false">sheet1!ase147</f>
        <v>#NAME?</v>
      </c>
      <c r="H146" s="0" t="e">
        <f aca="false">sheet1!asf147</f>
        <v>#NAME?</v>
      </c>
      <c r="I146" s="0" t="e">
        <f aca="false">sheet1!asg147</f>
        <v>#NAME?</v>
      </c>
      <c r="J146" s="0" t="e">
        <f aca="false">sheet1!ash147</f>
        <v>#NAME?</v>
      </c>
      <c r="K146" s="0" t="e">
        <f aca="false">sheet1!asi147</f>
        <v>#NAME?</v>
      </c>
      <c r="L146" s="0" t="e">
        <f aca="false">sheet1!asj147</f>
        <v>#NAME?</v>
      </c>
      <c r="M146" s="0" t="e">
        <f aca="false">sheet1!ask147</f>
        <v>#NAME?</v>
      </c>
    </row>
    <row r="147" customFormat="false" ht="13.5" hidden="false" customHeight="false" outlineLevel="0" collapsed="false">
      <c r="A147" s="0" t="s">
        <v>88</v>
      </c>
      <c r="B147" s="1" t="n">
        <v>44007</v>
      </c>
      <c r="C147" s="0" t="e">
        <f aca="false">sheet1!asa148</f>
        <v>#NAME?</v>
      </c>
      <c r="D147" s="0" t="e">
        <f aca="false">sheet1!asb148</f>
        <v>#NAME?</v>
      </c>
      <c r="E147" s="0" t="e">
        <f aca="false">sheet1!asc148</f>
        <v>#NAME?</v>
      </c>
      <c r="F147" s="0" t="e">
        <f aca="false">sheet1!asd148</f>
        <v>#NAME?</v>
      </c>
      <c r="G147" s="0" t="e">
        <f aca="false">sheet1!ase148</f>
        <v>#NAME?</v>
      </c>
      <c r="H147" s="0" t="e">
        <f aca="false">sheet1!asf148</f>
        <v>#NAME?</v>
      </c>
      <c r="I147" s="0" t="e">
        <f aca="false">sheet1!asg148</f>
        <v>#NAME?</v>
      </c>
      <c r="J147" s="0" t="e">
        <f aca="false">sheet1!ash148</f>
        <v>#NAME?</v>
      </c>
      <c r="K147" s="0" t="e">
        <f aca="false">sheet1!asi148</f>
        <v>#NAME?</v>
      </c>
      <c r="L147" s="0" t="e">
        <f aca="false">sheet1!asj148</f>
        <v>#NAME?</v>
      </c>
      <c r="M147" s="0" t="e">
        <f aca="false">sheet1!ask148</f>
        <v>#NAME?</v>
      </c>
    </row>
    <row r="148" customFormat="false" ht="13.5" hidden="false" customHeight="false" outlineLevel="0" collapsed="false">
      <c r="A148" s="0" t="s">
        <v>88</v>
      </c>
      <c r="B148" s="1" t="n">
        <v>44008</v>
      </c>
      <c r="C148" s="0" t="e">
        <f aca="false">sheet1!asa149</f>
        <v>#NAME?</v>
      </c>
      <c r="D148" s="0" t="e">
        <f aca="false">sheet1!asb149</f>
        <v>#NAME?</v>
      </c>
      <c r="E148" s="0" t="e">
        <f aca="false">sheet1!asc149</f>
        <v>#NAME?</v>
      </c>
      <c r="F148" s="0" t="e">
        <f aca="false">sheet1!asd149</f>
        <v>#NAME?</v>
      </c>
      <c r="G148" s="0" t="e">
        <f aca="false">sheet1!ase149</f>
        <v>#NAME?</v>
      </c>
      <c r="H148" s="0" t="e">
        <f aca="false">sheet1!asf149</f>
        <v>#NAME?</v>
      </c>
      <c r="I148" s="0" t="e">
        <f aca="false">sheet1!asg149</f>
        <v>#NAME?</v>
      </c>
      <c r="J148" s="0" t="e">
        <f aca="false">sheet1!ash149</f>
        <v>#NAME?</v>
      </c>
      <c r="K148" s="0" t="e">
        <f aca="false">sheet1!asi149</f>
        <v>#NAME?</v>
      </c>
      <c r="L148" s="0" t="e">
        <f aca="false">sheet1!asj149</f>
        <v>#NAME?</v>
      </c>
      <c r="M148" s="0" t="e">
        <f aca="false">sheet1!ask149</f>
        <v>#NAME?</v>
      </c>
    </row>
    <row r="149" customFormat="false" ht="13.5" hidden="false" customHeight="false" outlineLevel="0" collapsed="false">
      <c r="A149" s="0" t="s">
        <v>88</v>
      </c>
      <c r="B149" s="1" t="n">
        <v>44009</v>
      </c>
      <c r="C149" s="0" t="e">
        <f aca="false">sheet1!asa150</f>
        <v>#NAME?</v>
      </c>
      <c r="D149" s="0" t="e">
        <f aca="false">sheet1!asb150</f>
        <v>#NAME?</v>
      </c>
      <c r="E149" s="0" t="e">
        <f aca="false">sheet1!asc150</f>
        <v>#NAME?</v>
      </c>
      <c r="F149" s="0" t="e">
        <f aca="false">sheet1!asd150</f>
        <v>#NAME?</v>
      </c>
      <c r="G149" s="0" t="e">
        <f aca="false">sheet1!ase150</f>
        <v>#NAME?</v>
      </c>
      <c r="H149" s="0" t="e">
        <f aca="false">sheet1!asf150</f>
        <v>#NAME?</v>
      </c>
      <c r="I149" s="0" t="e">
        <f aca="false">sheet1!asg150</f>
        <v>#NAME?</v>
      </c>
      <c r="J149" s="0" t="e">
        <f aca="false">sheet1!ash150</f>
        <v>#NAME?</v>
      </c>
      <c r="K149" s="0" t="e">
        <f aca="false">sheet1!asi150</f>
        <v>#NAME?</v>
      </c>
      <c r="L149" s="0" t="e">
        <f aca="false">sheet1!asj150</f>
        <v>#NAME?</v>
      </c>
      <c r="M149" s="0" t="e">
        <f aca="false">sheet1!ask150</f>
        <v>#NAME?</v>
      </c>
    </row>
    <row r="150" customFormat="false" ht="13.5" hidden="false" customHeight="false" outlineLevel="0" collapsed="false">
      <c r="A150" s="0" t="s">
        <v>88</v>
      </c>
      <c r="B150" s="1" t="n">
        <v>44010</v>
      </c>
      <c r="C150" s="0" t="e">
        <f aca="false">sheet1!asa151</f>
        <v>#NAME?</v>
      </c>
      <c r="D150" s="0" t="e">
        <f aca="false">sheet1!asb151</f>
        <v>#NAME?</v>
      </c>
      <c r="E150" s="0" t="e">
        <f aca="false">sheet1!asc151</f>
        <v>#NAME?</v>
      </c>
      <c r="F150" s="0" t="e">
        <f aca="false">sheet1!asd151</f>
        <v>#NAME?</v>
      </c>
      <c r="G150" s="0" t="e">
        <f aca="false">sheet1!ase151</f>
        <v>#NAME?</v>
      </c>
      <c r="H150" s="0" t="e">
        <f aca="false">sheet1!asf151</f>
        <v>#NAME?</v>
      </c>
      <c r="I150" s="0" t="e">
        <f aca="false">sheet1!asg151</f>
        <v>#NAME?</v>
      </c>
      <c r="J150" s="0" t="e">
        <f aca="false">sheet1!ash151</f>
        <v>#NAME?</v>
      </c>
      <c r="K150" s="0" t="e">
        <f aca="false">sheet1!asi151</f>
        <v>#NAME?</v>
      </c>
      <c r="L150" s="0" t="e">
        <f aca="false">sheet1!asj151</f>
        <v>#NAME?</v>
      </c>
      <c r="M150" s="0" t="e">
        <f aca="false">sheet1!ask151</f>
        <v>#NAME?</v>
      </c>
    </row>
    <row r="151" customFormat="false" ht="13.5" hidden="false" customHeight="false" outlineLevel="0" collapsed="false">
      <c r="A151" s="0" t="s">
        <v>88</v>
      </c>
      <c r="B151" s="1" t="n">
        <v>44011</v>
      </c>
      <c r="C151" s="0" t="e">
        <f aca="false">sheet1!asa152</f>
        <v>#NAME?</v>
      </c>
      <c r="D151" s="0" t="e">
        <f aca="false">sheet1!asb152</f>
        <v>#NAME?</v>
      </c>
      <c r="E151" s="0" t="e">
        <f aca="false">sheet1!asc152</f>
        <v>#NAME?</v>
      </c>
      <c r="F151" s="0" t="e">
        <f aca="false">sheet1!asd152</f>
        <v>#NAME?</v>
      </c>
      <c r="G151" s="0" t="e">
        <f aca="false">sheet1!ase152</f>
        <v>#NAME?</v>
      </c>
      <c r="H151" s="0" t="e">
        <f aca="false">sheet1!asf152</f>
        <v>#NAME?</v>
      </c>
      <c r="I151" s="0" t="e">
        <f aca="false">sheet1!asg152</f>
        <v>#NAME?</v>
      </c>
      <c r="J151" s="0" t="e">
        <f aca="false">sheet1!ash152</f>
        <v>#NAME?</v>
      </c>
      <c r="K151" s="0" t="e">
        <f aca="false">sheet1!asi152</f>
        <v>#NAME?</v>
      </c>
      <c r="L151" s="0" t="e">
        <f aca="false">sheet1!asj152</f>
        <v>#NAME?</v>
      </c>
      <c r="M151" s="0" t="e">
        <f aca="false">sheet1!ask152</f>
        <v>#NAME?</v>
      </c>
    </row>
    <row r="152" customFormat="false" ht="13.5" hidden="false" customHeight="false" outlineLevel="0" collapsed="false">
      <c r="A152" s="0" t="s">
        <v>88</v>
      </c>
      <c r="B152" s="1" t="n">
        <v>44012</v>
      </c>
      <c r="C152" s="0" t="e">
        <f aca="false">sheet1!asa153</f>
        <v>#NAME?</v>
      </c>
      <c r="D152" s="0" t="e">
        <f aca="false">sheet1!asb153</f>
        <v>#NAME?</v>
      </c>
      <c r="E152" s="0" t="e">
        <f aca="false">sheet1!asc153</f>
        <v>#NAME?</v>
      </c>
      <c r="F152" s="0" t="e">
        <f aca="false">sheet1!asd153</f>
        <v>#NAME?</v>
      </c>
      <c r="G152" s="0" t="e">
        <f aca="false">sheet1!ase153</f>
        <v>#NAME?</v>
      </c>
      <c r="H152" s="0" t="e">
        <f aca="false">sheet1!asf153</f>
        <v>#NAME?</v>
      </c>
      <c r="I152" s="0" t="e">
        <f aca="false">sheet1!asg153</f>
        <v>#NAME?</v>
      </c>
      <c r="J152" s="0" t="e">
        <f aca="false">sheet1!ash153</f>
        <v>#NAME?</v>
      </c>
      <c r="K152" s="0" t="e">
        <f aca="false">sheet1!asi153</f>
        <v>#NAME?</v>
      </c>
      <c r="L152" s="0" t="e">
        <f aca="false">sheet1!asj153</f>
        <v>#NAME?</v>
      </c>
      <c r="M152" s="0" t="e">
        <f aca="false">sheet1!ask153</f>
        <v>#NAME?</v>
      </c>
    </row>
    <row r="153" customFormat="false" ht="13.5" hidden="false" customHeight="false" outlineLevel="0" collapsed="false">
      <c r="A153" s="0" t="s">
        <v>88</v>
      </c>
      <c r="B153" s="1" t="n">
        <v>44013</v>
      </c>
      <c r="C153" s="0" t="e">
        <f aca="false">sheet1!asa154</f>
        <v>#NAME?</v>
      </c>
      <c r="D153" s="0" t="e">
        <f aca="false">sheet1!asb154</f>
        <v>#NAME?</v>
      </c>
      <c r="E153" s="0" t="e">
        <f aca="false">sheet1!asc154</f>
        <v>#NAME?</v>
      </c>
      <c r="F153" s="0" t="e">
        <f aca="false">sheet1!asd154</f>
        <v>#NAME?</v>
      </c>
      <c r="G153" s="0" t="e">
        <f aca="false">sheet1!ase154</f>
        <v>#NAME?</v>
      </c>
      <c r="H153" s="0" t="e">
        <f aca="false">sheet1!asf154</f>
        <v>#NAME?</v>
      </c>
      <c r="I153" s="0" t="e">
        <f aca="false">sheet1!asg154</f>
        <v>#NAME?</v>
      </c>
      <c r="J153" s="0" t="e">
        <f aca="false">sheet1!ash154</f>
        <v>#NAME?</v>
      </c>
      <c r="K153" s="0" t="e">
        <f aca="false">sheet1!asi154</f>
        <v>#NAME?</v>
      </c>
      <c r="L153" s="0" t="e">
        <f aca="false">sheet1!asj154</f>
        <v>#NAME?</v>
      </c>
      <c r="M153" s="0" t="e">
        <f aca="false">sheet1!ask154</f>
        <v>#NAME?</v>
      </c>
    </row>
    <row r="154" customFormat="false" ht="13.5" hidden="false" customHeight="false" outlineLevel="0" collapsed="false">
      <c r="A154" s="0" t="s">
        <v>88</v>
      </c>
      <c r="B154" s="1" t="n">
        <v>44014</v>
      </c>
      <c r="C154" s="0" t="e">
        <f aca="false">sheet1!asa155</f>
        <v>#NAME?</v>
      </c>
      <c r="D154" s="0" t="e">
        <f aca="false">sheet1!asb155</f>
        <v>#NAME?</v>
      </c>
      <c r="E154" s="0" t="e">
        <f aca="false">sheet1!asc155</f>
        <v>#NAME?</v>
      </c>
      <c r="F154" s="0" t="e">
        <f aca="false">sheet1!asd155</f>
        <v>#NAME?</v>
      </c>
      <c r="G154" s="0" t="e">
        <f aca="false">sheet1!ase155</f>
        <v>#NAME?</v>
      </c>
      <c r="H154" s="0" t="e">
        <f aca="false">sheet1!asf155</f>
        <v>#NAME?</v>
      </c>
      <c r="I154" s="0" t="e">
        <f aca="false">sheet1!asg155</f>
        <v>#NAME?</v>
      </c>
      <c r="J154" s="0" t="e">
        <f aca="false">sheet1!ash155</f>
        <v>#NAME?</v>
      </c>
      <c r="K154" s="0" t="e">
        <f aca="false">sheet1!asi155</f>
        <v>#NAME?</v>
      </c>
      <c r="L154" s="0" t="e">
        <f aca="false">sheet1!asj155</f>
        <v>#NAME?</v>
      </c>
      <c r="M154" s="0" t="e">
        <f aca="false">sheet1!ask155</f>
        <v>#NAME?</v>
      </c>
    </row>
    <row r="155" customFormat="false" ht="13.5" hidden="false" customHeight="false" outlineLevel="0" collapsed="false">
      <c r="A155" s="0" t="s">
        <v>88</v>
      </c>
      <c r="B155" s="1" t="n">
        <v>44015</v>
      </c>
      <c r="C155" s="0" t="e">
        <f aca="false">sheet1!asa156</f>
        <v>#NAME?</v>
      </c>
      <c r="D155" s="0" t="e">
        <f aca="false">sheet1!asb156</f>
        <v>#NAME?</v>
      </c>
      <c r="E155" s="0" t="e">
        <f aca="false">sheet1!asc156</f>
        <v>#NAME?</v>
      </c>
      <c r="F155" s="0" t="e">
        <f aca="false">sheet1!asd156</f>
        <v>#NAME?</v>
      </c>
      <c r="G155" s="0" t="e">
        <f aca="false">sheet1!ase156</f>
        <v>#NAME?</v>
      </c>
      <c r="H155" s="0" t="e">
        <f aca="false">sheet1!asf156</f>
        <v>#NAME?</v>
      </c>
      <c r="I155" s="0" t="e">
        <f aca="false">sheet1!asg156</f>
        <v>#NAME?</v>
      </c>
      <c r="J155" s="0" t="e">
        <f aca="false">sheet1!ash156</f>
        <v>#NAME?</v>
      </c>
      <c r="K155" s="0" t="e">
        <f aca="false">sheet1!asi156</f>
        <v>#NAME?</v>
      </c>
      <c r="L155" s="0" t="e">
        <f aca="false">sheet1!asj156</f>
        <v>#NAME?</v>
      </c>
      <c r="M155" s="0" t="e">
        <f aca="false">sheet1!ask156</f>
        <v>#NAME?</v>
      </c>
    </row>
    <row r="156" customFormat="false" ht="13.5" hidden="false" customHeight="false" outlineLevel="0" collapsed="false">
      <c r="A156" s="0" t="s">
        <v>88</v>
      </c>
      <c r="B156" s="1" t="n">
        <v>44016</v>
      </c>
      <c r="C156" s="0" t="e">
        <f aca="false">sheet1!asa157</f>
        <v>#NAME?</v>
      </c>
      <c r="D156" s="0" t="e">
        <f aca="false">sheet1!asb157</f>
        <v>#NAME?</v>
      </c>
      <c r="E156" s="0" t="e">
        <f aca="false">sheet1!asc157</f>
        <v>#NAME?</v>
      </c>
      <c r="F156" s="0" t="e">
        <f aca="false">sheet1!asd157</f>
        <v>#NAME?</v>
      </c>
      <c r="G156" s="0" t="e">
        <f aca="false">sheet1!ase157</f>
        <v>#NAME?</v>
      </c>
      <c r="H156" s="0" t="e">
        <f aca="false">sheet1!asf157</f>
        <v>#NAME?</v>
      </c>
      <c r="I156" s="0" t="e">
        <f aca="false">sheet1!asg157</f>
        <v>#NAME?</v>
      </c>
      <c r="J156" s="0" t="e">
        <f aca="false">sheet1!ash157</f>
        <v>#NAME?</v>
      </c>
      <c r="K156" s="0" t="e">
        <f aca="false">sheet1!asi157</f>
        <v>#NAME?</v>
      </c>
      <c r="L156" s="0" t="e">
        <f aca="false">sheet1!asj157</f>
        <v>#NAME?</v>
      </c>
      <c r="M156" s="0" t="e">
        <f aca="false">sheet1!ask157</f>
        <v>#NAME?</v>
      </c>
    </row>
    <row r="157" customFormat="false" ht="13.5" hidden="false" customHeight="false" outlineLevel="0" collapsed="false">
      <c r="A157" s="0" t="s">
        <v>88</v>
      </c>
      <c r="B157" s="1" t="n">
        <v>44017</v>
      </c>
      <c r="C157" s="0" t="e">
        <f aca="false">sheet1!asa158</f>
        <v>#NAME?</v>
      </c>
      <c r="D157" s="0" t="e">
        <f aca="false">sheet1!asb158</f>
        <v>#NAME?</v>
      </c>
      <c r="E157" s="0" t="e">
        <f aca="false">sheet1!asc158</f>
        <v>#NAME?</v>
      </c>
      <c r="F157" s="0" t="e">
        <f aca="false">sheet1!asd158</f>
        <v>#NAME?</v>
      </c>
      <c r="G157" s="0" t="e">
        <f aca="false">sheet1!ase158</f>
        <v>#NAME?</v>
      </c>
      <c r="H157" s="0" t="e">
        <f aca="false">sheet1!asf158</f>
        <v>#NAME?</v>
      </c>
      <c r="I157" s="0" t="e">
        <f aca="false">sheet1!asg158</f>
        <v>#NAME?</v>
      </c>
      <c r="J157" s="0" t="e">
        <f aca="false">sheet1!ash158</f>
        <v>#NAME?</v>
      </c>
      <c r="K157" s="0" t="e">
        <f aca="false">sheet1!asi158</f>
        <v>#NAME?</v>
      </c>
      <c r="L157" s="0" t="e">
        <f aca="false">sheet1!asj158</f>
        <v>#NAME?</v>
      </c>
      <c r="M157" s="0" t="e">
        <f aca="false">sheet1!ask158</f>
        <v>#NAME?</v>
      </c>
    </row>
    <row r="158" customFormat="false" ht="13.5" hidden="false" customHeight="false" outlineLevel="0" collapsed="false">
      <c r="A158" s="0" t="s">
        <v>88</v>
      </c>
      <c r="B158" s="1" t="n">
        <v>44018</v>
      </c>
      <c r="C158" s="0" t="e">
        <f aca="false">sheet1!asa159</f>
        <v>#NAME?</v>
      </c>
      <c r="D158" s="0" t="e">
        <f aca="false">sheet1!asb159</f>
        <v>#NAME?</v>
      </c>
      <c r="E158" s="0" t="e">
        <f aca="false">sheet1!asc159</f>
        <v>#NAME?</v>
      </c>
      <c r="F158" s="0" t="e">
        <f aca="false">sheet1!asd159</f>
        <v>#NAME?</v>
      </c>
      <c r="G158" s="0" t="e">
        <f aca="false">sheet1!ase159</f>
        <v>#NAME?</v>
      </c>
      <c r="H158" s="0" t="e">
        <f aca="false">sheet1!asf159</f>
        <v>#NAME?</v>
      </c>
      <c r="I158" s="0" t="e">
        <f aca="false">sheet1!asg159</f>
        <v>#NAME?</v>
      </c>
      <c r="J158" s="0" t="e">
        <f aca="false">sheet1!ash159</f>
        <v>#NAME?</v>
      </c>
      <c r="K158" s="0" t="e">
        <f aca="false">sheet1!asi159</f>
        <v>#NAME?</v>
      </c>
      <c r="L158" s="0" t="e">
        <f aca="false">sheet1!asj159</f>
        <v>#NAME?</v>
      </c>
      <c r="M158" s="0" t="e">
        <f aca="false">sheet1!ask159</f>
        <v>#NAME?</v>
      </c>
    </row>
    <row r="159" customFormat="false" ht="13.5" hidden="false" customHeight="false" outlineLevel="0" collapsed="false">
      <c r="A159" s="0" t="s">
        <v>88</v>
      </c>
      <c r="B159" s="1" t="n">
        <v>44019</v>
      </c>
      <c r="C159" s="0" t="e">
        <f aca="false">sheet1!asa160</f>
        <v>#NAME?</v>
      </c>
      <c r="D159" s="0" t="e">
        <f aca="false">sheet1!asb160</f>
        <v>#NAME?</v>
      </c>
      <c r="E159" s="0" t="e">
        <f aca="false">sheet1!asc160</f>
        <v>#NAME?</v>
      </c>
      <c r="F159" s="0" t="e">
        <f aca="false">sheet1!asd160</f>
        <v>#NAME?</v>
      </c>
      <c r="G159" s="0" t="e">
        <f aca="false">sheet1!ase160</f>
        <v>#NAME?</v>
      </c>
      <c r="H159" s="0" t="e">
        <f aca="false">sheet1!asf160</f>
        <v>#NAME?</v>
      </c>
      <c r="I159" s="0" t="e">
        <f aca="false">sheet1!asg160</f>
        <v>#NAME?</v>
      </c>
      <c r="J159" s="0" t="e">
        <f aca="false">sheet1!ash160</f>
        <v>#NAME?</v>
      </c>
      <c r="K159" s="0" t="e">
        <f aca="false">sheet1!asi160</f>
        <v>#NAME?</v>
      </c>
      <c r="L159" s="0" t="e">
        <f aca="false">sheet1!asj160</f>
        <v>#NAME?</v>
      </c>
      <c r="M159" s="0" t="e">
        <f aca="false">sheet1!ask160</f>
        <v>#NAME?</v>
      </c>
    </row>
    <row r="160" customFormat="false" ht="13.5" hidden="false" customHeight="false" outlineLevel="0" collapsed="false">
      <c r="A160" s="0" t="s">
        <v>88</v>
      </c>
      <c r="B160" s="1" t="n">
        <v>44020</v>
      </c>
      <c r="C160" s="0" t="e">
        <f aca="false">sheet1!asa161</f>
        <v>#NAME?</v>
      </c>
      <c r="D160" s="0" t="e">
        <f aca="false">sheet1!asb161</f>
        <v>#NAME?</v>
      </c>
      <c r="E160" s="0" t="e">
        <f aca="false">sheet1!asc161</f>
        <v>#NAME?</v>
      </c>
      <c r="F160" s="0" t="e">
        <f aca="false">sheet1!asd161</f>
        <v>#NAME?</v>
      </c>
      <c r="G160" s="0" t="e">
        <f aca="false">sheet1!ase161</f>
        <v>#NAME?</v>
      </c>
      <c r="H160" s="0" t="e">
        <f aca="false">sheet1!asf161</f>
        <v>#NAME?</v>
      </c>
      <c r="I160" s="0" t="e">
        <f aca="false">sheet1!asg161</f>
        <v>#NAME?</v>
      </c>
      <c r="J160" s="0" t="e">
        <f aca="false">sheet1!ash161</f>
        <v>#NAME?</v>
      </c>
      <c r="K160" s="0" t="e">
        <f aca="false">sheet1!asi161</f>
        <v>#NAME?</v>
      </c>
      <c r="L160" s="0" t="e">
        <f aca="false">sheet1!asj161</f>
        <v>#NAME?</v>
      </c>
      <c r="M160" s="0" t="e">
        <f aca="false">sheet1!ask161</f>
        <v>#NAME?</v>
      </c>
    </row>
    <row r="161" customFormat="false" ht="13.5" hidden="false" customHeight="false" outlineLevel="0" collapsed="false">
      <c r="A161" s="0" t="s">
        <v>88</v>
      </c>
      <c r="B161" s="1" t="n">
        <v>44021</v>
      </c>
      <c r="C161" s="0" t="e">
        <f aca="false">sheet1!asa162</f>
        <v>#NAME?</v>
      </c>
      <c r="D161" s="0" t="e">
        <f aca="false">sheet1!asb162</f>
        <v>#NAME?</v>
      </c>
      <c r="E161" s="0" t="e">
        <f aca="false">sheet1!asc162</f>
        <v>#NAME?</v>
      </c>
      <c r="F161" s="0" t="e">
        <f aca="false">sheet1!asd162</f>
        <v>#NAME?</v>
      </c>
      <c r="G161" s="0" t="e">
        <f aca="false">sheet1!ase162</f>
        <v>#NAME?</v>
      </c>
      <c r="H161" s="0" t="e">
        <f aca="false">sheet1!asf162</f>
        <v>#NAME?</v>
      </c>
      <c r="I161" s="0" t="e">
        <f aca="false">sheet1!asg162</f>
        <v>#NAME?</v>
      </c>
      <c r="J161" s="0" t="e">
        <f aca="false">sheet1!ash162</f>
        <v>#NAME?</v>
      </c>
      <c r="K161" s="0" t="e">
        <f aca="false">sheet1!asi162</f>
        <v>#NAME?</v>
      </c>
      <c r="L161" s="0" t="e">
        <f aca="false">sheet1!asj162</f>
        <v>#NAME?</v>
      </c>
      <c r="M161" s="0" t="e">
        <f aca="false">sheet1!ask162</f>
        <v>#NAME?</v>
      </c>
    </row>
    <row r="162" customFormat="false" ht="13.5" hidden="false" customHeight="false" outlineLevel="0" collapsed="false">
      <c r="A162" s="0" t="s">
        <v>88</v>
      </c>
      <c r="B162" s="1" t="n">
        <v>44022</v>
      </c>
      <c r="C162" s="0" t="e">
        <f aca="false">sheet1!asa163</f>
        <v>#NAME?</v>
      </c>
      <c r="D162" s="0" t="e">
        <f aca="false">sheet1!asb163</f>
        <v>#NAME?</v>
      </c>
      <c r="E162" s="0" t="e">
        <f aca="false">sheet1!asc163</f>
        <v>#NAME?</v>
      </c>
      <c r="F162" s="0" t="e">
        <f aca="false">sheet1!asd163</f>
        <v>#NAME?</v>
      </c>
      <c r="G162" s="0" t="e">
        <f aca="false">sheet1!ase163</f>
        <v>#NAME?</v>
      </c>
      <c r="H162" s="0" t="e">
        <f aca="false">sheet1!asf163</f>
        <v>#NAME?</v>
      </c>
      <c r="I162" s="0" t="e">
        <f aca="false">sheet1!asg163</f>
        <v>#NAME?</v>
      </c>
      <c r="J162" s="0" t="e">
        <f aca="false">sheet1!ash163</f>
        <v>#NAME?</v>
      </c>
      <c r="K162" s="0" t="e">
        <f aca="false">sheet1!asi163</f>
        <v>#NAME?</v>
      </c>
      <c r="L162" s="0" t="e">
        <f aca="false">sheet1!asj163</f>
        <v>#NAME?</v>
      </c>
      <c r="M162" s="0" t="e">
        <f aca="false">sheet1!ask163</f>
        <v>#NAME?</v>
      </c>
    </row>
    <row r="163" customFormat="false" ht="13.5" hidden="false" customHeight="false" outlineLevel="0" collapsed="false">
      <c r="A163" s="0" t="s">
        <v>88</v>
      </c>
      <c r="B163" s="1" t="n">
        <v>44023</v>
      </c>
      <c r="C163" s="0" t="e">
        <f aca="false">sheet1!asa164</f>
        <v>#NAME?</v>
      </c>
      <c r="D163" s="0" t="e">
        <f aca="false">sheet1!asb164</f>
        <v>#NAME?</v>
      </c>
      <c r="E163" s="0" t="e">
        <f aca="false">sheet1!asc164</f>
        <v>#NAME?</v>
      </c>
      <c r="F163" s="0" t="e">
        <f aca="false">sheet1!asd164</f>
        <v>#NAME?</v>
      </c>
      <c r="G163" s="0" t="e">
        <f aca="false">sheet1!ase164</f>
        <v>#NAME?</v>
      </c>
      <c r="H163" s="0" t="e">
        <f aca="false">sheet1!asf164</f>
        <v>#NAME?</v>
      </c>
      <c r="I163" s="0" t="e">
        <f aca="false">sheet1!asg164</f>
        <v>#NAME?</v>
      </c>
      <c r="J163" s="0" t="e">
        <f aca="false">sheet1!ash164</f>
        <v>#NAME?</v>
      </c>
      <c r="K163" s="0" t="e">
        <f aca="false">sheet1!asi164</f>
        <v>#NAME?</v>
      </c>
      <c r="L163" s="0" t="e">
        <f aca="false">sheet1!asj164</f>
        <v>#NAME?</v>
      </c>
      <c r="M163" s="0" t="e">
        <f aca="false">sheet1!ask164</f>
        <v>#NAME?</v>
      </c>
    </row>
    <row r="164" customFormat="false" ht="13.5" hidden="false" customHeight="false" outlineLevel="0" collapsed="false">
      <c r="A164" s="0" t="s">
        <v>88</v>
      </c>
      <c r="B164" s="1" t="n">
        <v>44024</v>
      </c>
      <c r="C164" s="0" t="e">
        <f aca="false">sheet1!asa165</f>
        <v>#NAME?</v>
      </c>
      <c r="D164" s="0" t="e">
        <f aca="false">sheet1!asb165</f>
        <v>#NAME?</v>
      </c>
      <c r="E164" s="0" t="e">
        <f aca="false">sheet1!asc165</f>
        <v>#NAME?</v>
      </c>
      <c r="F164" s="0" t="e">
        <f aca="false">sheet1!asd165</f>
        <v>#NAME?</v>
      </c>
      <c r="G164" s="0" t="e">
        <f aca="false">sheet1!ase165</f>
        <v>#NAME?</v>
      </c>
      <c r="H164" s="0" t="e">
        <f aca="false">sheet1!asf165</f>
        <v>#NAME?</v>
      </c>
      <c r="I164" s="0" t="e">
        <f aca="false">sheet1!asg165</f>
        <v>#NAME?</v>
      </c>
      <c r="J164" s="0" t="e">
        <f aca="false">sheet1!ash165</f>
        <v>#NAME?</v>
      </c>
      <c r="K164" s="0" t="e">
        <f aca="false">sheet1!asi165</f>
        <v>#NAME?</v>
      </c>
      <c r="L164" s="0" t="e">
        <f aca="false">sheet1!asj165</f>
        <v>#NAME?</v>
      </c>
      <c r="M164" s="0" t="e">
        <f aca="false">sheet1!ask165</f>
        <v>#NAME?</v>
      </c>
    </row>
    <row r="165" customFormat="false" ht="13.5" hidden="false" customHeight="false" outlineLevel="0" collapsed="false">
      <c r="A165" s="0" t="s">
        <v>88</v>
      </c>
      <c r="B165" s="1" t="n">
        <v>44025</v>
      </c>
      <c r="C165" s="0" t="e">
        <f aca="false">sheet1!asa166</f>
        <v>#NAME?</v>
      </c>
      <c r="D165" s="0" t="e">
        <f aca="false">sheet1!asb166</f>
        <v>#NAME?</v>
      </c>
      <c r="E165" s="0" t="e">
        <f aca="false">sheet1!asc166</f>
        <v>#NAME?</v>
      </c>
      <c r="F165" s="0" t="e">
        <f aca="false">sheet1!asd166</f>
        <v>#NAME?</v>
      </c>
      <c r="G165" s="0" t="e">
        <f aca="false">sheet1!ase166</f>
        <v>#NAME?</v>
      </c>
      <c r="H165" s="0" t="e">
        <f aca="false">sheet1!asf166</f>
        <v>#NAME?</v>
      </c>
      <c r="I165" s="0" t="e">
        <f aca="false">sheet1!asg166</f>
        <v>#NAME?</v>
      </c>
      <c r="J165" s="0" t="e">
        <f aca="false">sheet1!ash166</f>
        <v>#NAME?</v>
      </c>
      <c r="K165" s="0" t="e">
        <f aca="false">sheet1!asi166</f>
        <v>#NAME?</v>
      </c>
      <c r="L165" s="0" t="e">
        <f aca="false">sheet1!asj166</f>
        <v>#NAME?</v>
      </c>
      <c r="M165" s="0" t="e">
        <f aca="false">sheet1!ask166</f>
        <v>#NAME?</v>
      </c>
    </row>
    <row r="166" customFormat="false" ht="13.5" hidden="false" customHeight="false" outlineLevel="0" collapsed="false">
      <c r="A166" s="0" t="s">
        <v>88</v>
      </c>
      <c r="B166" s="1" t="n">
        <v>44026</v>
      </c>
      <c r="C166" s="0" t="e">
        <f aca="false">sheet1!asa167</f>
        <v>#NAME?</v>
      </c>
      <c r="D166" s="0" t="e">
        <f aca="false">sheet1!asb167</f>
        <v>#NAME?</v>
      </c>
      <c r="E166" s="0" t="e">
        <f aca="false">sheet1!asc167</f>
        <v>#NAME?</v>
      </c>
      <c r="F166" s="0" t="e">
        <f aca="false">sheet1!asd167</f>
        <v>#NAME?</v>
      </c>
      <c r="G166" s="0" t="e">
        <f aca="false">sheet1!ase167</f>
        <v>#NAME?</v>
      </c>
      <c r="H166" s="0" t="e">
        <f aca="false">sheet1!asf167</f>
        <v>#NAME?</v>
      </c>
      <c r="I166" s="0" t="e">
        <f aca="false">sheet1!asg167</f>
        <v>#NAME?</v>
      </c>
      <c r="J166" s="0" t="e">
        <f aca="false">sheet1!ash167</f>
        <v>#NAME?</v>
      </c>
      <c r="K166" s="0" t="e">
        <f aca="false">sheet1!asi167</f>
        <v>#NAME?</v>
      </c>
      <c r="L166" s="0" t="e">
        <f aca="false">sheet1!asj167</f>
        <v>#NAME?</v>
      </c>
      <c r="M166" s="0" t="e">
        <f aca="false">sheet1!ask167</f>
        <v>#NAME?</v>
      </c>
    </row>
    <row r="167" customFormat="false" ht="13.5" hidden="false" customHeight="false" outlineLevel="0" collapsed="false">
      <c r="A167" s="0" t="s">
        <v>88</v>
      </c>
      <c r="B167" s="1" t="n">
        <v>44027</v>
      </c>
      <c r="C167" s="0" t="e">
        <f aca="false">sheet1!asa168</f>
        <v>#NAME?</v>
      </c>
      <c r="D167" s="0" t="e">
        <f aca="false">sheet1!asb168</f>
        <v>#NAME?</v>
      </c>
      <c r="E167" s="0" t="e">
        <f aca="false">sheet1!asc168</f>
        <v>#NAME?</v>
      </c>
      <c r="F167" s="0" t="e">
        <f aca="false">sheet1!asd168</f>
        <v>#NAME?</v>
      </c>
      <c r="G167" s="0" t="e">
        <f aca="false">sheet1!ase168</f>
        <v>#NAME?</v>
      </c>
      <c r="H167" s="0" t="e">
        <f aca="false">sheet1!asf168</f>
        <v>#NAME?</v>
      </c>
      <c r="I167" s="0" t="e">
        <f aca="false">sheet1!asg168</f>
        <v>#NAME?</v>
      </c>
      <c r="J167" s="0" t="e">
        <f aca="false">sheet1!ash168</f>
        <v>#NAME?</v>
      </c>
      <c r="K167" s="0" t="e">
        <f aca="false">sheet1!asi168</f>
        <v>#NAME?</v>
      </c>
      <c r="L167" s="0" t="e">
        <f aca="false">sheet1!asj168</f>
        <v>#NAME?</v>
      </c>
      <c r="M167" s="0" t="e">
        <f aca="false">sheet1!ask168</f>
        <v>#NAME?</v>
      </c>
    </row>
    <row r="168" customFormat="false" ht="13.5" hidden="false" customHeight="false" outlineLevel="0" collapsed="false">
      <c r="A168" s="0" t="s">
        <v>88</v>
      </c>
      <c r="B168" s="1" t="n">
        <v>44028</v>
      </c>
      <c r="C168" s="0" t="e">
        <f aca="false">sheet1!asa169</f>
        <v>#NAME?</v>
      </c>
      <c r="D168" s="0" t="e">
        <f aca="false">sheet1!asb169</f>
        <v>#NAME?</v>
      </c>
      <c r="E168" s="0" t="e">
        <f aca="false">sheet1!asc169</f>
        <v>#NAME?</v>
      </c>
      <c r="F168" s="0" t="e">
        <f aca="false">sheet1!asd169</f>
        <v>#NAME?</v>
      </c>
      <c r="G168" s="0" t="e">
        <f aca="false">sheet1!ase169</f>
        <v>#NAME?</v>
      </c>
      <c r="H168" s="0" t="e">
        <f aca="false">sheet1!asf169</f>
        <v>#NAME?</v>
      </c>
      <c r="I168" s="0" t="e">
        <f aca="false">sheet1!asg169</f>
        <v>#NAME?</v>
      </c>
      <c r="J168" s="0" t="e">
        <f aca="false">sheet1!ash169</f>
        <v>#NAME?</v>
      </c>
      <c r="K168" s="0" t="e">
        <f aca="false">sheet1!asi169</f>
        <v>#NAME?</v>
      </c>
      <c r="L168" s="0" t="e">
        <f aca="false">sheet1!asj169</f>
        <v>#NAME?</v>
      </c>
      <c r="M168" s="0" t="e">
        <f aca="false">sheet1!ask169</f>
        <v>#NAME?</v>
      </c>
    </row>
    <row r="169" customFormat="false" ht="13.5" hidden="false" customHeight="false" outlineLevel="0" collapsed="false">
      <c r="A169" s="0" t="s">
        <v>88</v>
      </c>
      <c r="B169" s="1" t="n">
        <v>44029</v>
      </c>
      <c r="C169" s="0" t="e">
        <f aca="false">sheet1!asa170</f>
        <v>#NAME?</v>
      </c>
      <c r="D169" s="0" t="e">
        <f aca="false">sheet1!asb170</f>
        <v>#NAME?</v>
      </c>
      <c r="E169" s="0" t="e">
        <f aca="false">sheet1!asc170</f>
        <v>#NAME?</v>
      </c>
      <c r="F169" s="0" t="e">
        <f aca="false">sheet1!asd170</f>
        <v>#NAME?</v>
      </c>
      <c r="G169" s="0" t="e">
        <f aca="false">sheet1!ase170</f>
        <v>#NAME?</v>
      </c>
      <c r="H169" s="0" t="e">
        <f aca="false">sheet1!asf170</f>
        <v>#NAME?</v>
      </c>
      <c r="I169" s="0" t="e">
        <f aca="false">sheet1!asg170</f>
        <v>#NAME?</v>
      </c>
      <c r="J169" s="0" t="e">
        <f aca="false">sheet1!ash170</f>
        <v>#NAME?</v>
      </c>
      <c r="K169" s="0" t="e">
        <f aca="false">sheet1!asi170</f>
        <v>#NAME?</v>
      </c>
      <c r="L169" s="0" t="e">
        <f aca="false">sheet1!asj170</f>
        <v>#NAME?</v>
      </c>
      <c r="M169" s="0" t="e">
        <f aca="false">sheet1!ask170</f>
        <v>#NAME?</v>
      </c>
    </row>
    <row r="170" customFormat="false" ht="13.5" hidden="false" customHeight="false" outlineLevel="0" collapsed="false">
      <c r="A170" s="0" t="s">
        <v>88</v>
      </c>
      <c r="B170" s="1" t="n">
        <v>44030</v>
      </c>
      <c r="C170" s="0" t="e">
        <f aca="false">sheet1!asa171</f>
        <v>#NAME?</v>
      </c>
      <c r="D170" s="0" t="e">
        <f aca="false">sheet1!asb171</f>
        <v>#NAME?</v>
      </c>
      <c r="E170" s="0" t="e">
        <f aca="false">sheet1!asc171</f>
        <v>#NAME?</v>
      </c>
      <c r="F170" s="0" t="e">
        <f aca="false">sheet1!asd171</f>
        <v>#NAME?</v>
      </c>
      <c r="G170" s="0" t="e">
        <f aca="false">sheet1!ase171</f>
        <v>#NAME?</v>
      </c>
      <c r="H170" s="0" t="e">
        <f aca="false">sheet1!asf171</f>
        <v>#NAME?</v>
      </c>
      <c r="I170" s="0" t="e">
        <f aca="false">sheet1!asg171</f>
        <v>#NAME?</v>
      </c>
      <c r="J170" s="0" t="e">
        <f aca="false">sheet1!ash171</f>
        <v>#NAME?</v>
      </c>
      <c r="K170" s="0" t="e">
        <f aca="false">sheet1!asi171</f>
        <v>#NAME?</v>
      </c>
      <c r="L170" s="0" t="e">
        <f aca="false">sheet1!asj171</f>
        <v>#NAME?</v>
      </c>
      <c r="M170" s="0" t="e">
        <f aca="false">sheet1!ask171</f>
        <v>#NAME?</v>
      </c>
    </row>
    <row r="171" customFormat="false" ht="13.5" hidden="false" customHeight="false" outlineLevel="0" collapsed="false">
      <c r="A171" s="0" t="s">
        <v>88</v>
      </c>
      <c r="B171" s="1" t="n">
        <v>44031</v>
      </c>
      <c r="C171" s="0" t="e">
        <f aca="false">sheet1!asa172</f>
        <v>#NAME?</v>
      </c>
      <c r="D171" s="0" t="e">
        <f aca="false">sheet1!asb172</f>
        <v>#NAME?</v>
      </c>
      <c r="E171" s="0" t="e">
        <f aca="false">sheet1!asc172</f>
        <v>#NAME?</v>
      </c>
      <c r="F171" s="0" t="e">
        <f aca="false">sheet1!asd172</f>
        <v>#NAME?</v>
      </c>
      <c r="G171" s="0" t="e">
        <f aca="false">sheet1!ase172</f>
        <v>#NAME?</v>
      </c>
      <c r="H171" s="0" t="e">
        <f aca="false">sheet1!asf172</f>
        <v>#NAME?</v>
      </c>
      <c r="I171" s="0" t="e">
        <f aca="false">sheet1!asg172</f>
        <v>#NAME?</v>
      </c>
      <c r="J171" s="0" t="e">
        <f aca="false">sheet1!ash172</f>
        <v>#NAME?</v>
      </c>
      <c r="K171" s="0" t="e">
        <f aca="false">sheet1!asi172</f>
        <v>#NAME?</v>
      </c>
      <c r="L171" s="0" t="e">
        <f aca="false">sheet1!asj172</f>
        <v>#NAME?</v>
      </c>
      <c r="M171" s="0" t="e">
        <f aca="false">sheet1!ask172</f>
        <v>#NAME?</v>
      </c>
    </row>
    <row r="172" customFormat="false" ht="13.5" hidden="false" customHeight="false" outlineLevel="0" collapsed="false">
      <c r="A172" s="0" t="s">
        <v>88</v>
      </c>
      <c r="B172" s="1" t="n">
        <v>44032</v>
      </c>
      <c r="C172" s="0" t="e">
        <f aca="false">sheet1!asa173</f>
        <v>#NAME?</v>
      </c>
      <c r="D172" s="0" t="e">
        <f aca="false">sheet1!asb173</f>
        <v>#NAME?</v>
      </c>
      <c r="E172" s="0" t="e">
        <f aca="false">sheet1!asc173</f>
        <v>#NAME?</v>
      </c>
      <c r="F172" s="0" t="e">
        <f aca="false">sheet1!asd173</f>
        <v>#NAME?</v>
      </c>
      <c r="G172" s="0" t="e">
        <f aca="false">sheet1!ase173</f>
        <v>#NAME?</v>
      </c>
      <c r="H172" s="0" t="e">
        <f aca="false">sheet1!asf173</f>
        <v>#NAME?</v>
      </c>
      <c r="I172" s="0" t="e">
        <f aca="false">sheet1!asg173</f>
        <v>#NAME?</v>
      </c>
      <c r="J172" s="0" t="e">
        <f aca="false">sheet1!ash173</f>
        <v>#NAME?</v>
      </c>
      <c r="K172" s="0" t="e">
        <f aca="false">sheet1!asi173</f>
        <v>#NAME?</v>
      </c>
      <c r="L172" s="0" t="e">
        <f aca="false">sheet1!asj173</f>
        <v>#NAME?</v>
      </c>
      <c r="M172" s="0" t="e">
        <f aca="false">sheet1!ask173</f>
        <v>#NAME?</v>
      </c>
    </row>
    <row r="173" customFormat="false" ht="13.5" hidden="false" customHeight="false" outlineLevel="0" collapsed="false">
      <c r="A173" s="0" t="s">
        <v>88</v>
      </c>
      <c r="B173" s="1" t="n">
        <v>44033</v>
      </c>
      <c r="C173" s="0" t="e">
        <f aca="false">sheet1!asa174</f>
        <v>#NAME?</v>
      </c>
      <c r="D173" s="0" t="e">
        <f aca="false">sheet1!asb174</f>
        <v>#NAME?</v>
      </c>
      <c r="E173" s="0" t="e">
        <f aca="false">sheet1!asc174</f>
        <v>#NAME?</v>
      </c>
      <c r="F173" s="0" t="e">
        <f aca="false">sheet1!asd174</f>
        <v>#NAME?</v>
      </c>
      <c r="G173" s="0" t="e">
        <f aca="false">sheet1!ase174</f>
        <v>#NAME?</v>
      </c>
      <c r="H173" s="0" t="e">
        <f aca="false">sheet1!asf174</f>
        <v>#NAME?</v>
      </c>
      <c r="I173" s="0" t="e">
        <f aca="false">sheet1!asg174</f>
        <v>#NAME?</v>
      </c>
      <c r="J173" s="0" t="e">
        <f aca="false">sheet1!ash174</f>
        <v>#NAME?</v>
      </c>
      <c r="K173" s="0" t="e">
        <f aca="false">sheet1!asi174</f>
        <v>#NAME?</v>
      </c>
      <c r="L173" s="0" t="e">
        <f aca="false">sheet1!asj174</f>
        <v>#NAME?</v>
      </c>
      <c r="M173" s="0" t="e">
        <f aca="false">sheet1!ask174</f>
        <v>#NAME?</v>
      </c>
    </row>
    <row r="174" customFormat="false" ht="13.5" hidden="false" customHeight="false" outlineLevel="0" collapsed="false">
      <c r="A174" s="0" t="s">
        <v>88</v>
      </c>
      <c r="B174" s="1" t="n">
        <v>44034</v>
      </c>
      <c r="C174" s="0" t="e">
        <f aca="false">sheet1!asa175</f>
        <v>#NAME?</v>
      </c>
      <c r="D174" s="0" t="e">
        <f aca="false">sheet1!asb175</f>
        <v>#NAME?</v>
      </c>
      <c r="E174" s="0" t="e">
        <f aca="false">sheet1!asc175</f>
        <v>#NAME?</v>
      </c>
      <c r="F174" s="0" t="e">
        <f aca="false">sheet1!asd175</f>
        <v>#NAME?</v>
      </c>
      <c r="G174" s="0" t="e">
        <f aca="false">sheet1!ase175</f>
        <v>#NAME?</v>
      </c>
      <c r="H174" s="0" t="e">
        <f aca="false">sheet1!asf175</f>
        <v>#NAME?</v>
      </c>
      <c r="I174" s="0" t="e">
        <f aca="false">sheet1!asg175</f>
        <v>#NAME?</v>
      </c>
      <c r="J174" s="0" t="e">
        <f aca="false">sheet1!ash175</f>
        <v>#NAME?</v>
      </c>
      <c r="K174" s="0" t="e">
        <f aca="false">sheet1!asi175</f>
        <v>#NAME?</v>
      </c>
      <c r="L174" s="0" t="e">
        <f aca="false">sheet1!asj175</f>
        <v>#NAME?</v>
      </c>
      <c r="M174" s="0" t="e">
        <f aca="false">sheet1!ask175</f>
        <v>#NAME?</v>
      </c>
    </row>
    <row r="175" customFormat="false" ht="13.5" hidden="false" customHeight="false" outlineLevel="0" collapsed="false">
      <c r="A175" s="0" t="s">
        <v>88</v>
      </c>
      <c r="B175" s="1" t="n">
        <v>44035</v>
      </c>
      <c r="C175" s="0" t="e">
        <f aca="false">sheet1!asa176</f>
        <v>#NAME?</v>
      </c>
      <c r="D175" s="0" t="e">
        <f aca="false">sheet1!asb176</f>
        <v>#NAME?</v>
      </c>
      <c r="E175" s="0" t="e">
        <f aca="false">sheet1!asc176</f>
        <v>#NAME?</v>
      </c>
      <c r="F175" s="0" t="e">
        <f aca="false">sheet1!asd176</f>
        <v>#NAME?</v>
      </c>
      <c r="G175" s="0" t="e">
        <f aca="false">sheet1!ase176</f>
        <v>#NAME?</v>
      </c>
      <c r="H175" s="0" t="e">
        <f aca="false">sheet1!asf176</f>
        <v>#NAME?</v>
      </c>
      <c r="I175" s="0" t="e">
        <f aca="false">sheet1!asg176</f>
        <v>#NAME?</v>
      </c>
      <c r="J175" s="0" t="e">
        <f aca="false">sheet1!ash176</f>
        <v>#NAME?</v>
      </c>
      <c r="K175" s="0" t="e">
        <f aca="false">sheet1!asi176</f>
        <v>#NAME?</v>
      </c>
      <c r="L175" s="0" t="e">
        <f aca="false">sheet1!asj176</f>
        <v>#NAME?</v>
      </c>
      <c r="M175" s="0" t="e">
        <f aca="false">sheet1!ask176</f>
        <v>#NAME?</v>
      </c>
    </row>
    <row r="176" customFormat="false" ht="13.5" hidden="false" customHeight="false" outlineLevel="0" collapsed="false">
      <c r="A176" s="0" t="s">
        <v>88</v>
      </c>
      <c r="B176" s="1" t="n">
        <v>44036</v>
      </c>
      <c r="C176" s="0" t="e">
        <f aca="false">sheet1!asa177</f>
        <v>#NAME?</v>
      </c>
      <c r="D176" s="0" t="e">
        <f aca="false">sheet1!asb177</f>
        <v>#NAME?</v>
      </c>
      <c r="E176" s="0" t="e">
        <f aca="false">sheet1!asc177</f>
        <v>#NAME?</v>
      </c>
      <c r="F176" s="0" t="e">
        <f aca="false">sheet1!asd177</f>
        <v>#NAME?</v>
      </c>
      <c r="G176" s="0" t="e">
        <f aca="false">sheet1!ase177</f>
        <v>#NAME?</v>
      </c>
      <c r="H176" s="0" t="e">
        <f aca="false">sheet1!asf177</f>
        <v>#NAME?</v>
      </c>
      <c r="I176" s="0" t="e">
        <f aca="false">sheet1!asg177</f>
        <v>#NAME?</v>
      </c>
      <c r="J176" s="0" t="e">
        <f aca="false">sheet1!ash177</f>
        <v>#NAME?</v>
      </c>
      <c r="K176" s="0" t="e">
        <f aca="false">sheet1!asi177</f>
        <v>#NAME?</v>
      </c>
      <c r="L176" s="0" t="e">
        <f aca="false">sheet1!asj177</f>
        <v>#NAME?</v>
      </c>
      <c r="M176" s="0" t="e">
        <f aca="false">sheet1!ask177</f>
        <v>#NAME?</v>
      </c>
    </row>
    <row r="177" customFormat="false" ht="13.5" hidden="false" customHeight="false" outlineLevel="0" collapsed="false">
      <c r="A177" s="0" t="s">
        <v>88</v>
      </c>
      <c r="B177" s="1" t="n">
        <v>44037</v>
      </c>
      <c r="C177" s="0" t="e">
        <f aca="false">sheet1!asa178</f>
        <v>#NAME?</v>
      </c>
      <c r="D177" s="0" t="e">
        <f aca="false">sheet1!asb178</f>
        <v>#NAME?</v>
      </c>
      <c r="E177" s="0" t="e">
        <f aca="false">sheet1!asc178</f>
        <v>#NAME?</v>
      </c>
      <c r="F177" s="0" t="e">
        <f aca="false">sheet1!asd178</f>
        <v>#NAME?</v>
      </c>
      <c r="G177" s="0" t="e">
        <f aca="false">sheet1!ase178</f>
        <v>#NAME?</v>
      </c>
      <c r="H177" s="0" t="e">
        <f aca="false">sheet1!asf178</f>
        <v>#NAME?</v>
      </c>
      <c r="I177" s="0" t="e">
        <f aca="false">sheet1!asg178</f>
        <v>#NAME?</v>
      </c>
      <c r="J177" s="0" t="e">
        <f aca="false">sheet1!ash178</f>
        <v>#NAME?</v>
      </c>
      <c r="K177" s="0" t="e">
        <f aca="false">sheet1!asi178</f>
        <v>#NAME?</v>
      </c>
      <c r="L177" s="0" t="e">
        <f aca="false">sheet1!asj178</f>
        <v>#NAME?</v>
      </c>
      <c r="M177" s="0" t="e">
        <f aca="false">sheet1!ask178</f>
        <v>#NAME?</v>
      </c>
    </row>
    <row r="178" customFormat="false" ht="13.5" hidden="false" customHeight="false" outlineLevel="0" collapsed="false">
      <c r="A178" s="0" t="s">
        <v>88</v>
      </c>
      <c r="B178" s="1" t="n">
        <v>44038</v>
      </c>
      <c r="C178" s="0" t="e">
        <f aca="false">sheet1!asa179</f>
        <v>#NAME?</v>
      </c>
      <c r="D178" s="0" t="e">
        <f aca="false">sheet1!asb179</f>
        <v>#NAME?</v>
      </c>
      <c r="E178" s="0" t="e">
        <f aca="false">sheet1!asc179</f>
        <v>#NAME?</v>
      </c>
      <c r="F178" s="0" t="e">
        <f aca="false">sheet1!asd179</f>
        <v>#NAME?</v>
      </c>
      <c r="G178" s="0" t="e">
        <f aca="false">sheet1!ase179</f>
        <v>#NAME?</v>
      </c>
      <c r="H178" s="0" t="e">
        <f aca="false">sheet1!asf179</f>
        <v>#NAME?</v>
      </c>
      <c r="I178" s="0" t="e">
        <f aca="false">sheet1!asg179</f>
        <v>#NAME?</v>
      </c>
      <c r="J178" s="0" t="e">
        <f aca="false">sheet1!ash179</f>
        <v>#NAME?</v>
      </c>
      <c r="K178" s="0" t="e">
        <f aca="false">sheet1!asi179</f>
        <v>#NAME?</v>
      </c>
      <c r="L178" s="0" t="e">
        <f aca="false">sheet1!asj179</f>
        <v>#NAME?</v>
      </c>
      <c r="M178" s="0" t="e">
        <f aca="false">sheet1!ask179</f>
        <v>#NAME?</v>
      </c>
    </row>
    <row r="179" customFormat="false" ht="13.5" hidden="false" customHeight="false" outlineLevel="0" collapsed="false">
      <c r="A179" s="0" t="s">
        <v>88</v>
      </c>
      <c r="B179" s="1" t="n">
        <v>44039</v>
      </c>
      <c r="C179" s="0" t="e">
        <f aca="false">sheet1!asa180</f>
        <v>#NAME?</v>
      </c>
      <c r="D179" s="0" t="e">
        <f aca="false">sheet1!asb180</f>
        <v>#NAME?</v>
      </c>
      <c r="E179" s="0" t="e">
        <f aca="false">sheet1!asc180</f>
        <v>#NAME?</v>
      </c>
      <c r="F179" s="0" t="e">
        <f aca="false">sheet1!asd180</f>
        <v>#NAME?</v>
      </c>
      <c r="G179" s="0" t="e">
        <f aca="false">sheet1!ase180</f>
        <v>#NAME?</v>
      </c>
      <c r="H179" s="0" t="e">
        <f aca="false">sheet1!asf180</f>
        <v>#NAME?</v>
      </c>
      <c r="I179" s="0" t="e">
        <f aca="false">sheet1!asg180</f>
        <v>#NAME?</v>
      </c>
      <c r="J179" s="0" t="e">
        <f aca="false">sheet1!ash180</f>
        <v>#NAME?</v>
      </c>
      <c r="K179" s="0" t="e">
        <f aca="false">sheet1!asi180</f>
        <v>#NAME?</v>
      </c>
      <c r="L179" s="0" t="e">
        <f aca="false">sheet1!asj180</f>
        <v>#NAME?</v>
      </c>
      <c r="M179" s="0" t="e">
        <f aca="false">sheet1!ask180</f>
        <v>#NAME?</v>
      </c>
    </row>
    <row r="180" customFormat="false" ht="13.5" hidden="false" customHeight="false" outlineLevel="0" collapsed="false">
      <c r="A180" s="0" t="s">
        <v>88</v>
      </c>
      <c r="B180" s="1" t="n">
        <v>44040</v>
      </c>
      <c r="C180" s="0" t="e">
        <f aca="false">sheet1!asa181</f>
        <v>#NAME?</v>
      </c>
      <c r="D180" s="0" t="e">
        <f aca="false">sheet1!asb181</f>
        <v>#NAME?</v>
      </c>
      <c r="E180" s="0" t="e">
        <f aca="false">sheet1!asc181</f>
        <v>#NAME?</v>
      </c>
      <c r="F180" s="0" t="e">
        <f aca="false">sheet1!asd181</f>
        <v>#NAME?</v>
      </c>
      <c r="G180" s="0" t="e">
        <f aca="false">sheet1!ase181</f>
        <v>#NAME?</v>
      </c>
      <c r="H180" s="0" t="e">
        <f aca="false">sheet1!asf181</f>
        <v>#NAME?</v>
      </c>
      <c r="I180" s="0" t="e">
        <f aca="false">sheet1!asg181</f>
        <v>#NAME?</v>
      </c>
      <c r="J180" s="0" t="e">
        <f aca="false">sheet1!ash181</f>
        <v>#NAME?</v>
      </c>
      <c r="K180" s="0" t="e">
        <f aca="false">sheet1!asi181</f>
        <v>#NAME?</v>
      </c>
      <c r="L180" s="0" t="e">
        <f aca="false">sheet1!asj181</f>
        <v>#NAME?</v>
      </c>
      <c r="M180" s="0" t="e">
        <f aca="false">sheet1!ask181</f>
        <v>#NAME?</v>
      </c>
    </row>
    <row r="181" customFormat="false" ht="13.5" hidden="false" customHeight="false" outlineLevel="0" collapsed="false">
      <c r="A181" s="0" t="s">
        <v>88</v>
      </c>
      <c r="B181" s="1" t="n">
        <v>44041</v>
      </c>
      <c r="C181" s="0" t="e">
        <f aca="false">sheet1!asa182</f>
        <v>#NAME?</v>
      </c>
      <c r="D181" s="0" t="e">
        <f aca="false">sheet1!asb182</f>
        <v>#NAME?</v>
      </c>
      <c r="E181" s="0" t="e">
        <f aca="false">sheet1!asc182</f>
        <v>#NAME?</v>
      </c>
      <c r="F181" s="0" t="e">
        <f aca="false">sheet1!asd182</f>
        <v>#NAME?</v>
      </c>
      <c r="G181" s="0" t="e">
        <f aca="false">sheet1!ase182</f>
        <v>#NAME?</v>
      </c>
      <c r="H181" s="0" t="e">
        <f aca="false">sheet1!asf182</f>
        <v>#NAME?</v>
      </c>
      <c r="I181" s="0" t="e">
        <f aca="false">sheet1!asg182</f>
        <v>#NAME?</v>
      </c>
      <c r="J181" s="0" t="e">
        <f aca="false">sheet1!ash182</f>
        <v>#NAME?</v>
      </c>
      <c r="K181" s="0" t="e">
        <f aca="false">sheet1!asi182</f>
        <v>#NAME?</v>
      </c>
      <c r="L181" s="0" t="e">
        <f aca="false">sheet1!asj182</f>
        <v>#NAME?</v>
      </c>
      <c r="M181" s="0" t="e">
        <f aca="false">sheet1!ask182</f>
        <v>#NAME?</v>
      </c>
    </row>
    <row r="182" customFormat="false" ht="13.5" hidden="false" customHeight="false" outlineLevel="0" collapsed="false">
      <c r="A182" s="0" t="s">
        <v>88</v>
      </c>
      <c r="B182" s="1" t="n">
        <v>44042</v>
      </c>
      <c r="C182" s="0" t="e">
        <f aca="false">sheet1!asa183</f>
        <v>#NAME?</v>
      </c>
      <c r="D182" s="0" t="e">
        <f aca="false">sheet1!asb183</f>
        <v>#NAME?</v>
      </c>
      <c r="E182" s="0" t="e">
        <f aca="false">sheet1!asc183</f>
        <v>#NAME?</v>
      </c>
      <c r="F182" s="0" t="e">
        <f aca="false">sheet1!asd183</f>
        <v>#NAME?</v>
      </c>
      <c r="G182" s="0" t="e">
        <f aca="false">sheet1!ase183</f>
        <v>#NAME?</v>
      </c>
      <c r="H182" s="0" t="e">
        <f aca="false">sheet1!asf183</f>
        <v>#NAME?</v>
      </c>
      <c r="I182" s="0" t="e">
        <f aca="false">sheet1!asg183</f>
        <v>#NAME?</v>
      </c>
      <c r="J182" s="0" t="e">
        <f aca="false">sheet1!ash183</f>
        <v>#NAME?</v>
      </c>
      <c r="K182" s="0" t="e">
        <f aca="false">sheet1!asi183</f>
        <v>#NAME?</v>
      </c>
      <c r="L182" s="0" t="e">
        <f aca="false">sheet1!asj183</f>
        <v>#NAME?</v>
      </c>
      <c r="M182" s="0" t="e">
        <f aca="false">sheet1!ask183</f>
        <v>#NAME?</v>
      </c>
    </row>
    <row r="183" customFormat="false" ht="13.5" hidden="false" customHeight="false" outlineLevel="0" collapsed="false">
      <c r="A183" s="0" t="s">
        <v>88</v>
      </c>
      <c r="B183" s="1" t="n">
        <v>44043</v>
      </c>
      <c r="C183" s="0" t="e">
        <f aca="false">sheet1!asa184</f>
        <v>#NAME?</v>
      </c>
      <c r="D183" s="0" t="e">
        <f aca="false">sheet1!asb184</f>
        <v>#NAME?</v>
      </c>
      <c r="E183" s="0" t="e">
        <f aca="false">sheet1!asc184</f>
        <v>#NAME?</v>
      </c>
      <c r="F183" s="0" t="e">
        <f aca="false">sheet1!asd184</f>
        <v>#NAME?</v>
      </c>
      <c r="G183" s="0" t="e">
        <f aca="false">sheet1!ase184</f>
        <v>#NAME?</v>
      </c>
      <c r="H183" s="0" t="e">
        <f aca="false">sheet1!asf184</f>
        <v>#NAME?</v>
      </c>
      <c r="I183" s="0" t="e">
        <f aca="false">sheet1!asg184</f>
        <v>#NAME?</v>
      </c>
      <c r="J183" s="0" t="e">
        <f aca="false">sheet1!ash184</f>
        <v>#NAME?</v>
      </c>
      <c r="K183" s="0" t="e">
        <f aca="false">sheet1!asi184</f>
        <v>#NAME?</v>
      </c>
      <c r="L183" s="0" t="e">
        <f aca="false">sheet1!asj184</f>
        <v>#NAME?</v>
      </c>
      <c r="M183" s="0" t="e">
        <f aca="false">sheet1!ask184</f>
        <v>#NAME?</v>
      </c>
    </row>
    <row r="184" customFormat="false" ht="13.5" hidden="false" customHeight="false" outlineLevel="0" collapsed="false">
      <c r="A184" s="0" t="s">
        <v>88</v>
      </c>
      <c r="B184" s="1" t="n">
        <v>44044</v>
      </c>
      <c r="C184" s="0" t="e">
        <f aca="false">sheet1!asa185</f>
        <v>#NAME?</v>
      </c>
      <c r="D184" s="0" t="e">
        <f aca="false">sheet1!asb185</f>
        <v>#NAME?</v>
      </c>
      <c r="E184" s="0" t="e">
        <f aca="false">sheet1!asc185</f>
        <v>#NAME?</v>
      </c>
      <c r="F184" s="0" t="e">
        <f aca="false">sheet1!asd185</f>
        <v>#NAME?</v>
      </c>
      <c r="G184" s="0" t="e">
        <f aca="false">sheet1!ase185</f>
        <v>#NAME?</v>
      </c>
      <c r="H184" s="0" t="e">
        <f aca="false">sheet1!asf185</f>
        <v>#NAME?</v>
      </c>
      <c r="I184" s="0" t="e">
        <f aca="false">sheet1!asg185</f>
        <v>#NAME?</v>
      </c>
      <c r="J184" s="0" t="e">
        <f aca="false">sheet1!ash185</f>
        <v>#NAME?</v>
      </c>
      <c r="K184" s="0" t="e">
        <f aca="false">sheet1!asi185</f>
        <v>#NAME?</v>
      </c>
      <c r="L184" s="0" t="e">
        <f aca="false">sheet1!asj185</f>
        <v>#NAME?</v>
      </c>
      <c r="M184" s="0" t="e">
        <f aca="false">sheet1!ask185</f>
        <v>#NAME?</v>
      </c>
    </row>
    <row r="185" customFormat="false" ht="13.5" hidden="false" customHeight="false" outlineLevel="0" collapsed="false">
      <c r="A185" s="0" t="s">
        <v>88</v>
      </c>
      <c r="B185" s="1" t="n">
        <v>44045</v>
      </c>
      <c r="C185" s="0" t="e">
        <f aca="false">sheet1!asa186</f>
        <v>#NAME?</v>
      </c>
      <c r="D185" s="0" t="e">
        <f aca="false">sheet1!asb186</f>
        <v>#NAME?</v>
      </c>
      <c r="E185" s="0" t="e">
        <f aca="false">sheet1!asc186</f>
        <v>#NAME?</v>
      </c>
      <c r="F185" s="0" t="e">
        <f aca="false">sheet1!asd186</f>
        <v>#NAME?</v>
      </c>
      <c r="G185" s="0" t="e">
        <f aca="false">sheet1!ase186</f>
        <v>#NAME?</v>
      </c>
      <c r="H185" s="0" t="e">
        <f aca="false">sheet1!asf186</f>
        <v>#NAME?</v>
      </c>
      <c r="I185" s="0" t="e">
        <f aca="false">sheet1!asg186</f>
        <v>#NAME?</v>
      </c>
      <c r="J185" s="0" t="e">
        <f aca="false">sheet1!ash186</f>
        <v>#NAME?</v>
      </c>
      <c r="K185" s="0" t="e">
        <f aca="false">sheet1!asi186</f>
        <v>#NAME?</v>
      </c>
      <c r="L185" s="0" t="e">
        <f aca="false">sheet1!asj186</f>
        <v>#NAME?</v>
      </c>
      <c r="M185" s="0" t="e">
        <f aca="false">sheet1!ask186</f>
        <v>#NAME?</v>
      </c>
    </row>
    <row r="186" customFormat="false" ht="13.5" hidden="false" customHeight="false" outlineLevel="0" collapsed="false">
      <c r="A186" s="0" t="s">
        <v>88</v>
      </c>
      <c r="B186" s="1" t="n">
        <v>44046</v>
      </c>
      <c r="C186" s="0" t="e">
        <f aca="false">sheet1!asa187</f>
        <v>#NAME?</v>
      </c>
      <c r="D186" s="0" t="e">
        <f aca="false">sheet1!asb187</f>
        <v>#NAME?</v>
      </c>
      <c r="E186" s="0" t="e">
        <f aca="false">sheet1!asc187</f>
        <v>#NAME?</v>
      </c>
      <c r="F186" s="0" t="e">
        <f aca="false">sheet1!asd187</f>
        <v>#NAME?</v>
      </c>
      <c r="G186" s="0" t="e">
        <f aca="false">sheet1!ase187</f>
        <v>#NAME?</v>
      </c>
      <c r="H186" s="0" t="e">
        <f aca="false">sheet1!asf187</f>
        <v>#NAME?</v>
      </c>
      <c r="I186" s="0" t="e">
        <f aca="false">sheet1!asg187</f>
        <v>#NAME?</v>
      </c>
      <c r="J186" s="0" t="e">
        <f aca="false">sheet1!ash187</f>
        <v>#NAME?</v>
      </c>
      <c r="K186" s="0" t="e">
        <f aca="false">sheet1!asi187</f>
        <v>#NAME?</v>
      </c>
      <c r="L186" s="0" t="e">
        <f aca="false">sheet1!asj187</f>
        <v>#NAME?</v>
      </c>
      <c r="M186" s="0" t="e">
        <f aca="false">sheet1!ask187</f>
        <v>#NAME?</v>
      </c>
    </row>
    <row r="187" customFormat="false" ht="13.5" hidden="false" customHeight="false" outlineLevel="0" collapsed="false">
      <c r="A187" s="0" t="s">
        <v>88</v>
      </c>
      <c r="B187" s="1" t="n">
        <v>44047</v>
      </c>
      <c r="C187" s="0" t="e">
        <f aca="false">sheet1!asa188</f>
        <v>#NAME?</v>
      </c>
      <c r="D187" s="0" t="e">
        <f aca="false">sheet1!asb188</f>
        <v>#NAME?</v>
      </c>
      <c r="E187" s="0" t="e">
        <f aca="false">sheet1!asc188</f>
        <v>#NAME?</v>
      </c>
      <c r="F187" s="0" t="e">
        <f aca="false">sheet1!asd188</f>
        <v>#NAME?</v>
      </c>
      <c r="G187" s="0" t="e">
        <f aca="false">sheet1!ase188</f>
        <v>#NAME?</v>
      </c>
      <c r="H187" s="0" t="e">
        <f aca="false">sheet1!asf188</f>
        <v>#NAME?</v>
      </c>
      <c r="I187" s="0" t="e">
        <f aca="false">sheet1!asg188</f>
        <v>#NAME?</v>
      </c>
      <c r="J187" s="0" t="e">
        <f aca="false">sheet1!ash188</f>
        <v>#NAME?</v>
      </c>
      <c r="K187" s="0" t="e">
        <f aca="false">sheet1!asi188</f>
        <v>#NAME?</v>
      </c>
      <c r="L187" s="0" t="e">
        <f aca="false">sheet1!asj188</f>
        <v>#NAME?</v>
      </c>
      <c r="M187" s="0" t="e">
        <f aca="false">sheet1!ask188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89</v>
      </c>
      <c r="B2" s="1" t="n">
        <v>43862</v>
      </c>
    </row>
    <row r="3" customFormat="false" ht="13.5" hidden="false" customHeight="false" outlineLevel="0" collapsed="false">
      <c r="A3" s="0" t="s">
        <v>89</v>
      </c>
      <c r="B3" s="1" t="n">
        <v>43863</v>
      </c>
    </row>
    <row r="4" customFormat="false" ht="13.5" hidden="false" customHeight="false" outlineLevel="0" collapsed="false">
      <c r="A4" s="0" t="s">
        <v>89</v>
      </c>
      <c r="B4" s="1" t="n">
        <v>43864</v>
      </c>
    </row>
    <row r="5" customFormat="false" ht="13.5" hidden="false" customHeight="false" outlineLevel="0" collapsed="false">
      <c r="A5" s="0" t="s">
        <v>89</v>
      </c>
      <c r="B5" s="1" t="n">
        <v>43865</v>
      </c>
    </row>
    <row r="6" customFormat="false" ht="13.5" hidden="false" customHeight="false" outlineLevel="0" collapsed="false">
      <c r="A6" s="0" t="s">
        <v>89</v>
      </c>
      <c r="B6" s="1" t="n">
        <v>43866</v>
      </c>
    </row>
    <row r="7" customFormat="false" ht="13.5" hidden="false" customHeight="false" outlineLevel="0" collapsed="false">
      <c r="A7" s="0" t="s">
        <v>89</v>
      </c>
      <c r="B7" s="1" t="n">
        <v>43867</v>
      </c>
    </row>
    <row r="8" customFormat="false" ht="13.5" hidden="false" customHeight="false" outlineLevel="0" collapsed="false">
      <c r="A8" s="0" t="s">
        <v>89</v>
      </c>
      <c r="B8" s="1" t="n">
        <v>43868</v>
      </c>
    </row>
    <row r="9" customFormat="false" ht="13.5" hidden="false" customHeight="false" outlineLevel="0" collapsed="false">
      <c r="A9" s="0" t="s">
        <v>89</v>
      </c>
      <c r="B9" s="1" t="n">
        <v>43869</v>
      </c>
    </row>
    <row r="10" customFormat="false" ht="13.5" hidden="false" customHeight="false" outlineLevel="0" collapsed="false">
      <c r="A10" s="0" t="s">
        <v>89</v>
      </c>
      <c r="B10" s="1" t="n">
        <v>43870</v>
      </c>
    </row>
    <row r="11" customFormat="false" ht="13.5" hidden="false" customHeight="false" outlineLevel="0" collapsed="false">
      <c r="A11" s="0" t="s">
        <v>89</v>
      </c>
      <c r="B11" s="1" t="n">
        <v>43871</v>
      </c>
    </row>
    <row r="12" customFormat="false" ht="13.5" hidden="false" customHeight="false" outlineLevel="0" collapsed="false">
      <c r="A12" s="0" t="s">
        <v>89</v>
      </c>
      <c r="B12" s="1" t="n">
        <v>43872</v>
      </c>
    </row>
    <row r="13" customFormat="false" ht="13.5" hidden="false" customHeight="false" outlineLevel="0" collapsed="false">
      <c r="A13" s="0" t="s">
        <v>89</v>
      </c>
      <c r="B13" s="1" t="n">
        <v>43873</v>
      </c>
    </row>
    <row r="14" customFormat="false" ht="13.5" hidden="false" customHeight="false" outlineLevel="0" collapsed="false">
      <c r="A14" s="0" t="s">
        <v>89</v>
      </c>
      <c r="B14" s="1" t="n">
        <v>43874</v>
      </c>
    </row>
    <row r="15" customFormat="false" ht="13.5" hidden="false" customHeight="false" outlineLevel="0" collapsed="false">
      <c r="A15" s="0" t="s">
        <v>89</v>
      </c>
      <c r="B15" s="1" t="n">
        <v>43875</v>
      </c>
    </row>
    <row r="16" customFormat="false" ht="13.5" hidden="false" customHeight="false" outlineLevel="0" collapsed="false">
      <c r="A16" s="0" t="s">
        <v>89</v>
      </c>
      <c r="B16" s="1" t="n">
        <v>43876</v>
      </c>
    </row>
    <row r="17" customFormat="false" ht="13.5" hidden="false" customHeight="false" outlineLevel="0" collapsed="false">
      <c r="A17" s="0" t="s">
        <v>89</v>
      </c>
      <c r="B17" s="1" t="n">
        <v>43877</v>
      </c>
    </row>
    <row r="18" customFormat="false" ht="13.5" hidden="false" customHeight="false" outlineLevel="0" collapsed="false">
      <c r="A18" s="0" t="s">
        <v>89</v>
      </c>
      <c r="B18" s="1" t="n">
        <v>43878</v>
      </c>
    </row>
    <row r="19" customFormat="false" ht="13.5" hidden="false" customHeight="false" outlineLevel="0" collapsed="false">
      <c r="A19" s="0" t="s">
        <v>89</v>
      </c>
      <c r="B19" s="1" t="n">
        <v>43879</v>
      </c>
    </row>
    <row r="20" customFormat="false" ht="13.5" hidden="false" customHeight="false" outlineLevel="0" collapsed="false">
      <c r="A20" s="0" t="s">
        <v>89</v>
      </c>
      <c r="B20" s="1" t="n">
        <v>43880</v>
      </c>
    </row>
    <row r="21" customFormat="false" ht="13.5" hidden="false" customHeight="false" outlineLevel="0" collapsed="false">
      <c r="A21" s="0" t="s">
        <v>89</v>
      </c>
      <c r="B21" s="1" t="n">
        <v>43881</v>
      </c>
    </row>
    <row r="22" customFormat="false" ht="13.5" hidden="false" customHeight="false" outlineLevel="0" collapsed="false">
      <c r="A22" s="0" t="s">
        <v>89</v>
      </c>
      <c r="B22" s="1" t="n">
        <v>43882</v>
      </c>
    </row>
    <row r="23" customFormat="false" ht="13.5" hidden="false" customHeight="false" outlineLevel="0" collapsed="false">
      <c r="A23" s="0" t="s">
        <v>89</v>
      </c>
      <c r="B23" s="1" t="n">
        <v>43883</v>
      </c>
    </row>
    <row r="24" customFormat="false" ht="13.5" hidden="false" customHeight="false" outlineLevel="0" collapsed="false">
      <c r="A24" s="0" t="s">
        <v>89</v>
      </c>
      <c r="B24" s="1" t="n">
        <v>43884</v>
      </c>
    </row>
    <row r="25" customFormat="false" ht="13.5" hidden="false" customHeight="false" outlineLevel="0" collapsed="false">
      <c r="A25" s="0" t="s">
        <v>89</v>
      </c>
      <c r="B25" s="1" t="n">
        <v>43885</v>
      </c>
    </row>
    <row r="26" customFormat="false" ht="13.5" hidden="false" customHeight="false" outlineLevel="0" collapsed="false">
      <c r="A26" s="0" t="s">
        <v>89</v>
      </c>
      <c r="B26" s="1" t="n">
        <v>43886</v>
      </c>
    </row>
    <row r="27" customFormat="false" ht="13.5" hidden="false" customHeight="false" outlineLevel="0" collapsed="false">
      <c r="A27" s="0" t="s">
        <v>89</v>
      </c>
      <c r="B27" s="1" t="n">
        <v>43887</v>
      </c>
    </row>
    <row r="28" customFormat="false" ht="13.5" hidden="false" customHeight="false" outlineLevel="0" collapsed="false">
      <c r="A28" s="0" t="s">
        <v>89</v>
      </c>
      <c r="B28" s="1" t="n">
        <v>43888</v>
      </c>
    </row>
    <row r="29" customFormat="false" ht="13.5" hidden="false" customHeight="false" outlineLevel="0" collapsed="false">
      <c r="A29" s="0" t="s">
        <v>89</v>
      </c>
      <c r="B29" s="1" t="n">
        <v>43889</v>
      </c>
    </row>
    <row r="30" customFormat="false" ht="13.5" hidden="false" customHeight="false" outlineLevel="0" collapsed="false">
      <c r="A30" s="0" t="s">
        <v>89</v>
      </c>
      <c r="B30" s="1" t="n">
        <v>43890</v>
      </c>
    </row>
    <row r="31" customFormat="false" ht="13.5" hidden="false" customHeight="false" outlineLevel="0" collapsed="false">
      <c r="A31" s="0" t="s">
        <v>89</v>
      </c>
      <c r="B31" s="1" t="n">
        <v>43891</v>
      </c>
    </row>
    <row r="32" customFormat="false" ht="13.5" hidden="false" customHeight="false" outlineLevel="0" collapsed="false">
      <c r="A32" s="0" t="s">
        <v>89</v>
      </c>
      <c r="B32" s="1" t="n">
        <v>43892</v>
      </c>
    </row>
    <row r="33" customFormat="false" ht="13.5" hidden="false" customHeight="false" outlineLevel="0" collapsed="false">
      <c r="A33" s="0" t="s">
        <v>89</v>
      </c>
      <c r="B33" s="1" t="n">
        <v>43893</v>
      </c>
    </row>
    <row r="34" customFormat="false" ht="13.5" hidden="false" customHeight="false" outlineLevel="0" collapsed="false">
      <c r="A34" s="0" t="s">
        <v>89</v>
      </c>
      <c r="B34" s="1" t="n">
        <v>43894</v>
      </c>
    </row>
    <row r="35" customFormat="false" ht="13.5" hidden="false" customHeight="false" outlineLevel="0" collapsed="false">
      <c r="A35" s="0" t="s">
        <v>89</v>
      </c>
      <c r="B35" s="1" t="n">
        <v>43895</v>
      </c>
    </row>
    <row r="36" customFormat="false" ht="13.5" hidden="false" customHeight="false" outlineLevel="0" collapsed="false">
      <c r="A36" s="0" t="s">
        <v>89</v>
      </c>
      <c r="B36" s="1" t="n">
        <v>43896</v>
      </c>
    </row>
    <row r="37" customFormat="false" ht="13.5" hidden="false" customHeight="false" outlineLevel="0" collapsed="false">
      <c r="A37" s="0" t="s">
        <v>89</v>
      </c>
      <c r="B37" s="1" t="n">
        <v>43897</v>
      </c>
    </row>
    <row r="38" customFormat="false" ht="13.5" hidden="false" customHeight="false" outlineLevel="0" collapsed="false">
      <c r="A38" s="0" t="s">
        <v>89</v>
      </c>
      <c r="B38" s="1" t="n">
        <v>43898</v>
      </c>
    </row>
    <row r="39" customFormat="false" ht="13.5" hidden="false" customHeight="false" outlineLevel="0" collapsed="false">
      <c r="A39" s="0" t="s">
        <v>89</v>
      </c>
      <c r="B39" s="1" t="n">
        <v>43899</v>
      </c>
    </row>
    <row r="40" customFormat="false" ht="13.5" hidden="false" customHeight="false" outlineLevel="0" collapsed="false">
      <c r="A40" s="0" t="s">
        <v>89</v>
      </c>
      <c r="B40" s="1" t="n">
        <v>43900</v>
      </c>
    </row>
    <row r="41" customFormat="false" ht="13.5" hidden="false" customHeight="false" outlineLevel="0" collapsed="false">
      <c r="A41" s="0" t="s">
        <v>89</v>
      </c>
      <c r="B41" s="1" t="n">
        <v>43901</v>
      </c>
    </row>
    <row r="42" customFormat="false" ht="13.5" hidden="false" customHeight="false" outlineLevel="0" collapsed="false">
      <c r="A42" s="0" t="s">
        <v>89</v>
      </c>
      <c r="B42" s="1" t="n">
        <v>43902</v>
      </c>
      <c r="C42" s="0" t="n">
        <v>2</v>
      </c>
      <c r="D42" s="0" t="n">
        <v>2</v>
      </c>
      <c r="H42" s="0" t="n">
        <v>2</v>
      </c>
      <c r="J42" s="0" t="n">
        <v>0.2</v>
      </c>
    </row>
    <row r="43" customFormat="false" ht="13.5" hidden="false" customHeight="false" outlineLevel="0" collapsed="false">
      <c r="A43" s="0" t="s">
        <v>89</v>
      </c>
      <c r="B43" s="1" t="n">
        <v>43903</v>
      </c>
      <c r="C43" s="0" t="n">
        <v>3</v>
      </c>
      <c r="D43" s="0" t="n">
        <v>1</v>
      </c>
      <c r="H43" s="0" t="n">
        <v>3</v>
      </c>
      <c r="J43" s="0" t="n">
        <v>0.3</v>
      </c>
    </row>
    <row r="44" customFormat="false" ht="13.5" hidden="false" customHeight="false" outlineLevel="0" collapsed="false">
      <c r="A44" s="0" t="s">
        <v>89</v>
      </c>
      <c r="B44" s="1" t="n">
        <v>43904</v>
      </c>
      <c r="C44" s="0" t="n">
        <v>3</v>
      </c>
      <c r="D44" s="0" t="n">
        <v>0</v>
      </c>
      <c r="H44" s="0" t="n">
        <v>3</v>
      </c>
      <c r="J44" s="0" t="n">
        <v>0.3</v>
      </c>
    </row>
    <row r="45" customFormat="false" ht="13.5" hidden="false" customHeight="false" outlineLevel="0" collapsed="false">
      <c r="A45" s="0" t="s">
        <v>89</v>
      </c>
      <c r="B45" s="1" t="n">
        <v>43905</v>
      </c>
      <c r="C45" s="0" t="n">
        <v>10</v>
      </c>
      <c r="D45" s="0" t="n">
        <v>7</v>
      </c>
      <c r="H45" s="0" t="n">
        <v>10</v>
      </c>
      <c r="J45" s="0" t="n">
        <v>0.9</v>
      </c>
    </row>
    <row r="46" customFormat="false" ht="13.5" hidden="false" customHeight="false" outlineLevel="0" collapsed="false">
      <c r="A46" s="0" t="s">
        <v>89</v>
      </c>
      <c r="B46" s="1" t="n">
        <v>43906</v>
      </c>
      <c r="C46" s="0" t="n">
        <v>10</v>
      </c>
      <c r="D46" s="0" t="n">
        <v>0</v>
      </c>
      <c r="H46" s="0" t="n">
        <v>10</v>
      </c>
      <c r="J46" s="0" t="n">
        <v>0.9</v>
      </c>
    </row>
    <row r="47" customFormat="false" ht="13.5" hidden="false" customHeight="false" outlineLevel="0" collapsed="false">
      <c r="A47" s="0" t="s">
        <v>89</v>
      </c>
      <c r="B47" s="1" t="n">
        <v>43907</v>
      </c>
      <c r="C47" s="0" t="n">
        <v>11</v>
      </c>
      <c r="D47" s="0" t="n">
        <v>1</v>
      </c>
      <c r="H47" s="0" t="n">
        <v>11</v>
      </c>
      <c r="J47" s="0" t="n">
        <v>0.9</v>
      </c>
    </row>
    <row r="48" customFormat="false" ht="13.5" hidden="false" customHeight="false" outlineLevel="0" collapsed="false">
      <c r="A48" s="0" t="s">
        <v>89</v>
      </c>
      <c r="B48" s="1" t="n">
        <v>43908</v>
      </c>
      <c r="C48" s="0" t="n">
        <v>12</v>
      </c>
      <c r="D48" s="0" t="n">
        <v>1</v>
      </c>
      <c r="H48" s="0" t="n">
        <v>12</v>
      </c>
      <c r="J48" s="0" t="n">
        <v>1</v>
      </c>
    </row>
    <row r="49" customFormat="false" ht="13.5" hidden="false" customHeight="false" outlineLevel="0" collapsed="false">
      <c r="A49" s="0" t="s">
        <v>89</v>
      </c>
      <c r="B49" s="1" t="n">
        <v>43909</v>
      </c>
      <c r="C49" s="0" t="n">
        <v>12</v>
      </c>
      <c r="D49" s="0" t="n">
        <v>0</v>
      </c>
      <c r="H49" s="0" t="n">
        <v>12</v>
      </c>
      <c r="J49" s="0" t="n">
        <v>1</v>
      </c>
    </row>
    <row r="50" customFormat="false" ht="13.5" hidden="false" customHeight="false" outlineLevel="0" collapsed="false">
      <c r="A50" s="0" t="s">
        <v>89</v>
      </c>
      <c r="B50" s="1" t="n">
        <v>43910</v>
      </c>
      <c r="C50" s="0" t="n">
        <v>15</v>
      </c>
      <c r="D50" s="0" t="n">
        <v>3</v>
      </c>
      <c r="H50" s="0" t="n">
        <v>15</v>
      </c>
      <c r="J50" s="0" t="n">
        <v>1</v>
      </c>
    </row>
    <row r="51" customFormat="false" ht="13.5" hidden="false" customHeight="false" outlineLevel="0" collapsed="false">
      <c r="A51" s="0" t="s">
        <v>89</v>
      </c>
      <c r="B51" s="1" t="n">
        <v>43911</v>
      </c>
      <c r="C51" s="0" t="n">
        <v>19</v>
      </c>
      <c r="D51" s="0" t="n">
        <v>4</v>
      </c>
      <c r="H51" s="0" t="n">
        <v>19</v>
      </c>
      <c r="J51" s="0" t="n">
        <v>2</v>
      </c>
    </row>
    <row r="52" customFormat="false" ht="13.5" hidden="false" customHeight="false" outlineLevel="0" collapsed="false">
      <c r="A52" s="0" t="s">
        <v>89</v>
      </c>
      <c r="B52" s="1" t="n">
        <v>43912</v>
      </c>
      <c r="C52" s="0" t="n">
        <v>19</v>
      </c>
      <c r="D52" s="0" t="n">
        <v>0</v>
      </c>
      <c r="H52" s="0" t="n">
        <v>19</v>
      </c>
      <c r="J52" s="0" t="n">
        <v>2</v>
      </c>
    </row>
    <row r="53" customFormat="false" ht="13.5" hidden="false" customHeight="false" outlineLevel="0" collapsed="false">
      <c r="A53" s="0" t="s">
        <v>89</v>
      </c>
      <c r="B53" s="1" t="n">
        <v>43913</v>
      </c>
      <c r="C53" s="0" t="n">
        <v>24</v>
      </c>
      <c r="D53" s="0" t="n">
        <v>5</v>
      </c>
      <c r="H53" s="0" t="n">
        <v>24</v>
      </c>
      <c r="J53" s="0" t="n">
        <v>2</v>
      </c>
    </row>
    <row r="54" customFormat="false" ht="13.5" hidden="false" customHeight="false" outlineLevel="0" collapsed="false">
      <c r="A54" s="0" t="s">
        <v>89</v>
      </c>
      <c r="B54" s="1" t="n">
        <v>43914</v>
      </c>
      <c r="C54" s="0" t="n">
        <v>27</v>
      </c>
      <c r="D54" s="0" t="n">
        <v>3</v>
      </c>
      <c r="H54" s="0" t="n">
        <v>27</v>
      </c>
      <c r="J54" s="0" t="n">
        <v>2</v>
      </c>
    </row>
    <row r="55" customFormat="false" ht="13.5" hidden="false" customHeight="false" outlineLevel="0" collapsed="false">
      <c r="A55" s="0" t="s">
        <v>89</v>
      </c>
      <c r="B55" s="1" t="n">
        <v>43915</v>
      </c>
      <c r="C55" s="0" t="n">
        <v>29</v>
      </c>
      <c r="D55" s="0" t="n">
        <v>2</v>
      </c>
      <c r="H55" s="0" t="n">
        <v>29</v>
      </c>
      <c r="J55" s="0" t="n">
        <v>2</v>
      </c>
    </row>
    <row r="56" customFormat="false" ht="13.5" hidden="false" customHeight="false" outlineLevel="0" collapsed="false">
      <c r="A56" s="0" t="s">
        <v>89</v>
      </c>
      <c r="B56" s="1" t="n">
        <v>43916</v>
      </c>
      <c r="C56" s="0" t="n">
        <v>32</v>
      </c>
      <c r="D56" s="0" t="n">
        <v>3</v>
      </c>
      <c r="H56" s="0" t="n">
        <v>32</v>
      </c>
      <c r="J56" s="0" t="n">
        <v>3</v>
      </c>
    </row>
    <row r="57" customFormat="false" ht="13.5" hidden="false" customHeight="false" outlineLevel="0" collapsed="false">
      <c r="A57" s="0" t="s">
        <v>89</v>
      </c>
      <c r="B57" s="1" t="n">
        <v>43917</v>
      </c>
      <c r="C57" s="0" t="n">
        <v>43</v>
      </c>
      <c r="D57" s="0" t="n">
        <v>11</v>
      </c>
      <c r="H57" s="0" t="n">
        <v>43</v>
      </c>
      <c r="J57" s="0" t="n">
        <v>4</v>
      </c>
    </row>
    <row r="58" customFormat="false" ht="13.5" hidden="false" customHeight="false" outlineLevel="0" collapsed="false">
      <c r="A58" s="0" t="s">
        <v>89</v>
      </c>
      <c r="B58" s="1" t="n">
        <v>43918</v>
      </c>
      <c r="C58" s="0" t="n">
        <v>61</v>
      </c>
      <c r="D58" s="0" t="n">
        <v>18</v>
      </c>
      <c r="H58" s="0" t="n">
        <v>61</v>
      </c>
      <c r="J58" s="0" t="n">
        <v>5</v>
      </c>
    </row>
    <row r="59" customFormat="false" ht="13.5" hidden="false" customHeight="false" outlineLevel="0" collapsed="false">
      <c r="A59" s="0" t="s">
        <v>89</v>
      </c>
      <c r="B59" s="1" t="n">
        <v>43919</v>
      </c>
      <c r="C59" s="0" t="n">
        <v>74</v>
      </c>
      <c r="D59" s="0" t="n">
        <v>13</v>
      </c>
      <c r="H59" s="0" t="n">
        <v>74</v>
      </c>
      <c r="J59" s="0" t="n">
        <v>6</v>
      </c>
    </row>
    <row r="60" customFormat="false" ht="13.5" hidden="false" customHeight="false" outlineLevel="0" collapsed="false">
      <c r="A60" s="0" t="s">
        <v>89</v>
      </c>
      <c r="B60" s="1" t="n">
        <v>43920</v>
      </c>
      <c r="C60" s="0" t="n">
        <v>81</v>
      </c>
      <c r="D60" s="0" t="n">
        <v>7</v>
      </c>
      <c r="E60" s="0" t="n">
        <v>1</v>
      </c>
      <c r="F60" s="0" t="n">
        <v>1</v>
      </c>
      <c r="H60" s="0" t="n">
        <v>80</v>
      </c>
      <c r="I60" s="0" t="n">
        <v>3</v>
      </c>
      <c r="J60" s="0" t="n">
        <v>7</v>
      </c>
      <c r="K60" s="0" t="n">
        <v>0.09</v>
      </c>
    </row>
    <row r="61" customFormat="false" ht="13.5" hidden="false" customHeight="false" outlineLevel="0" collapsed="false">
      <c r="A61" s="0" t="s">
        <v>89</v>
      </c>
      <c r="B61" s="1" t="n">
        <v>43921</v>
      </c>
      <c r="C61" s="0" t="n">
        <v>97</v>
      </c>
      <c r="D61" s="0" t="n">
        <v>16</v>
      </c>
      <c r="E61" s="0" t="n">
        <v>4</v>
      </c>
      <c r="F61" s="0" t="n">
        <v>3</v>
      </c>
      <c r="H61" s="0" t="n">
        <v>93</v>
      </c>
      <c r="I61" s="0" t="n">
        <v>3</v>
      </c>
      <c r="J61" s="0" t="n">
        <v>8</v>
      </c>
      <c r="K61" s="0" t="n">
        <v>0.3</v>
      </c>
    </row>
    <row r="62" customFormat="false" ht="13.5" hidden="false" customHeight="false" outlineLevel="0" collapsed="false">
      <c r="A62" s="0" t="s">
        <v>89</v>
      </c>
      <c r="B62" s="1" t="n">
        <v>43922</v>
      </c>
      <c r="C62" s="0" t="n">
        <v>107</v>
      </c>
      <c r="D62" s="0" t="n">
        <v>10</v>
      </c>
      <c r="E62" s="0" t="n">
        <v>6</v>
      </c>
      <c r="F62" s="0" t="n">
        <v>2</v>
      </c>
      <c r="H62" s="0" t="n">
        <v>101</v>
      </c>
      <c r="I62" s="0" t="n">
        <v>3</v>
      </c>
      <c r="J62" s="0" t="n">
        <v>9</v>
      </c>
      <c r="K62" s="0" t="n">
        <v>0.5</v>
      </c>
    </row>
    <row r="63" customFormat="false" ht="13.5" hidden="false" customHeight="false" outlineLevel="0" collapsed="false">
      <c r="A63" s="0" t="s">
        <v>89</v>
      </c>
      <c r="B63" s="1" t="n">
        <v>43923</v>
      </c>
      <c r="C63" s="0" t="n">
        <v>115</v>
      </c>
      <c r="D63" s="0" t="n">
        <v>8</v>
      </c>
      <c r="E63" s="0" t="n">
        <v>7</v>
      </c>
      <c r="F63" s="0" t="n">
        <v>1</v>
      </c>
      <c r="G63" s="0" t="n">
        <v>1</v>
      </c>
      <c r="H63" s="0" t="n">
        <v>107</v>
      </c>
      <c r="I63" s="0" t="n">
        <v>3</v>
      </c>
      <c r="J63" s="0" t="n">
        <v>10</v>
      </c>
      <c r="K63" s="0" t="n">
        <v>0.6</v>
      </c>
    </row>
    <row r="64" customFormat="false" ht="13.5" hidden="false" customHeight="false" outlineLevel="0" collapsed="false">
      <c r="A64" s="0" t="s">
        <v>89</v>
      </c>
      <c r="B64" s="1" t="n">
        <v>43924</v>
      </c>
      <c r="C64" s="0" t="n">
        <v>123</v>
      </c>
      <c r="D64" s="0" t="n">
        <v>8</v>
      </c>
      <c r="E64" s="0" t="n">
        <v>8</v>
      </c>
      <c r="F64" s="0" t="n">
        <v>1</v>
      </c>
      <c r="G64" s="0" t="n">
        <v>1</v>
      </c>
      <c r="H64" s="0" t="n">
        <v>114</v>
      </c>
      <c r="I64" s="0" t="n">
        <v>3</v>
      </c>
      <c r="J64" s="0" t="n">
        <v>11</v>
      </c>
      <c r="K64" s="0" t="n">
        <v>0.7</v>
      </c>
    </row>
    <row r="65" customFormat="false" ht="13.5" hidden="false" customHeight="false" outlineLevel="0" collapsed="false">
      <c r="A65" s="0" t="s">
        <v>89</v>
      </c>
      <c r="B65" s="1" t="n">
        <v>43925</v>
      </c>
      <c r="C65" s="0" t="n">
        <v>132</v>
      </c>
      <c r="D65" s="0" t="n">
        <v>9</v>
      </c>
      <c r="E65" s="0" t="n">
        <v>9</v>
      </c>
      <c r="F65" s="0" t="n">
        <v>1</v>
      </c>
      <c r="G65" s="0" t="n">
        <v>1</v>
      </c>
      <c r="H65" s="0" t="n">
        <v>122</v>
      </c>
      <c r="I65" s="0" t="n">
        <v>3</v>
      </c>
      <c r="J65" s="0" t="n">
        <v>11</v>
      </c>
      <c r="K65" s="0" t="n">
        <v>0.8</v>
      </c>
    </row>
    <row r="66" customFormat="false" ht="13.5" hidden="false" customHeight="false" outlineLevel="0" collapsed="false">
      <c r="A66" s="0" t="s">
        <v>89</v>
      </c>
      <c r="B66" s="1" t="n">
        <v>43926</v>
      </c>
      <c r="C66" s="0" t="n">
        <v>139</v>
      </c>
      <c r="D66" s="0" t="n">
        <v>7</v>
      </c>
      <c r="E66" s="0" t="n">
        <v>10</v>
      </c>
      <c r="F66" s="0" t="n">
        <v>1</v>
      </c>
      <c r="G66" s="0" t="n">
        <v>1</v>
      </c>
      <c r="H66" s="0" t="n">
        <v>128</v>
      </c>
      <c r="I66" s="0" t="n">
        <v>3</v>
      </c>
      <c r="J66" s="0" t="n">
        <v>12</v>
      </c>
      <c r="K66" s="0" t="n">
        <v>0.9</v>
      </c>
      <c r="L66" s="0" t="n">
        <v>591</v>
      </c>
      <c r="M66" s="0" t="n">
        <v>51</v>
      </c>
    </row>
    <row r="67" customFormat="false" ht="13.5" hidden="false" customHeight="false" outlineLevel="0" collapsed="false">
      <c r="A67" s="0" t="s">
        <v>89</v>
      </c>
      <c r="B67" s="1" t="n">
        <v>43927</v>
      </c>
      <c r="C67" s="0" t="n">
        <v>157</v>
      </c>
      <c r="D67" s="0" t="n">
        <v>18</v>
      </c>
      <c r="E67" s="0" t="n">
        <v>10</v>
      </c>
      <c r="F67" s="0" t="n">
        <v>0</v>
      </c>
      <c r="G67" s="0" t="n">
        <v>2</v>
      </c>
      <c r="H67" s="0" t="n">
        <v>145</v>
      </c>
      <c r="I67" s="0" t="n">
        <v>3</v>
      </c>
      <c r="J67" s="0" t="n">
        <v>13</v>
      </c>
      <c r="K67" s="0" t="n">
        <v>0.9</v>
      </c>
      <c r="L67" s="0" t="n">
        <v>591</v>
      </c>
      <c r="M67" s="0" t="n">
        <v>51</v>
      </c>
    </row>
    <row r="68" customFormat="false" ht="13.5" hidden="false" customHeight="false" outlineLevel="0" collapsed="false">
      <c r="A68" s="0" t="s">
        <v>89</v>
      </c>
      <c r="B68" s="1" t="n">
        <v>43928</v>
      </c>
      <c r="C68" s="0" t="n">
        <v>183</v>
      </c>
      <c r="D68" s="0" t="n">
        <v>26</v>
      </c>
      <c r="E68" s="0" t="n">
        <v>11</v>
      </c>
      <c r="F68" s="0" t="n">
        <v>1</v>
      </c>
      <c r="G68" s="0" t="n">
        <v>2</v>
      </c>
      <c r="H68" s="0" t="n">
        <v>170</v>
      </c>
      <c r="I68" s="0" t="n">
        <v>3</v>
      </c>
      <c r="J68" s="0" t="n">
        <v>16</v>
      </c>
      <c r="K68" s="0" t="n">
        <v>0.9</v>
      </c>
      <c r="L68" s="0" t="n">
        <v>591</v>
      </c>
      <c r="M68" s="0" t="n">
        <v>51</v>
      </c>
    </row>
    <row r="69" customFormat="false" ht="13.5" hidden="false" customHeight="false" outlineLevel="0" collapsed="false">
      <c r="A69" s="0" t="s">
        <v>89</v>
      </c>
      <c r="B69" s="1" t="n">
        <v>43929</v>
      </c>
      <c r="C69" s="0" t="n">
        <v>194</v>
      </c>
      <c r="D69" s="0" t="n">
        <v>11</v>
      </c>
      <c r="E69" s="0" t="n">
        <v>14</v>
      </c>
      <c r="F69" s="0" t="n">
        <v>3</v>
      </c>
      <c r="G69" s="0" t="n">
        <v>2</v>
      </c>
      <c r="H69" s="0" t="n">
        <v>178</v>
      </c>
      <c r="I69" s="0" t="n">
        <v>3</v>
      </c>
      <c r="J69" s="0" t="n">
        <v>17</v>
      </c>
      <c r="K69" s="0" t="n">
        <v>1</v>
      </c>
      <c r="L69" s="0" t="n">
        <v>591</v>
      </c>
      <c r="M69" s="0" t="n">
        <v>51</v>
      </c>
    </row>
    <row r="70" customFormat="false" ht="13.5" hidden="false" customHeight="false" outlineLevel="0" collapsed="false">
      <c r="A70" s="0" t="s">
        <v>89</v>
      </c>
      <c r="B70" s="1" t="n">
        <v>43930</v>
      </c>
      <c r="C70" s="0" t="n">
        <v>210</v>
      </c>
      <c r="D70" s="0" t="n">
        <v>16</v>
      </c>
      <c r="E70" s="0" t="n">
        <v>15</v>
      </c>
      <c r="F70" s="0" t="n">
        <v>1</v>
      </c>
      <c r="G70" s="0" t="n">
        <v>2</v>
      </c>
      <c r="H70" s="0" t="n">
        <v>193</v>
      </c>
      <c r="I70" s="0" t="n">
        <v>3</v>
      </c>
      <c r="J70" s="0" t="n">
        <v>18</v>
      </c>
      <c r="K70" s="0" t="n">
        <v>1</v>
      </c>
      <c r="L70" s="0" t="n">
        <v>591</v>
      </c>
      <c r="M70" s="0" t="n">
        <v>51</v>
      </c>
    </row>
    <row r="71" customFormat="false" ht="13.5" hidden="false" customHeight="false" outlineLevel="0" collapsed="false">
      <c r="A71" s="0" t="s">
        <v>89</v>
      </c>
      <c r="B71" s="1" t="n">
        <v>43931</v>
      </c>
      <c r="C71" s="0" t="n">
        <v>264</v>
      </c>
      <c r="D71" s="0" t="n">
        <v>54</v>
      </c>
      <c r="E71" s="0" t="n">
        <v>18</v>
      </c>
      <c r="F71" s="0" t="n">
        <v>3</v>
      </c>
      <c r="G71" s="0" t="n">
        <v>2</v>
      </c>
      <c r="H71" s="0" t="n">
        <v>244</v>
      </c>
      <c r="I71" s="0" t="n">
        <v>3</v>
      </c>
      <c r="J71" s="0" t="n">
        <v>23</v>
      </c>
      <c r="K71" s="0" t="n">
        <v>2</v>
      </c>
      <c r="L71" s="0" t="n">
        <v>591</v>
      </c>
      <c r="M71" s="0" t="n">
        <v>51</v>
      </c>
    </row>
    <row r="72" customFormat="false" ht="13.5" hidden="false" customHeight="false" outlineLevel="0" collapsed="false">
      <c r="A72" s="0" t="s">
        <v>89</v>
      </c>
      <c r="B72" s="1" t="n">
        <v>43932</v>
      </c>
      <c r="C72" s="0" t="n">
        <v>268</v>
      </c>
      <c r="D72" s="0" t="n">
        <v>4</v>
      </c>
      <c r="E72" s="0" t="n">
        <v>19</v>
      </c>
      <c r="F72" s="0" t="n">
        <v>1</v>
      </c>
      <c r="G72" s="0" t="n">
        <v>2</v>
      </c>
      <c r="H72" s="0" t="n">
        <v>247</v>
      </c>
      <c r="I72" s="0" t="n">
        <v>3</v>
      </c>
      <c r="J72" s="0" t="n">
        <v>23</v>
      </c>
      <c r="K72" s="0" t="n">
        <v>2</v>
      </c>
      <c r="L72" s="0" t="n">
        <v>591</v>
      </c>
      <c r="M72" s="0" t="n">
        <v>51</v>
      </c>
    </row>
    <row r="73" customFormat="false" ht="13.5" hidden="false" customHeight="false" outlineLevel="0" collapsed="false">
      <c r="A73" s="0" t="s">
        <v>89</v>
      </c>
      <c r="B73" s="1" t="n">
        <v>43933</v>
      </c>
      <c r="C73" s="0" t="n">
        <v>275</v>
      </c>
      <c r="D73" s="0" t="n">
        <v>7</v>
      </c>
      <c r="E73" s="0" t="n">
        <v>20</v>
      </c>
      <c r="F73" s="0" t="n">
        <v>1</v>
      </c>
      <c r="G73" s="0" t="n">
        <v>2</v>
      </c>
      <c r="H73" s="0" t="n">
        <v>253</v>
      </c>
      <c r="I73" s="0" t="n">
        <v>3</v>
      </c>
      <c r="J73" s="0" t="n">
        <v>24</v>
      </c>
      <c r="K73" s="0" t="n">
        <v>2</v>
      </c>
      <c r="L73" s="0" t="n">
        <v>591</v>
      </c>
      <c r="M73" s="0" t="n">
        <v>51</v>
      </c>
    </row>
    <row r="74" customFormat="false" ht="13.5" hidden="false" customHeight="false" outlineLevel="0" collapsed="false">
      <c r="A74" s="0" t="s">
        <v>89</v>
      </c>
      <c r="B74" s="1" t="n">
        <v>43934</v>
      </c>
      <c r="C74" s="0" t="n">
        <v>300</v>
      </c>
      <c r="D74" s="0" t="n">
        <v>25</v>
      </c>
      <c r="E74" s="0" t="n">
        <v>24</v>
      </c>
      <c r="F74" s="0" t="n">
        <v>4</v>
      </c>
      <c r="G74" s="0" t="n">
        <v>2</v>
      </c>
      <c r="H74" s="0" t="n">
        <v>274</v>
      </c>
      <c r="I74" s="0" t="n">
        <v>3</v>
      </c>
      <c r="J74" s="0" t="n">
        <v>26</v>
      </c>
      <c r="K74" s="0" t="n">
        <v>2</v>
      </c>
      <c r="L74" s="0" t="n">
        <v>2185</v>
      </c>
      <c r="M74" s="0" t="n">
        <v>187</v>
      </c>
    </row>
    <row r="75" customFormat="false" ht="13.5" hidden="false" customHeight="false" outlineLevel="0" collapsed="false">
      <c r="A75" s="0" t="s">
        <v>89</v>
      </c>
      <c r="B75" s="1" t="n">
        <v>43935</v>
      </c>
      <c r="C75" s="0" t="n">
        <v>330</v>
      </c>
      <c r="D75" s="0" t="n">
        <v>30</v>
      </c>
      <c r="E75" s="0" t="n">
        <v>27</v>
      </c>
      <c r="F75" s="0" t="n">
        <v>3</v>
      </c>
      <c r="G75" s="0" t="n">
        <v>2</v>
      </c>
      <c r="H75" s="0" t="n">
        <v>301</v>
      </c>
      <c r="I75" s="0" t="n">
        <v>3</v>
      </c>
      <c r="J75" s="0" t="n">
        <v>28</v>
      </c>
      <c r="K75" s="0" t="n">
        <v>2</v>
      </c>
      <c r="L75" s="0" t="n">
        <v>2185</v>
      </c>
      <c r="M75" s="0" t="n">
        <v>187</v>
      </c>
    </row>
    <row r="76" customFormat="false" ht="13.5" hidden="false" customHeight="false" outlineLevel="0" collapsed="false">
      <c r="A76" s="0" t="s">
        <v>89</v>
      </c>
      <c r="B76" s="1" t="n">
        <v>43936</v>
      </c>
      <c r="C76" s="0" t="n">
        <v>354</v>
      </c>
      <c r="D76" s="0" t="n">
        <v>24</v>
      </c>
      <c r="E76" s="0" t="n">
        <v>28</v>
      </c>
      <c r="F76" s="0" t="n">
        <v>1</v>
      </c>
      <c r="G76" s="0" t="n">
        <v>6</v>
      </c>
      <c r="H76" s="0" t="n">
        <v>320</v>
      </c>
      <c r="I76" s="0" t="n">
        <v>3</v>
      </c>
      <c r="J76" s="0" t="n">
        <v>30</v>
      </c>
      <c r="K76" s="0" t="n">
        <v>2</v>
      </c>
      <c r="L76" s="0" t="n">
        <v>2185</v>
      </c>
      <c r="M76" s="0" t="n">
        <v>187</v>
      </c>
    </row>
    <row r="77" customFormat="false" ht="13.5" hidden="false" customHeight="false" outlineLevel="0" collapsed="false">
      <c r="A77" s="0" t="s">
        <v>89</v>
      </c>
      <c r="B77" s="1" t="n">
        <v>43937</v>
      </c>
      <c r="C77" s="0" t="n">
        <v>397</v>
      </c>
      <c r="D77" s="0" t="n">
        <v>43</v>
      </c>
      <c r="E77" s="0" t="n">
        <v>28</v>
      </c>
      <c r="F77" s="0" t="n">
        <v>0</v>
      </c>
      <c r="G77" s="0" t="n">
        <v>7</v>
      </c>
      <c r="H77" s="0" t="n">
        <v>362</v>
      </c>
      <c r="I77" s="0" t="n">
        <v>3</v>
      </c>
      <c r="J77" s="0" t="n">
        <v>34</v>
      </c>
      <c r="K77" s="0" t="n">
        <v>2</v>
      </c>
      <c r="L77" s="0" t="n">
        <v>2185</v>
      </c>
      <c r="M77" s="0" t="n">
        <v>187</v>
      </c>
    </row>
    <row r="78" customFormat="false" ht="13.5" hidden="false" customHeight="false" outlineLevel="0" collapsed="false">
      <c r="A78" s="0" t="s">
        <v>89</v>
      </c>
      <c r="B78" s="1" t="n">
        <v>43938</v>
      </c>
      <c r="C78" s="0" t="n">
        <v>441</v>
      </c>
      <c r="D78" s="0" t="n">
        <v>44</v>
      </c>
      <c r="E78" s="0" t="n">
        <v>29</v>
      </c>
      <c r="F78" s="0" t="n">
        <v>1</v>
      </c>
      <c r="G78" s="0" t="n">
        <v>14</v>
      </c>
      <c r="H78" s="0" t="n">
        <v>398</v>
      </c>
      <c r="I78" s="0" t="n">
        <v>3</v>
      </c>
      <c r="J78" s="0" t="n">
        <v>38</v>
      </c>
      <c r="K78" s="0" t="n">
        <v>2</v>
      </c>
      <c r="L78" s="0" t="n">
        <v>2185</v>
      </c>
      <c r="M78" s="0" t="n">
        <v>187</v>
      </c>
    </row>
    <row r="79" customFormat="false" ht="13.5" hidden="false" customHeight="false" outlineLevel="0" collapsed="false">
      <c r="A79" s="0" t="s">
        <v>89</v>
      </c>
      <c r="B79" s="1" t="n">
        <v>43939</v>
      </c>
      <c r="C79" s="0" t="n">
        <v>465</v>
      </c>
      <c r="D79" s="0" t="n">
        <v>24</v>
      </c>
      <c r="E79" s="0" t="n">
        <v>31</v>
      </c>
      <c r="F79" s="0" t="n">
        <v>2</v>
      </c>
      <c r="G79" s="0" t="n">
        <v>26</v>
      </c>
      <c r="H79" s="0" t="n">
        <v>408</v>
      </c>
      <c r="I79" s="0" t="n">
        <v>3</v>
      </c>
      <c r="J79" s="0" t="n">
        <v>40</v>
      </c>
      <c r="K79" s="0" t="n">
        <v>3</v>
      </c>
      <c r="L79" s="0" t="n">
        <v>2185</v>
      </c>
      <c r="M79" s="0" t="n">
        <v>187</v>
      </c>
    </row>
    <row r="80" customFormat="false" ht="13.5" hidden="false" customHeight="false" outlineLevel="0" collapsed="false">
      <c r="A80" s="0" t="s">
        <v>89</v>
      </c>
      <c r="B80" s="1" t="n">
        <v>43940</v>
      </c>
      <c r="C80" s="0" t="n">
        <v>493</v>
      </c>
      <c r="D80" s="0" t="n">
        <v>28</v>
      </c>
      <c r="E80" s="0" t="n">
        <v>31</v>
      </c>
      <c r="F80" s="0" t="n">
        <v>0</v>
      </c>
      <c r="G80" s="0" t="n">
        <v>31</v>
      </c>
      <c r="H80" s="0" t="n">
        <v>431</v>
      </c>
      <c r="I80" s="0" t="n">
        <v>3</v>
      </c>
      <c r="J80" s="0" t="n">
        <v>42</v>
      </c>
      <c r="K80" s="0" t="n">
        <v>3</v>
      </c>
      <c r="L80" s="0" t="n">
        <v>3569</v>
      </c>
      <c r="M80" s="0" t="n">
        <v>306</v>
      </c>
    </row>
    <row r="81" customFormat="false" ht="13.5" hidden="false" customHeight="false" outlineLevel="0" collapsed="false">
      <c r="A81" s="0" t="s">
        <v>89</v>
      </c>
      <c r="B81" s="1" t="n">
        <v>43941</v>
      </c>
      <c r="C81" s="0" t="n">
        <v>520</v>
      </c>
      <c r="D81" s="0" t="n">
        <v>27</v>
      </c>
      <c r="E81" s="0" t="n">
        <v>32</v>
      </c>
      <c r="F81" s="0" t="n">
        <v>1</v>
      </c>
      <c r="G81" s="0" t="n">
        <v>31</v>
      </c>
      <c r="H81" s="0" t="n">
        <v>457</v>
      </c>
      <c r="I81" s="0" t="n">
        <v>3</v>
      </c>
      <c r="J81" s="0" t="n">
        <v>45</v>
      </c>
      <c r="K81" s="0" t="n">
        <v>3</v>
      </c>
      <c r="L81" s="0" t="n">
        <v>3569</v>
      </c>
      <c r="M81" s="0" t="n">
        <v>306</v>
      </c>
    </row>
    <row r="82" customFormat="false" ht="13.5" hidden="false" customHeight="false" outlineLevel="0" collapsed="false">
      <c r="A82" s="0" t="s">
        <v>89</v>
      </c>
      <c r="B82" s="1" t="n">
        <v>43942</v>
      </c>
      <c r="C82" s="0" t="n">
        <v>564</v>
      </c>
      <c r="D82" s="0" t="n">
        <v>44</v>
      </c>
      <c r="E82" s="0" t="n">
        <v>33</v>
      </c>
      <c r="F82" s="0" t="n">
        <v>1</v>
      </c>
      <c r="G82" s="0" t="n">
        <v>31</v>
      </c>
      <c r="H82" s="0" t="n">
        <v>500</v>
      </c>
      <c r="I82" s="0" t="n">
        <v>3</v>
      </c>
      <c r="J82" s="0" t="n">
        <v>48</v>
      </c>
      <c r="K82" s="0" t="n">
        <v>3</v>
      </c>
      <c r="L82" s="0" t="n">
        <v>3569</v>
      </c>
      <c r="M82" s="0" t="n">
        <v>306</v>
      </c>
    </row>
    <row r="83" customFormat="false" ht="13.5" hidden="false" customHeight="false" outlineLevel="0" collapsed="false">
      <c r="A83" s="0" t="s">
        <v>89</v>
      </c>
      <c r="B83" s="1" t="n">
        <v>43943</v>
      </c>
      <c r="C83" s="0" t="n">
        <v>598</v>
      </c>
      <c r="D83" s="0" t="n">
        <v>34</v>
      </c>
      <c r="E83" s="0" t="n">
        <v>34</v>
      </c>
      <c r="F83" s="0" t="n">
        <v>1</v>
      </c>
      <c r="G83" s="0" t="n">
        <v>37</v>
      </c>
      <c r="H83" s="0" t="n">
        <v>527</v>
      </c>
      <c r="I83" s="0" t="n">
        <v>3</v>
      </c>
      <c r="J83" s="0" t="n">
        <v>51</v>
      </c>
      <c r="K83" s="0" t="n">
        <v>3</v>
      </c>
      <c r="L83" s="0" t="n">
        <v>3569</v>
      </c>
      <c r="M83" s="0" t="n">
        <v>306</v>
      </c>
    </row>
    <row r="84" customFormat="false" ht="13.5" hidden="false" customHeight="false" outlineLevel="0" collapsed="false">
      <c r="A84" s="0" t="s">
        <v>89</v>
      </c>
      <c r="B84" s="1" t="n">
        <v>43944</v>
      </c>
      <c r="C84" s="0" t="n">
        <v>609</v>
      </c>
      <c r="D84" s="0" t="n">
        <v>11</v>
      </c>
      <c r="E84" s="0" t="n">
        <v>37</v>
      </c>
      <c r="F84" s="0" t="n">
        <v>3</v>
      </c>
      <c r="G84" s="0" t="n">
        <v>44</v>
      </c>
      <c r="H84" s="0" t="n">
        <v>528</v>
      </c>
      <c r="I84" s="0" t="n">
        <v>3</v>
      </c>
      <c r="J84" s="0" t="n">
        <v>52</v>
      </c>
      <c r="K84" s="0" t="n">
        <v>3</v>
      </c>
      <c r="L84" s="0" t="n">
        <v>4420</v>
      </c>
      <c r="M84" s="0" t="n">
        <v>379</v>
      </c>
    </row>
    <row r="85" customFormat="false" ht="13.5" hidden="false" customHeight="false" outlineLevel="0" collapsed="false">
      <c r="A85" s="0" t="s">
        <v>89</v>
      </c>
      <c r="B85" s="1" t="n">
        <v>43945</v>
      </c>
      <c r="C85" s="0" t="n">
        <v>672</v>
      </c>
      <c r="D85" s="0" t="n">
        <v>63</v>
      </c>
      <c r="E85" s="0" t="n">
        <v>40</v>
      </c>
      <c r="F85" s="0" t="n">
        <v>3</v>
      </c>
      <c r="G85" s="0" t="n">
        <v>44</v>
      </c>
      <c r="H85" s="0" t="n">
        <v>588</v>
      </c>
      <c r="I85" s="0" t="n">
        <v>3</v>
      </c>
      <c r="J85" s="0" t="n">
        <v>58</v>
      </c>
      <c r="K85" s="0" t="n">
        <v>3</v>
      </c>
      <c r="L85" s="0" t="n">
        <v>4420</v>
      </c>
      <c r="M85" s="0" t="n">
        <v>379</v>
      </c>
    </row>
    <row r="86" customFormat="false" ht="13.5" hidden="false" customHeight="false" outlineLevel="0" collapsed="false">
      <c r="A86" s="0" t="s">
        <v>89</v>
      </c>
      <c r="B86" s="1" t="n">
        <v>43946</v>
      </c>
      <c r="C86" s="0" t="n">
        <v>703</v>
      </c>
      <c r="D86" s="0" t="n">
        <v>31</v>
      </c>
      <c r="E86" s="0" t="n">
        <v>43</v>
      </c>
      <c r="F86" s="0" t="n">
        <v>3</v>
      </c>
      <c r="G86" s="0" t="n">
        <v>44</v>
      </c>
      <c r="H86" s="0" t="n">
        <v>616</v>
      </c>
      <c r="I86" s="0" t="n">
        <v>3</v>
      </c>
      <c r="J86" s="0" t="n">
        <v>60</v>
      </c>
      <c r="K86" s="0" t="n">
        <v>4</v>
      </c>
      <c r="L86" s="0" t="n">
        <v>4420</v>
      </c>
      <c r="M86" s="0" t="n">
        <v>379</v>
      </c>
    </row>
    <row r="87" customFormat="false" ht="13.5" hidden="false" customHeight="false" outlineLevel="0" collapsed="false">
      <c r="A87" s="0" t="s">
        <v>89</v>
      </c>
      <c r="B87" s="1" t="n">
        <v>43947</v>
      </c>
      <c r="C87" s="0" t="n">
        <v>807</v>
      </c>
      <c r="D87" s="0" t="n">
        <v>104</v>
      </c>
      <c r="E87" s="0" t="n">
        <v>44</v>
      </c>
      <c r="F87" s="0" t="n">
        <v>1</v>
      </c>
      <c r="G87" s="0" t="n">
        <v>54</v>
      </c>
      <c r="H87" s="0" t="n">
        <v>709</v>
      </c>
      <c r="I87" s="0" t="n">
        <v>3</v>
      </c>
      <c r="J87" s="0" t="n">
        <v>69</v>
      </c>
      <c r="K87" s="0" t="n">
        <v>4</v>
      </c>
      <c r="L87" s="0" t="n">
        <v>4995</v>
      </c>
      <c r="M87" s="0" t="n">
        <v>428</v>
      </c>
    </row>
    <row r="88" customFormat="false" ht="13.5" hidden="false" customHeight="false" outlineLevel="0" collapsed="false">
      <c r="A88" s="0" t="s">
        <v>89</v>
      </c>
      <c r="B88" s="1" t="n">
        <v>43948</v>
      </c>
      <c r="C88" s="0" t="n">
        <v>866</v>
      </c>
      <c r="D88" s="0" t="n">
        <v>59</v>
      </c>
      <c r="E88" s="0" t="n">
        <v>46</v>
      </c>
      <c r="F88" s="0" t="n">
        <v>2</v>
      </c>
      <c r="G88" s="0" t="n">
        <v>74</v>
      </c>
      <c r="H88" s="0" t="n">
        <v>746</v>
      </c>
      <c r="I88" s="0" t="n">
        <v>3</v>
      </c>
      <c r="J88" s="0" t="n">
        <v>74</v>
      </c>
      <c r="K88" s="0" t="n">
        <v>4</v>
      </c>
      <c r="L88" s="0" t="n">
        <v>4995</v>
      </c>
      <c r="M88" s="0" t="n">
        <v>428</v>
      </c>
    </row>
    <row r="89" customFormat="false" ht="13.5" hidden="false" customHeight="false" outlineLevel="0" collapsed="false">
      <c r="A89" s="0" t="s">
        <v>89</v>
      </c>
      <c r="B89" s="1" t="n">
        <v>43949</v>
      </c>
      <c r="C89" s="0" t="n">
        <v>950</v>
      </c>
      <c r="D89" s="0" t="n">
        <v>84</v>
      </c>
      <c r="E89" s="0" t="n">
        <v>50</v>
      </c>
      <c r="F89" s="0" t="n">
        <v>4</v>
      </c>
      <c r="G89" s="0" t="n">
        <v>80</v>
      </c>
      <c r="H89" s="0" t="n">
        <v>820</v>
      </c>
      <c r="I89" s="0" t="n">
        <v>3</v>
      </c>
      <c r="J89" s="0" t="n">
        <v>81</v>
      </c>
      <c r="K89" s="0" t="n">
        <v>4</v>
      </c>
      <c r="L89" s="0" t="n">
        <v>5791</v>
      </c>
      <c r="M89" s="0" t="n">
        <v>496</v>
      </c>
    </row>
    <row r="90" customFormat="false" ht="13.5" hidden="false" customHeight="false" outlineLevel="0" collapsed="false">
      <c r="A90" s="0" t="s">
        <v>89</v>
      </c>
      <c r="B90" s="1" t="n">
        <v>43950</v>
      </c>
      <c r="C90" s="0" t="n">
        <v>1014</v>
      </c>
      <c r="D90" s="0" t="n">
        <v>64</v>
      </c>
      <c r="E90" s="0" t="n">
        <v>53</v>
      </c>
      <c r="F90" s="0" t="n">
        <v>3</v>
      </c>
      <c r="G90" s="0" t="n">
        <v>98</v>
      </c>
      <c r="H90" s="0" t="n">
        <v>863</v>
      </c>
      <c r="I90" s="0" t="n">
        <v>3</v>
      </c>
      <c r="J90" s="0" t="n">
        <v>87</v>
      </c>
      <c r="K90" s="0" t="n">
        <v>5</v>
      </c>
      <c r="L90" s="0" t="n">
        <v>5791</v>
      </c>
      <c r="M90" s="0" t="n">
        <v>496</v>
      </c>
    </row>
    <row r="91" customFormat="false" ht="13.5" hidden="false" customHeight="false" outlineLevel="0" collapsed="false">
      <c r="A91" s="0" t="s">
        <v>89</v>
      </c>
      <c r="B91" s="1" t="n">
        <v>43951</v>
      </c>
      <c r="C91" s="0" t="n">
        <v>1053</v>
      </c>
      <c r="D91" s="0" t="n">
        <v>39</v>
      </c>
      <c r="E91" s="0" t="n">
        <v>55</v>
      </c>
      <c r="F91" s="0" t="n">
        <v>2</v>
      </c>
      <c r="G91" s="0" t="n">
        <v>110</v>
      </c>
      <c r="H91" s="0" t="n">
        <v>888</v>
      </c>
      <c r="I91" s="0" t="n">
        <v>3</v>
      </c>
      <c r="J91" s="0" t="n">
        <v>90</v>
      </c>
      <c r="K91" s="0" t="n">
        <v>5</v>
      </c>
      <c r="L91" s="0" t="n">
        <v>5791</v>
      </c>
      <c r="M91" s="0" t="n">
        <v>496</v>
      </c>
    </row>
    <row r="92" customFormat="false" ht="13.5" hidden="false" customHeight="false" outlineLevel="0" collapsed="false">
      <c r="A92" s="0" t="s">
        <v>89</v>
      </c>
      <c r="B92" s="1" t="n">
        <v>43952</v>
      </c>
      <c r="C92" s="0" t="n">
        <v>1110</v>
      </c>
      <c r="D92" s="0" t="n">
        <v>57</v>
      </c>
      <c r="E92" s="0" t="n">
        <v>59</v>
      </c>
      <c r="F92" s="0" t="n">
        <v>4</v>
      </c>
      <c r="G92" s="0" t="n">
        <v>117</v>
      </c>
      <c r="H92" s="0" t="n">
        <v>934</v>
      </c>
      <c r="I92" s="0" t="n">
        <v>3</v>
      </c>
      <c r="J92" s="0" t="n">
        <v>95</v>
      </c>
      <c r="K92" s="0" t="n">
        <v>5</v>
      </c>
      <c r="L92" s="0" t="n">
        <v>5791</v>
      </c>
      <c r="M92" s="0" t="n">
        <v>496</v>
      </c>
    </row>
    <row r="93" customFormat="false" ht="13.5" hidden="false" customHeight="false" outlineLevel="0" collapsed="false">
      <c r="A93" s="0" t="s">
        <v>89</v>
      </c>
      <c r="B93" s="1" t="n">
        <v>43953</v>
      </c>
      <c r="C93" s="0" t="n">
        <v>1167</v>
      </c>
      <c r="D93" s="0" t="n">
        <v>57</v>
      </c>
      <c r="E93" s="0" t="n">
        <v>62</v>
      </c>
      <c r="F93" s="0" t="n">
        <v>3</v>
      </c>
      <c r="G93" s="0" t="n">
        <v>132</v>
      </c>
      <c r="H93" s="0" t="n">
        <v>973</v>
      </c>
      <c r="I93" s="0" t="n">
        <v>3</v>
      </c>
      <c r="J93" s="0" t="n">
        <v>100</v>
      </c>
      <c r="K93" s="0" t="n">
        <v>5</v>
      </c>
      <c r="L93" s="0" t="n">
        <v>5791</v>
      </c>
      <c r="M93" s="0" t="n">
        <v>496</v>
      </c>
    </row>
    <row r="94" customFormat="false" ht="13.5" hidden="false" customHeight="false" outlineLevel="0" collapsed="false">
      <c r="A94" s="0" t="s">
        <v>89</v>
      </c>
      <c r="B94" s="1" t="n">
        <v>43954</v>
      </c>
      <c r="C94" s="0" t="n">
        <v>1229</v>
      </c>
      <c r="D94" s="0" t="n">
        <v>62</v>
      </c>
      <c r="E94" s="0" t="n">
        <v>66</v>
      </c>
      <c r="F94" s="0" t="n">
        <v>4</v>
      </c>
      <c r="G94" s="0" t="n">
        <v>134</v>
      </c>
      <c r="H94" s="0" t="n">
        <v>1029</v>
      </c>
      <c r="I94" s="0" t="n">
        <v>3</v>
      </c>
      <c r="J94" s="0" t="n">
        <v>105</v>
      </c>
      <c r="K94" s="0" t="n">
        <v>6</v>
      </c>
      <c r="L94" s="0" t="n">
        <v>5791</v>
      </c>
      <c r="M94" s="0" t="n">
        <v>496</v>
      </c>
    </row>
    <row r="95" customFormat="false" ht="13.5" hidden="false" customHeight="false" outlineLevel="0" collapsed="false">
      <c r="A95" s="0" t="s">
        <v>89</v>
      </c>
      <c r="B95" s="1" t="n">
        <v>43955</v>
      </c>
      <c r="C95" s="0" t="n">
        <v>1470</v>
      </c>
      <c r="D95" s="0" t="n">
        <v>241</v>
      </c>
      <c r="E95" s="0" t="n">
        <v>71</v>
      </c>
      <c r="F95" s="0" t="n">
        <v>5</v>
      </c>
      <c r="G95" s="0" t="n">
        <v>159</v>
      </c>
      <c r="H95" s="0" t="n">
        <v>1240</v>
      </c>
      <c r="I95" s="0" t="n">
        <v>3</v>
      </c>
      <c r="J95" s="0" t="n">
        <v>126</v>
      </c>
      <c r="K95" s="0" t="n">
        <v>6</v>
      </c>
      <c r="L95" s="0" t="n">
        <v>7651</v>
      </c>
      <c r="M95" s="0" t="n">
        <v>655</v>
      </c>
    </row>
    <row r="96" customFormat="false" ht="13.5" hidden="false" customHeight="false" outlineLevel="0" collapsed="false">
      <c r="A96" s="0" t="s">
        <v>89</v>
      </c>
      <c r="B96" s="1" t="n">
        <v>43956</v>
      </c>
      <c r="C96" s="0" t="n">
        <v>1594</v>
      </c>
      <c r="D96" s="0" t="n">
        <v>124</v>
      </c>
      <c r="E96" s="0" t="n">
        <v>76</v>
      </c>
      <c r="F96" s="0" t="n">
        <v>5</v>
      </c>
      <c r="G96" s="0" t="n">
        <v>166</v>
      </c>
      <c r="H96" s="0" t="n">
        <v>1352</v>
      </c>
      <c r="I96" s="0" t="n">
        <v>3</v>
      </c>
      <c r="J96" s="0" t="n">
        <v>137</v>
      </c>
      <c r="K96" s="0" t="n">
        <v>7</v>
      </c>
      <c r="L96" s="0" t="n">
        <v>7651</v>
      </c>
      <c r="M96" s="0" t="n">
        <v>655</v>
      </c>
    </row>
    <row r="97" customFormat="false" ht="13.5" hidden="false" customHeight="false" outlineLevel="0" collapsed="false">
      <c r="A97" s="0" t="s">
        <v>89</v>
      </c>
      <c r="B97" s="1" t="n">
        <v>43957</v>
      </c>
      <c r="C97" s="0" t="n">
        <v>1681</v>
      </c>
      <c r="D97" s="0" t="n">
        <v>87</v>
      </c>
      <c r="E97" s="0" t="n">
        <v>82</v>
      </c>
      <c r="F97" s="0" t="n">
        <v>6</v>
      </c>
      <c r="G97" s="0" t="n">
        <v>174</v>
      </c>
      <c r="H97" s="0" t="n">
        <v>1425</v>
      </c>
      <c r="I97" s="0" t="n">
        <v>3</v>
      </c>
      <c r="J97" s="0" t="n">
        <v>144</v>
      </c>
      <c r="K97" s="0" t="n">
        <v>7</v>
      </c>
      <c r="L97" s="0" t="n">
        <v>7651</v>
      </c>
      <c r="M97" s="0" t="n">
        <v>655</v>
      </c>
    </row>
    <row r="98" customFormat="false" ht="13.5" hidden="false" customHeight="false" outlineLevel="0" collapsed="false">
      <c r="A98" s="0" t="s">
        <v>89</v>
      </c>
      <c r="B98" s="1" t="n">
        <v>43958</v>
      </c>
      <c r="C98" s="0" t="n">
        <v>1802</v>
      </c>
      <c r="D98" s="0" t="n">
        <v>121</v>
      </c>
      <c r="E98" s="0" t="n">
        <v>86</v>
      </c>
      <c r="F98" s="0" t="n">
        <v>4</v>
      </c>
      <c r="G98" s="0" t="n">
        <v>187</v>
      </c>
      <c r="H98" s="0" t="n">
        <v>1529</v>
      </c>
      <c r="I98" s="0" t="n">
        <v>3</v>
      </c>
      <c r="J98" s="0" t="n">
        <v>154</v>
      </c>
      <c r="K98" s="0" t="n">
        <v>7</v>
      </c>
      <c r="L98" s="0" t="n">
        <v>7651</v>
      </c>
      <c r="M98" s="0" t="n">
        <v>655</v>
      </c>
    </row>
    <row r="99" customFormat="false" ht="13.5" hidden="false" customHeight="false" outlineLevel="0" collapsed="false">
      <c r="A99" s="0" t="s">
        <v>89</v>
      </c>
      <c r="B99" s="1" t="n">
        <v>43959</v>
      </c>
      <c r="C99" s="0" t="n">
        <v>1886</v>
      </c>
      <c r="D99" s="0" t="n">
        <v>84</v>
      </c>
      <c r="E99" s="0" t="n">
        <v>91</v>
      </c>
      <c r="F99" s="0" t="n">
        <v>5</v>
      </c>
      <c r="G99" s="0" t="n">
        <v>198</v>
      </c>
      <c r="H99" s="0" t="n">
        <v>1597</v>
      </c>
      <c r="I99" s="0" t="n">
        <v>3</v>
      </c>
      <c r="J99" s="0" t="n">
        <v>162</v>
      </c>
      <c r="K99" s="0" t="n">
        <v>8</v>
      </c>
      <c r="L99" s="0" t="n">
        <v>7651</v>
      </c>
      <c r="M99" s="0" t="n">
        <v>655</v>
      </c>
    </row>
    <row r="100" customFormat="false" ht="13.5" hidden="false" customHeight="false" outlineLevel="0" collapsed="false">
      <c r="A100" s="0" t="s">
        <v>89</v>
      </c>
      <c r="B100" s="1" t="n">
        <v>43960</v>
      </c>
      <c r="C100" s="0" t="n">
        <v>2081</v>
      </c>
      <c r="D100" s="0" t="n">
        <v>195</v>
      </c>
      <c r="E100" s="0" t="n">
        <v>102</v>
      </c>
      <c r="F100" s="0" t="n">
        <v>11</v>
      </c>
      <c r="G100" s="0" t="n">
        <v>219</v>
      </c>
      <c r="H100" s="0" t="n">
        <v>1760</v>
      </c>
      <c r="I100" s="0" t="n">
        <v>3</v>
      </c>
      <c r="J100" s="0" t="n">
        <v>178</v>
      </c>
      <c r="K100" s="0" t="n">
        <v>9</v>
      </c>
      <c r="L100" s="0" t="n">
        <v>7651</v>
      </c>
      <c r="M100" s="0" t="n">
        <v>655</v>
      </c>
    </row>
    <row r="101" customFormat="false" ht="13.5" hidden="false" customHeight="false" outlineLevel="0" collapsed="false">
      <c r="A101" s="0" t="s">
        <v>89</v>
      </c>
      <c r="B101" s="1" t="n">
        <v>43961</v>
      </c>
      <c r="C101" s="0" t="n">
        <v>2266</v>
      </c>
      <c r="D101" s="0" t="n">
        <v>185</v>
      </c>
      <c r="E101" s="0" t="n">
        <v>106</v>
      </c>
      <c r="F101" s="0" t="n">
        <v>4</v>
      </c>
      <c r="G101" s="0" t="n">
        <v>237</v>
      </c>
      <c r="H101" s="0" t="n">
        <v>1923</v>
      </c>
      <c r="I101" s="0" t="n">
        <v>3</v>
      </c>
      <c r="J101" s="0" t="n">
        <v>194</v>
      </c>
      <c r="K101" s="0" t="n">
        <v>9</v>
      </c>
      <c r="L101" s="0" t="n">
        <v>7651</v>
      </c>
      <c r="M101" s="0" t="n">
        <v>655</v>
      </c>
    </row>
    <row r="102" customFormat="false" ht="13.5" hidden="false" customHeight="false" outlineLevel="0" collapsed="false">
      <c r="A102" s="0" t="s">
        <v>89</v>
      </c>
      <c r="B102" s="1" t="n">
        <v>43962</v>
      </c>
      <c r="C102" s="0" t="n">
        <v>2437</v>
      </c>
      <c r="D102" s="0" t="n">
        <v>171</v>
      </c>
      <c r="E102" s="0" t="n">
        <v>114</v>
      </c>
      <c r="F102" s="0" t="n">
        <v>8</v>
      </c>
      <c r="G102" s="0" t="n">
        <v>258</v>
      </c>
      <c r="H102" s="0" t="n">
        <v>2065</v>
      </c>
      <c r="I102" s="0" t="n">
        <v>3</v>
      </c>
      <c r="J102" s="0" t="n">
        <v>209</v>
      </c>
      <c r="K102" s="0" t="n">
        <v>10</v>
      </c>
      <c r="L102" s="0" t="n">
        <v>7651</v>
      </c>
      <c r="M102" s="0" t="n">
        <v>655</v>
      </c>
    </row>
    <row r="103" customFormat="false" ht="13.5" hidden="false" customHeight="false" outlineLevel="0" collapsed="false">
      <c r="A103" s="0" t="s">
        <v>89</v>
      </c>
      <c r="B103" s="1" t="n">
        <v>43963</v>
      </c>
      <c r="C103" s="0" t="n">
        <v>2556</v>
      </c>
      <c r="D103" s="0" t="n">
        <v>119</v>
      </c>
      <c r="E103" s="0" t="n">
        <v>118</v>
      </c>
      <c r="F103" s="0" t="n">
        <v>4</v>
      </c>
      <c r="G103" s="0" t="n">
        <v>273</v>
      </c>
      <c r="H103" s="0" t="n">
        <v>2165</v>
      </c>
      <c r="I103" s="0" t="n">
        <v>3</v>
      </c>
      <c r="J103" s="0" t="n">
        <v>219</v>
      </c>
      <c r="K103" s="0" t="n">
        <v>10</v>
      </c>
      <c r="L103" s="0" t="n">
        <v>7651</v>
      </c>
      <c r="M103" s="0" t="n">
        <v>655</v>
      </c>
    </row>
    <row r="104" customFormat="false" ht="13.5" hidden="false" customHeight="false" outlineLevel="0" collapsed="false">
      <c r="A104" s="0" t="s">
        <v>89</v>
      </c>
      <c r="B104" s="1" t="n">
        <v>43964</v>
      </c>
      <c r="C104" s="0" t="n">
        <v>2831</v>
      </c>
      <c r="D104" s="0" t="n">
        <v>275</v>
      </c>
      <c r="E104" s="0" t="n">
        <v>122</v>
      </c>
      <c r="F104" s="0" t="n">
        <v>4</v>
      </c>
      <c r="G104" s="0" t="n">
        <v>299</v>
      </c>
      <c r="H104" s="0" t="n">
        <v>2410</v>
      </c>
      <c r="I104" s="0" t="n">
        <v>3</v>
      </c>
      <c r="J104" s="0" t="n">
        <v>243</v>
      </c>
      <c r="K104" s="0" t="n">
        <v>10</v>
      </c>
      <c r="L104" s="0" t="n">
        <v>7651</v>
      </c>
      <c r="M104" s="0" t="n">
        <v>655</v>
      </c>
    </row>
    <row r="105" customFormat="false" ht="13.5" hidden="false" customHeight="false" outlineLevel="0" collapsed="false">
      <c r="A105" s="0" t="s">
        <v>89</v>
      </c>
      <c r="B105" s="1" t="n">
        <v>43965</v>
      </c>
      <c r="C105" s="0" t="n">
        <v>2964</v>
      </c>
      <c r="D105" s="0" t="n">
        <v>133</v>
      </c>
      <c r="E105" s="0" t="n">
        <v>128</v>
      </c>
      <c r="F105" s="0" t="n">
        <v>6</v>
      </c>
      <c r="G105" s="0" t="n">
        <v>313</v>
      </c>
      <c r="H105" s="0" t="n">
        <v>2523</v>
      </c>
      <c r="I105" s="0" t="n">
        <v>3</v>
      </c>
      <c r="J105" s="0" t="n">
        <v>254</v>
      </c>
      <c r="K105" s="0" t="n">
        <v>11</v>
      </c>
      <c r="L105" s="0" t="n">
        <v>7651</v>
      </c>
      <c r="M105" s="0" t="n">
        <v>655</v>
      </c>
    </row>
    <row r="106" customFormat="false" ht="13.5" hidden="false" customHeight="false" outlineLevel="0" collapsed="false">
      <c r="A106" s="0" t="s">
        <v>89</v>
      </c>
      <c r="B106" s="1" t="n">
        <v>43966</v>
      </c>
      <c r="C106" s="0" t="n">
        <v>3148</v>
      </c>
      <c r="D106" s="0" t="n">
        <v>184</v>
      </c>
      <c r="E106" s="0" t="n">
        <v>142</v>
      </c>
      <c r="F106" s="0" t="n">
        <v>14</v>
      </c>
      <c r="G106" s="0" t="n">
        <v>339</v>
      </c>
      <c r="H106" s="0" t="n">
        <v>2667</v>
      </c>
      <c r="I106" s="0" t="n">
        <v>3</v>
      </c>
      <c r="J106" s="0" t="n">
        <v>270</v>
      </c>
      <c r="K106" s="0" t="n">
        <v>12</v>
      </c>
      <c r="L106" s="0" t="n">
        <v>7651</v>
      </c>
      <c r="M106" s="0" t="n">
        <v>655</v>
      </c>
    </row>
    <row r="107" customFormat="false" ht="13.5" hidden="false" customHeight="false" outlineLevel="0" collapsed="false">
      <c r="A107" s="0" t="s">
        <v>89</v>
      </c>
      <c r="B107" s="1" t="n">
        <v>43967</v>
      </c>
      <c r="C107" s="0" t="e">
        <f aca="false">sheet1!asl108</f>
        <v>#NAME?</v>
      </c>
      <c r="D107" s="0" t="e">
        <f aca="false">sheet1!asm108</f>
        <v>#NAME?</v>
      </c>
      <c r="E107" s="0" t="e">
        <f aca="false">sheet1!asn108</f>
        <v>#NAME?</v>
      </c>
      <c r="F107" s="0" t="e">
        <f aca="false">sheet1!aso108</f>
        <v>#NAME?</v>
      </c>
      <c r="G107" s="0" t="e">
        <f aca="false">sheet1!asp108</f>
        <v>#NAME?</v>
      </c>
      <c r="H107" s="0" t="e">
        <f aca="false">sheet1!asq108</f>
        <v>#NAME?</v>
      </c>
      <c r="I107" s="0" t="e">
        <f aca="false">sheet1!asr108</f>
        <v>#NAME?</v>
      </c>
      <c r="J107" s="0" t="e">
        <f aca="false">sheet1!ass108</f>
        <v>#NAME?</v>
      </c>
      <c r="K107" s="0" t="e">
        <f aca="false">sheet1!ast108</f>
        <v>#NAME?</v>
      </c>
      <c r="L107" s="0" t="e">
        <f aca="false">sheet1!asu108</f>
        <v>#NAME?</v>
      </c>
      <c r="M107" s="0" t="e">
        <f aca="false">sheet1!asv108</f>
        <v>#NAME?</v>
      </c>
    </row>
    <row r="108" customFormat="false" ht="13.5" hidden="false" customHeight="false" outlineLevel="0" collapsed="false">
      <c r="A108" s="0" t="s">
        <v>89</v>
      </c>
      <c r="B108" s="1" t="n">
        <v>43968</v>
      </c>
      <c r="C108" s="0" t="e">
        <f aca="false">sheet1!asl109</f>
        <v>#NAME?</v>
      </c>
      <c r="D108" s="0" t="e">
        <f aca="false">sheet1!asm109</f>
        <v>#NAME?</v>
      </c>
      <c r="E108" s="0" t="e">
        <f aca="false">sheet1!asn109</f>
        <v>#NAME?</v>
      </c>
      <c r="F108" s="0" t="e">
        <f aca="false">sheet1!aso109</f>
        <v>#NAME?</v>
      </c>
      <c r="G108" s="0" t="e">
        <f aca="false">sheet1!asp109</f>
        <v>#NAME?</v>
      </c>
      <c r="H108" s="0" t="e">
        <f aca="false">sheet1!asq109</f>
        <v>#NAME?</v>
      </c>
      <c r="I108" s="0" t="e">
        <f aca="false">sheet1!asr109</f>
        <v>#NAME?</v>
      </c>
      <c r="J108" s="0" t="e">
        <f aca="false">sheet1!ass109</f>
        <v>#NAME?</v>
      </c>
      <c r="K108" s="0" t="e">
        <f aca="false">sheet1!ast109</f>
        <v>#NAME?</v>
      </c>
      <c r="L108" s="0" t="e">
        <f aca="false">sheet1!asu109</f>
        <v>#NAME?</v>
      </c>
      <c r="M108" s="0" t="e">
        <f aca="false">sheet1!asv109</f>
        <v>#NAME?</v>
      </c>
    </row>
    <row r="109" customFormat="false" ht="13.5" hidden="false" customHeight="false" outlineLevel="0" collapsed="false">
      <c r="A109" s="0" t="s">
        <v>89</v>
      </c>
      <c r="B109" s="1" t="n">
        <v>43969</v>
      </c>
      <c r="C109" s="0" t="e">
        <f aca="false">sheet1!asl110</f>
        <v>#NAME?</v>
      </c>
      <c r="D109" s="0" t="e">
        <f aca="false">sheet1!asm110</f>
        <v>#NAME?</v>
      </c>
      <c r="E109" s="0" t="e">
        <f aca="false">sheet1!asn110</f>
        <v>#NAME?</v>
      </c>
      <c r="F109" s="0" t="e">
        <f aca="false">sheet1!aso110</f>
        <v>#NAME?</v>
      </c>
      <c r="G109" s="0" t="e">
        <f aca="false">sheet1!asp110</f>
        <v>#NAME?</v>
      </c>
      <c r="H109" s="0" t="e">
        <f aca="false">sheet1!asq110</f>
        <v>#NAME?</v>
      </c>
      <c r="I109" s="0" t="e">
        <f aca="false">sheet1!asr110</f>
        <v>#NAME?</v>
      </c>
      <c r="J109" s="0" t="e">
        <f aca="false">sheet1!ass110</f>
        <v>#NAME?</v>
      </c>
      <c r="K109" s="0" t="e">
        <f aca="false">sheet1!ast110</f>
        <v>#NAME?</v>
      </c>
      <c r="L109" s="0" t="e">
        <f aca="false">sheet1!asu110</f>
        <v>#NAME?</v>
      </c>
      <c r="M109" s="0" t="e">
        <f aca="false">sheet1!asv110</f>
        <v>#NAME?</v>
      </c>
    </row>
    <row r="110" customFormat="false" ht="13.5" hidden="false" customHeight="false" outlineLevel="0" collapsed="false">
      <c r="A110" s="0" t="s">
        <v>89</v>
      </c>
      <c r="B110" s="1" t="n">
        <v>43970</v>
      </c>
      <c r="C110" s="0" t="e">
        <f aca="false">sheet1!asl111</f>
        <v>#NAME?</v>
      </c>
      <c r="D110" s="0" t="e">
        <f aca="false">sheet1!asm111</f>
        <v>#NAME?</v>
      </c>
      <c r="E110" s="0" t="e">
        <f aca="false">sheet1!asn111</f>
        <v>#NAME?</v>
      </c>
      <c r="F110" s="0" t="e">
        <f aca="false">sheet1!aso111</f>
        <v>#NAME?</v>
      </c>
      <c r="G110" s="0" t="e">
        <f aca="false">sheet1!asp111</f>
        <v>#NAME?</v>
      </c>
      <c r="H110" s="0" t="e">
        <f aca="false">sheet1!asq111</f>
        <v>#NAME?</v>
      </c>
      <c r="I110" s="0" t="e">
        <f aca="false">sheet1!asr111</f>
        <v>#NAME?</v>
      </c>
      <c r="J110" s="0" t="e">
        <f aca="false">sheet1!ass111</f>
        <v>#NAME?</v>
      </c>
      <c r="K110" s="0" t="e">
        <f aca="false">sheet1!ast111</f>
        <v>#NAME?</v>
      </c>
      <c r="L110" s="0" t="e">
        <f aca="false">sheet1!asu111</f>
        <v>#NAME?</v>
      </c>
      <c r="M110" s="0" t="e">
        <f aca="false">sheet1!asv111</f>
        <v>#NAME?</v>
      </c>
    </row>
    <row r="111" customFormat="false" ht="13.5" hidden="false" customHeight="false" outlineLevel="0" collapsed="false">
      <c r="A111" s="0" t="s">
        <v>89</v>
      </c>
      <c r="B111" s="1" t="n">
        <v>43971</v>
      </c>
      <c r="C111" s="0" t="e">
        <f aca="false">sheet1!asl112</f>
        <v>#NAME?</v>
      </c>
      <c r="D111" s="0" t="e">
        <f aca="false">sheet1!asm112</f>
        <v>#NAME?</v>
      </c>
      <c r="E111" s="0" t="e">
        <f aca="false">sheet1!asn112</f>
        <v>#NAME?</v>
      </c>
      <c r="F111" s="0" t="e">
        <f aca="false">sheet1!aso112</f>
        <v>#NAME?</v>
      </c>
      <c r="G111" s="0" t="e">
        <f aca="false">sheet1!asp112</f>
        <v>#NAME?</v>
      </c>
      <c r="H111" s="0" t="e">
        <f aca="false">sheet1!asq112</f>
        <v>#NAME?</v>
      </c>
      <c r="I111" s="0" t="e">
        <f aca="false">sheet1!asr112</f>
        <v>#NAME?</v>
      </c>
      <c r="J111" s="0" t="e">
        <f aca="false">sheet1!ass112</f>
        <v>#NAME?</v>
      </c>
      <c r="K111" s="0" t="e">
        <f aca="false">sheet1!ast112</f>
        <v>#NAME?</v>
      </c>
      <c r="L111" s="0" t="e">
        <f aca="false">sheet1!asu112</f>
        <v>#NAME?</v>
      </c>
      <c r="M111" s="0" t="e">
        <f aca="false">sheet1!asv112</f>
        <v>#NAME?</v>
      </c>
    </row>
    <row r="112" customFormat="false" ht="13.5" hidden="false" customHeight="false" outlineLevel="0" collapsed="false">
      <c r="A112" s="0" t="s">
        <v>89</v>
      </c>
      <c r="B112" s="1" t="n">
        <v>43972</v>
      </c>
      <c r="C112" s="0" t="e">
        <f aca="false">sheet1!asl113</f>
        <v>#NAME?</v>
      </c>
      <c r="D112" s="0" t="e">
        <f aca="false">sheet1!asm113</f>
        <v>#NAME?</v>
      </c>
      <c r="E112" s="0" t="e">
        <f aca="false">sheet1!asn113</f>
        <v>#NAME?</v>
      </c>
      <c r="F112" s="0" t="e">
        <f aca="false">sheet1!aso113</f>
        <v>#NAME?</v>
      </c>
      <c r="G112" s="0" t="e">
        <f aca="false">sheet1!asp113</f>
        <v>#NAME?</v>
      </c>
      <c r="H112" s="0" t="e">
        <f aca="false">sheet1!asq113</f>
        <v>#NAME?</v>
      </c>
      <c r="I112" s="0" t="e">
        <f aca="false">sheet1!asr113</f>
        <v>#NAME?</v>
      </c>
      <c r="J112" s="0" t="e">
        <f aca="false">sheet1!ass113</f>
        <v>#NAME?</v>
      </c>
      <c r="K112" s="0" t="e">
        <f aca="false">sheet1!ast113</f>
        <v>#NAME?</v>
      </c>
      <c r="L112" s="0" t="e">
        <f aca="false">sheet1!asu113</f>
        <v>#NAME?</v>
      </c>
      <c r="M112" s="0" t="e">
        <f aca="false">sheet1!asv113</f>
        <v>#NAME?</v>
      </c>
    </row>
    <row r="113" customFormat="false" ht="13.5" hidden="false" customHeight="false" outlineLevel="0" collapsed="false">
      <c r="A113" s="0" t="s">
        <v>89</v>
      </c>
      <c r="B113" s="1" t="n">
        <v>43973</v>
      </c>
      <c r="C113" s="0" t="e">
        <f aca="false">sheet1!asl114</f>
        <v>#NAME?</v>
      </c>
      <c r="D113" s="0" t="e">
        <f aca="false">sheet1!asm114</f>
        <v>#NAME?</v>
      </c>
      <c r="E113" s="0" t="e">
        <f aca="false">sheet1!asn114</f>
        <v>#NAME?</v>
      </c>
      <c r="F113" s="0" t="e">
        <f aca="false">sheet1!aso114</f>
        <v>#NAME?</v>
      </c>
      <c r="G113" s="0" t="e">
        <f aca="false">sheet1!asp114</f>
        <v>#NAME?</v>
      </c>
      <c r="H113" s="0" t="e">
        <f aca="false">sheet1!asq114</f>
        <v>#NAME?</v>
      </c>
      <c r="I113" s="0" t="e">
        <f aca="false">sheet1!asr114</f>
        <v>#NAME?</v>
      </c>
      <c r="J113" s="0" t="e">
        <f aca="false">sheet1!ass114</f>
        <v>#NAME?</v>
      </c>
      <c r="K113" s="0" t="e">
        <f aca="false">sheet1!ast114</f>
        <v>#NAME?</v>
      </c>
      <c r="L113" s="0" t="e">
        <f aca="false">sheet1!asu114</f>
        <v>#NAME?</v>
      </c>
      <c r="M113" s="0" t="e">
        <f aca="false">sheet1!asv114</f>
        <v>#NAME?</v>
      </c>
    </row>
    <row r="114" customFormat="false" ht="13.5" hidden="false" customHeight="false" outlineLevel="0" collapsed="false">
      <c r="A114" s="0" t="s">
        <v>89</v>
      </c>
      <c r="B114" s="1" t="n">
        <v>43974</v>
      </c>
      <c r="C114" s="0" t="e">
        <f aca="false">sheet1!asl115</f>
        <v>#NAME?</v>
      </c>
      <c r="D114" s="0" t="e">
        <f aca="false">sheet1!asm115</f>
        <v>#NAME?</v>
      </c>
      <c r="E114" s="0" t="e">
        <f aca="false">sheet1!asn115</f>
        <v>#NAME?</v>
      </c>
      <c r="F114" s="0" t="e">
        <f aca="false">sheet1!aso115</f>
        <v>#NAME?</v>
      </c>
      <c r="G114" s="0" t="e">
        <f aca="false">sheet1!asp115</f>
        <v>#NAME?</v>
      </c>
      <c r="H114" s="0" t="e">
        <f aca="false">sheet1!asq115</f>
        <v>#NAME?</v>
      </c>
      <c r="I114" s="0" t="e">
        <f aca="false">sheet1!asr115</f>
        <v>#NAME?</v>
      </c>
      <c r="J114" s="0" t="e">
        <f aca="false">sheet1!ass115</f>
        <v>#NAME?</v>
      </c>
      <c r="K114" s="0" t="e">
        <f aca="false">sheet1!ast115</f>
        <v>#NAME?</v>
      </c>
      <c r="L114" s="0" t="e">
        <f aca="false">sheet1!asu115</f>
        <v>#NAME?</v>
      </c>
      <c r="M114" s="0" t="e">
        <f aca="false">sheet1!asv115</f>
        <v>#NAME?</v>
      </c>
    </row>
    <row r="115" customFormat="false" ht="13.5" hidden="false" customHeight="false" outlineLevel="0" collapsed="false">
      <c r="A115" s="0" t="s">
        <v>89</v>
      </c>
      <c r="B115" s="1" t="n">
        <v>43975</v>
      </c>
      <c r="C115" s="0" t="e">
        <f aca="false">sheet1!asl116</f>
        <v>#NAME?</v>
      </c>
      <c r="D115" s="0" t="e">
        <f aca="false">sheet1!asm116</f>
        <v>#NAME?</v>
      </c>
      <c r="E115" s="0" t="e">
        <f aca="false">sheet1!asn116</f>
        <v>#NAME?</v>
      </c>
      <c r="F115" s="0" t="e">
        <f aca="false">sheet1!aso116</f>
        <v>#NAME?</v>
      </c>
      <c r="G115" s="0" t="e">
        <f aca="false">sheet1!asp116</f>
        <v>#NAME?</v>
      </c>
      <c r="H115" s="0" t="e">
        <f aca="false">sheet1!asq116</f>
        <v>#NAME?</v>
      </c>
      <c r="I115" s="0" t="e">
        <f aca="false">sheet1!asr116</f>
        <v>#NAME?</v>
      </c>
      <c r="J115" s="0" t="e">
        <f aca="false">sheet1!ass116</f>
        <v>#NAME?</v>
      </c>
      <c r="K115" s="0" t="e">
        <f aca="false">sheet1!ast116</f>
        <v>#NAME?</v>
      </c>
      <c r="L115" s="0" t="e">
        <f aca="false">sheet1!asu116</f>
        <v>#NAME?</v>
      </c>
      <c r="M115" s="0" t="e">
        <f aca="false">sheet1!asv116</f>
        <v>#NAME?</v>
      </c>
    </row>
    <row r="116" customFormat="false" ht="13.5" hidden="false" customHeight="false" outlineLevel="0" collapsed="false">
      <c r="A116" s="0" t="s">
        <v>89</v>
      </c>
      <c r="B116" s="1" t="n">
        <v>43976</v>
      </c>
      <c r="C116" s="0" t="e">
        <f aca="false">sheet1!asl117</f>
        <v>#NAME?</v>
      </c>
      <c r="D116" s="0" t="e">
        <f aca="false">sheet1!asm117</f>
        <v>#NAME?</v>
      </c>
      <c r="E116" s="0" t="e">
        <f aca="false">sheet1!asn117</f>
        <v>#NAME?</v>
      </c>
      <c r="F116" s="0" t="e">
        <f aca="false">sheet1!aso117</f>
        <v>#NAME?</v>
      </c>
      <c r="G116" s="0" t="e">
        <f aca="false">sheet1!asp117</f>
        <v>#NAME?</v>
      </c>
      <c r="H116" s="0" t="e">
        <f aca="false">sheet1!asq117</f>
        <v>#NAME?</v>
      </c>
      <c r="I116" s="0" t="e">
        <f aca="false">sheet1!asr117</f>
        <v>#NAME?</v>
      </c>
      <c r="J116" s="0" t="e">
        <f aca="false">sheet1!ass117</f>
        <v>#NAME?</v>
      </c>
      <c r="K116" s="0" t="e">
        <f aca="false">sheet1!ast117</f>
        <v>#NAME?</v>
      </c>
      <c r="L116" s="0" t="e">
        <f aca="false">sheet1!asu117</f>
        <v>#NAME?</v>
      </c>
      <c r="M116" s="0" t="e">
        <f aca="false">sheet1!asv117</f>
        <v>#NAME?</v>
      </c>
    </row>
    <row r="117" customFormat="false" ht="13.5" hidden="false" customHeight="false" outlineLevel="0" collapsed="false">
      <c r="A117" s="0" t="s">
        <v>89</v>
      </c>
      <c r="B117" s="1" t="n">
        <v>43977</v>
      </c>
      <c r="C117" s="0" t="e">
        <f aca="false">sheet1!asl118</f>
        <v>#NAME?</v>
      </c>
      <c r="D117" s="0" t="e">
        <f aca="false">sheet1!asm118</f>
        <v>#NAME?</v>
      </c>
      <c r="E117" s="0" t="e">
        <f aca="false">sheet1!asn118</f>
        <v>#NAME?</v>
      </c>
      <c r="F117" s="0" t="e">
        <f aca="false">sheet1!aso118</f>
        <v>#NAME?</v>
      </c>
      <c r="G117" s="0" t="e">
        <f aca="false">sheet1!asp118</f>
        <v>#NAME?</v>
      </c>
      <c r="H117" s="0" t="e">
        <f aca="false">sheet1!asq118</f>
        <v>#NAME?</v>
      </c>
      <c r="I117" s="0" t="e">
        <f aca="false">sheet1!asr118</f>
        <v>#NAME?</v>
      </c>
      <c r="J117" s="0" t="e">
        <f aca="false">sheet1!ass118</f>
        <v>#NAME?</v>
      </c>
      <c r="K117" s="0" t="e">
        <f aca="false">sheet1!ast118</f>
        <v>#NAME?</v>
      </c>
      <c r="L117" s="0" t="e">
        <f aca="false">sheet1!asu118</f>
        <v>#NAME?</v>
      </c>
      <c r="M117" s="0" t="e">
        <f aca="false">sheet1!asv118</f>
        <v>#NAME?</v>
      </c>
    </row>
    <row r="118" customFormat="false" ht="13.5" hidden="false" customHeight="false" outlineLevel="0" collapsed="false">
      <c r="A118" s="0" t="s">
        <v>89</v>
      </c>
      <c r="B118" s="1" t="n">
        <v>43978</v>
      </c>
      <c r="C118" s="0" t="e">
        <f aca="false">sheet1!asl119</f>
        <v>#NAME?</v>
      </c>
      <c r="D118" s="0" t="e">
        <f aca="false">sheet1!asm119</f>
        <v>#NAME?</v>
      </c>
      <c r="E118" s="0" t="e">
        <f aca="false">sheet1!asn119</f>
        <v>#NAME?</v>
      </c>
      <c r="F118" s="0" t="e">
        <f aca="false">sheet1!aso119</f>
        <v>#NAME?</v>
      </c>
      <c r="G118" s="0" t="e">
        <f aca="false">sheet1!asp119</f>
        <v>#NAME?</v>
      </c>
      <c r="H118" s="0" t="e">
        <f aca="false">sheet1!asq119</f>
        <v>#NAME?</v>
      </c>
      <c r="I118" s="0" t="e">
        <f aca="false">sheet1!asr119</f>
        <v>#NAME?</v>
      </c>
      <c r="J118" s="0" t="e">
        <f aca="false">sheet1!ass119</f>
        <v>#NAME?</v>
      </c>
      <c r="K118" s="0" t="e">
        <f aca="false">sheet1!ast119</f>
        <v>#NAME?</v>
      </c>
      <c r="L118" s="0" t="e">
        <f aca="false">sheet1!asu119</f>
        <v>#NAME?</v>
      </c>
      <c r="M118" s="0" t="e">
        <f aca="false">sheet1!asv119</f>
        <v>#NAME?</v>
      </c>
    </row>
    <row r="119" customFormat="false" ht="13.5" hidden="false" customHeight="false" outlineLevel="0" collapsed="false">
      <c r="A119" s="0" t="s">
        <v>89</v>
      </c>
      <c r="B119" s="1" t="n">
        <v>43979</v>
      </c>
      <c r="C119" s="0" t="e">
        <f aca="false">sheet1!asl120</f>
        <v>#NAME?</v>
      </c>
      <c r="D119" s="0" t="e">
        <f aca="false">sheet1!asm120</f>
        <v>#NAME?</v>
      </c>
      <c r="E119" s="0" t="e">
        <f aca="false">sheet1!asn120</f>
        <v>#NAME?</v>
      </c>
      <c r="F119" s="0" t="e">
        <f aca="false">sheet1!aso120</f>
        <v>#NAME?</v>
      </c>
      <c r="G119" s="0" t="e">
        <f aca="false">sheet1!asp120</f>
        <v>#NAME?</v>
      </c>
      <c r="H119" s="0" t="e">
        <f aca="false">sheet1!asq120</f>
        <v>#NAME?</v>
      </c>
      <c r="I119" s="0" t="e">
        <f aca="false">sheet1!asr120</f>
        <v>#NAME?</v>
      </c>
      <c r="J119" s="0" t="e">
        <f aca="false">sheet1!ass120</f>
        <v>#NAME?</v>
      </c>
      <c r="K119" s="0" t="e">
        <f aca="false">sheet1!ast120</f>
        <v>#NAME?</v>
      </c>
      <c r="L119" s="0" t="e">
        <f aca="false">sheet1!asu120</f>
        <v>#NAME?</v>
      </c>
      <c r="M119" s="0" t="e">
        <f aca="false">sheet1!asv120</f>
        <v>#NAME?</v>
      </c>
    </row>
    <row r="120" customFormat="false" ht="13.5" hidden="false" customHeight="false" outlineLevel="0" collapsed="false">
      <c r="A120" s="0" t="s">
        <v>89</v>
      </c>
      <c r="B120" s="1" t="n">
        <v>43980</v>
      </c>
      <c r="C120" s="0" t="e">
        <f aca="false">sheet1!asl121</f>
        <v>#NAME?</v>
      </c>
      <c r="D120" s="0" t="e">
        <f aca="false">sheet1!asm121</f>
        <v>#NAME?</v>
      </c>
      <c r="E120" s="0" t="e">
        <f aca="false">sheet1!asn121</f>
        <v>#NAME?</v>
      </c>
      <c r="F120" s="0" t="e">
        <f aca="false">sheet1!aso121</f>
        <v>#NAME?</v>
      </c>
      <c r="G120" s="0" t="e">
        <f aca="false">sheet1!asp121</f>
        <v>#NAME?</v>
      </c>
      <c r="H120" s="0" t="e">
        <f aca="false">sheet1!asq121</f>
        <v>#NAME?</v>
      </c>
      <c r="I120" s="0" t="e">
        <f aca="false">sheet1!asr121</f>
        <v>#NAME?</v>
      </c>
      <c r="J120" s="0" t="e">
        <f aca="false">sheet1!ass121</f>
        <v>#NAME?</v>
      </c>
      <c r="K120" s="0" t="e">
        <f aca="false">sheet1!ast121</f>
        <v>#NAME?</v>
      </c>
      <c r="L120" s="0" t="e">
        <f aca="false">sheet1!asu121</f>
        <v>#NAME?</v>
      </c>
      <c r="M120" s="0" t="e">
        <f aca="false">sheet1!asv121</f>
        <v>#NAME?</v>
      </c>
    </row>
    <row r="121" customFormat="false" ht="13.5" hidden="false" customHeight="false" outlineLevel="0" collapsed="false">
      <c r="A121" s="0" t="s">
        <v>89</v>
      </c>
      <c r="B121" s="1" t="n">
        <v>43981</v>
      </c>
      <c r="C121" s="0" t="e">
        <f aca="false">sheet1!asl122</f>
        <v>#NAME?</v>
      </c>
      <c r="D121" s="0" t="e">
        <f aca="false">sheet1!asm122</f>
        <v>#NAME?</v>
      </c>
      <c r="E121" s="0" t="e">
        <f aca="false">sheet1!asn122</f>
        <v>#NAME?</v>
      </c>
      <c r="F121" s="0" t="e">
        <f aca="false">sheet1!aso122</f>
        <v>#NAME?</v>
      </c>
      <c r="G121" s="0" t="e">
        <f aca="false">sheet1!asp122</f>
        <v>#NAME?</v>
      </c>
      <c r="H121" s="0" t="e">
        <f aca="false">sheet1!asq122</f>
        <v>#NAME?</v>
      </c>
      <c r="I121" s="0" t="e">
        <f aca="false">sheet1!asr122</f>
        <v>#NAME?</v>
      </c>
      <c r="J121" s="0" t="e">
        <f aca="false">sheet1!ass122</f>
        <v>#NAME?</v>
      </c>
      <c r="K121" s="0" t="e">
        <f aca="false">sheet1!ast122</f>
        <v>#NAME?</v>
      </c>
      <c r="L121" s="0" t="e">
        <f aca="false">sheet1!asu122</f>
        <v>#NAME?</v>
      </c>
      <c r="M121" s="0" t="e">
        <f aca="false">sheet1!asv122</f>
        <v>#NAME?</v>
      </c>
    </row>
    <row r="122" customFormat="false" ht="13.5" hidden="false" customHeight="false" outlineLevel="0" collapsed="false">
      <c r="A122" s="0" t="s">
        <v>89</v>
      </c>
      <c r="B122" s="1" t="n">
        <v>43982</v>
      </c>
      <c r="C122" s="0" t="e">
        <f aca="false">sheet1!asl123</f>
        <v>#NAME?</v>
      </c>
      <c r="D122" s="0" t="e">
        <f aca="false">sheet1!asm123</f>
        <v>#NAME?</v>
      </c>
      <c r="E122" s="0" t="e">
        <f aca="false">sheet1!asn123</f>
        <v>#NAME?</v>
      </c>
      <c r="F122" s="0" t="e">
        <f aca="false">sheet1!aso123</f>
        <v>#NAME?</v>
      </c>
      <c r="G122" s="0" t="e">
        <f aca="false">sheet1!asp123</f>
        <v>#NAME?</v>
      </c>
      <c r="H122" s="0" t="e">
        <f aca="false">sheet1!asq123</f>
        <v>#NAME?</v>
      </c>
      <c r="I122" s="0" t="e">
        <f aca="false">sheet1!asr123</f>
        <v>#NAME?</v>
      </c>
      <c r="J122" s="0" t="e">
        <f aca="false">sheet1!ass123</f>
        <v>#NAME?</v>
      </c>
      <c r="K122" s="0" t="e">
        <f aca="false">sheet1!ast123</f>
        <v>#NAME?</v>
      </c>
      <c r="L122" s="0" t="e">
        <f aca="false">sheet1!asu123</f>
        <v>#NAME?</v>
      </c>
      <c r="M122" s="0" t="e">
        <f aca="false">sheet1!asv123</f>
        <v>#NAME?</v>
      </c>
    </row>
    <row r="123" customFormat="false" ht="13.5" hidden="false" customHeight="false" outlineLevel="0" collapsed="false">
      <c r="A123" s="0" t="s">
        <v>89</v>
      </c>
      <c r="B123" s="1" t="n">
        <v>43983</v>
      </c>
      <c r="C123" s="0" t="e">
        <f aca="false">sheet1!asl124</f>
        <v>#NAME?</v>
      </c>
      <c r="D123" s="0" t="e">
        <f aca="false">sheet1!asm124</f>
        <v>#NAME?</v>
      </c>
      <c r="E123" s="0" t="e">
        <f aca="false">sheet1!asn124</f>
        <v>#NAME?</v>
      </c>
      <c r="F123" s="0" t="e">
        <f aca="false">sheet1!aso124</f>
        <v>#NAME?</v>
      </c>
      <c r="G123" s="0" t="e">
        <f aca="false">sheet1!asp124</f>
        <v>#NAME?</v>
      </c>
      <c r="H123" s="0" t="e">
        <f aca="false">sheet1!asq124</f>
        <v>#NAME?</v>
      </c>
      <c r="I123" s="0" t="e">
        <f aca="false">sheet1!asr124</f>
        <v>#NAME?</v>
      </c>
      <c r="J123" s="0" t="e">
        <f aca="false">sheet1!ass124</f>
        <v>#NAME?</v>
      </c>
      <c r="K123" s="0" t="e">
        <f aca="false">sheet1!ast124</f>
        <v>#NAME?</v>
      </c>
      <c r="L123" s="0" t="e">
        <f aca="false">sheet1!asu124</f>
        <v>#NAME?</v>
      </c>
      <c r="M123" s="0" t="e">
        <f aca="false">sheet1!asv124</f>
        <v>#NAME?</v>
      </c>
    </row>
    <row r="124" customFormat="false" ht="13.5" hidden="false" customHeight="false" outlineLevel="0" collapsed="false">
      <c r="A124" s="0" t="s">
        <v>89</v>
      </c>
      <c r="B124" s="1" t="n">
        <v>43984</v>
      </c>
      <c r="C124" s="0" t="e">
        <f aca="false">sheet1!asl125</f>
        <v>#NAME?</v>
      </c>
      <c r="D124" s="0" t="e">
        <f aca="false">sheet1!asm125</f>
        <v>#NAME?</v>
      </c>
      <c r="E124" s="0" t="e">
        <f aca="false">sheet1!asn125</f>
        <v>#NAME?</v>
      </c>
      <c r="F124" s="0" t="e">
        <f aca="false">sheet1!aso125</f>
        <v>#NAME?</v>
      </c>
      <c r="G124" s="0" t="e">
        <f aca="false">sheet1!asp125</f>
        <v>#NAME?</v>
      </c>
      <c r="H124" s="0" t="e">
        <f aca="false">sheet1!asq125</f>
        <v>#NAME?</v>
      </c>
      <c r="I124" s="0" t="e">
        <f aca="false">sheet1!asr125</f>
        <v>#NAME?</v>
      </c>
      <c r="J124" s="0" t="e">
        <f aca="false">sheet1!ass125</f>
        <v>#NAME?</v>
      </c>
      <c r="K124" s="0" t="e">
        <f aca="false">sheet1!ast125</f>
        <v>#NAME?</v>
      </c>
      <c r="L124" s="0" t="e">
        <f aca="false">sheet1!asu125</f>
        <v>#NAME?</v>
      </c>
      <c r="M124" s="0" t="e">
        <f aca="false">sheet1!asv125</f>
        <v>#NAME?</v>
      </c>
    </row>
    <row r="125" customFormat="false" ht="13.5" hidden="false" customHeight="false" outlineLevel="0" collapsed="false">
      <c r="A125" s="0" t="s">
        <v>89</v>
      </c>
      <c r="B125" s="1" t="n">
        <v>43985</v>
      </c>
      <c r="C125" s="0" t="e">
        <f aca="false">sheet1!asl126</f>
        <v>#NAME?</v>
      </c>
      <c r="D125" s="0" t="e">
        <f aca="false">sheet1!asm126</f>
        <v>#NAME?</v>
      </c>
      <c r="E125" s="0" t="e">
        <f aca="false">sheet1!asn126</f>
        <v>#NAME?</v>
      </c>
      <c r="F125" s="0" t="e">
        <f aca="false">sheet1!aso126</f>
        <v>#NAME?</v>
      </c>
      <c r="G125" s="0" t="e">
        <f aca="false">sheet1!asp126</f>
        <v>#NAME?</v>
      </c>
      <c r="H125" s="0" t="e">
        <f aca="false">sheet1!asq126</f>
        <v>#NAME?</v>
      </c>
      <c r="I125" s="0" t="e">
        <f aca="false">sheet1!asr126</f>
        <v>#NAME?</v>
      </c>
      <c r="J125" s="0" t="e">
        <f aca="false">sheet1!ass126</f>
        <v>#NAME?</v>
      </c>
      <c r="K125" s="0" t="e">
        <f aca="false">sheet1!ast126</f>
        <v>#NAME?</v>
      </c>
      <c r="L125" s="0" t="e">
        <f aca="false">sheet1!asu126</f>
        <v>#NAME?</v>
      </c>
      <c r="M125" s="0" t="e">
        <f aca="false">sheet1!asv126</f>
        <v>#NAME?</v>
      </c>
    </row>
    <row r="126" customFormat="false" ht="13.5" hidden="false" customHeight="false" outlineLevel="0" collapsed="false">
      <c r="A126" s="0" t="s">
        <v>89</v>
      </c>
      <c r="B126" s="1" t="n">
        <v>43986</v>
      </c>
      <c r="C126" s="0" t="e">
        <f aca="false">sheet1!asl127</f>
        <v>#NAME?</v>
      </c>
      <c r="D126" s="0" t="e">
        <f aca="false">sheet1!asm127</f>
        <v>#NAME?</v>
      </c>
      <c r="E126" s="0" t="e">
        <f aca="false">sheet1!asn127</f>
        <v>#NAME?</v>
      </c>
      <c r="F126" s="0" t="e">
        <f aca="false">sheet1!aso127</f>
        <v>#NAME?</v>
      </c>
      <c r="G126" s="0" t="e">
        <f aca="false">sheet1!asp127</f>
        <v>#NAME?</v>
      </c>
      <c r="H126" s="0" t="e">
        <f aca="false">sheet1!asq127</f>
        <v>#NAME?</v>
      </c>
      <c r="I126" s="0" t="e">
        <f aca="false">sheet1!asr127</f>
        <v>#NAME?</v>
      </c>
      <c r="J126" s="0" t="e">
        <f aca="false">sheet1!ass127</f>
        <v>#NAME?</v>
      </c>
      <c r="K126" s="0" t="e">
        <f aca="false">sheet1!ast127</f>
        <v>#NAME?</v>
      </c>
      <c r="L126" s="0" t="e">
        <f aca="false">sheet1!asu127</f>
        <v>#NAME?</v>
      </c>
      <c r="M126" s="0" t="e">
        <f aca="false">sheet1!asv127</f>
        <v>#NAME?</v>
      </c>
    </row>
    <row r="127" customFormat="false" ht="13.5" hidden="false" customHeight="false" outlineLevel="0" collapsed="false">
      <c r="A127" s="0" t="s">
        <v>89</v>
      </c>
      <c r="B127" s="1" t="n">
        <v>43987</v>
      </c>
      <c r="C127" s="0" t="e">
        <f aca="false">sheet1!asl128</f>
        <v>#NAME?</v>
      </c>
      <c r="D127" s="0" t="e">
        <f aca="false">sheet1!asm128</f>
        <v>#NAME?</v>
      </c>
      <c r="E127" s="0" t="e">
        <f aca="false">sheet1!asn128</f>
        <v>#NAME?</v>
      </c>
      <c r="F127" s="0" t="e">
        <f aca="false">sheet1!aso128</f>
        <v>#NAME?</v>
      </c>
      <c r="G127" s="0" t="e">
        <f aca="false">sheet1!asp128</f>
        <v>#NAME?</v>
      </c>
      <c r="H127" s="0" t="e">
        <f aca="false">sheet1!asq128</f>
        <v>#NAME?</v>
      </c>
      <c r="I127" s="0" t="e">
        <f aca="false">sheet1!asr128</f>
        <v>#NAME?</v>
      </c>
      <c r="J127" s="0" t="e">
        <f aca="false">sheet1!ass128</f>
        <v>#NAME?</v>
      </c>
      <c r="K127" s="0" t="e">
        <f aca="false">sheet1!ast128</f>
        <v>#NAME?</v>
      </c>
      <c r="L127" s="0" t="e">
        <f aca="false">sheet1!asu128</f>
        <v>#NAME?</v>
      </c>
      <c r="M127" s="0" t="e">
        <f aca="false">sheet1!asv128</f>
        <v>#NAME?</v>
      </c>
    </row>
    <row r="128" customFormat="false" ht="13.5" hidden="false" customHeight="false" outlineLevel="0" collapsed="false">
      <c r="A128" s="0" t="s">
        <v>89</v>
      </c>
      <c r="B128" s="1" t="n">
        <v>43988</v>
      </c>
      <c r="C128" s="0" t="e">
        <f aca="false">sheet1!asl129</f>
        <v>#NAME?</v>
      </c>
      <c r="D128" s="0" t="e">
        <f aca="false">sheet1!asm129</f>
        <v>#NAME?</v>
      </c>
      <c r="E128" s="0" t="e">
        <f aca="false">sheet1!asn129</f>
        <v>#NAME?</v>
      </c>
      <c r="F128" s="0" t="e">
        <f aca="false">sheet1!aso129</f>
        <v>#NAME?</v>
      </c>
      <c r="G128" s="0" t="e">
        <f aca="false">sheet1!asp129</f>
        <v>#NAME?</v>
      </c>
      <c r="H128" s="0" t="e">
        <f aca="false">sheet1!asq129</f>
        <v>#NAME?</v>
      </c>
      <c r="I128" s="0" t="e">
        <f aca="false">sheet1!asr129</f>
        <v>#NAME?</v>
      </c>
      <c r="J128" s="0" t="e">
        <f aca="false">sheet1!ass129</f>
        <v>#NAME?</v>
      </c>
      <c r="K128" s="0" t="e">
        <f aca="false">sheet1!ast129</f>
        <v>#NAME?</v>
      </c>
      <c r="L128" s="0" t="e">
        <f aca="false">sheet1!asu129</f>
        <v>#NAME?</v>
      </c>
      <c r="M128" s="0" t="e">
        <f aca="false">sheet1!asv129</f>
        <v>#NAME?</v>
      </c>
    </row>
    <row r="129" customFormat="false" ht="13.5" hidden="false" customHeight="false" outlineLevel="0" collapsed="false">
      <c r="A129" s="0" t="s">
        <v>89</v>
      </c>
      <c r="B129" s="1" t="n">
        <v>43989</v>
      </c>
      <c r="C129" s="0" t="e">
        <f aca="false">sheet1!asl130</f>
        <v>#NAME?</v>
      </c>
      <c r="D129" s="0" t="e">
        <f aca="false">sheet1!asm130</f>
        <v>#NAME?</v>
      </c>
      <c r="E129" s="0" t="e">
        <f aca="false">sheet1!asn130</f>
        <v>#NAME?</v>
      </c>
      <c r="F129" s="0" t="e">
        <f aca="false">sheet1!aso130</f>
        <v>#NAME?</v>
      </c>
      <c r="G129" s="0" t="e">
        <f aca="false">sheet1!asp130</f>
        <v>#NAME?</v>
      </c>
      <c r="H129" s="0" t="e">
        <f aca="false">sheet1!asq130</f>
        <v>#NAME?</v>
      </c>
      <c r="I129" s="0" t="e">
        <f aca="false">sheet1!asr130</f>
        <v>#NAME?</v>
      </c>
      <c r="J129" s="0" t="e">
        <f aca="false">sheet1!ass130</f>
        <v>#NAME?</v>
      </c>
      <c r="K129" s="0" t="e">
        <f aca="false">sheet1!ast130</f>
        <v>#NAME?</v>
      </c>
      <c r="L129" s="0" t="e">
        <f aca="false">sheet1!asu130</f>
        <v>#NAME?</v>
      </c>
      <c r="M129" s="0" t="e">
        <f aca="false">sheet1!asv130</f>
        <v>#NAME?</v>
      </c>
    </row>
    <row r="130" customFormat="false" ht="13.5" hidden="false" customHeight="false" outlineLevel="0" collapsed="false">
      <c r="A130" s="0" t="s">
        <v>89</v>
      </c>
      <c r="B130" s="1" t="n">
        <v>43990</v>
      </c>
      <c r="C130" s="0" t="e">
        <f aca="false">sheet1!asl131</f>
        <v>#NAME?</v>
      </c>
      <c r="D130" s="0" t="e">
        <f aca="false">sheet1!asm131</f>
        <v>#NAME?</v>
      </c>
      <c r="E130" s="0" t="e">
        <f aca="false">sheet1!asn131</f>
        <v>#NAME?</v>
      </c>
      <c r="F130" s="0" t="e">
        <f aca="false">sheet1!aso131</f>
        <v>#NAME?</v>
      </c>
      <c r="G130" s="0" t="e">
        <f aca="false">sheet1!asp131</f>
        <v>#NAME?</v>
      </c>
      <c r="H130" s="0" t="e">
        <f aca="false">sheet1!asq131</f>
        <v>#NAME?</v>
      </c>
      <c r="I130" s="0" t="e">
        <f aca="false">sheet1!asr131</f>
        <v>#NAME?</v>
      </c>
      <c r="J130" s="0" t="e">
        <f aca="false">sheet1!ass131</f>
        <v>#NAME?</v>
      </c>
      <c r="K130" s="0" t="e">
        <f aca="false">sheet1!ast131</f>
        <v>#NAME?</v>
      </c>
      <c r="L130" s="0" t="e">
        <f aca="false">sheet1!asu131</f>
        <v>#NAME?</v>
      </c>
      <c r="M130" s="0" t="e">
        <f aca="false">sheet1!asv131</f>
        <v>#NAME?</v>
      </c>
    </row>
    <row r="131" customFormat="false" ht="13.5" hidden="false" customHeight="false" outlineLevel="0" collapsed="false">
      <c r="A131" s="0" t="s">
        <v>89</v>
      </c>
      <c r="B131" s="1" t="n">
        <v>43991</v>
      </c>
      <c r="C131" s="0" t="e">
        <f aca="false">sheet1!asl132</f>
        <v>#NAME?</v>
      </c>
      <c r="D131" s="0" t="e">
        <f aca="false">sheet1!asm132</f>
        <v>#NAME?</v>
      </c>
      <c r="E131" s="0" t="e">
        <f aca="false">sheet1!asn132</f>
        <v>#NAME?</v>
      </c>
      <c r="F131" s="0" t="e">
        <f aca="false">sheet1!aso132</f>
        <v>#NAME?</v>
      </c>
      <c r="G131" s="0" t="e">
        <f aca="false">sheet1!asp132</f>
        <v>#NAME?</v>
      </c>
      <c r="H131" s="0" t="e">
        <f aca="false">sheet1!asq132</f>
        <v>#NAME?</v>
      </c>
      <c r="I131" s="0" t="e">
        <f aca="false">sheet1!asr132</f>
        <v>#NAME?</v>
      </c>
      <c r="J131" s="0" t="e">
        <f aca="false">sheet1!ass132</f>
        <v>#NAME?</v>
      </c>
      <c r="K131" s="0" t="e">
        <f aca="false">sheet1!ast132</f>
        <v>#NAME?</v>
      </c>
      <c r="L131" s="0" t="e">
        <f aca="false">sheet1!asu132</f>
        <v>#NAME?</v>
      </c>
      <c r="M131" s="0" t="e">
        <f aca="false">sheet1!asv132</f>
        <v>#NAME?</v>
      </c>
    </row>
    <row r="132" customFormat="false" ht="13.5" hidden="false" customHeight="false" outlineLevel="0" collapsed="false">
      <c r="A132" s="0" t="s">
        <v>89</v>
      </c>
      <c r="B132" s="1" t="n">
        <v>43992</v>
      </c>
      <c r="C132" s="0" t="e">
        <f aca="false">sheet1!asl133</f>
        <v>#NAME?</v>
      </c>
      <c r="D132" s="0" t="e">
        <f aca="false">sheet1!asm133</f>
        <v>#NAME?</v>
      </c>
      <c r="E132" s="0" t="e">
        <f aca="false">sheet1!asn133</f>
        <v>#NAME?</v>
      </c>
      <c r="F132" s="0" t="e">
        <f aca="false">sheet1!aso133</f>
        <v>#NAME?</v>
      </c>
      <c r="G132" s="0" t="e">
        <f aca="false">sheet1!asp133</f>
        <v>#NAME?</v>
      </c>
      <c r="H132" s="0" t="e">
        <f aca="false">sheet1!asq133</f>
        <v>#NAME?</v>
      </c>
      <c r="I132" s="0" t="e">
        <f aca="false">sheet1!asr133</f>
        <v>#NAME?</v>
      </c>
      <c r="J132" s="0" t="e">
        <f aca="false">sheet1!ass133</f>
        <v>#NAME?</v>
      </c>
      <c r="K132" s="0" t="e">
        <f aca="false">sheet1!ast133</f>
        <v>#NAME?</v>
      </c>
      <c r="L132" s="0" t="e">
        <f aca="false">sheet1!asu133</f>
        <v>#NAME?</v>
      </c>
      <c r="M132" s="0" t="e">
        <f aca="false">sheet1!asv133</f>
        <v>#NAME?</v>
      </c>
    </row>
    <row r="133" customFormat="false" ht="13.5" hidden="false" customHeight="false" outlineLevel="0" collapsed="false">
      <c r="A133" s="0" t="s">
        <v>89</v>
      </c>
      <c r="B133" s="1" t="n">
        <v>43993</v>
      </c>
      <c r="C133" s="0" t="e">
        <f aca="false">sheet1!asl134</f>
        <v>#NAME?</v>
      </c>
      <c r="D133" s="0" t="e">
        <f aca="false">sheet1!asm134</f>
        <v>#NAME?</v>
      </c>
      <c r="E133" s="0" t="e">
        <f aca="false">sheet1!asn134</f>
        <v>#NAME?</v>
      </c>
      <c r="F133" s="0" t="e">
        <f aca="false">sheet1!aso134</f>
        <v>#NAME?</v>
      </c>
      <c r="G133" s="0" t="e">
        <f aca="false">sheet1!asp134</f>
        <v>#NAME?</v>
      </c>
      <c r="H133" s="0" t="e">
        <f aca="false">sheet1!asq134</f>
        <v>#NAME?</v>
      </c>
      <c r="I133" s="0" t="e">
        <f aca="false">sheet1!asr134</f>
        <v>#NAME?</v>
      </c>
      <c r="J133" s="0" t="e">
        <f aca="false">sheet1!ass134</f>
        <v>#NAME?</v>
      </c>
      <c r="K133" s="0" t="e">
        <f aca="false">sheet1!ast134</f>
        <v>#NAME?</v>
      </c>
      <c r="L133" s="0" t="e">
        <f aca="false">sheet1!asu134</f>
        <v>#NAME?</v>
      </c>
      <c r="M133" s="0" t="e">
        <f aca="false">sheet1!asv134</f>
        <v>#NAME?</v>
      </c>
    </row>
    <row r="134" customFormat="false" ht="13.5" hidden="false" customHeight="false" outlineLevel="0" collapsed="false">
      <c r="A134" s="0" t="s">
        <v>89</v>
      </c>
      <c r="B134" s="1" t="n">
        <v>43994</v>
      </c>
      <c r="C134" s="0" t="e">
        <f aca="false">sheet1!asl135</f>
        <v>#NAME?</v>
      </c>
      <c r="D134" s="0" t="e">
        <f aca="false">sheet1!asm135</f>
        <v>#NAME?</v>
      </c>
      <c r="E134" s="0" t="e">
        <f aca="false">sheet1!asn135</f>
        <v>#NAME?</v>
      </c>
      <c r="F134" s="0" t="e">
        <f aca="false">sheet1!aso135</f>
        <v>#NAME?</v>
      </c>
      <c r="G134" s="0" t="e">
        <f aca="false">sheet1!asp135</f>
        <v>#NAME?</v>
      </c>
      <c r="H134" s="0" t="e">
        <f aca="false">sheet1!asq135</f>
        <v>#NAME?</v>
      </c>
      <c r="I134" s="0" t="e">
        <f aca="false">sheet1!asr135</f>
        <v>#NAME?</v>
      </c>
      <c r="J134" s="0" t="e">
        <f aca="false">sheet1!ass135</f>
        <v>#NAME?</v>
      </c>
      <c r="K134" s="0" t="e">
        <f aca="false">sheet1!ast135</f>
        <v>#NAME?</v>
      </c>
      <c r="L134" s="0" t="e">
        <f aca="false">sheet1!asu135</f>
        <v>#NAME?</v>
      </c>
      <c r="M134" s="0" t="e">
        <f aca="false">sheet1!asv135</f>
        <v>#NAME?</v>
      </c>
    </row>
    <row r="135" customFormat="false" ht="13.5" hidden="false" customHeight="false" outlineLevel="0" collapsed="false">
      <c r="A135" s="0" t="s">
        <v>89</v>
      </c>
      <c r="B135" s="1" t="n">
        <v>43995</v>
      </c>
      <c r="C135" s="0" t="e">
        <f aca="false">sheet1!asl136</f>
        <v>#NAME?</v>
      </c>
      <c r="D135" s="0" t="e">
        <f aca="false">sheet1!asm136</f>
        <v>#NAME?</v>
      </c>
      <c r="E135" s="0" t="e">
        <f aca="false">sheet1!asn136</f>
        <v>#NAME?</v>
      </c>
      <c r="F135" s="0" t="e">
        <f aca="false">sheet1!aso136</f>
        <v>#NAME?</v>
      </c>
      <c r="G135" s="0" t="e">
        <f aca="false">sheet1!asp136</f>
        <v>#NAME?</v>
      </c>
      <c r="H135" s="0" t="e">
        <f aca="false">sheet1!asq136</f>
        <v>#NAME?</v>
      </c>
      <c r="I135" s="0" t="e">
        <f aca="false">sheet1!asr136</f>
        <v>#NAME?</v>
      </c>
      <c r="J135" s="0" t="e">
        <f aca="false">sheet1!ass136</f>
        <v>#NAME?</v>
      </c>
      <c r="K135" s="0" t="e">
        <f aca="false">sheet1!ast136</f>
        <v>#NAME?</v>
      </c>
      <c r="L135" s="0" t="e">
        <f aca="false">sheet1!asu136</f>
        <v>#NAME?</v>
      </c>
      <c r="M135" s="0" t="e">
        <f aca="false">sheet1!asv136</f>
        <v>#NAME?</v>
      </c>
    </row>
    <row r="136" customFormat="false" ht="13.5" hidden="false" customHeight="false" outlineLevel="0" collapsed="false">
      <c r="A136" s="0" t="s">
        <v>89</v>
      </c>
      <c r="B136" s="1" t="n">
        <v>43996</v>
      </c>
      <c r="C136" s="0" t="e">
        <f aca="false">sheet1!asl137</f>
        <v>#NAME?</v>
      </c>
      <c r="D136" s="0" t="e">
        <f aca="false">sheet1!asm137</f>
        <v>#NAME?</v>
      </c>
      <c r="E136" s="0" t="e">
        <f aca="false">sheet1!asn137</f>
        <v>#NAME?</v>
      </c>
      <c r="F136" s="0" t="e">
        <f aca="false">sheet1!aso137</f>
        <v>#NAME?</v>
      </c>
      <c r="G136" s="0" t="e">
        <f aca="false">sheet1!asp137</f>
        <v>#NAME?</v>
      </c>
      <c r="H136" s="0" t="e">
        <f aca="false">sheet1!asq137</f>
        <v>#NAME?</v>
      </c>
      <c r="I136" s="0" t="e">
        <f aca="false">sheet1!asr137</f>
        <v>#NAME?</v>
      </c>
      <c r="J136" s="0" t="e">
        <f aca="false">sheet1!ass137</f>
        <v>#NAME?</v>
      </c>
      <c r="K136" s="0" t="e">
        <f aca="false">sheet1!ast137</f>
        <v>#NAME?</v>
      </c>
      <c r="L136" s="0" t="e">
        <f aca="false">sheet1!asu137</f>
        <v>#NAME?</v>
      </c>
      <c r="M136" s="0" t="e">
        <f aca="false">sheet1!asv137</f>
        <v>#NAME?</v>
      </c>
    </row>
    <row r="137" customFormat="false" ht="13.5" hidden="false" customHeight="false" outlineLevel="0" collapsed="false">
      <c r="A137" s="0" t="s">
        <v>89</v>
      </c>
      <c r="B137" s="1" t="n">
        <v>43997</v>
      </c>
      <c r="C137" s="0" t="e">
        <f aca="false">sheet1!asl138</f>
        <v>#NAME?</v>
      </c>
      <c r="D137" s="0" t="e">
        <f aca="false">sheet1!asm138</f>
        <v>#NAME?</v>
      </c>
      <c r="E137" s="0" t="e">
        <f aca="false">sheet1!asn138</f>
        <v>#NAME?</v>
      </c>
      <c r="F137" s="0" t="e">
        <f aca="false">sheet1!aso138</f>
        <v>#NAME?</v>
      </c>
      <c r="G137" s="0" t="e">
        <f aca="false">sheet1!asp138</f>
        <v>#NAME?</v>
      </c>
      <c r="H137" s="0" t="e">
        <f aca="false">sheet1!asq138</f>
        <v>#NAME?</v>
      </c>
      <c r="I137" s="0" t="e">
        <f aca="false">sheet1!asr138</f>
        <v>#NAME?</v>
      </c>
      <c r="J137" s="0" t="e">
        <f aca="false">sheet1!ass138</f>
        <v>#NAME?</v>
      </c>
      <c r="K137" s="0" t="e">
        <f aca="false">sheet1!ast138</f>
        <v>#NAME?</v>
      </c>
      <c r="L137" s="0" t="e">
        <f aca="false">sheet1!asu138</f>
        <v>#NAME?</v>
      </c>
      <c r="M137" s="0" t="e">
        <f aca="false">sheet1!asv138</f>
        <v>#NAME?</v>
      </c>
    </row>
    <row r="138" customFormat="false" ht="13.5" hidden="false" customHeight="false" outlineLevel="0" collapsed="false">
      <c r="A138" s="0" t="s">
        <v>89</v>
      </c>
      <c r="B138" s="1" t="n">
        <v>43998</v>
      </c>
      <c r="C138" s="0" t="e">
        <f aca="false">sheet1!asl139</f>
        <v>#NAME?</v>
      </c>
      <c r="D138" s="0" t="e">
        <f aca="false">sheet1!asm139</f>
        <v>#NAME?</v>
      </c>
      <c r="E138" s="0" t="e">
        <f aca="false">sheet1!asn139</f>
        <v>#NAME?</v>
      </c>
      <c r="F138" s="0" t="e">
        <f aca="false">sheet1!aso139</f>
        <v>#NAME?</v>
      </c>
      <c r="G138" s="0" t="e">
        <f aca="false">sheet1!asp139</f>
        <v>#NAME?</v>
      </c>
      <c r="H138" s="0" t="e">
        <f aca="false">sheet1!asq139</f>
        <v>#NAME?</v>
      </c>
      <c r="I138" s="0" t="e">
        <f aca="false">sheet1!asr139</f>
        <v>#NAME?</v>
      </c>
      <c r="J138" s="0" t="e">
        <f aca="false">sheet1!ass139</f>
        <v>#NAME?</v>
      </c>
      <c r="K138" s="0" t="e">
        <f aca="false">sheet1!ast139</f>
        <v>#NAME?</v>
      </c>
      <c r="L138" s="0" t="e">
        <f aca="false">sheet1!asu139</f>
        <v>#NAME?</v>
      </c>
      <c r="M138" s="0" t="e">
        <f aca="false">sheet1!asv139</f>
        <v>#NAME?</v>
      </c>
    </row>
    <row r="139" customFormat="false" ht="13.5" hidden="false" customHeight="false" outlineLevel="0" collapsed="false">
      <c r="A139" s="0" t="s">
        <v>89</v>
      </c>
      <c r="B139" s="1" t="n">
        <v>43999</v>
      </c>
      <c r="C139" s="0" t="e">
        <f aca="false">sheet1!asl140</f>
        <v>#NAME?</v>
      </c>
      <c r="D139" s="0" t="e">
        <f aca="false">sheet1!asm140</f>
        <v>#NAME?</v>
      </c>
      <c r="E139" s="0" t="e">
        <f aca="false">sheet1!asn140</f>
        <v>#NAME?</v>
      </c>
      <c r="F139" s="0" t="e">
        <f aca="false">sheet1!aso140</f>
        <v>#NAME?</v>
      </c>
      <c r="G139" s="0" t="e">
        <f aca="false">sheet1!asp140</f>
        <v>#NAME?</v>
      </c>
      <c r="H139" s="0" t="e">
        <f aca="false">sheet1!asq140</f>
        <v>#NAME?</v>
      </c>
      <c r="I139" s="0" t="e">
        <f aca="false">sheet1!asr140</f>
        <v>#NAME?</v>
      </c>
      <c r="J139" s="0" t="e">
        <f aca="false">sheet1!ass140</f>
        <v>#NAME?</v>
      </c>
      <c r="K139" s="0" t="e">
        <f aca="false">sheet1!ast140</f>
        <v>#NAME?</v>
      </c>
      <c r="L139" s="0" t="e">
        <f aca="false">sheet1!asu140</f>
        <v>#NAME?</v>
      </c>
      <c r="M139" s="0" t="e">
        <f aca="false">sheet1!asv140</f>
        <v>#NAME?</v>
      </c>
    </row>
    <row r="140" customFormat="false" ht="13.5" hidden="false" customHeight="false" outlineLevel="0" collapsed="false">
      <c r="A140" s="0" t="s">
        <v>89</v>
      </c>
      <c r="B140" s="1" t="n">
        <v>44000</v>
      </c>
      <c r="C140" s="0" t="e">
        <f aca="false">sheet1!asl141</f>
        <v>#NAME?</v>
      </c>
      <c r="D140" s="0" t="e">
        <f aca="false">sheet1!asm141</f>
        <v>#NAME?</v>
      </c>
      <c r="E140" s="0" t="e">
        <f aca="false">sheet1!asn141</f>
        <v>#NAME?</v>
      </c>
      <c r="F140" s="0" t="e">
        <f aca="false">sheet1!aso141</f>
        <v>#NAME?</v>
      </c>
      <c r="G140" s="0" t="e">
        <f aca="false">sheet1!asp141</f>
        <v>#NAME?</v>
      </c>
      <c r="H140" s="0" t="e">
        <f aca="false">sheet1!asq141</f>
        <v>#NAME?</v>
      </c>
      <c r="I140" s="0" t="e">
        <f aca="false">sheet1!asr141</f>
        <v>#NAME?</v>
      </c>
      <c r="J140" s="0" t="e">
        <f aca="false">sheet1!ass141</f>
        <v>#NAME?</v>
      </c>
      <c r="K140" s="0" t="e">
        <f aca="false">sheet1!ast141</f>
        <v>#NAME?</v>
      </c>
      <c r="L140" s="0" t="e">
        <f aca="false">sheet1!asu141</f>
        <v>#NAME?</v>
      </c>
      <c r="M140" s="0" t="e">
        <f aca="false">sheet1!asv141</f>
        <v>#NAME?</v>
      </c>
    </row>
    <row r="141" customFormat="false" ht="13.5" hidden="false" customHeight="false" outlineLevel="0" collapsed="false">
      <c r="A141" s="0" t="s">
        <v>89</v>
      </c>
      <c r="B141" s="1" t="n">
        <v>44001</v>
      </c>
      <c r="C141" s="0" t="e">
        <f aca="false">sheet1!asl142</f>
        <v>#NAME?</v>
      </c>
      <c r="D141" s="0" t="e">
        <f aca="false">sheet1!asm142</f>
        <v>#NAME?</v>
      </c>
      <c r="E141" s="0" t="e">
        <f aca="false">sheet1!asn142</f>
        <v>#NAME?</v>
      </c>
      <c r="F141" s="0" t="e">
        <f aca="false">sheet1!aso142</f>
        <v>#NAME?</v>
      </c>
      <c r="G141" s="0" t="e">
        <f aca="false">sheet1!asp142</f>
        <v>#NAME?</v>
      </c>
      <c r="H141" s="0" t="e">
        <f aca="false">sheet1!asq142</f>
        <v>#NAME?</v>
      </c>
      <c r="I141" s="0" t="e">
        <f aca="false">sheet1!asr142</f>
        <v>#NAME?</v>
      </c>
      <c r="J141" s="0" t="e">
        <f aca="false">sheet1!ass142</f>
        <v>#NAME?</v>
      </c>
      <c r="K141" s="0" t="e">
        <f aca="false">sheet1!ast142</f>
        <v>#NAME?</v>
      </c>
      <c r="L141" s="0" t="e">
        <f aca="false">sheet1!asu142</f>
        <v>#NAME?</v>
      </c>
      <c r="M141" s="0" t="e">
        <f aca="false">sheet1!asv142</f>
        <v>#NAME?</v>
      </c>
    </row>
    <row r="142" customFormat="false" ht="13.5" hidden="false" customHeight="false" outlineLevel="0" collapsed="false">
      <c r="A142" s="0" t="s">
        <v>89</v>
      </c>
      <c r="B142" s="1" t="n">
        <v>44002</v>
      </c>
      <c r="C142" s="0" t="e">
        <f aca="false">sheet1!asl143</f>
        <v>#NAME?</v>
      </c>
      <c r="D142" s="0" t="e">
        <f aca="false">sheet1!asm143</f>
        <v>#NAME?</v>
      </c>
      <c r="E142" s="0" t="e">
        <f aca="false">sheet1!asn143</f>
        <v>#NAME?</v>
      </c>
      <c r="F142" s="0" t="e">
        <f aca="false">sheet1!aso143</f>
        <v>#NAME?</v>
      </c>
      <c r="G142" s="0" t="e">
        <f aca="false">sheet1!asp143</f>
        <v>#NAME?</v>
      </c>
      <c r="H142" s="0" t="e">
        <f aca="false">sheet1!asq143</f>
        <v>#NAME?</v>
      </c>
      <c r="I142" s="0" t="e">
        <f aca="false">sheet1!asr143</f>
        <v>#NAME?</v>
      </c>
      <c r="J142" s="0" t="e">
        <f aca="false">sheet1!ass143</f>
        <v>#NAME?</v>
      </c>
      <c r="K142" s="0" t="e">
        <f aca="false">sheet1!ast143</f>
        <v>#NAME?</v>
      </c>
      <c r="L142" s="0" t="e">
        <f aca="false">sheet1!asu143</f>
        <v>#NAME?</v>
      </c>
      <c r="M142" s="0" t="e">
        <f aca="false">sheet1!asv143</f>
        <v>#NAME?</v>
      </c>
    </row>
    <row r="143" customFormat="false" ht="13.5" hidden="false" customHeight="false" outlineLevel="0" collapsed="false">
      <c r="A143" s="0" t="s">
        <v>89</v>
      </c>
      <c r="B143" s="1" t="n">
        <v>44003</v>
      </c>
      <c r="C143" s="0" t="e">
        <f aca="false">sheet1!asl144</f>
        <v>#NAME?</v>
      </c>
      <c r="D143" s="0" t="e">
        <f aca="false">sheet1!asm144</f>
        <v>#NAME?</v>
      </c>
      <c r="E143" s="0" t="e">
        <f aca="false">sheet1!asn144</f>
        <v>#NAME?</v>
      </c>
      <c r="F143" s="0" t="e">
        <f aca="false">sheet1!aso144</f>
        <v>#NAME?</v>
      </c>
      <c r="G143" s="0" t="e">
        <f aca="false">sheet1!asp144</f>
        <v>#NAME?</v>
      </c>
      <c r="H143" s="0" t="e">
        <f aca="false">sheet1!asq144</f>
        <v>#NAME?</v>
      </c>
      <c r="I143" s="0" t="e">
        <f aca="false">sheet1!asr144</f>
        <v>#NAME?</v>
      </c>
      <c r="J143" s="0" t="e">
        <f aca="false">sheet1!ass144</f>
        <v>#NAME?</v>
      </c>
      <c r="K143" s="0" t="e">
        <f aca="false">sheet1!ast144</f>
        <v>#NAME?</v>
      </c>
      <c r="L143" s="0" t="e">
        <f aca="false">sheet1!asu144</f>
        <v>#NAME?</v>
      </c>
      <c r="M143" s="0" t="e">
        <f aca="false">sheet1!asv144</f>
        <v>#NAME?</v>
      </c>
    </row>
    <row r="144" customFormat="false" ht="13.5" hidden="false" customHeight="false" outlineLevel="0" collapsed="false">
      <c r="A144" s="0" t="s">
        <v>89</v>
      </c>
      <c r="B144" s="1" t="n">
        <v>44004</v>
      </c>
      <c r="C144" s="0" t="e">
        <f aca="false">sheet1!asl145</f>
        <v>#NAME?</v>
      </c>
      <c r="D144" s="0" t="e">
        <f aca="false">sheet1!asm145</f>
        <v>#NAME?</v>
      </c>
      <c r="E144" s="0" t="e">
        <f aca="false">sheet1!asn145</f>
        <v>#NAME?</v>
      </c>
      <c r="F144" s="0" t="e">
        <f aca="false">sheet1!aso145</f>
        <v>#NAME?</v>
      </c>
      <c r="G144" s="0" t="e">
        <f aca="false">sheet1!asp145</f>
        <v>#NAME?</v>
      </c>
      <c r="H144" s="0" t="e">
        <f aca="false">sheet1!asq145</f>
        <v>#NAME?</v>
      </c>
      <c r="I144" s="0" t="e">
        <f aca="false">sheet1!asr145</f>
        <v>#NAME?</v>
      </c>
      <c r="J144" s="0" t="e">
        <f aca="false">sheet1!ass145</f>
        <v>#NAME?</v>
      </c>
      <c r="K144" s="0" t="e">
        <f aca="false">sheet1!ast145</f>
        <v>#NAME?</v>
      </c>
      <c r="L144" s="0" t="e">
        <f aca="false">sheet1!asu145</f>
        <v>#NAME?</v>
      </c>
      <c r="M144" s="0" t="e">
        <f aca="false">sheet1!asv145</f>
        <v>#NAME?</v>
      </c>
    </row>
    <row r="145" customFormat="false" ht="13.5" hidden="false" customHeight="false" outlineLevel="0" collapsed="false">
      <c r="A145" s="0" t="s">
        <v>89</v>
      </c>
      <c r="B145" s="1" t="n">
        <v>44005</v>
      </c>
      <c r="C145" s="0" t="e">
        <f aca="false">sheet1!asl146</f>
        <v>#NAME?</v>
      </c>
      <c r="D145" s="0" t="e">
        <f aca="false">sheet1!asm146</f>
        <v>#NAME?</v>
      </c>
      <c r="E145" s="0" t="e">
        <f aca="false">sheet1!asn146</f>
        <v>#NAME?</v>
      </c>
      <c r="F145" s="0" t="e">
        <f aca="false">sheet1!aso146</f>
        <v>#NAME?</v>
      </c>
      <c r="G145" s="0" t="e">
        <f aca="false">sheet1!asp146</f>
        <v>#NAME?</v>
      </c>
      <c r="H145" s="0" t="e">
        <f aca="false">sheet1!asq146</f>
        <v>#NAME?</v>
      </c>
      <c r="I145" s="0" t="e">
        <f aca="false">sheet1!asr146</f>
        <v>#NAME?</v>
      </c>
      <c r="J145" s="0" t="e">
        <f aca="false">sheet1!ass146</f>
        <v>#NAME?</v>
      </c>
      <c r="K145" s="0" t="e">
        <f aca="false">sheet1!ast146</f>
        <v>#NAME?</v>
      </c>
      <c r="L145" s="0" t="e">
        <f aca="false">sheet1!asu146</f>
        <v>#NAME?</v>
      </c>
      <c r="M145" s="0" t="e">
        <f aca="false">sheet1!asv146</f>
        <v>#NAME?</v>
      </c>
    </row>
    <row r="146" customFormat="false" ht="13.5" hidden="false" customHeight="false" outlineLevel="0" collapsed="false">
      <c r="A146" s="0" t="s">
        <v>89</v>
      </c>
      <c r="B146" s="1" t="n">
        <v>44006</v>
      </c>
      <c r="C146" s="0" t="e">
        <f aca="false">sheet1!asl147</f>
        <v>#NAME?</v>
      </c>
      <c r="D146" s="0" t="e">
        <f aca="false">sheet1!asm147</f>
        <v>#NAME?</v>
      </c>
      <c r="E146" s="0" t="e">
        <f aca="false">sheet1!asn147</f>
        <v>#NAME?</v>
      </c>
      <c r="F146" s="0" t="e">
        <f aca="false">sheet1!aso147</f>
        <v>#NAME?</v>
      </c>
      <c r="G146" s="0" t="e">
        <f aca="false">sheet1!asp147</f>
        <v>#NAME?</v>
      </c>
      <c r="H146" s="0" t="e">
        <f aca="false">sheet1!asq147</f>
        <v>#NAME?</v>
      </c>
      <c r="I146" s="0" t="e">
        <f aca="false">sheet1!asr147</f>
        <v>#NAME?</v>
      </c>
      <c r="J146" s="0" t="e">
        <f aca="false">sheet1!ass147</f>
        <v>#NAME?</v>
      </c>
      <c r="K146" s="0" t="e">
        <f aca="false">sheet1!ast147</f>
        <v>#NAME?</v>
      </c>
      <c r="L146" s="0" t="e">
        <f aca="false">sheet1!asu147</f>
        <v>#NAME?</v>
      </c>
      <c r="M146" s="0" t="e">
        <f aca="false">sheet1!asv147</f>
        <v>#NAME?</v>
      </c>
    </row>
    <row r="147" customFormat="false" ht="13.5" hidden="false" customHeight="false" outlineLevel="0" collapsed="false">
      <c r="A147" s="0" t="s">
        <v>89</v>
      </c>
      <c r="B147" s="1" t="n">
        <v>44007</v>
      </c>
      <c r="C147" s="0" t="e">
        <f aca="false">sheet1!asl148</f>
        <v>#NAME?</v>
      </c>
      <c r="D147" s="0" t="e">
        <f aca="false">sheet1!asm148</f>
        <v>#NAME?</v>
      </c>
      <c r="E147" s="0" t="e">
        <f aca="false">sheet1!asn148</f>
        <v>#NAME?</v>
      </c>
      <c r="F147" s="0" t="e">
        <f aca="false">sheet1!aso148</f>
        <v>#NAME?</v>
      </c>
      <c r="G147" s="0" t="e">
        <f aca="false">sheet1!asp148</f>
        <v>#NAME?</v>
      </c>
      <c r="H147" s="0" t="e">
        <f aca="false">sheet1!asq148</f>
        <v>#NAME?</v>
      </c>
      <c r="I147" s="0" t="e">
        <f aca="false">sheet1!asr148</f>
        <v>#NAME?</v>
      </c>
      <c r="J147" s="0" t="e">
        <f aca="false">sheet1!ass148</f>
        <v>#NAME?</v>
      </c>
      <c r="K147" s="0" t="e">
        <f aca="false">sheet1!ast148</f>
        <v>#NAME?</v>
      </c>
      <c r="L147" s="0" t="e">
        <f aca="false">sheet1!asu148</f>
        <v>#NAME?</v>
      </c>
      <c r="M147" s="0" t="e">
        <f aca="false">sheet1!asv148</f>
        <v>#NAME?</v>
      </c>
    </row>
    <row r="148" customFormat="false" ht="13.5" hidden="false" customHeight="false" outlineLevel="0" collapsed="false">
      <c r="A148" s="0" t="s">
        <v>89</v>
      </c>
      <c r="B148" s="1" t="n">
        <v>44008</v>
      </c>
      <c r="C148" s="0" t="e">
        <f aca="false">sheet1!asl149</f>
        <v>#NAME?</v>
      </c>
      <c r="D148" s="0" t="e">
        <f aca="false">sheet1!asm149</f>
        <v>#NAME?</v>
      </c>
      <c r="E148" s="0" t="e">
        <f aca="false">sheet1!asn149</f>
        <v>#NAME?</v>
      </c>
      <c r="F148" s="0" t="e">
        <f aca="false">sheet1!aso149</f>
        <v>#NAME?</v>
      </c>
      <c r="G148" s="0" t="e">
        <f aca="false">sheet1!asp149</f>
        <v>#NAME?</v>
      </c>
      <c r="H148" s="0" t="e">
        <f aca="false">sheet1!asq149</f>
        <v>#NAME?</v>
      </c>
      <c r="I148" s="0" t="e">
        <f aca="false">sheet1!asr149</f>
        <v>#NAME?</v>
      </c>
      <c r="J148" s="0" t="e">
        <f aca="false">sheet1!ass149</f>
        <v>#NAME?</v>
      </c>
      <c r="K148" s="0" t="e">
        <f aca="false">sheet1!ast149</f>
        <v>#NAME?</v>
      </c>
      <c r="L148" s="0" t="e">
        <f aca="false">sheet1!asu149</f>
        <v>#NAME?</v>
      </c>
      <c r="M148" s="0" t="e">
        <f aca="false">sheet1!asv149</f>
        <v>#NAME?</v>
      </c>
    </row>
    <row r="149" customFormat="false" ht="13.5" hidden="false" customHeight="false" outlineLevel="0" collapsed="false">
      <c r="A149" s="0" t="s">
        <v>89</v>
      </c>
      <c r="B149" s="1" t="n">
        <v>44009</v>
      </c>
      <c r="C149" s="0" t="e">
        <f aca="false">sheet1!asl150</f>
        <v>#NAME?</v>
      </c>
      <c r="D149" s="0" t="e">
        <f aca="false">sheet1!asm150</f>
        <v>#NAME?</v>
      </c>
      <c r="E149" s="0" t="e">
        <f aca="false">sheet1!asn150</f>
        <v>#NAME?</v>
      </c>
      <c r="F149" s="0" t="e">
        <f aca="false">sheet1!aso150</f>
        <v>#NAME?</v>
      </c>
      <c r="G149" s="0" t="e">
        <f aca="false">sheet1!asp150</f>
        <v>#NAME?</v>
      </c>
      <c r="H149" s="0" t="e">
        <f aca="false">sheet1!asq150</f>
        <v>#NAME?</v>
      </c>
      <c r="I149" s="0" t="e">
        <f aca="false">sheet1!asr150</f>
        <v>#NAME?</v>
      </c>
      <c r="J149" s="0" t="e">
        <f aca="false">sheet1!ass150</f>
        <v>#NAME?</v>
      </c>
      <c r="K149" s="0" t="e">
        <f aca="false">sheet1!ast150</f>
        <v>#NAME?</v>
      </c>
      <c r="L149" s="0" t="e">
        <f aca="false">sheet1!asu150</f>
        <v>#NAME?</v>
      </c>
      <c r="M149" s="0" t="e">
        <f aca="false">sheet1!asv150</f>
        <v>#NAME?</v>
      </c>
    </row>
    <row r="150" customFormat="false" ht="13.5" hidden="false" customHeight="false" outlineLevel="0" collapsed="false">
      <c r="A150" s="0" t="s">
        <v>89</v>
      </c>
      <c r="B150" s="1" t="n">
        <v>44010</v>
      </c>
      <c r="C150" s="0" t="e">
        <f aca="false">sheet1!asl151</f>
        <v>#NAME?</v>
      </c>
      <c r="D150" s="0" t="e">
        <f aca="false">sheet1!asm151</f>
        <v>#NAME?</v>
      </c>
      <c r="E150" s="0" t="e">
        <f aca="false">sheet1!asn151</f>
        <v>#NAME?</v>
      </c>
      <c r="F150" s="0" t="e">
        <f aca="false">sheet1!aso151</f>
        <v>#NAME?</v>
      </c>
      <c r="G150" s="0" t="e">
        <f aca="false">sheet1!asp151</f>
        <v>#NAME?</v>
      </c>
      <c r="H150" s="0" t="e">
        <f aca="false">sheet1!asq151</f>
        <v>#NAME?</v>
      </c>
      <c r="I150" s="0" t="e">
        <f aca="false">sheet1!asr151</f>
        <v>#NAME?</v>
      </c>
      <c r="J150" s="0" t="e">
        <f aca="false">sheet1!ass151</f>
        <v>#NAME?</v>
      </c>
      <c r="K150" s="0" t="e">
        <f aca="false">sheet1!ast151</f>
        <v>#NAME?</v>
      </c>
      <c r="L150" s="0" t="e">
        <f aca="false">sheet1!asu151</f>
        <v>#NAME?</v>
      </c>
      <c r="M150" s="0" t="e">
        <f aca="false">sheet1!asv151</f>
        <v>#NAME?</v>
      </c>
    </row>
    <row r="151" customFormat="false" ht="13.5" hidden="false" customHeight="false" outlineLevel="0" collapsed="false">
      <c r="A151" s="0" t="s">
        <v>89</v>
      </c>
      <c r="B151" s="1" t="n">
        <v>44011</v>
      </c>
      <c r="C151" s="0" t="e">
        <f aca="false">sheet1!asl152</f>
        <v>#NAME?</v>
      </c>
      <c r="D151" s="0" t="e">
        <f aca="false">sheet1!asm152</f>
        <v>#NAME?</v>
      </c>
      <c r="E151" s="0" t="e">
        <f aca="false">sheet1!asn152</f>
        <v>#NAME?</v>
      </c>
      <c r="F151" s="0" t="e">
        <f aca="false">sheet1!aso152</f>
        <v>#NAME?</v>
      </c>
      <c r="G151" s="0" t="e">
        <f aca="false">sheet1!asp152</f>
        <v>#NAME?</v>
      </c>
      <c r="H151" s="0" t="e">
        <f aca="false">sheet1!asq152</f>
        <v>#NAME?</v>
      </c>
      <c r="I151" s="0" t="e">
        <f aca="false">sheet1!asr152</f>
        <v>#NAME?</v>
      </c>
      <c r="J151" s="0" t="e">
        <f aca="false">sheet1!ass152</f>
        <v>#NAME?</v>
      </c>
      <c r="K151" s="0" t="e">
        <f aca="false">sheet1!ast152</f>
        <v>#NAME?</v>
      </c>
      <c r="L151" s="0" t="e">
        <f aca="false">sheet1!asu152</f>
        <v>#NAME?</v>
      </c>
      <c r="M151" s="0" t="e">
        <f aca="false">sheet1!asv152</f>
        <v>#NAME?</v>
      </c>
    </row>
    <row r="152" customFormat="false" ht="13.5" hidden="false" customHeight="false" outlineLevel="0" collapsed="false">
      <c r="A152" s="0" t="s">
        <v>89</v>
      </c>
      <c r="B152" s="1" t="n">
        <v>44012</v>
      </c>
      <c r="C152" s="0" t="e">
        <f aca="false">sheet1!asl153</f>
        <v>#NAME?</v>
      </c>
      <c r="D152" s="0" t="e">
        <f aca="false">sheet1!asm153</f>
        <v>#NAME?</v>
      </c>
      <c r="E152" s="0" t="e">
        <f aca="false">sheet1!asn153</f>
        <v>#NAME?</v>
      </c>
      <c r="F152" s="0" t="e">
        <f aca="false">sheet1!aso153</f>
        <v>#NAME?</v>
      </c>
      <c r="G152" s="0" t="e">
        <f aca="false">sheet1!asp153</f>
        <v>#NAME?</v>
      </c>
      <c r="H152" s="0" t="e">
        <f aca="false">sheet1!asq153</f>
        <v>#NAME?</v>
      </c>
      <c r="I152" s="0" t="e">
        <f aca="false">sheet1!asr153</f>
        <v>#NAME?</v>
      </c>
      <c r="J152" s="0" t="e">
        <f aca="false">sheet1!ass153</f>
        <v>#NAME?</v>
      </c>
      <c r="K152" s="0" t="e">
        <f aca="false">sheet1!ast153</f>
        <v>#NAME?</v>
      </c>
      <c r="L152" s="0" t="e">
        <f aca="false">sheet1!asu153</f>
        <v>#NAME?</v>
      </c>
      <c r="M152" s="0" t="e">
        <f aca="false">sheet1!asv153</f>
        <v>#NAME?</v>
      </c>
    </row>
    <row r="153" customFormat="false" ht="13.5" hidden="false" customHeight="false" outlineLevel="0" collapsed="false">
      <c r="A153" s="0" t="s">
        <v>89</v>
      </c>
      <c r="B153" s="1" t="n">
        <v>44013</v>
      </c>
      <c r="C153" s="0" t="e">
        <f aca="false">sheet1!asl154</f>
        <v>#NAME?</v>
      </c>
      <c r="D153" s="0" t="e">
        <f aca="false">sheet1!asm154</f>
        <v>#NAME?</v>
      </c>
      <c r="E153" s="0" t="e">
        <f aca="false">sheet1!asn154</f>
        <v>#NAME?</v>
      </c>
      <c r="F153" s="0" t="e">
        <f aca="false">sheet1!aso154</f>
        <v>#NAME?</v>
      </c>
      <c r="G153" s="0" t="e">
        <f aca="false">sheet1!asp154</f>
        <v>#NAME?</v>
      </c>
      <c r="H153" s="0" t="e">
        <f aca="false">sheet1!asq154</f>
        <v>#NAME?</v>
      </c>
      <c r="I153" s="0" t="e">
        <f aca="false">sheet1!asr154</f>
        <v>#NAME?</v>
      </c>
      <c r="J153" s="0" t="e">
        <f aca="false">sheet1!ass154</f>
        <v>#NAME?</v>
      </c>
      <c r="K153" s="0" t="e">
        <f aca="false">sheet1!ast154</f>
        <v>#NAME?</v>
      </c>
      <c r="L153" s="0" t="e">
        <f aca="false">sheet1!asu154</f>
        <v>#NAME?</v>
      </c>
      <c r="M153" s="0" t="e">
        <f aca="false">sheet1!asv154</f>
        <v>#NAME?</v>
      </c>
    </row>
    <row r="154" customFormat="false" ht="13.5" hidden="false" customHeight="false" outlineLevel="0" collapsed="false">
      <c r="A154" s="0" t="s">
        <v>89</v>
      </c>
      <c r="B154" s="1" t="n">
        <v>44014</v>
      </c>
      <c r="C154" s="0" t="e">
        <f aca="false">sheet1!asl155</f>
        <v>#NAME?</v>
      </c>
      <c r="D154" s="0" t="e">
        <f aca="false">sheet1!asm155</f>
        <v>#NAME?</v>
      </c>
      <c r="E154" s="0" t="e">
        <f aca="false">sheet1!asn155</f>
        <v>#NAME?</v>
      </c>
      <c r="F154" s="0" t="e">
        <f aca="false">sheet1!aso155</f>
        <v>#NAME?</v>
      </c>
      <c r="G154" s="0" t="e">
        <f aca="false">sheet1!asp155</f>
        <v>#NAME?</v>
      </c>
      <c r="H154" s="0" t="e">
        <f aca="false">sheet1!asq155</f>
        <v>#NAME?</v>
      </c>
      <c r="I154" s="0" t="e">
        <f aca="false">sheet1!asr155</f>
        <v>#NAME?</v>
      </c>
      <c r="J154" s="0" t="e">
        <f aca="false">sheet1!ass155</f>
        <v>#NAME?</v>
      </c>
      <c r="K154" s="0" t="e">
        <f aca="false">sheet1!ast155</f>
        <v>#NAME?</v>
      </c>
      <c r="L154" s="0" t="e">
        <f aca="false">sheet1!asu155</f>
        <v>#NAME?</v>
      </c>
      <c r="M154" s="0" t="e">
        <f aca="false">sheet1!asv155</f>
        <v>#NAME?</v>
      </c>
    </row>
    <row r="155" customFormat="false" ht="13.5" hidden="false" customHeight="false" outlineLevel="0" collapsed="false">
      <c r="A155" s="0" t="s">
        <v>89</v>
      </c>
      <c r="B155" s="1" t="n">
        <v>44015</v>
      </c>
      <c r="C155" s="0" t="e">
        <f aca="false">sheet1!asl156</f>
        <v>#NAME?</v>
      </c>
      <c r="D155" s="0" t="e">
        <f aca="false">sheet1!asm156</f>
        <v>#NAME?</v>
      </c>
      <c r="E155" s="0" t="e">
        <f aca="false">sheet1!asn156</f>
        <v>#NAME?</v>
      </c>
      <c r="F155" s="0" t="e">
        <f aca="false">sheet1!aso156</f>
        <v>#NAME?</v>
      </c>
      <c r="G155" s="0" t="e">
        <f aca="false">sheet1!asp156</f>
        <v>#NAME?</v>
      </c>
      <c r="H155" s="0" t="e">
        <f aca="false">sheet1!asq156</f>
        <v>#NAME?</v>
      </c>
      <c r="I155" s="0" t="e">
        <f aca="false">sheet1!asr156</f>
        <v>#NAME?</v>
      </c>
      <c r="J155" s="0" t="e">
        <f aca="false">sheet1!ass156</f>
        <v>#NAME?</v>
      </c>
      <c r="K155" s="0" t="e">
        <f aca="false">sheet1!ast156</f>
        <v>#NAME?</v>
      </c>
      <c r="L155" s="0" t="e">
        <f aca="false">sheet1!asu156</f>
        <v>#NAME?</v>
      </c>
      <c r="M155" s="0" t="e">
        <f aca="false">sheet1!asv156</f>
        <v>#NAME?</v>
      </c>
    </row>
    <row r="156" customFormat="false" ht="13.5" hidden="false" customHeight="false" outlineLevel="0" collapsed="false">
      <c r="A156" s="0" t="s">
        <v>89</v>
      </c>
      <c r="B156" s="1" t="n">
        <v>44016</v>
      </c>
      <c r="C156" s="0" t="e">
        <f aca="false">sheet1!asl157</f>
        <v>#NAME?</v>
      </c>
      <c r="D156" s="0" t="e">
        <f aca="false">sheet1!asm157</f>
        <v>#NAME?</v>
      </c>
      <c r="E156" s="0" t="e">
        <f aca="false">sheet1!asn157</f>
        <v>#NAME?</v>
      </c>
      <c r="F156" s="0" t="e">
        <f aca="false">sheet1!aso157</f>
        <v>#NAME?</v>
      </c>
      <c r="G156" s="0" t="e">
        <f aca="false">sheet1!asp157</f>
        <v>#NAME?</v>
      </c>
      <c r="H156" s="0" t="e">
        <f aca="false">sheet1!asq157</f>
        <v>#NAME?</v>
      </c>
      <c r="I156" s="0" t="e">
        <f aca="false">sheet1!asr157</f>
        <v>#NAME?</v>
      </c>
      <c r="J156" s="0" t="e">
        <f aca="false">sheet1!ass157</f>
        <v>#NAME?</v>
      </c>
      <c r="K156" s="0" t="e">
        <f aca="false">sheet1!ast157</f>
        <v>#NAME?</v>
      </c>
      <c r="L156" s="0" t="e">
        <f aca="false">sheet1!asu157</f>
        <v>#NAME?</v>
      </c>
      <c r="M156" s="0" t="e">
        <f aca="false">sheet1!asv157</f>
        <v>#NAME?</v>
      </c>
    </row>
    <row r="157" customFormat="false" ht="13.5" hidden="false" customHeight="false" outlineLevel="0" collapsed="false">
      <c r="A157" s="0" t="s">
        <v>89</v>
      </c>
      <c r="B157" s="1" t="n">
        <v>44017</v>
      </c>
      <c r="C157" s="0" t="e">
        <f aca="false">sheet1!asl158</f>
        <v>#NAME?</v>
      </c>
      <c r="D157" s="0" t="e">
        <f aca="false">sheet1!asm158</f>
        <v>#NAME?</v>
      </c>
      <c r="E157" s="0" t="e">
        <f aca="false">sheet1!asn158</f>
        <v>#NAME?</v>
      </c>
      <c r="F157" s="0" t="e">
        <f aca="false">sheet1!aso158</f>
        <v>#NAME?</v>
      </c>
      <c r="G157" s="0" t="e">
        <f aca="false">sheet1!asp158</f>
        <v>#NAME?</v>
      </c>
      <c r="H157" s="0" t="e">
        <f aca="false">sheet1!asq158</f>
        <v>#NAME?</v>
      </c>
      <c r="I157" s="0" t="e">
        <f aca="false">sheet1!asr158</f>
        <v>#NAME?</v>
      </c>
      <c r="J157" s="0" t="e">
        <f aca="false">sheet1!ass158</f>
        <v>#NAME?</v>
      </c>
      <c r="K157" s="0" t="e">
        <f aca="false">sheet1!ast158</f>
        <v>#NAME?</v>
      </c>
      <c r="L157" s="0" t="e">
        <f aca="false">sheet1!asu158</f>
        <v>#NAME?</v>
      </c>
      <c r="M157" s="0" t="e">
        <f aca="false">sheet1!asv158</f>
        <v>#NAME?</v>
      </c>
    </row>
    <row r="158" customFormat="false" ht="13.5" hidden="false" customHeight="false" outlineLevel="0" collapsed="false">
      <c r="A158" s="0" t="s">
        <v>89</v>
      </c>
      <c r="B158" s="1" t="n">
        <v>44018</v>
      </c>
      <c r="C158" s="0" t="e">
        <f aca="false">sheet1!asl159</f>
        <v>#NAME?</v>
      </c>
      <c r="D158" s="0" t="e">
        <f aca="false">sheet1!asm159</f>
        <v>#NAME?</v>
      </c>
      <c r="E158" s="0" t="e">
        <f aca="false">sheet1!asn159</f>
        <v>#NAME?</v>
      </c>
      <c r="F158" s="0" t="e">
        <f aca="false">sheet1!aso159</f>
        <v>#NAME?</v>
      </c>
      <c r="G158" s="0" t="e">
        <f aca="false">sheet1!asp159</f>
        <v>#NAME?</v>
      </c>
      <c r="H158" s="0" t="e">
        <f aca="false">sheet1!asq159</f>
        <v>#NAME?</v>
      </c>
      <c r="I158" s="0" t="e">
        <f aca="false">sheet1!asr159</f>
        <v>#NAME?</v>
      </c>
      <c r="J158" s="0" t="e">
        <f aca="false">sheet1!ass159</f>
        <v>#NAME?</v>
      </c>
      <c r="K158" s="0" t="e">
        <f aca="false">sheet1!ast159</f>
        <v>#NAME?</v>
      </c>
      <c r="L158" s="0" t="e">
        <f aca="false">sheet1!asu159</f>
        <v>#NAME?</v>
      </c>
      <c r="M158" s="0" t="e">
        <f aca="false">sheet1!asv159</f>
        <v>#NAME?</v>
      </c>
    </row>
    <row r="159" customFormat="false" ht="13.5" hidden="false" customHeight="false" outlineLevel="0" collapsed="false">
      <c r="A159" s="0" t="s">
        <v>89</v>
      </c>
      <c r="B159" s="1" t="n">
        <v>44019</v>
      </c>
      <c r="C159" s="0" t="e">
        <f aca="false">sheet1!asl160</f>
        <v>#NAME?</v>
      </c>
      <c r="D159" s="0" t="e">
        <f aca="false">sheet1!asm160</f>
        <v>#NAME?</v>
      </c>
      <c r="E159" s="0" t="e">
        <f aca="false">sheet1!asn160</f>
        <v>#NAME?</v>
      </c>
      <c r="F159" s="0" t="e">
        <f aca="false">sheet1!aso160</f>
        <v>#NAME?</v>
      </c>
      <c r="G159" s="0" t="e">
        <f aca="false">sheet1!asp160</f>
        <v>#NAME?</v>
      </c>
      <c r="H159" s="0" t="e">
        <f aca="false">sheet1!asq160</f>
        <v>#NAME?</v>
      </c>
      <c r="I159" s="0" t="e">
        <f aca="false">sheet1!asr160</f>
        <v>#NAME?</v>
      </c>
      <c r="J159" s="0" t="e">
        <f aca="false">sheet1!ass160</f>
        <v>#NAME?</v>
      </c>
      <c r="K159" s="0" t="e">
        <f aca="false">sheet1!ast160</f>
        <v>#NAME?</v>
      </c>
      <c r="L159" s="0" t="e">
        <f aca="false">sheet1!asu160</f>
        <v>#NAME?</v>
      </c>
      <c r="M159" s="0" t="e">
        <f aca="false">sheet1!asv160</f>
        <v>#NAME?</v>
      </c>
    </row>
    <row r="160" customFormat="false" ht="13.5" hidden="false" customHeight="false" outlineLevel="0" collapsed="false">
      <c r="A160" s="0" t="s">
        <v>89</v>
      </c>
      <c r="B160" s="1" t="n">
        <v>44020</v>
      </c>
      <c r="C160" s="0" t="e">
        <f aca="false">sheet1!asl161</f>
        <v>#NAME?</v>
      </c>
      <c r="D160" s="0" t="e">
        <f aca="false">sheet1!asm161</f>
        <v>#NAME?</v>
      </c>
      <c r="E160" s="0" t="e">
        <f aca="false">sheet1!asn161</f>
        <v>#NAME?</v>
      </c>
      <c r="F160" s="0" t="e">
        <f aca="false">sheet1!aso161</f>
        <v>#NAME?</v>
      </c>
      <c r="G160" s="0" t="e">
        <f aca="false">sheet1!asp161</f>
        <v>#NAME?</v>
      </c>
      <c r="H160" s="0" t="e">
        <f aca="false">sheet1!asq161</f>
        <v>#NAME?</v>
      </c>
      <c r="I160" s="0" t="e">
        <f aca="false">sheet1!asr161</f>
        <v>#NAME?</v>
      </c>
      <c r="J160" s="0" t="e">
        <f aca="false">sheet1!ass161</f>
        <v>#NAME?</v>
      </c>
      <c r="K160" s="0" t="e">
        <f aca="false">sheet1!ast161</f>
        <v>#NAME?</v>
      </c>
      <c r="L160" s="0" t="e">
        <f aca="false">sheet1!asu161</f>
        <v>#NAME?</v>
      </c>
      <c r="M160" s="0" t="e">
        <f aca="false">sheet1!asv161</f>
        <v>#NAME?</v>
      </c>
    </row>
    <row r="161" customFormat="false" ht="13.5" hidden="false" customHeight="false" outlineLevel="0" collapsed="false">
      <c r="A161" s="0" t="s">
        <v>89</v>
      </c>
      <c r="B161" s="1" t="n">
        <v>44021</v>
      </c>
      <c r="C161" s="0" t="e">
        <f aca="false">sheet1!asl162</f>
        <v>#NAME?</v>
      </c>
      <c r="D161" s="0" t="e">
        <f aca="false">sheet1!asm162</f>
        <v>#NAME?</v>
      </c>
      <c r="E161" s="0" t="e">
        <f aca="false">sheet1!asn162</f>
        <v>#NAME?</v>
      </c>
      <c r="F161" s="0" t="e">
        <f aca="false">sheet1!aso162</f>
        <v>#NAME?</v>
      </c>
      <c r="G161" s="0" t="e">
        <f aca="false">sheet1!asp162</f>
        <v>#NAME?</v>
      </c>
      <c r="H161" s="0" t="e">
        <f aca="false">sheet1!asq162</f>
        <v>#NAME?</v>
      </c>
      <c r="I161" s="0" t="e">
        <f aca="false">sheet1!asr162</f>
        <v>#NAME?</v>
      </c>
      <c r="J161" s="0" t="e">
        <f aca="false">sheet1!ass162</f>
        <v>#NAME?</v>
      </c>
      <c r="K161" s="0" t="e">
        <f aca="false">sheet1!ast162</f>
        <v>#NAME?</v>
      </c>
      <c r="L161" s="0" t="e">
        <f aca="false">sheet1!asu162</f>
        <v>#NAME?</v>
      </c>
      <c r="M161" s="0" t="e">
        <f aca="false">sheet1!asv162</f>
        <v>#NAME?</v>
      </c>
    </row>
    <row r="162" customFormat="false" ht="13.5" hidden="false" customHeight="false" outlineLevel="0" collapsed="false">
      <c r="A162" s="0" t="s">
        <v>89</v>
      </c>
      <c r="B162" s="1" t="n">
        <v>44022</v>
      </c>
      <c r="C162" s="0" t="e">
        <f aca="false">sheet1!asl163</f>
        <v>#NAME?</v>
      </c>
      <c r="D162" s="0" t="e">
        <f aca="false">sheet1!asm163</f>
        <v>#NAME?</v>
      </c>
      <c r="E162" s="0" t="e">
        <f aca="false">sheet1!asn163</f>
        <v>#NAME?</v>
      </c>
      <c r="F162" s="0" t="e">
        <f aca="false">sheet1!aso163</f>
        <v>#NAME?</v>
      </c>
      <c r="G162" s="0" t="e">
        <f aca="false">sheet1!asp163</f>
        <v>#NAME?</v>
      </c>
      <c r="H162" s="0" t="e">
        <f aca="false">sheet1!asq163</f>
        <v>#NAME?</v>
      </c>
      <c r="I162" s="0" t="e">
        <f aca="false">sheet1!asr163</f>
        <v>#NAME?</v>
      </c>
      <c r="J162" s="0" t="e">
        <f aca="false">sheet1!ass163</f>
        <v>#NAME?</v>
      </c>
      <c r="K162" s="0" t="e">
        <f aca="false">sheet1!ast163</f>
        <v>#NAME?</v>
      </c>
      <c r="L162" s="0" t="e">
        <f aca="false">sheet1!asu163</f>
        <v>#NAME?</v>
      </c>
      <c r="M162" s="0" t="e">
        <f aca="false">sheet1!asv163</f>
        <v>#NAME?</v>
      </c>
    </row>
    <row r="163" customFormat="false" ht="13.5" hidden="false" customHeight="false" outlineLevel="0" collapsed="false">
      <c r="A163" s="0" t="s">
        <v>89</v>
      </c>
      <c r="B163" s="1" t="n">
        <v>44023</v>
      </c>
      <c r="C163" s="0" t="e">
        <f aca="false">sheet1!asl164</f>
        <v>#NAME?</v>
      </c>
      <c r="D163" s="0" t="e">
        <f aca="false">sheet1!asm164</f>
        <v>#NAME?</v>
      </c>
      <c r="E163" s="0" t="e">
        <f aca="false">sheet1!asn164</f>
        <v>#NAME?</v>
      </c>
      <c r="F163" s="0" t="e">
        <f aca="false">sheet1!aso164</f>
        <v>#NAME?</v>
      </c>
      <c r="G163" s="0" t="e">
        <f aca="false">sheet1!asp164</f>
        <v>#NAME?</v>
      </c>
      <c r="H163" s="0" t="e">
        <f aca="false">sheet1!asq164</f>
        <v>#NAME?</v>
      </c>
      <c r="I163" s="0" t="e">
        <f aca="false">sheet1!asr164</f>
        <v>#NAME?</v>
      </c>
      <c r="J163" s="0" t="e">
        <f aca="false">sheet1!ass164</f>
        <v>#NAME?</v>
      </c>
      <c r="K163" s="0" t="e">
        <f aca="false">sheet1!ast164</f>
        <v>#NAME?</v>
      </c>
      <c r="L163" s="0" t="e">
        <f aca="false">sheet1!asu164</f>
        <v>#NAME?</v>
      </c>
      <c r="M163" s="0" t="e">
        <f aca="false">sheet1!asv164</f>
        <v>#NAME?</v>
      </c>
    </row>
    <row r="164" customFormat="false" ht="13.5" hidden="false" customHeight="false" outlineLevel="0" collapsed="false">
      <c r="A164" s="0" t="s">
        <v>89</v>
      </c>
      <c r="B164" s="1" t="n">
        <v>44024</v>
      </c>
      <c r="C164" s="0" t="e">
        <f aca="false">sheet1!asl165</f>
        <v>#NAME?</v>
      </c>
      <c r="D164" s="0" t="e">
        <f aca="false">sheet1!asm165</f>
        <v>#NAME?</v>
      </c>
      <c r="E164" s="0" t="e">
        <f aca="false">sheet1!asn165</f>
        <v>#NAME?</v>
      </c>
      <c r="F164" s="0" t="e">
        <f aca="false">sheet1!aso165</f>
        <v>#NAME?</v>
      </c>
      <c r="G164" s="0" t="e">
        <f aca="false">sheet1!asp165</f>
        <v>#NAME?</v>
      </c>
      <c r="H164" s="0" t="e">
        <f aca="false">sheet1!asq165</f>
        <v>#NAME?</v>
      </c>
      <c r="I164" s="0" t="e">
        <f aca="false">sheet1!asr165</f>
        <v>#NAME?</v>
      </c>
      <c r="J164" s="0" t="e">
        <f aca="false">sheet1!ass165</f>
        <v>#NAME?</v>
      </c>
      <c r="K164" s="0" t="e">
        <f aca="false">sheet1!ast165</f>
        <v>#NAME?</v>
      </c>
      <c r="L164" s="0" t="e">
        <f aca="false">sheet1!asu165</f>
        <v>#NAME?</v>
      </c>
      <c r="M164" s="0" t="e">
        <f aca="false">sheet1!asv165</f>
        <v>#NAME?</v>
      </c>
    </row>
    <row r="165" customFormat="false" ht="13.5" hidden="false" customHeight="false" outlineLevel="0" collapsed="false">
      <c r="A165" s="0" t="s">
        <v>89</v>
      </c>
      <c r="B165" s="1" t="n">
        <v>44025</v>
      </c>
      <c r="C165" s="0" t="e">
        <f aca="false">sheet1!asl166</f>
        <v>#NAME?</v>
      </c>
      <c r="D165" s="0" t="e">
        <f aca="false">sheet1!asm166</f>
        <v>#NAME?</v>
      </c>
      <c r="E165" s="0" t="e">
        <f aca="false">sheet1!asn166</f>
        <v>#NAME?</v>
      </c>
      <c r="F165" s="0" t="e">
        <f aca="false">sheet1!aso166</f>
        <v>#NAME?</v>
      </c>
      <c r="G165" s="0" t="e">
        <f aca="false">sheet1!asp166</f>
        <v>#NAME?</v>
      </c>
      <c r="H165" s="0" t="e">
        <f aca="false">sheet1!asq166</f>
        <v>#NAME?</v>
      </c>
      <c r="I165" s="0" t="e">
        <f aca="false">sheet1!asr166</f>
        <v>#NAME?</v>
      </c>
      <c r="J165" s="0" t="e">
        <f aca="false">sheet1!ass166</f>
        <v>#NAME?</v>
      </c>
      <c r="K165" s="0" t="e">
        <f aca="false">sheet1!ast166</f>
        <v>#NAME?</v>
      </c>
      <c r="L165" s="0" t="e">
        <f aca="false">sheet1!asu166</f>
        <v>#NAME?</v>
      </c>
      <c r="M165" s="0" t="e">
        <f aca="false">sheet1!asv166</f>
        <v>#NAME?</v>
      </c>
    </row>
    <row r="166" customFormat="false" ht="13.5" hidden="false" customHeight="false" outlineLevel="0" collapsed="false">
      <c r="A166" s="0" t="s">
        <v>89</v>
      </c>
      <c r="B166" s="1" t="n">
        <v>44026</v>
      </c>
      <c r="C166" s="0" t="e">
        <f aca="false">sheet1!asl167</f>
        <v>#NAME?</v>
      </c>
      <c r="D166" s="0" t="e">
        <f aca="false">sheet1!asm167</f>
        <v>#NAME?</v>
      </c>
      <c r="E166" s="0" t="e">
        <f aca="false">sheet1!asn167</f>
        <v>#NAME?</v>
      </c>
      <c r="F166" s="0" t="e">
        <f aca="false">sheet1!aso167</f>
        <v>#NAME?</v>
      </c>
      <c r="G166" s="0" t="e">
        <f aca="false">sheet1!asp167</f>
        <v>#NAME?</v>
      </c>
      <c r="H166" s="0" t="e">
        <f aca="false">sheet1!asq167</f>
        <v>#NAME?</v>
      </c>
      <c r="I166" s="0" t="e">
        <f aca="false">sheet1!asr167</f>
        <v>#NAME?</v>
      </c>
      <c r="J166" s="0" t="e">
        <f aca="false">sheet1!ass167</f>
        <v>#NAME?</v>
      </c>
      <c r="K166" s="0" t="e">
        <f aca="false">sheet1!ast167</f>
        <v>#NAME?</v>
      </c>
      <c r="L166" s="0" t="e">
        <f aca="false">sheet1!asu167</f>
        <v>#NAME?</v>
      </c>
      <c r="M166" s="0" t="e">
        <f aca="false">sheet1!asv167</f>
        <v>#NAME?</v>
      </c>
    </row>
    <row r="167" customFormat="false" ht="13.5" hidden="false" customHeight="false" outlineLevel="0" collapsed="false">
      <c r="A167" s="0" t="s">
        <v>89</v>
      </c>
      <c r="B167" s="1" t="n">
        <v>44027</v>
      </c>
      <c r="C167" s="0" t="e">
        <f aca="false">sheet1!asl168</f>
        <v>#NAME?</v>
      </c>
      <c r="D167" s="0" t="e">
        <f aca="false">sheet1!asm168</f>
        <v>#NAME?</v>
      </c>
      <c r="E167" s="0" t="e">
        <f aca="false">sheet1!asn168</f>
        <v>#NAME?</v>
      </c>
      <c r="F167" s="0" t="e">
        <f aca="false">sheet1!aso168</f>
        <v>#NAME?</v>
      </c>
      <c r="G167" s="0" t="e">
        <f aca="false">sheet1!asp168</f>
        <v>#NAME?</v>
      </c>
      <c r="H167" s="0" t="e">
        <f aca="false">sheet1!asq168</f>
        <v>#NAME?</v>
      </c>
      <c r="I167" s="0" t="e">
        <f aca="false">sheet1!asr168</f>
        <v>#NAME?</v>
      </c>
      <c r="J167" s="0" t="e">
        <f aca="false">sheet1!ass168</f>
        <v>#NAME?</v>
      </c>
      <c r="K167" s="0" t="e">
        <f aca="false">sheet1!ast168</f>
        <v>#NAME?</v>
      </c>
      <c r="L167" s="0" t="e">
        <f aca="false">sheet1!asu168</f>
        <v>#NAME?</v>
      </c>
      <c r="M167" s="0" t="e">
        <f aca="false">sheet1!asv168</f>
        <v>#NAME?</v>
      </c>
    </row>
    <row r="168" customFormat="false" ht="13.5" hidden="false" customHeight="false" outlineLevel="0" collapsed="false">
      <c r="A168" s="0" t="s">
        <v>89</v>
      </c>
      <c r="B168" s="1" t="n">
        <v>44028</v>
      </c>
      <c r="C168" s="0" t="e">
        <f aca="false">sheet1!asl169</f>
        <v>#NAME?</v>
      </c>
      <c r="D168" s="0" t="e">
        <f aca="false">sheet1!asm169</f>
        <v>#NAME?</v>
      </c>
      <c r="E168" s="0" t="e">
        <f aca="false">sheet1!asn169</f>
        <v>#NAME?</v>
      </c>
      <c r="F168" s="0" t="e">
        <f aca="false">sheet1!aso169</f>
        <v>#NAME?</v>
      </c>
      <c r="G168" s="0" t="e">
        <f aca="false">sheet1!asp169</f>
        <v>#NAME?</v>
      </c>
      <c r="H168" s="0" t="e">
        <f aca="false">sheet1!asq169</f>
        <v>#NAME?</v>
      </c>
      <c r="I168" s="0" t="e">
        <f aca="false">sheet1!asr169</f>
        <v>#NAME?</v>
      </c>
      <c r="J168" s="0" t="e">
        <f aca="false">sheet1!ass169</f>
        <v>#NAME?</v>
      </c>
      <c r="K168" s="0" t="e">
        <f aca="false">sheet1!ast169</f>
        <v>#NAME?</v>
      </c>
      <c r="L168" s="0" t="e">
        <f aca="false">sheet1!asu169</f>
        <v>#NAME?</v>
      </c>
      <c r="M168" s="0" t="e">
        <f aca="false">sheet1!asv169</f>
        <v>#NAME?</v>
      </c>
    </row>
    <row r="169" customFormat="false" ht="13.5" hidden="false" customHeight="false" outlineLevel="0" collapsed="false">
      <c r="A169" s="0" t="s">
        <v>89</v>
      </c>
      <c r="B169" s="1" t="n">
        <v>44029</v>
      </c>
      <c r="C169" s="0" t="e">
        <f aca="false">sheet1!asl170</f>
        <v>#NAME?</v>
      </c>
      <c r="D169" s="0" t="e">
        <f aca="false">sheet1!asm170</f>
        <v>#NAME?</v>
      </c>
      <c r="E169" s="0" t="e">
        <f aca="false">sheet1!asn170</f>
        <v>#NAME?</v>
      </c>
      <c r="F169" s="0" t="e">
        <f aca="false">sheet1!aso170</f>
        <v>#NAME?</v>
      </c>
      <c r="G169" s="0" t="e">
        <f aca="false">sheet1!asp170</f>
        <v>#NAME?</v>
      </c>
      <c r="H169" s="0" t="e">
        <f aca="false">sheet1!asq170</f>
        <v>#NAME?</v>
      </c>
      <c r="I169" s="0" t="e">
        <f aca="false">sheet1!asr170</f>
        <v>#NAME?</v>
      </c>
      <c r="J169" s="0" t="e">
        <f aca="false">sheet1!ass170</f>
        <v>#NAME?</v>
      </c>
      <c r="K169" s="0" t="e">
        <f aca="false">sheet1!ast170</f>
        <v>#NAME?</v>
      </c>
      <c r="L169" s="0" t="e">
        <f aca="false">sheet1!asu170</f>
        <v>#NAME?</v>
      </c>
      <c r="M169" s="0" t="e">
        <f aca="false">sheet1!asv170</f>
        <v>#NAME?</v>
      </c>
    </row>
    <row r="170" customFormat="false" ht="13.5" hidden="false" customHeight="false" outlineLevel="0" collapsed="false">
      <c r="A170" s="0" t="s">
        <v>89</v>
      </c>
      <c r="B170" s="1" t="n">
        <v>44030</v>
      </c>
      <c r="C170" s="0" t="e">
        <f aca="false">sheet1!asl171</f>
        <v>#NAME?</v>
      </c>
      <c r="D170" s="0" t="e">
        <f aca="false">sheet1!asm171</f>
        <v>#NAME?</v>
      </c>
      <c r="E170" s="0" t="e">
        <f aca="false">sheet1!asn171</f>
        <v>#NAME?</v>
      </c>
      <c r="F170" s="0" t="e">
        <f aca="false">sheet1!aso171</f>
        <v>#NAME?</v>
      </c>
      <c r="G170" s="0" t="e">
        <f aca="false">sheet1!asp171</f>
        <v>#NAME?</v>
      </c>
      <c r="H170" s="0" t="e">
        <f aca="false">sheet1!asq171</f>
        <v>#NAME?</v>
      </c>
      <c r="I170" s="0" t="e">
        <f aca="false">sheet1!asr171</f>
        <v>#NAME?</v>
      </c>
      <c r="J170" s="0" t="e">
        <f aca="false">sheet1!ass171</f>
        <v>#NAME?</v>
      </c>
      <c r="K170" s="0" t="e">
        <f aca="false">sheet1!ast171</f>
        <v>#NAME?</v>
      </c>
      <c r="L170" s="0" t="e">
        <f aca="false">sheet1!asu171</f>
        <v>#NAME?</v>
      </c>
      <c r="M170" s="0" t="e">
        <f aca="false">sheet1!asv171</f>
        <v>#NAME?</v>
      </c>
    </row>
    <row r="171" customFormat="false" ht="13.5" hidden="false" customHeight="false" outlineLevel="0" collapsed="false">
      <c r="A171" s="0" t="s">
        <v>89</v>
      </c>
      <c r="B171" s="1" t="n">
        <v>44031</v>
      </c>
      <c r="C171" s="0" t="e">
        <f aca="false">sheet1!asl172</f>
        <v>#NAME?</v>
      </c>
      <c r="D171" s="0" t="e">
        <f aca="false">sheet1!asm172</f>
        <v>#NAME?</v>
      </c>
      <c r="E171" s="0" t="e">
        <f aca="false">sheet1!asn172</f>
        <v>#NAME?</v>
      </c>
      <c r="F171" s="0" t="e">
        <f aca="false">sheet1!aso172</f>
        <v>#NAME?</v>
      </c>
      <c r="G171" s="0" t="e">
        <f aca="false">sheet1!asp172</f>
        <v>#NAME?</v>
      </c>
      <c r="H171" s="0" t="e">
        <f aca="false">sheet1!asq172</f>
        <v>#NAME?</v>
      </c>
      <c r="I171" s="0" t="e">
        <f aca="false">sheet1!asr172</f>
        <v>#NAME?</v>
      </c>
      <c r="J171" s="0" t="e">
        <f aca="false">sheet1!ass172</f>
        <v>#NAME?</v>
      </c>
      <c r="K171" s="0" t="e">
        <f aca="false">sheet1!ast172</f>
        <v>#NAME?</v>
      </c>
      <c r="L171" s="0" t="e">
        <f aca="false">sheet1!asu172</f>
        <v>#NAME?</v>
      </c>
      <c r="M171" s="0" t="e">
        <f aca="false">sheet1!asv172</f>
        <v>#NAME?</v>
      </c>
    </row>
    <row r="172" customFormat="false" ht="13.5" hidden="false" customHeight="false" outlineLevel="0" collapsed="false">
      <c r="A172" s="0" t="s">
        <v>89</v>
      </c>
      <c r="B172" s="1" t="n">
        <v>44032</v>
      </c>
      <c r="C172" s="0" t="e">
        <f aca="false">sheet1!asl173</f>
        <v>#NAME?</v>
      </c>
      <c r="D172" s="0" t="e">
        <f aca="false">sheet1!asm173</f>
        <v>#NAME?</v>
      </c>
      <c r="E172" s="0" t="e">
        <f aca="false">sheet1!asn173</f>
        <v>#NAME?</v>
      </c>
      <c r="F172" s="0" t="e">
        <f aca="false">sheet1!aso173</f>
        <v>#NAME?</v>
      </c>
      <c r="G172" s="0" t="e">
        <f aca="false">sheet1!asp173</f>
        <v>#NAME?</v>
      </c>
      <c r="H172" s="0" t="e">
        <f aca="false">sheet1!asq173</f>
        <v>#NAME?</v>
      </c>
      <c r="I172" s="0" t="e">
        <f aca="false">sheet1!asr173</f>
        <v>#NAME?</v>
      </c>
      <c r="J172" s="0" t="e">
        <f aca="false">sheet1!ass173</f>
        <v>#NAME?</v>
      </c>
      <c r="K172" s="0" t="e">
        <f aca="false">sheet1!ast173</f>
        <v>#NAME?</v>
      </c>
      <c r="L172" s="0" t="e">
        <f aca="false">sheet1!asu173</f>
        <v>#NAME?</v>
      </c>
      <c r="M172" s="0" t="e">
        <f aca="false">sheet1!asv173</f>
        <v>#NAME?</v>
      </c>
    </row>
    <row r="173" customFormat="false" ht="13.5" hidden="false" customHeight="false" outlineLevel="0" collapsed="false">
      <c r="A173" s="0" t="s">
        <v>89</v>
      </c>
      <c r="B173" s="1" t="n">
        <v>44033</v>
      </c>
      <c r="C173" s="0" t="e">
        <f aca="false">sheet1!asl174</f>
        <v>#NAME?</v>
      </c>
      <c r="D173" s="0" t="e">
        <f aca="false">sheet1!asm174</f>
        <v>#NAME?</v>
      </c>
      <c r="E173" s="0" t="e">
        <f aca="false">sheet1!asn174</f>
        <v>#NAME?</v>
      </c>
      <c r="F173" s="0" t="e">
        <f aca="false">sheet1!aso174</f>
        <v>#NAME?</v>
      </c>
      <c r="G173" s="0" t="e">
        <f aca="false">sheet1!asp174</f>
        <v>#NAME?</v>
      </c>
      <c r="H173" s="0" t="e">
        <f aca="false">sheet1!asq174</f>
        <v>#NAME?</v>
      </c>
      <c r="I173" s="0" t="e">
        <f aca="false">sheet1!asr174</f>
        <v>#NAME?</v>
      </c>
      <c r="J173" s="0" t="e">
        <f aca="false">sheet1!ass174</f>
        <v>#NAME?</v>
      </c>
      <c r="K173" s="0" t="e">
        <f aca="false">sheet1!ast174</f>
        <v>#NAME?</v>
      </c>
      <c r="L173" s="0" t="e">
        <f aca="false">sheet1!asu174</f>
        <v>#NAME?</v>
      </c>
      <c r="M173" s="0" t="e">
        <f aca="false">sheet1!asv174</f>
        <v>#NAME?</v>
      </c>
    </row>
    <row r="174" customFormat="false" ht="13.5" hidden="false" customHeight="false" outlineLevel="0" collapsed="false">
      <c r="A174" s="0" t="s">
        <v>89</v>
      </c>
      <c r="B174" s="1" t="n">
        <v>44034</v>
      </c>
      <c r="C174" s="0" t="e">
        <f aca="false">sheet1!asl175</f>
        <v>#NAME?</v>
      </c>
      <c r="D174" s="0" t="e">
        <f aca="false">sheet1!asm175</f>
        <v>#NAME?</v>
      </c>
      <c r="E174" s="0" t="e">
        <f aca="false">sheet1!asn175</f>
        <v>#NAME?</v>
      </c>
      <c r="F174" s="0" t="e">
        <f aca="false">sheet1!aso175</f>
        <v>#NAME?</v>
      </c>
      <c r="G174" s="0" t="e">
        <f aca="false">sheet1!asp175</f>
        <v>#NAME?</v>
      </c>
      <c r="H174" s="0" t="e">
        <f aca="false">sheet1!asq175</f>
        <v>#NAME?</v>
      </c>
      <c r="I174" s="0" t="e">
        <f aca="false">sheet1!asr175</f>
        <v>#NAME?</v>
      </c>
      <c r="J174" s="0" t="e">
        <f aca="false">sheet1!ass175</f>
        <v>#NAME?</v>
      </c>
      <c r="K174" s="0" t="e">
        <f aca="false">sheet1!ast175</f>
        <v>#NAME?</v>
      </c>
      <c r="L174" s="0" t="e">
        <f aca="false">sheet1!asu175</f>
        <v>#NAME?</v>
      </c>
      <c r="M174" s="0" t="e">
        <f aca="false">sheet1!asv175</f>
        <v>#NAME?</v>
      </c>
    </row>
    <row r="175" customFormat="false" ht="13.5" hidden="false" customHeight="false" outlineLevel="0" collapsed="false">
      <c r="A175" s="0" t="s">
        <v>89</v>
      </c>
      <c r="B175" s="1" t="n">
        <v>44035</v>
      </c>
      <c r="C175" s="0" t="e">
        <f aca="false">sheet1!asl176</f>
        <v>#NAME?</v>
      </c>
      <c r="D175" s="0" t="e">
        <f aca="false">sheet1!asm176</f>
        <v>#NAME?</v>
      </c>
      <c r="E175" s="0" t="e">
        <f aca="false">sheet1!asn176</f>
        <v>#NAME?</v>
      </c>
      <c r="F175" s="0" t="e">
        <f aca="false">sheet1!aso176</f>
        <v>#NAME?</v>
      </c>
      <c r="G175" s="0" t="e">
        <f aca="false">sheet1!asp176</f>
        <v>#NAME?</v>
      </c>
      <c r="H175" s="0" t="e">
        <f aca="false">sheet1!asq176</f>
        <v>#NAME?</v>
      </c>
      <c r="I175" s="0" t="e">
        <f aca="false">sheet1!asr176</f>
        <v>#NAME?</v>
      </c>
      <c r="J175" s="0" t="e">
        <f aca="false">sheet1!ass176</f>
        <v>#NAME?</v>
      </c>
      <c r="K175" s="0" t="e">
        <f aca="false">sheet1!ast176</f>
        <v>#NAME?</v>
      </c>
      <c r="L175" s="0" t="e">
        <f aca="false">sheet1!asu176</f>
        <v>#NAME?</v>
      </c>
      <c r="M175" s="0" t="e">
        <f aca="false">sheet1!asv176</f>
        <v>#NAME?</v>
      </c>
    </row>
    <row r="176" customFormat="false" ht="13.5" hidden="false" customHeight="false" outlineLevel="0" collapsed="false">
      <c r="A176" s="0" t="s">
        <v>89</v>
      </c>
      <c r="B176" s="1" t="n">
        <v>44036</v>
      </c>
      <c r="C176" s="0" t="e">
        <f aca="false">sheet1!asl177</f>
        <v>#NAME?</v>
      </c>
      <c r="D176" s="0" t="e">
        <f aca="false">sheet1!asm177</f>
        <v>#NAME?</v>
      </c>
      <c r="E176" s="0" t="e">
        <f aca="false">sheet1!asn177</f>
        <v>#NAME?</v>
      </c>
      <c r="F176" s="0" t="e">
        <f aca="false">sheet1!aso177</f>
        <v>#NAME?</v>
      </c>
      <c r="G176" s="0" t="e">
        <f aca="false">sheet1!asp177</f>
        <v>#NAME?</v>
      </c>
      <c r="H176" s="0" t="e">
        <f aca="false">sheet1!asq177</f>
        <v>#NAME?</v>
      </c>
      <c r="I176" s="0" t="e">
        <f aca="false">sheet1!asr177</f>
        <v>#NAME?</v>
      </c>
      <c r="J176" s="0" t="e">
        <f aca="false">sheet1!ass177</f>
        <v>#NAME?</v>
      </c>
      <c r="K176" s="0" t="e">
        <f aca="false">sheet1!ast177</f>
        <v>#NAME?</v>
      </c>
      <c r="L176" s="0" t="e">
        <f aca="false">sheet1!asu177</f>
        <v>#NAME?</v>
      </c>
      <c r="M176" s="0" t="e">
        <f aca="false">sheet1!asv177</f>
        <v>#NAME?</v>
      </c>
    </row>
    <row r="177" customFormat="false" ht="13.5" hidden="false" customHeight="false" outlineLevel="0" collapsed="false">
      <c r="A177" s="0" t="s">
        <v>89</v>
      </c>
      <c r="B177" s="1" t="n">
        <v>44037</v>
      </c>
      <c r="C177" s="0" t="e">
        <f aca="false">sheet1!asl178</f>
        <v>#NAME?</v>
      </c>
      <c r="D177" s="0" t="e">
        <f aca="false">sheet1!asm178</f>
        <v>#NAME?</v>
      </c>
      <c r="E177" s="0" t="e">
        <f aca="false">sheet1!asn178</f>
        <v>#NAME?</v>
      </c>
      <c r="F177" s="0" t="e">
        <f aca="false">sheet1!aso178</f>
        <v>#NAME?</v>
      </c>
      <c r="G177" s="0" t="e">
        <f aca="false">sheet1!asp178</f>
        <v>#NAME?</v>
      </c>
      <c r="H177" s="0" t="e">
        <f aca="false">sheet1!asq178</f>
        <v>#NAME?</v>
      </c>
      <c r="I177" s="0" t="e">
        <f aca="false">sheet1!asr178</f>
        <v>#NAME?</v>
      </c>
      <c r="J177" s="0" t="e">
        <f aca="false">sheet1!ass178</f>
        <v>#NAME?</v>
      </c>
      <c r="K177" s="0" t="e">
        <f aca="false">sheet1!ast178</f>
        <v>#NAME?</v>
      </c>
      <c r="L177" s="0" t="e">
        <f aca="false">sheet1!asu178</f>
        <v>#NAME?</v>
      </c>
      <c r="M177" s="0" t="e">
        <f aca="false">sheet1!asv178</f>
        <v>#NAME?</v>
      </c>
    </row>
    <row r="178" customFormat="false" ht="13.5" hidden="false" customHeight="false" outlineLevel="0" collapsed="false">
      <c r="A178" s="0" t="s">
        <v>89</v>
      </c>
      <c r="B178" s="1" t="n">
        <v>44038</v>
      </c>
      <c r="C178" s="0" t="e">
        <f aca="false">sheet1!asl179</f>
        <v>#NAME?</v>
      </c>
      <c r="D178" s="0" t="e">
        <f aca="false">sheet1!asm179</f>
        <v>#NAME?</v>
      </c>
      <c r="E178" s="0" t="e">
        <f aca="false">sheet1!asn179</f>
        <v>#NAME?</v>
      </c>
      <c r="F178" s="0" t="e">
        <f aca="false">sheet1!aso179</f>
        <v>#NAME?</v>
      </c>
      <c r="G178" s="0" t="e">
        <f aca="false">sheet1!asp179</f>
        <v>#NAME?</v>
      </c>
      <c r="H178" s="0" t="e">
        <f aca="false">sheet1!asq179</f>
        <v>#NAME?</v>
      </c>
      <c r="I178" s="0" t="e">
        <f aca="false">sheet1!asr179</f>
        <v>#NAME?</v>
      </c>
      <c r="J178" s="0" t="e">
        <f aca="false">sheet1!ass179</f>
        <v>#NAME?</v>
      </c>
      <c r="K178" s="0" t="e">
        <f aca="false">sheet1!ast179</f>
        <v>#NAME?</v>
      </c>
      <c r="L178" s="0" t="e">
        <f aca="false">sheet1!asu179</f>
        <v>#NAME?</v>
      </c>
      <c r="M178" s="0" t="e">
        <f aca="false">sheet1!asv179</f>
        <v>#NAME?</v>
      </c>
    </row>
    <row r="179" customFormat="false" ht="13.5" hidden="false" customHeight="false" outlineLevel="0" collapsed="false">
      <c r="A179" s="0" t="s">
        <v>89</v>
      </c>
      <c r="B179" s="1" t="n">
        <v>44039</v>
      </c>
      <c r="C179" s="0" t="e">
        <f aca="false">sheet1!asl180</f>
        <v>#NAME?</v>
      </c>
      <c r="D179" s="0" t="e">
        <f aca="false">sheet1!asm180</f>
        <v>#NAME?</v>
      </c>
      <c r="E179" s="0" t="e">
        <f aca="false">sheet1!asn180</f>
        <v>#NAME?</v>
      </c>
      <c r="F179" s="0" t="e">
        <f aca="false">sheet1!aso180</f>
        <v>#NAME?</v>
      </c>
      <c r="G179" s="0" t="e">
        <f aca="false">sheet1!asp180</f>
        <v>#NAME?</v>
      </c>
      <c r="H179" s="0" t="e">
        <f aca="false">sheet1!asq180</f>
        <v>#NAME?</v>
      </c>
      <c r="I179" s="0" t="e">
        <f aca="false">sheet1!asr180</f>
        <v>#NAME?</v>
      </c>
      <c r="J179" s="0" t="e">
        <f aca="false">sheet1!ass180</f>
        <v>#NAME?</v>
      </c>
      <c r="K179" s="0" t="e">
        <f aca="false">sheet1!ast180</f>
        <v>#NAME?</v>
      </c>
      <c r="L179" s="0" t="e">
        <f aca="false">sheet1!asu180</f>
        <v>#NAME?</v>
      </c>
      <c r="M179" s="0" t="e">
        <f aca="false">sheet1!asv180</f>
        <v>#NAME?</v>
      </c>
    </row>
    <row r="180" customFormat="false" ht="13.5" hidden="false" customHeight="false" outlineLevel="0" collapsed="false">
      <c r="A180" s="0" t="s">
        <v>89</v>
      </c>
      <c r="B180" s="1" t="n">
        <v>44040</v>
      </c>
      <c r="C180" s="0" t="e">
        <f aca="false">sheet1!asl181</f>
        <v>#NAME?</v>
      </c>
      <c r="D180" s="0" t="e">
        <f aca="false">sheet1!asm181</f>
        <v>#NAME?</v>
      </c>
      <c r="E180" s="0" t="e">
        <f aca="false">sheet1!asn181</f>
        <v>#NAME?</v>
      </c>
      <c r="F180" s="0" t="e">
        <f aca="false">sheet1!aso181</f>
        <v>#NAME?</v>
      </c>
      <c r="G180" s="0" t="e">
        <f aca="false">sheet1!asp181</f>
        <v>#NAME?</v>
      </c>
      <c r="H180" s="0" t="e">
        <f aca="false">sheet1!asq181</f>
        <v>#NAME?</v>
      </c>
      <c r="I180" s="0" t="e">
        <f aca="false">sheet1!asr181</f>
        <v>#NAME?</v>
      </c>
      <c r="J180" s="0" t="e">
        <f aca="false">sheet1!ass181</f>
        <v>#NAME?</v>
      </c>
      <c r="K180" s="0" t="e">
        <f aca="false">sheet1!ast181</f>
        <v>#NAME?</v>
      </c>
      <c r="L180" s="0" t="e">
        <f aca="false">sheet1!asu181</f>
        <v>#NAME?</v>
      </c>
      <c r="M180" s="0" t="e">
        <f aca="false">sheet1!asv181</f>
        <v>#NAME?</v>
      </c>
    </row>
    <row r="181" customFormat="false" ht="13.5" hidden="false" customHeight="false" outlineLevel="0" collapsed="false">
      <c r="A181" s="0" t="s">
        <v>89</v>
      </c>
      <c r="B181" s="1" t="n">
        <v>44041</v>
      </c>
      <c r="C181" s="0" t="e">
        <f aca="false">sheet1!asl182</f>
        <v>#NAME?</v>
      </c>
      <c r="D181" s="0" t="e">
        <f aca="false">sheet1!asm182</f>
        <v>#NAME?</v>
      </c>
      <c r="E181" s="0" t="e">
        <f aca="false">sheet1!asn182</f>
        <v>#NAME?</v>
      </c>
      <c r="F181" s="0" t="e">
        <f aca="false">sheet1!aso182</f>
        <v>#NAME?</v>
      </c>
      <c r="G181" s="0" t="e">
        <f aca="false">sheet1!asp182</f>
        <v>#NAME?</v>
      </c>
      <c r="H181" s="0" t="e">
        <f aca="false">sheet1!asq182</f>
        <v>#NAME?</v>
      </c>
      <c r="I181" s="0" t="e">
        <f aca="false">sheet1!asr182</f>
        <v>#NAME?</v>
      </c>
      <c r="J181" s="0" t="e">
        <f aca="false">sheet1!ass182</f>
        <v>#NAME?</v>
      </c>
      <c r="K181" s="0" t="e">
        <f aca="false">sheet1!ast182</f>
        <v>#NAME?</v>
      </c>
      <c r="L181" s="0" t="e">
        <f aca="false">sheet1!asu182</f>
        <v>#NAME?</v>
      </c>
      <c r="M181" s="0" t="e">
        <f aca="false">sheet1!asv182</f>
        <v>#NAME?</v>
      </c>
    </row>
    <row r="182" customFormat="false" ht="13.5" hidden="false" customHeight="false" outlineLevel="0" collapsed="false">
      <c r="A182" s="0" t="s">
        <v>89</v>
      </c>
      <c r="B182" s="1" t="n">
        <v>44042</v>
      </c>
      <c r="C182" s="0" t="e">
        <f aca="false">sheet1!asl183</f>
        <v>#NAME?</v>
      </c>
      <c r="D182" s="0" t="e">
        <f aca="false">sheet1!asm183</f>
        <v>#NAME?</v>
      </c>
      <c r="E182" s="0" t="e">
        <f aca="false">sheet1!asn183</f>
        <v>#NAME?</v>
      </c>
      <c r="F182" s="0" t="e">
        <f aca="false">sheet1!aso183</f>
        <v>#NAME?</v>
      </c>
      <c r="G182" s="0" t="e">
        <f aca="false">sheet1!asp183</f>
        <v>#NAME?</v>
      </c>
      <c r="H182" s="0" t="e">
        <f aca="false">sheet1!asq183</f>
        <v>#NAME?</v>
      </c>
      <c r="I182" s="0" t="e">
        <f aca="false">sheet1!asr183</f>
        <v>#NAME?</v>
      </c>
      <c r="J182" s="0" t="e">
        <f aca="false">sheet1!ass183</f>
        <v>#NAME?</v>
      </c>
      <c r="K182" s="0" t="e">
        <f aca="false">sheet1!ast183</f>
        <v>#NAME?</v>
      </c>
      <c r="L182" s="0" t="e">
        <f aca="false">sheet1!asu183</f>
        <v>#NAME?</v>
      </c>
      <c r="M182" s="0" t="e">
        <f aca="false">sheet1!asv183</f>
        <v>#NAME?</v>
      </c>
    </row>
    <row r="183" customFormat="false" ht="13.5" hidden="false" customHeight="false" outlineLevel="0" collapsed="false">
      <c r="A183" s="0" t="s">
        <v>89</v>
      </c>
      <c r="B183" s="1" t="n">
        <v>44043</v>
      </c>
      <c r="C183" s="0" t="e">
        <f aca="false">sheet1!asl184</f>
        <v>#NAME?</v>
      </c>
      <c r="D183" s="0" t="e">
        <f aca="false">sheet1!asm184</f>
        <v>#NAME?</v>
      </c>
      <c r="E183" s="0" t="e">
        <f aca="false">sheet1!asn184</f>
        <v>#NAME?</v>
      </c>
      <c r="F183" s="0" t="e">
        <f aca="false">sheet1!aso184</f>
        <v>#NAME?</v>
      </c>
      <c r="G183" s="0" t="e">
        <f aca="false">sheet1!asp184</f>
        <v>#NAME?</v>
      </c>
      <c r="H183" s="0" t="e">
        <f aca="false">sheet1!asq184</f>
        <v>#NAME?</v>
      </c>
      <c r="I183" s="0" t="e">
        <f aca="false">sheet1!asr184</f>
        <v>#NAME?</v>
      </c>
      <c r="J183" s="0" t="e">
        <f aca="false">sheet1!ass184</f>
        <v>#NAME?</v>
      </c>
      <c r="K183" s="0" t="e">
        <f aca="false">sheet1!ast184</f>
        <v>#NAME?</v>
      </c>
      <c r="L183" s="0" t="e">
        <f aca="false">sheet1!asu184</f>
        <v>#NAME?</v>
      </c>
      <c r="M183" s="0" t="e">
        <f aca="false">sheet1!asv184</f>
        <v>#NAME?</v>
      </c>
    </row>
    <row r="184" customFormat="false" ht="13.5" hidden="false" customHeight="false" outlineLevel="0" collapsed="false">
      <c r="A184" s="0" t="s">
        <v>89</v>
      </c>
      <c r="B184" s="1" t="n">
        <v>44044</v>
      </c>
      <c r="C184" s="0" t="e">
        <f aca="false">sheet1!asl185</f>
        <v>#NAME?</v>
      </c>
      <c r="D184" s="0" t="e">
        <f aca="false">sheet1!asm185</f>
        <v>#NAME?</v>
      </c>
      <c r="E184" s="0" t="e">
        <f aca="false">sheet1!asn185</f>
        <v>#NAME?</v>
      </c>
      <c r="F184" s="0" t="e">
        <f aca="false">sheet1!aso185</f>
        <v>#NAME?</v>
      </c>
      <c r="G184" s="0" t="e">
        <f aca="false">sheet1!asp185</f>
        <v>#NAME?</v>
      </c>
      <c r="H184" s="0" t="e">
        <f aca="false">sheet1!asq185</f>
        <v>#NAME?</v>
      </c>
      <c r="I184" s="0" t="e">
        <f aca="false">sheet1!asr185</f>
        <v>#NAME?</v>
      </c>
      <c r="J184" s="0" t="e">
        <f aca="false">sheet1!ass185</f>
        <v>#NAME?</v>
      </c>
      <c r="K184" s="0" t="e">
        <f aca="false">sheet1!ast185</f>
        <v>#NAME?</v>
      </c>
      <c r="L184" s="0" t="e">
        <f aca="false">sheet1!asu185</f>
        <v>#NAME?</v>
      </c>
      <c r="M184" s="0" t="e">
        <f aca="false">sheet1!asv185</f>
        <v>#NAME?</v>
      </c>
    </row>
    <row r="185" customFormat="false" ht="13.5" hidden="false" customHeight="false" outlineLevel="0" collapsed="false">
      <c r="A185" s="0" t="s">
        <v>89</v>
      </c>
      <c r="B185" s="1" t="n">
        <v>44045</v>
      </c>
      <c r="C185" s="0" t="e">
        <f aca="false">sheet1!asl186</f>
        <v>#NAME?</v>
      </c>
      <c r="D185" s="0" t="e">
        <f aca="false">sheet1!asm186</f>
        <v>#NAME?</v>
      </c>
      <c r="E185" s="0" t="e">
        <f aca="false">sheet1!asn186</f>
        <v>#NAME?</v>
      </c>
      <c r="F185" s="0" t="e">
        <f aca="false">sheet1!aso186</f>
        <v>#NAME?</v>
      </c>
      <c r="G185" s="0" t="e">
        <f aca="false">sheet1!asp186</f>
        <v>#NAME?</v>
      </c>
      <c r="H185" s="0" t="e">
        <f aca="false">sheet1!asq186</f>
        <v>#NAME?</v>
      </c>
      <c r="I185" s="0" t="e">
        <f aca="false">sheet1!asr186</f>
        <v>#NAME?</v>
      </c>
      <c r="J185" s="0" t="e">
        <f aca="false">sheet1!ass186</f>
        <v>#NAME?</v>
      </c>
      <c r="K185" s="0" t="e">
        <f aca="false">sheet1!ast186</f>
        <v>#NAME?</v>
      </c>
      <c r="L185" s="0" t="e">
        <f aca="false">sheet1!asu186</f>
        <v>#NAME?</v>
      </c>
      <c r="M185" s="0" t="e">
        <f aca="false">sheet1!asv186</f>
        <v>#NAME?</v>
      </c>
    </row>
    <row r="186" customFormat="false" ht="13.5" hidden="false" customHeight="false" outlineLevel="0" collapsed="false">
      <c r="A186" s="0" t="s">
        <v>89</v>
      </c>
      <c r="B186" s="1" t="n">
        <v>44046</v>
      </c>
      <c r="C186" s="0" t="e">
        <f aca="false">sheet1!asl187</f>
        <v>#NAME?</v>
      </c>
      <c r="D186" s="0" t="e">
        <f aca="false">sheet1!asm187</f>
        <v>#NAME?</v>
      </c>
      <c r="E186" s="0" t="e">
        <f aca="false">sheet1!asn187</f>
        <v>#NAME?</v>
      </c>
      <c r="F186" s="0" t="e">
        <f aca="false">sheet1!aso187</f>
        <v>#NAME?</v>
      </c>
      <c r="G186" s="0" t="e">
        <f aca="false">sheet1!asp187</f>
        <v>#NAME?</v>
      </c>
      <c r="H186" s="0" t="e">
        <f aca="false">sheet1!asq187</f>
        <v>#NAME?</v>
      </c>
      <c r="I186" s="0" t="e">
        <f aca="false">sheet1!asr187</f>
        <v>#NAME?</v>
      </c>
      <c r="J186" s="0" t="e">
        <f aca="false">sheet1!ass187</f>
        <v>#NAME?</v>
      </c>
      <c r="K186" s="0" t="e">
        <f aca="false">sheet1!ast187</f>
        <v>#NAME?</v>
      </c>
      <c r="L186" s="0" t="e">
        <f aca="false">sheet1!asu187</f>
        <v>#NAME?</v>
      </c>
      <c r="M186" s="0" t="e">
        <f aca="false">sheet1!asv187</f>
        <v>#NAME?</v>
      </c>
    </row>
    <row r="187" customFormat="false" ht="13.5" hidden="false" customHeight="false" outlineLevel="0" collapsed="false">
      <c r="A187" s="0" t="s">
        <v>89</v>
      </c>
      <c r="B187" s="1" t="n">
        <v>44047</v>
      </c>
      <c r="C187" s="0" t="e">
        <f aca="false">sheet1!asl188</f>
        <v>#NAME?</v>
      </c>
      <c r="D187" s="0" t="e">
        <f aca="false">sheet1!asm188</f>
        <v>#NAME?</v>
      </c>
      <c r="E187" s="0" t="e">
        <f aca="false">sheet1!asn188</f>
        <v>#NAME?</v>
      </c>
      <c r="F187" s="0" t="e">
        <f aca="false">sheet1!aso188</f>
        <v>#NAME?</v>
      </c>
      <c r="G187" s="0" t="e">
        <f aca="false">sheet1!asp188</f>
        <v>#NAME?</v>
      </c>
      <c r="H187" s="0" t="e">
        <f aca="false">sheet1!asq188</f>
        <v>#NAME?</v>
      </c>
      <c r="I187" s="0" t="e">
        <f aca="false">sheet1!asr188</f>
        <v>#NAME?</v>
      </c>
      <c r="J187" s="0" t="e">
        <f aca="false">sheet1!ass188</f>
        <v>#NAME?</v>
      </c>
      <c r="K187" s="0" t="e">
        <f aca="false">sheet1!ast188</f>
        <v>#NAME?</v>
      </c>
      <c r="L187" s="0" t="e">
        <f aca="false">sheet1!asu188</f>
        <v>#NAME?</v>
      </c>
      <c r="M187" s="0" t="e">
        <f aca="false">sheet1!asv188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9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90</v>
      </c>
      <c r="B2" s="1" t="n">
        <v>43862</v>
      </c>
    </row>
    <row r="3" customFormat="false" ht="13.5" hidden="false" customHeight="false" outlineLevel="0" collapsed="false">
      <c r="A3" s="0" t="s">
        <v>90</v>
      </c>
      <c r="B3" s="1" t="n">
        <v>43863</v>
      </c>
    </row>
    <row r="4" customFormat="false" ht="13.5" hidden="false" customHeight="false" outlineLevel="0" collapsed="false">
      <c r="A4" s="0" t="s">
        <v>90</v>
      </c>
      <c r="B4" s="1" t="n">
        <v>43864</v>
      </c>
    </row>
    <row r="5" customFormat="false" ht="13.5" hidden="false" customHeight="false" outlineLevel="0" collapsed="false">
      <c r="A5" s="0" t="s">
        <v>90</v>
      </c>
      <c r="B5" s="1" t="n">
        <v>43865</v>
      </c>
    </row>
    <row r="6" customFormat="false" ht="13.5" hidden="false" customHeight="false" outlineLevel="0" collapsed="false">
      <c r="A6" s="0" t="s">
        <v>90</v>
      </c>
      <c r="B6" s="1" t="n">
        <v>43866</v>
      </c>
    </row>
    <row r="7" customFormat="false" ht="13.5" hidden="false" customHeight="false" outlineLevel="0" collapsed="false">
      <c r="A7" s="0" t="s">
        <v>90</v>
      </c>
      <c r="B7" s="1" t="n">
        <v>43867</v>
      </c>
    </row>
    <row r="8" customFormat="false" ht="13.5" hidden="false" customHeight="false" outlineLevel="0" collapsed="false">
      <c r="A8" s="0" t="s">
        <v>90</v>
      </c>
      <c r="B8" s="1" t="n">
        <v>43868</v>
      </c>
    </row>
    <row r="9" customFormat="false" ht="13.5" hidden="false" customHeight="false" outlineLevel="0" collapsed="false">
      <c r="A9" s="0" t="s">
        <v>90</v>
      </c>
      <c r="B9" s="1" t="n">
        <v>43869</v>
      </c>
    </row>
    <row r="10" customFormat="false" ht="13.5" hidden="false" customHeight="false" outlineLevel="0" collapsed="false">
      <c r="A10" s="0" t="s">
        <v>90</v>
      </c>
      <c r="B10" s="1" t="n">
        <v>43870</v>
      </c>
    </row>
    <row r="11" customFormat="false" ht="13.5" hidden="false" customHeight="false" outlineLevel="0" collapsed="false">
      <c r="A11" s="0" t="s">
        <v>90</v>
      </c>
      <c r="B11" s="1" t="n">
        <v>43871</v>
      </c>
    </row>
    <row r="12" customFormat="false" ht="13.5" hidden="false" customHeight="false" outlineLevel="0" collapsed="false">
      <c r="A12" s="0" t="s">
        <v>90</v>
      </c>
      <c r="B12" s="1" t="n">
        <v>43872</v>
      </c>
    </row>
    <row r="13" customFormat="false" ht="13.5" hidden="false" customHeight="false" outlineLevel="0" collapsed="false">
      <c r="A13" s="0" t="s">
        <v>90</v>
      </c>
      <c r="B13" s="1" t="n">
        <v>43873</v>
      </c>
    </row>
    <row r="14" customFormat="false" ht="13.5" hidden="false" customHeight="false" outlineLevel="0" collapsed="false">
      <c r="A14" s="0" t="s">
        <v>90</v>
      </c>
      <c r="B14" s="1" t="n">
        <v>43874</v>
      </c>
    </row>
    <row r="15" customFormat="false" ht="13.5" hidden="false" customHeight="false" outlineLevel="0" collapsed="false">
      <c r="A15" s="0" t="s">
        <v>90</v>
      </c>
      <c r="B15" s="1" t="n">
        <v>43875</v>
      </c>
    </row>
    <row r="16" customFormat="false" ht="13.5" hidden="false" customHeight="false" outlineLevel="0" collapsed="false">
      <c r="A16" s="0" t="s">
        <v>90</v>
      </c>
      <c r="B16" s="1" t="n">
        <v>43876</v>
      </c>
    </row>
    <row r="17" customFormat="false" ht="13.5" hidden="false" customHeight="false" outlineLevel="0" collapsed="false">
      <c r="A17" s="0" t="s">
        <v>90</v>
      </c>
      <c r="B17" s="1" t="n">
        <v>43877</v>
      </c>
    </row>
    <row r="18" customFormat="false" ht="13.5" hidden="false" customHeight="false" outlineLevel="0" collapsed="false">
      <c r="A18" s="0" t="s">
        <v>90</v>
      </c>
      <c r="B18" s="1" t="n">
        <v>43878</v>
      </c>
    </row>
    <row r="19" customFormat="false" ht="13.5" hidden="false" customHeight="false" outlineLevel="0" collapsed="false">
      <c r="A19" s="0" t="s">
        <v>90</v>
      </c>
      <c r="B19" s="1" t="n">
        <v>43879</v>
      </c>
    </row>
    <row r="20" customFormat="false" ht="13.5" hidden="false" customHeight="false" outlineLevel="0" collapsed="false">
      <c r="A20" s="0" t="s">
        <v>90</v>
      </c>
      <c r="B20" s="1" t="n">
        <v>43880</v>
      </c>
    </row>
    <row r="21" customFormat="false" ht="13.5" hidden="false" customHeight="false" outlineLevel="0" collapsed="false">
      <c r="A21" s="0" t="s">
        <v>90</v>
      </c>
      <c r="B21" s="1" t="n">
        <v>43881</v>
      </c>
    </row>
    <row r="22" customFormat="false" ht="13.5" hidden="false" customHeight="false" outlineLevel="0" collapsed="false">
      <c r="A22" s="0" t="s">
        <v>90</v>
      </c>
      <c r="B22" s="1" t="n">
        <v>43882</v>
      </c>
    </row>
    <row r="23" customFormat="false" ht="13.5" hidden="false" customHeight="false" outlineLevel="0" collapsed="false">
      <c r="A23" s="0" t="s">
        <v>90</v>
      </c>
      <c r="B23" s="1" t="n">
        <v>43883</v>
      </c>
    </row>
    <row r="24" customFormat="false" ht="13.5" hidden="false" customHeight="false" outlineLevel="0" collapsed="false">
      <c r="A24" s="0" t="s">
        <v>90</v>
      </c>
      <c r="B24" s="1" t="n">
        <v>43884</v>
      </c>
    </row>
    <row r="25" customFormat="false" ht="13.5" hidden="false" customHeight="false" outlineLevel="0" collapsed="false">
      <c r="A25" s="0" t="s">
        <v>90</v>
      </c>
      <c r="B25" s="1" t="n">
        <v>43885</v>
      </c>
    </row>
    <row r="26" customFormat="false" ht="13.5" hidden="false" customHeight="false" outlineLevel="0" collapsed="false">
      <c r="A26" s="0" t="s">
        <v>90</v>
      </c>
      <c r="B26" s="1" t="n">
        <v>43886</v>
      </c>
    </row>
    <row r="27" customFormat="false" ht="13.5" hidden="false" customHeight="false" outlineLevel="0" collapsed="false">
      <c r="A27" s="0" t="s">
        <v>90</v>
      </c>
      <c r="B27" s="1" t="n">
        <v>43887</v>
      </c>
    </row>
    <row r="28" customFormat="false" ht="13.5" hidden="false" customHeight="false" outlineLevel="0" collapsed="false">
      <c r="A28" s="0" t="s">
        <v>90</v>
      </c>
      <c r="B28" s="1" t="n">
        <v>43888</v>
      </c>
    </row>
    <row r="29" customFormat="false" ht="13.5" hidden="false" customHeight="false" outlineLevel="0" collapsed="false">
      <c r="A29" s="0" t="s">
        <v>90</v>
      </c>
      <c r="B29" s="1" t="n">
        <v>43889</v>
      </c>
    </row>
    <row r="30" customFormat="false" ht="13.5" hidden="false" customHeight="false" outlineLevel="0" collapsed="false">
      <c r="A30" s="0" t="s">
        <v>90</v>
      </c>
      <c r="B30" s="1" t="n">
        <v>43890</v>
      </c>
    </row>
    <row r="31" customFormat="false" ht="13.5" hidden="false" customHeight="false" outlineLevel="0" collapsed="false">
      <c r="A31" s="0" t="s">
        <v>90</v>
      </c>
      <c r="B31" s="1" t="n">
        <v>43891</v>
      </c>
    </row>
    <row r="32" customFormat="false" ht="13.5" hidden="false" customHeight="false" outlineLevel="0" collapsed="false">
      <c r="A32" s="0" t="s">
        <v>90</v>
      </c>
      <c r="B32" s="1" t="n">
        <v>43892</v>
      </c>
    </row>
    <row r="33" customFormat="false" ht="13.5" hidden="false" customHeight="false" outlineLevel="0" collapsed="false">
      <c r="A33" s="0" t="s">
        <v>90</v>
      </c>
      <c r="B33" s="1" t="n">
        <v>43893</v>
      </c>
    </row>
    <row r="34" customFormat="false" ht="13.5" hidden="false" customHeight="false" outlineLevel="0" collapsed="false">
      <c r="A34" s="0" t="s">
        <v>90</v>
      </c>
      <c r="B34" s="1" t="n">
        <v>43894</v>
      </c>
    </row>
    <row r="35" customFormat="false" ht="13.5" hidden="false" customHeight="false" outlineLevel="0" collapsed="false">
      <c r="A35" s="0" t="s">
        <v>90</v>
      </c>
      <c r="B35" s="1" t="n">
        <v>43895</v>
      </c>
    </row>
    <row r="36" customFormat="false" ht="13.5" hidden="false" customHeight="false" outlineLevel="0" collapsed="false">
      <c r="A36" s="0" t="s">
        <v>90</v>
      </c>
      <c r="B36" s="1" t="n">
        <v>43896</v>
      </c>
    </row>
    <row r="37" customFormat="false" ht="13.5" hidden="false" customHeight="false" outlineLevel="0" collapsed="false">
      <c r="A37" s="0" t="s">
        <v>90</v>
      </c>
      <c r="B37" s="1" t="n">
        <v>43897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3.5" hidden="false" customHeight="false" outlineLevel="0" collapsed="false">
      <c r="A38" s="0" t="s">
        <v>90</v>
      </c>
      <c r="B38" s="1" t="n">
        <v>43898</v>
      </c>
      <c r="C38" s="0" t="n">
        <v>2</v>
      </c>
      <c r="D38" s="0" t="n">
        <v>2</v>
      </c>
      <c r="H38" s="0" t="n">
        <v>2</v>
      </c>
    </row>
    <row r="39" customFormat="false" ht="13.5" hidden="false" customHeight="false" outlineLevel="0" collapsed="false">
      <c r="A39" s="0" t="s">
        <v>90</v>
      </c>
      <c r="B39" s="1" t="n">
        <v>43899</v>
      </c>
      <c r="C39" s="0" t="n">
        <v>4</v>
      </c>
      <c r="D39" s="0" t="n">
        <v>2</v>
      </c>
      <c r="H39" s="0" t="n">
        <v>4</v>
      </c>
      <c r="J39" s="0" t="n">
        <v>0.6</v>
      </c>
    </row>
    <row r="40" customFormat="false" ht="13.5" hidden="false" customHeight="false" outlineLevel="0" collapsed="false">
      <c r="A40" s="0" t="s">
        <v>90</v>
      </c>
      <c r="B40" s="1" t="n">
        <v>43900</v>
      </c>
      <c r="C40" s="0" t="n">
        <v>4</v>
      </c>
      <c r="D40" s="0" t="n">
        <v>0</v>
      </c>
      <c r="H40" s="0" t="n">
        <v>4</v>
      </c>
      <c r="J40" s="0" t="n">
        <v>0.6</v>
      </c>
    </row>
    <row r="41" customFormat="false" ht="13.5" hidden="false" customHeight="false" outlineLevel="0" collapsed="false">
      <c r="A41" s="0" t="s">
        <v>90</v>
      </c>
      <c r="B41" s="1" t="n">
        <v>43901</v>
      </c>
      <c r="C41" s="0" t="n">
        <v>6</v>
      </c>
      <c r="D41" s="0" t="n">
        <v>2</v>
      </c>
      <c r="H41" s="0" t="n">
        <v>6</v>
      </c>
      <c r="J41" s="0" t="n">
        <v>0.9</v>
      </c>
    </row>
    <row r="42" customFormat="false" ht="13.5" hidden="false" customHeight="false" outlineLevel="0" collapsed="false">
      <c r="A42" s="0" t="s">
        <v>90</v>
      </c>
      <c r="B42" s="1" t="n">
        <v>43902</v>
      </c>
      <c r="C42" s="0" t="n">
        <v>7</v>
      </c>
      <c r="D42" s="0" t="n">
        <v>1</v>
      </c>
      <c r="E42" s="0" t="n">
        <v>1</v>
      </c>
      <c r="F42" s="0" t="n">
        <v>1</v>
      </c>
      <c r="H42" s="0" t="n">
        <v>6</v>
      </c>
      <c r="J42" s="0" t="n">
        <v>1</v>
      </c>
    </row>
    <row r="43" customFormat="false" ht="13.5" hidden="false" customHeight="false" outlineLevel="0" collapsed="false">
      <c r="A43" s="0" t="s">
        <v>90</v>
      </c>
      <c r="B43" s="1" t="n">
        <v>43903</v>
      </c>
      <c r="C43" s="0" t="n">
        <v>23</v>
      </c>
      <c r="D43" s="0" t="n">
        <v>16</v>
      </c>
      <c r="E43" s="0" t="n">
        <v>1</v>
      </c>
      <c r="H43" s="0" t="n">
        <v>22</v>
      </c>
      <c r="J43" s="0" t="n">
        <v>3.3</v>
      </c>
    </row>
    <row r="44" customFormat="false" ht="13.5" hidden="false" customHeight="false" outlineLevel="0" collapsed="false">
      <c r="A44" s="0" t="s">
        <v>90</v>
      </c>
      <c r="B44" s="1" t="n">
        <v>43904</v>
      </c>
      <c r="C44" s="0" t="n">
        <v>23</v>
      </c>
      <c r="D44" s="0" t="n">
        <v>0</v>
      </c>
      <c r="E44" s="0" t="n">
        <v>1</v>
      </c>
      <c r="H44" s="0" t="n">
        <v>22</v>
      </c>
      <c r="J44" s="0" t="n">
        <v>3.3</v>
      </c>
    </row>
    <row r="45" customFormat="false" ht="13.5" hidden="false" customHeight="false" outlineLevel="0" collapsed="false">
      <c r="A45" s="0" t="s">
        <v>90</v>
      </c>
      <c r="B45" s="1" t="n">
        <v>43905</v>
      </c>
      <c r="C45" s="0" t="n">
        <v>41</v>
      </c>
      <c r="D45" s="0" t="n">
        <v>18</v>
      </c>
      <c r="E45" s="0" t="n">
        <v>2</v>
      </c>
      <c r="F45" s="0" t="n">
        <v>1</v>
      </c>
      <c r="H45" s="0" t="n">
        <v>39</v>
      </c>
      <c r="J45" s="0" t="n">
        <v>5.9</v>
      </c>
    </row>
    <row r="46" customFormat="false" ht="13.5" hidden="false" customHeight="false" outlineLevel="0" collapsed="false">
      <c r="A46" s="0" t="s">
        <v>90</v>
      </c>
      <c r="B46" s="1" t="n">
        <v>43906</v>
      </c>
      <c r="C46" s="0" t="n">
        <v>51</v>
      </c>
      <c r="D46" s="0" t="n">
        <v>10</v>
      </c>
      <c r="E46" s="0" t="n">
        <v>2</v>
      </c>
      <c r="H46" s="0" t="n">
        <v>49</v>
      </c>
      <c r="J46" s="0" t="n">
        <v>7.3</v>
      </c>
    </row>
    <row r="47" customFormat="false" ht="13.5" hidden="false" customHeight="false" outlineLevel="0" collapsed="false">
      <c r="A47" s="0" t="s">
        <v>90</v>
      </c>
      <c r="B47" s="1" t="n">
        <v>43907</v>
      </c>
      <c r="C47" s="0" t="n">
        <v>62</v>
      </c>
      <c r="D47" s="0" t="n">
        <v>11</v>
      </c>
      <c r="E47" s="0" t="n">
        <v>2</v>
      </c>
      <c r="H47" s="0" t="n">
        <v>60</v>
      </c>
      <c r="J47" s="0" t="n">
        <v>8.9</v>
      </c>
    </row>
    <row r="48" customFormat="false" ht="13.5" hidden="false" customHeight="false" outlineLevel="0" collapsed="false">
      <c r="A48" s="0" t="s">
        <v>90</v>
      </c>
      <c r="B48" s="1" t="n">
        <v>43908</v>
      </c>
      <c r="C48" s="0" t="n">
        <v>81</v>
      </c>
      <c r="D48" s="0" t="n">
        <v>19</v>
      </c>
      <c r="E48" s="0" t="n">
        <v>2</v>
      </c>
      <c r="H48" s="0" t="n">
        <v>79</v>
      </c>
      <c r="J48" s="0" t="n">
        <v>11.7</v>
      </c>
    </row>
    <row r="49" customFormat="false" ht="13.5" hidden="false" customHeight="false" outlineLevel="0" collapsed="false">
      <c r="A49" s="0" t="s">
        <v>90</v>
      </c>
      <c r="B49" s="1" t="n">
        <v>43909</v>
      </c>
      <c r="C49" s="0" t="n">
        <v>92</v>
      </c>
      <c r="D49" s="0" t="n">
        <v>11</v>
      </c>
      <c r="E49" s="0" t="n">
        <v>2</v>
      </c>
      <c r="H49" s="0" t="n">
        <v>90</v>
      </c>
      <c r="J49" s="0" t="n">
        <v>13</v>
      </c>
    </row>
    <row r="50" customFormat="false" ht="13.5" hidden="false" customHeight="false" outlineLevel="0" collapsed="false">
      <c r="A50" s="0" t="s">
        <v>90</v>
      </c>
      <c r="B50" s="1" t="n">
        <v>43910</v>
      </c>
      <c r="C50" s="0" t="n">
        <v>107</v>
      </c>
      <c r="D50" s="0" t="n">
        <v>15</v>
      </c>
      <c r="E50" s="0" t="n">
        <v>3</v>
      </c>
      <c r="F50" s="0" t="n">
        <v>1</v>
      </c>
      <c r="H50" s="0" t="n">
        <v>104</v>
      </c>
      <c r="J50" s="0" t="n">
        <v>15</v>
      </c>
    </row>
    <row r="51" customFormat="false" ht="13.5" hidden="false" customHeight="false" outlineLevel="0" collapsed="false">
      <c r="A51" s="0" t="s">
        <v>90</v>
      </c>
      <c r="B51" s="1" t="n">
        <v>43911</v>
      </c>
      <c r="C51" s="0" t="n">
        <v>142</v>
      </c>
      <c r="D51" s="0" t="n">
        <v>35</v>
      </c>
      <c r="E51" s="0" t="n">
        <v>3</v>
      </c>
      <c r="G51" s="0" t="n">
        <v>3</v>
      </c>
      <c r="H51" s="0" t="n">
        <v>136</v>
      </c>
      <c r="I51" s="0" t="n">
        <v>3</v>
      </c>
      <c r="J51" s="0" t="n">
        <v>20</v>
      </c>
    </row>
    <row r="52" customFormat="false" ht="13.5" hidden="false" customHeight="false" outlineLevel="0" collapsed="false">
      <c r="A52" s="0" t="s">
        <v>90</v>
      </c>
      <c r="B52" s="1" t="n">
        <v>43912</v>
      </c>
      <c r="C52" s="0" t="n">
        <v>163</v>
      </c>
      <c r="D52" s="0" t="n">
        <v>21</v>
      </c>
      <c r="E52" s="0" t="n">
        <v>3</v>
      </c>
      <c r="G52" s="0" t="n">
        <v>3</v>
      </c>
      <c r="H52" s="0" t="n">
        <v>157</v>
      </c>
      <c r="I52" s="0" t="n">
        <v>3</v>
      </c>
      <c r="J52" s="0" t="n">
        <v>23</v>
      </c>
    </row>
    <row r="53" customFormat="false" ht="13.5" hidden="false" customHeight="false" outlineLevel="0" collapsed="false">
      <c r="A53" s="0" t="s">
        <v>90</v>
      </c>
      <c r="B53" s="1" t="n">
        <v>43913</v>
      </c>
      <c r="C53" s="0" t="n">
        <v>187</v>
      </c>
      <c r="D53" s="0" t="n">
        <v>24</v>
      </c>
      <c r="E53" s="0" t="n">
        <v>3</v>
      </c>
      <c r="G53" s="0" t="n">
        <v>3</v>
      </c>
      <c r="H53" s="0" t="n">
        <v>181</v>
      </c>
      <c r="I53" s="0" t="n">
        <v>3</v>
      </c>
      <c r="J53" s="0" t="n">
        <v>27</v>
      </c>
    </row>
    <row r="54" customFormat="false" ht="13.5" hidden="false" customHeight="false" outlineLevel="0" collapsed="false">
      <c r="A54" s="0" t="s">
        <v>90</v>
      </c>
      <c r="B54" s="1" t="n">
        <v>43914</v>
      </c>
      <c r="C54" s="0" t="n">
        <v>201</v>
      </c>
      <c r="D54" s="0" t="n">
        <v>14</v>
      </c>
      <c r="E54" s="0" t="n">
        <v>3</v>
      </c>
      <c r="G54" s="0" t="n">
        <v>3</v>
      </c>
      <c r="H54" s="0" t="n">
        <v>195</v>
      </c>
      <c r="I54" s="0" t="n">
        <v>8</v>
      </c>
      <c r="J54" s="0" t="n">
        <v>29</v>
      </c>
    </row>
    <row r="55" customFormat="false" ht="13.5" hidden="false" customHeight="false" outlineLevel="0" collapsed="false">
      <c r="A55" s="0" t="s">
        <v>90</v>
      </c>
      <c r="B55" s="1" t="n">
        <v>43915</v>
      </c>
      <c r="C55" s="0" t="n">
        <v>218</v>
      </c>
      <c r="D55" s="0" t="n">
        <v>17</v>
      </c>
      <c r="E55" s="0" t="n">
        <v>3</v>
      </c>
      <c r="G55" s="0" t="n">
        <v>3</v>
      </c>
      <c r="H55" s="0" t="n">
        <v>212</v>
      </c>
      <c r="I55" s="0" t="n">
        <v>8</v>
      </c>
      <c r="J55" s="0" t="n">
        <v>31</v>
      </c>
      <c r="K55" s="0" t="n">
        <v>0.4</v>
      </c>
    </row>
    <row r="56" customFormat="false" ht="13.5" hidden="false" customHeight="false" outlineLevel="0" collapsed="false">
      <c r="A56" s="0" t="s">
        <v>90</v>
      </c>
      <c r="B56" s="1" t="n">
        <v>43916</v>
      </c>
      <c r="C56" s="0" t="n">
        <v>242</v>
      </c>
      <c r="D56" s="0" t="n">
        <v>24</v>
      </c>
      <c r="E56" s="0" t="n">
        <v>3</v>
      </c>
      <c r="G56" s="0" t="n">
        <v>4</v>
      </c>
      <c r="H56" s="0" t="n">
        <v>235</v>
      </c>
      <c r="I56" s="0" t="n">
        <v>8</v>
      </c>
      <c r="J56" s="0" t="n">
        <v>35</v>
      </c>
      <c r="K56" s="0" t="n">
        <v>0.4</v>
      </c>
    </row>
    <row r="57" customFormat="false" ht="13.5" hidden="false" customHeight="false" outlineLevel="0" collapsed="false">
      <c r="A57" s="0" t="s">
        <v>90</v>
      </c>
      <c r="B57" s="1" t="n">
        <v>43917</v>
      </c>
      <c r="C57" s="0" t="n">
        <v>264</v>
      </c>
      <c r="D57" s="0" t="n">
        <v>22</v>
      </c>
      <c r="E57" s="0" t="n">
        <v>3</v>
      </c>
      <c r="G57" s="0" t="n">
        <v>8</v>
      </c>
      <c r="H57" s="0" t="n">
        <v>253</v>
      </c>
      <c r="I57" s="0" t="n">
        <v>8</v>
      </c>
      <c r="J57" s="0" t="n">
        <v>38</v>
      </c>
      <c r="K57" s="0" t="n">
        <v>0.4</v>
      </c>
    </row>
    <row r="58" customFormat="false" ht="13.5" hidden="false" customHeight="false" outlineLevel="0" collapsed="false">
      <c r="A58" s="0" t="s">
        <v>90</v>
      </c>
      <c r="B58" s="1" t="n">
        <v>43918</v>
      </c>
      <c r="C58" s="0" t="n">
        <v>293</v>
      </c>
      <c r="D58" s="0" t="n">
        <v>29</v>
      </c>
      <c r="E58" s="0" t="n">
        <v>3</v>
      </c>
      <c r="G58" s="0" t="n">
        <v>9</v>
      </c>
      <c r="H58" s="0" t="n">
        <v>281</v>
      </c>
      <c r="I58" s="0" t="n">
        <v>8</v>
      </c>
      <c r="J58" s="0" t="n">
        <v>42</v>
      </c>
      <c r="K58" s="0" t="n">
        <v>0.4</v>
      </c>
    </row>
    <row r="59" customFormat="false" ht="13.5" hidden="false" customHeight="false" outlineLevel="0" collapsed="false">
      <c r="A59" s="0" t="s">
        <v>90</v>
      </c>
      <c r="B59" s="1" t="n">
        <v>43919</v>
      </c>
      <c r="C59" s="0" t="n">
        <v>331</v>
      </c>
      <c r="D59" s="0" t="n">
        <v>38</v>
      </c>
      <c r="E59" s="0" t="n">
        <v>6</v>
      </c>
      <c r="F59" s="0" t="n">
        <v>3</v>
      </c>
      <c r="G59" s="0" t="n">
        <v>11</v>
      </c>
      <c r="H59" s="0" t="n">
        <v>314</v>
      </c>
      <c r="I59" s="0" t="n">
        <v>8</v>
      </c>
      <c r="J59" s="0" t="n">
        <v>48</v>
      </c>
      <c r="K59" s="0" t="n">
        <v>0.9</v>
      </c>
    </row>
    <row r="60" customFormat="false" ht="13.5" hidden="false" customHeight="false" outlineLevel="0" collapsed="false">
      <c r="A60" s="0" t="s">
        <v>90</v>
      </c>
      <c r="B60" s="1" t="n">
        <v>43920</v>
      </c>
      <c r="C60" s="0" t="n">
        <v>346</v>
      </c>
      <c r="D60" s="0" t="n">
        <v>15</v>
      </c>
      <c r="E60" s="0" t="n">
        <v>8</v>
      </c>
      <c r="F60" s="0" t="n">
        <v>1</v>
      </c>
      <c r="G60" s="0" t="n">
        <v>14</v>
      </c>
      <c r="H60" s="0" t="n">
        <v>324</v>
      </c>
      <c r="I60" s="0" t="n">
        <v>8</v>
      </c>
      <c r="J60" s="0" t="n">
        <v>50</v>
      </c>
      <c r="K60" s="0" t="n">
        <v>1</v>
      </c>
    </row>
    <row r="61" customFormat="false" ht="13.5" hidden="false" customHeight="false" outlineLevel="0" collapsed="false">
      <c r="A61" s="0" t="s">
        <v>90</v>
      </c>
      <c r="B61" s="1" t="n">
        <v>43921</v>
      </c>
      <c r="C61" s="0" t="n">
        <v>359</v>
      </c>
      <c r="D61" s="0" t="n">
        <v>13</v>
      </c>
      <c r="E61" s="0" t="n">
        <v>8</v>
      </c>
      <c r="G61" s="0" t="n">
        <v>17</v>
      </c>
      <c r="H61" s="0" t="n">
        <v>334</v>
      </c>
      <c r="I61" s="0" t="n">
        <v>13</v>
      </c>
      <c r="J61" s="0" t="n">
        <v>52</v>
      </c>
      <c r="K61" s="0" t="n">
        <v>1</v>
      </c>
    </row>
    <row r="62" customFormat="false" ht="13.5" hidden="false" customHeight="false" outlineLevel="0" collapsed="false">
      <c r="A62" s="0" t="s">
        <v>90</v>
      </c>
      <c r="B62" s="1" t="n">
        <v>43922</v>
      </c>
      <c r="C62" s="0" t="n">
        <v>399</v>
      </c>
      <c r="D62" s="0" t="n">
        <v>40</v>
      </c>
      <c r="E62" s="0" t="n">
        <v>8</v>
      </c>
      <c r="G62" s="0" t="n">
        <v>17</v>
      </c>
      <c r="H62" s="0" t="n">
        <v>374</v>
      </c>
      <c r="I62" s="0" t="n">
        <v>14</v>
      </c>
      <c r="J62" s="0" t="n">
        <v>57</v>
      </c>
      <c r="K62" s="0" t="n">
        <v>1</v>
      </c>
    </row>
    <row r="63" customFormat="false" ht="13.5" hidden="false" customHeight="false" outlineLevel="0" collapsed="false">
      <c r="A63" s="0" t="s">
        <v>90</v>
      </c>
      <c r="B63" s="1" t="n">
        <v>43923</v>
      </c>
      <c r="C63" s="0" t="n">
        <v>422</v>
      </c>
      <c r="D63" s="0" t="n">
        <v>23</v>
      </c>
      <c r="E63" s="0" t="n">
        <v>10</v>
      </c>
      <c r="F63" s="0" t="n">
        <v>2</v>
      </c>
      <c r="G63" s="0" t="n">
        <v>20</v>
      </c>
      <c r="H63" s="0" t="n">
        <v>392</v>
      </c>
      <c r="I63" s="0" t="n">
        <v>18</v>
      </c>
      <c r="J63" s="0" t="n">
        <v>61</v>
      </c>
      <c r="K63" s="0" t="n">
        <v>1</v>
      </c>
    </row>
    <row r="64" customFormat="false" ht="13.5" hidden="false" customHeight="false" outlineLevel="0" collapsed="false">
      <c r="A64" s="0" t="s">
        <v>90</v>
      </c>
      <c r="B64" s="1" t="n">
        <v>43924</v>
      </c>
      <c r="C64" s="0" t="n">
        <v>457</v>
      </c>
      <c r="D64" s="0" t="n">
        <v>35</v>
      </c>
      <c r="E64" s="0" t="n">
        <v>10</v>
      </c>
      <c r="G64" s="0" t="n">
        <v>25</v>
      </c>
      <c r="H64" s="0" t="n">
        <v>422</v>
      </c>
      <c r="I64" s="0" t="n">
        <v>18</v>
      </c>
      <c r="J64" s="0" t="n">
        <v>66</v>
      </c>
      <c r="K64" s="0" t="n">
        <v>1</v>
      </c>
    </row>
    <row r="65" customFormat="false" ht="13.5" hidden="false" customHeight="false" outlineLevel="0" collapsed="false">
      <c r="A65" s="0" t="s">
        <v>90</v>
      </c>
      <c r="B65" s="1" t="n">
        <v>43925</v>
      </c>
      <c r="C65" s="0" t="n">
        <v>485</v>
      </c>
      <c r="D65" s="0" t="n">
        <v>28</v>
      </c>
      <c r="E65" s="0" t="n">
        <v>14</v>
      </c>
      <c r="F65" s="0" t="n">
        <v>4</v>
      </c>
      <c r="G65" s="0" t="n">
        <v>30</v>
      </c>
      <c r="H65" s="0" t="n">
        <v>441</v>
      </c>
      <c r="I65" s="0" t="n">
        <v>18</v>
      </c>
      <c r="J65" s="0" t="n">
        <v>70</v>
      </c>
      <c r="K65" s="0" t="n">
        <v>2</v>
      </c>
    </row>
    <row r="66" customFormat="false" ht="13.5" hidden="false" customHeight="false" outlineLevel="0" collapsed="false">
      <c r="A66" s="0" t="s">
        <v>90</v>
      </c>
      <c r="B66" s="1" t="n">
        <v>43926</v>
      </c>
      <c r="C66" s="0" t="n">
        <v>503</v>
      </c>
      <c r="D66" s="0" t="n">
        <v>18</v>
      </c>
      <c r="E66" s="0" t="n">
        <v>17</v>
      </c>
      <c r="F66" s="0" t="n">
        <v>3</v>
      </c>
      <c r="G66" s="0" t="n">
        <v>34</v>
      </c>
      <c r="H66" s="0" t="n">
        <v>452</v>
      </c>
      <c r="I66" s="0" t="n">
        <v>26</v>
      </c>
      <c r="J66" s="0" t="n">
        <v>72</v>
      </c>
      <c r="K66" s="0" t="n">
        <v>2</v>
      </c>
    </row>
    <row r="67" customFormat="false" ht="13.5" hidden="false" customHeight="false" outlineLevel="0" collapsed="false">
      <c r="A67" s="0" t="s">
        <v>90</v>
      </c>
      <c r="B67" s="1" t="n">
        <v>43927</v>
      </c>
      <c r="C67" s="0" t="n">
        <v>531</v>
      </c>
      <c r="D67" s="0" t="n">
        <v>28</v>
      </c>
      <c r="E67" s="0" t="n">
        <v>20</v>
      </c>
      <c r="F67" s="0" t="n">
        <v>3</v>
      </c>
      <c r="G67" s="0" t="n">
        <v>37</v>
      </c>
      <c r="H67" s="0" t="n">
        <v>474</v>
      </c>
      <c r="I67" s="0" t="n">
        <v>22</v>
      </c>
      <c r="J67" s="0" t="n">
        <v>76</v>
      </c>
      <c r="K67" s="0" t="n">
        <v>3</v>
      </c>
      <c r="L67" s="0" t="n">
        <v>15899</v>
      </c>
      <c r="M67" s="0" t="n">
        <v>2288</v>
      </c>
    </row>
    <row r="68" customFormat="false" ht="13.5" hidden="false" customHeight="false" outlineLevel="0" collapsed="false">
      <c r="A68" s="0" t="s">
        <v>90</v>
      </c>
      <c r="B68" s="1" t="n">
        <v>43928</v>
      </c>
      <c r="C68" s="0" t="n">
        <v>549</v>
      </c>
      <c r="D68" s="0" t="n">
        <v>18</v>
      </c>
      <c r="E68" s="0" t="n">
        <v>22</v>
      </c>
      <c r="F68" s="0" t="n">
        <v>2</v>
      </c>
      <c r="G68" s="0" t="n">
        <v>39</v>
      </c>
      <c r="H68" s="0" t="n">
        <v>488</v>
      </c>
      <c r="I68" s="0" t="n">
        <v>26</v>
      </c>
      <c r="J68" s="0" t="n">
        <v>79</v>
      </c>
      <c r="K68" s="0" t="n">
        <v>3</v>
      </c>
      <c r="L68" s="0" t="n">
        <v>15899</v>
      </c>
      <c r="M68" s="0" t="n">
        <v>2288</v>
      </c>
    </row>
    <row r="69" customFormat="false" ht="13.5" hidden="false" customHeight="false" outlineLevel="0" collapsed="false">
      <c r="A69" s="0" t="s">
        <v>90</v>
      </c>
      <c r="B69" s="1" t="n">
        <v>43929</v>
      </c>
      <c r="C69" s="0" t="n">
        <v>577</v>
      </c>
      <c r="D69" s="0" t="n">
        <v>28</v>
      </c>
      <c r="E69" s="0" t="n">
        <v>23</v>
      </c>
      <c r="F69" s="0" t="n">
        <v>1</v>
      </c>
      <c r="G69" s="0" t="n">
        <v>42</v>
      </c>
      <c r="H69" s="0" t="n">
        <v>512</v>
      </c>
      <c r="I69" s="0" t="n">
        <v>21</v>
      </c>
      <c r="J69" s="0" t="n">
        <v>83</v>
      </c>
      <c r="K69" s="0" t="n">
        <v>3</v>
      </c>
      <c r="L69" s="0" t="n">
        <v>15899</v>
      </c>
      <c r="M69" s="0" t="n">
        <v>2288</v>
      </c>
    </row>
    <row r="70" customFormat="false" ht="13.5" hidden="false" customHeight="false" outlineLevel="0" collapsed="false">
      <c r="A70" s="0" t="s">
        <v>90</v>
      </c>
      <c r="B70" s="1" t="n">
        <v>43930</v>
      </c>
      <c r="C70" s="0" t="n">
        <v>593</v>
      </c>
      <c r="D70" s="0" t="n">
        <v>16</v>
      </c>
      <c r="E70" s="0" t="n">
        <v>24</v>
      </c>
      <c r="F70" s="0" t="n">
        <v>1</v>
      </c>
      <c r="G70" s="0" t="n">
        <v>42</v>
      </c>
      <c r="H70" s="0" t="n">
        <v>527</v>
      </c>
      <c r="I70" s="0" t="n">
        <v>27</v>
      </c>
      <c r="J70" s="0" t="n">
        <v>85</v>
      </c>
      <c r="K70" s="0" t="n">
        <v>3</v>
      </c>
      <c r="L70" s="0" t="n">
        <v>15899</v>
      </c>
      <c r="M70" s="0" t="n">
        <v>2288</v>
      </c>
    </row>
    <row r="71" customFormat="false" ht="13.5" hidden="false" customHeight="false" outlineLevel="0" collapsed="false">
      <c r="A71" s="0" t="s">
        <v>90</v>
      </c>
      <c r="B71" s="1" t="n">
        <v>43931</v>
      </c>
      <c r="C71" s="0" t="n">
        <v>618</v>
      </c>
      <c r="D71" s="0" t="n">
        <v>25</v>
      </c>
      <c r="E71" s="0" t="n">
        <v>24</v>
      </c>
      <c r="G71" s="0" t="n">
        <v>48</v>
      </c>
      <c r="H71" s="0" t="n">
        <v>546</v>
      </c>
      <c r="I71" s="0" t="n">
        <v>32</v>
      </c>
      <c r="J71" s="0" t="n">
        <v>89</v>
      </c>
      <c r="K71" s="0" t="n">
        <v>3</v>
      </c>
      <c r="L71" s="0" t="n">
        <v>15899</v>
      </c>
      <c r="M71" s="0" t="n">
        <v>2288</v>
      </c>
    </row>
    <row r="72" customFormat="false" ht="13.5" hidden="false" customHeight="false" outlineLevel="0" collapsed="false">
      <c r="A72" s="0" t="s">
        <v>90</v>
      </c>
      <c r="B72" s="1" t="n">
        <v>43932</v>
      </c>
      <c r="C72" s="0" t="n">
        <v>635</v>
      </c>
      <c r="D72" s="0" t="n">
        <v>17</v>
      </c>
      <c r="E72" s="0" t="n">
        <v>25</v>
      </c>
      <c r="F72" s="0" t="n">
        <v>1</v>
      </c>
      <c r="G72" s="0" t="n">
        <v>54</v>
      </c>
      <c r="H72" s="0" t="n">
        <v>556</v>
      </c>
      <c r="I72" s="0" t="n">
        <v>33</v>
      </c>
      <c r="J72" s="0" t="n">
        <v>91</v>
      </c>
      <c r="K72" s="0" t="n">
        <v>4</v>
      </c>
      <c r="L72" s="0" t="n">
        <v>18502</v>
      </c>
      <c r="M72" s="0" t="n">
        <v>2663</v>
      </c>
    </row>
    <row r="73" customFormat="false" ht="13.5" hidden="false" customHeight="false" outlineLevel="0" collapsed="false">
      <c r="A73" s="0" t="s">
        <v>90</v>
      </c>
      <c r="B73" s="1" t="n">
        <v>43933</v>
      </c>
      <c r="C73" s="0" t="n">
        <v>661</v>
      </c>
      <c r="D73" s="0" t="n">
        <v>26</v>
      </c>
      <c r="E73" s="0" t="n">
        <v>28</v>
      </c>
      <c r="F73" s="0" t="n">
        <v>3</v>
      </c>
      <c r="G73" s="0" t="n">
        <v>62</v>
      </c>
      <c r="H73" s="0" t="n">
        <v>571</v>
      </c>
      <c r="I73" s="0" t="n">
        <v>32</v>
      </c>
      <c r="J73" s="0" t="n">
        <v>95</v>
      </c>
      <c r="K73" s="0" t="n">
        <v>4</v>
      </c>
      <c r="L73" s="0" t="n">
        <v>18502</v>
      </c>
      <c r="M73" s="0" t="n">
        <v>2663</v>
      </c>
    </row>
    <row r="74" customFormat="false" ht="13.5" hidden="false" customHeight="false" outlineLevel="0" collapsed="false">
      <c r="A74" s="0" t="s">
        <v>90</v>
      </c>
      <c r="B74" s="1" t="n">
        <v>43934</v>
      </c>
      <c r="C74" s="0" t="n">
        <v>675</v>
      </c>
      <c r="D74" s="0" t="n">
        <v>14</v>
      </c>
      <c r="E74" s="0" t="n">
        <v>29</v>
      </c>
      <c r="F74" s="0" t="n">
        <v>1</v>
      </c>
      <c r="G74" s="0" t="n">
        <v>68</v>
      </c>
      <c r="H74" s="0" t="n">
        <v>578</v>
      </c>
      <c r="I74" s="0" t="n">
        <v>36</v>
      </c>
      <c r="J74" s="0" t="n">
        <v>97</v>
      </c>
      <c r="K74" s="0" t="n">
        <v>4</v>
      </c>
      <c r="L74" s="0" t="n">
        <v>18502</v>
      </c>
      <c r="M74" s="0" t="n">
        <v>2663</v>
      </c>
    </row>
    <row r="75" customFormat="false" ht="13.5" hidden="false" customHeight="false" outlineLevel="0" collapsed="false">
      <c r="A75" s="0" t="s">
        <v>90</v>
      </c>
      <c r="B75" s="1" t="n">
        <v>43935</v>
      </c>
      <c r="C75" s="0" t="n">
        <v>685</v>
      </c>
      <c r="D75" s="0" t="n">
        <v>10</v>
      </c>
      <c r="E75" s="0" t="n">
        <v>32</v>
      </c>
      <c r="F75" s="0" t="n">
        <v>3</v>
      </c>
      <c r="G75" s="0" t="n">
        <v>71</v>
      </c>
      <c r="H75" s="0" t="n">
        <v>582</v>
      </c>
      <c r="I75" s="0" t="n">
        <v>36</v>
      </c>
      <c r="J75" s="0" t="n">
        <v>99</v>
      </c>
      <c r="K75" s="0" t="n">
        <v>5</v>
      </c>
      <c r="L75" s="0" t="n">
        <v>18502</v>
      </c>
      <c r="M75" s="0" t="n">
        <v>2663</v>
      </c>
    </row>
    <row r="76" customFormat="false" ht="13.5" hidden="false" customHeight="false" outlineLevel="0" collapsed="false">
      <c r="A76" s="0" t="s">
        <v>90</v>
      </c>
      <c r="B76" s="1" t="n">
        <v>43936</v>
      </c>
      <c r="C76" s="0" t="n">
        <v>713</v>
      </c>
      <c r="D76" s="0" t="n">
        <v>28</v>
      </c>
      <c r="E76" s="0" t="n">
        <v>35</v>
      </c>
      <c r="F76" s="0" t="n">
        <v>3</v>
      </c>
      <c r="G76" s="0" t="n">
        <v>81</v>
      </c>
      <c r="H76" s="0" t="n">
        <v>597</v>
      </c>
      <c r="I76" s="0" t="n">
        <v>29</v>
      </c>
      <c r="J76" s="0" t="n">
        <v>103</v>
      </c>
      <c r="K76" s="0" t="n">
        <v>5</v>
      </c>
      <c r="L76" s="0" t="n">
        <v>18502</v>
      </c>
      <c r="M76" s="0" t="n">
        <v>2663</v>
      </c>
    </row>
    <row r="77" customFormat="false" ht="13.5" hidden="false" customHeight="false" outlineLevel="0" collapsed="false">
      <c r="A77" s="0" t="s">
        <v>90</v>
      </c>
      <c r="B77" s="1" t="n">
        <v>43937</v>
      </c>
      <c r="C77" s="0" t="n">
        <v>747</v>
      </c>
      <c r="D77" s="0" t="n">
        <v>34</v>
      </c>
      <c r="E77" s="0" t="n">
        <v>36</v>
      </c>
      <c r="F77" s="0" t="n">
        <v>1</v>
      </c>
      <c r="G77" s="0" t="n">
        <v>105</v>
      </c>
      <c r="H77" s="0" t="n">
        <v>606</v>
      </c>
      <c r="I77" s="0" t="n">
        <v>31</v>
      </c>
      <c r="J77" s="0" t="n">
        <v>108</v>
      </c>
      <c r="K77" s="0" t="n">
        <v>5</v>
      </c>
      <c r="L77" s="0" t="n">
        <v>18502</v>
      </c>
      <c r="M77" s="0" t="n">
        <v>2663</v>
      </c>
    </row>
    <row r="78" customFormat="false" ht="13.5" hidden="false" customHeight="false" outlineLevel="0" collapsed="false">
      <c r="A78" s="0" t="s">
        <v>90</v>
      </c>
      <c r="B78" s="1" t="n">
        <v>43938</v>
      </c>
      <c r="C78" s="0" t="n">
        <v>800</v>
      </c>
      <c r="D78" s="0" t="n">
        <v>53</v>
      </c>
      <c r="E78" s="0" t="n">
        <v>38</v>
      </c>
      <c r="F78" s="0" t="n">
        <v>2</v>
      </c>
      <c r="G78" s="0" t="n">
        <v>122</v>
      </c>
      <c r="H78" s="0" t="n">
        <v>640</v>
      </c>
      <c r="I78" s="0" t="n">
        <v>37</v>
      </c>
      <c r="J78" s="0" t="n">
        <v>115</v>
      </c>
      <c r="K78" s="0" t="n">
        <v>5</v>
      </c>
      <c r="L78" s="0" t="n">
        <v>18502</v>
      </c>
      <c r="M78" s="0" t="n">
        <v>2663</v>
      </c>
    </row>
    <row r="79" customFormat="false" ht="13.5" hidden="false" customHeight="false" outlineLevel="0" collapsed="false">
      <c r="A79" s="0" t="s">
        <v>90</v>
      </c>
      <c r="B79" s="1" t="n">
        <v>43939</v>
      </c>
      <c r="C79" s="0" t="n">
        <v>846</v>
      </c>
      <c r="D79" s="0" t="n">
        <v>46</v>
      </c>
      <c r="E79" s="0" t="n">
        <v>41</v>
      </c>
      <c r="F79" s="0" t="n">
        <v>3</v>
      </c>
      <c r="G79" s="0" t="n">
        <v>141</v>
      </c>
      <c r="H79" s="0" t="n">
        <v>664</v>
      </c>
      <c r="I79" s="0" t="n">
        <v>37</v>
      </c>
      <c r="J79" s="0" t="n">
        <v>122</v>
      </c>
      <c r="K79" s="0" t="n">
        <v>6</v>
      </c>
      <c r="L79" s="0" t="n">
        <v>18502</v>
      </c>
      <c r="M79" s="0" t="n">
        <v>2663</v>
      </c>
    </row>
    <row r="80" customFormat="false" ht="13.5" hidden="false" customHeight="false" outlineLevel="0" collapsed="false">
      <c r="A80" s="0" t="s">
        <v>90</v>
      </c>
      <c r="B80" s="1" t="n">
        <v>43940</v>
      </c>
      <c r="C80" s="0" t="n">
        <v>878</v>
      </c>
      <c r="D80" s="0" t="n">
        <v>32</v>
      </c>
      <c r="E80" s="0" t="n">
        <v>41</v>
      </c>
      <c r="F80" s="0" t="n">
        <v>0</v>
      </c>
      <c r="G80" s="0" t="n">
        <v>153</v>
      </c>
      <c r="H80" s="0" t="n">
        <v>684</v>
      </c>
      <c r="I80" s="0" t="n">
        <v>35</v>
      </c>
      <c r="J80" s="0" t="n">
        <v>126</v>
      </c>
      <c r="K80" s="0" t="n">
        <v>6</v>
      </c>
      <c r="L80" s="0" t="n">
        <v>26417</v>
      </c>
      <c r="M80" s="0" t="n">
        <v>3802</v>
      </c>
    </row>
    <row r="81" customFormat="false" ht="13.5" hidden="false" customHeight="false" outlineLevel="0" collapsed="false">
      <c r="A81" s="0" t="s">
        <v>90</v>
      </c>
      <c r="B81" s="1" t="n">
        <v>43941</v>
      </c>
      <c r="C81" s="0" t="n">
        <v>894</v>
      </c>
      <c r="D81" s="0" t="n">
        <v>16</v>
      </c>
      <c r="E81" s="0" t="n">
        <v>42</v>
      </c>
      <c r="F81" s="0" t="n">
        <v>1</v>
      </c>
      <c r="G81" s="0" t="n">
        <v>161</v>
      </c>
      <c r="H81" s="0" t="n">
        <v>691</v>
      </c>
      <c r="I81" s="0" t="n">
        <v>36</v>
      </c>
      <c r="J81" s="0" t="n">
        <v>129</v>
      </c>
      <c r="K81" s="0" t="n">
        <v>6</v>
      </c>
      <c r="L81" s="0" t="n">
        <v>26417</v>
      </c>
      <c r="M81" s="0" t="n">
        <v>3802</v>
      </c>
    </row>
    <row r="82" customFormat="false" ht="13.5" hidden="false" customHeight="false" outlineLevel="0" collapsed="false">
      <c r="A82" s="0" t="s">
        <v>90</v>
      </c>
      <c r="B82" s="1" t="n">
        <v>43942</v>
      </c>
      <c r="C82" s="0" t="n">
        <v>929</v>
      </c>
      <c r="D82" s="0" t="n">
        <v>35</v>
      </c>
      <c r="E82" s="0" t="n">
        <v>43</v>
      </c>
      <c r="F82" s="0" t="n">
        <v>1</v>
      </c>
      <c r="G82" s="0" t="n">
        <v>167</v>
      </c>
      <c r="H82" s="0" t="n">
        <v>719</v>
      </c>
      <c r="I82" s="0" t="n">
        <v>34</v>
      </c>
      <c r="J82" s="0" t="n">
        <v>134</v>
      </c>
      <c r="K82" s="0" t="n">
        <v>6</v>
      </c>
      <c r="L82" s="0" t="n">
        <v>26417</v>
      </c>
      <c r="M82" s="0" t="n">
        <v>3802</v>
      </c>
    </row>
    <row r="83" customFormat="false" ht="13.5" hidden="false" customHeight="false" outlineLevel="0" collapsed="false">
      <c r="A83" s="0" t="s">
        <v>90</v>
      </c>
      <c r="B83" s="1" t="n">
        <v>43943</v>
      </c>
      <c r="C83" s="0" t="n">
        <v>975</v>
      </c>
      <c r="D83" s="0" t="n">
        <v>46</v>
      </c>
      <c r="E83" s="0" t="n">
        <v>45</v>
      </c>
      <c r="F83" s="0" t="n">
        <v>2</v>
      </c>
      <c r="G83" s="0" t="n">
        <v>170</v>
      </c>
      <c r="H83" s="0" t="n">
        <v>760</v>
      </c>
      <c r="I83" s="0" t="n">
        <v>34</v>
      </c>
      <c r="J83" s="0" t="n">
        <v>140</v>
      </c>
      <c r="K83" s="0" t="n">
        <v>6</v>
      </c>
      <c r="L83" s="0" t="n">
        <v>26417</v>
      </c>
      <c r="M83" s="0" t="n">
        <v>3802</v>
      </c>
    </row>
    <row r="84" customFormat="false" ht="13.5" hidden="false" customHeight="false" outlineLevel="0" collapsed="false">
      <c r="A84" s="0" t="s">
        <v>90</v>
      </c>
      <c r="B84" s="1" t="n">
        <v>43944</v>
      </c>
      <c r="C84" s="0" t="n">
        <v>1024</v>
      </c>
      <c r="D84" s="0" t="n">
        <v>49</v>
      </c>
      <c r="E84" s="0" t="n">
        <v>49</v>
      </c>
      <c r="F84" s="0" t="n">
        <v>4</v>
      </c>
      <c r="G84" s="0" t="n">
        <v>174</v>
      </c>
      <c r="H84" s="0" t="n">
        <v>801</v>
      </c>
      <c r="I84" s="0" t="n">
        <v>37</v>
      </c>
      <c r="J84" s="0" t="n">
        <v>147</v>
      </c>
      <c r="K84" s="0" t="n">
        <v>7</v>
      </c>
      <c r="L84" s="0" t="n">
        <v>27000</v>
      </c>
      <c r="M84" s="0" t="n">
        <v>3886</v>
      </c>
    </row>
    <row r="85" customFormat="false" ht="13.5" hidden="false" customHeight="false" outlineLevel="0" collapsed="false">
      <c r="A85" s="0" t="s">
        <v>90</v>
      </c>
      <c r="B85" s="1" t="n">
        <v>43945</v>
      </c>
      <c r="C85" s="0" t="n">
        <v>1097</v>
      </c>
      <c r="D85" s="0" t="n">
        <v>73</v>
      </c>
      <c r="E85" s="0" t="n">
        <v>52</v>
      </c>
      <c r="F85" s="0" t="n">
        <v>3</v>
      </c>
      <c r="G85" s="0" t="n">
        <v>190</v>
      </c>
      <c r="H85" s="0" t="n">
        <v>855</v>
      </c>
      <c r="I85" s="0" t="n">
        <v>37</v>
      </c>
      <c r="J85" s="0" t="n">
        <v>158</v>
      </c>
      <c r="K85" s="0" t="n">
        <v>7</v>
      </c>
      <c r="L85" s="0" t="n">
        <v>27000</v>
      </c>
      <c r="M85" s="0" t="n">
        <v>3886</v>
      </c>
    </row>
    <row r="86" customFormat="false" ht="13.5" hidden="false" customHeight="false" outlineLevel="0" collapsed="false">
      <c r="A86" s="0" t="s">
        <v>90</v>
      </c>
      <c r="B86" s="1" t="n">
        <v>43946</v>
      </c>
      <c r="C86" s="0" t="n">
        <v>1188</v>
      </c>
      <c r="D86" s="0" t="n">
        <v>91</v>
      </c>
      <c r="E86" s="0" t="n">
        <v>54</v>
      </c>
      <c r="F86" s="0" t="n">
        <v>2</v>
      </c>
      <c r="G86" s="0" t="n">
        <v>193</v>
      </c>
      <c r="H86" s="0" t="n">
        <v>941</v>
      </c>
      <c r="I86" s="0" t="n">
        <v>37</v>
      </c>
      <c r="J86" s="0" t="n">
        <v>171</v>
      </c>
      <c r="K86" s="0" t="n">
        <v>8</v>
      </c>
      <c r="L86" s="0" t="n">
        <v>27000</v>
      </c>
      <c r="M86" s="0" t="n">
        <v>3886</v>
      </c>
    </row>
    <row r="87" customFormat="false" ht="13.5" hidden="false" customHeight="false" outlineLevel="0" collapsed="false">
      <c r="A87" s="0" t="s">
        <v>90</v>
      </c>
      <c r="B87" s="1" t="n">
        <v>43947</v>
      </c>
      <c r="C87" s="0" t="n">
        <v>1247</v>
      </c>
      <c r="D87" s="0" t="n">
        <v>59</v>
      </c>
      <c r="E87" s="0" t="n">
        <v>55</v>
      </c>
      <c r="F87" s="0" t="n">
        <v>1</v>
      </c>
      <c r="G87" s="0" t="n">
        <v>197</v>
      </c>
      <c r="H87" s="0" t="n">
        <v>995</v>
      </c>
      <c r="I87" s="0" t="n">
        <v>37</v>
      </c>
      <c r="J87" s="0" t="n">
        <v>179</v>
      </c>
      <c r="K87" s="0" t="n">
        <v>8</v>
      </c>
      <c r="L87" s="0" t="n">
        <v>27000</v>
      </c>
      <c r="M87" s="0" t="n">
        <v>3886</v>
      </c>
    </row>
    <row r="88" customFormat="false" ht="13.5" hidden="false" customHeight="false" outlineLevel="0" collapsed="false">
      <c r="A88" s="0" t="s">
        <v>90</v>
      </c>
      <c r="B88" s="1" t="n">
        <v>43948</v>
      </c>
      <c r="C88" s="0" t="n">
        <v>1300</v>
      </c>
      <c r="D88" s="0" t="n">
        <v>53</v>
      </c>
      <c r="E88" s="0" t="n">
        <v>56</v>
      </c>
      <c r="F88" s="0" t="n">
        <v>1</v>
      </c>
      <c r="G88" s="0" t="n">
        <v>205</v>
      </c>
      <c r="H88" s="0" t="n">
        <v>1039</v>
      </c>
      <c r="I88" s="0" t="n">
        <v>41</v>
      </c>
      <c r="J88" s="0" t="n">
        <v>187</v>
      </c>
      <c r="K88" s="0" t="n">
        <v>8</v>
      </c>
      <c r="L88" s="0" t="n">
        <v>27000</v>
      </c>
      <c r="M88" s="0" t="n">
        <v>3886</v>
      </c>
    </row>
    <row r="89" customFormat="false" ht="13.5" hidden="false" customHeight="false" outlineLevel="0" collapsed="false">
      <c r="A89" s="0" t="s">
        <v>90</v>
      </c>
      <c r="B89" s="1" t="n">
        <v>43949</v>
      </c>
      <c r="C89" s="0" t="n">
        <v>1363</v>
      </c>
      <c r="D89" s="0" t="n">
        <v>63</v>
      </c>
      <c r="E89" s="0" t="n">
        <v>58</v>
      </c>
      <c r="F89" s="0" t="n">
        <v>2</v>
      </c>
      <c r="G89" s="0" t="n">
        <v>206</v>
      </c>
      <c r="H89" s="0" t="n">
        <v>1099</v>
      </c>
      <c r="I89" s="0" t="n">
        <v>41</v>
      </c>
      <c r="J89" s="0" t="n">
        <v>196</v>
      </c>
      <c r="K89" s="0" t="n">
        <v>8</v>
      </c>
      <c r="L89" s="0" t="n">
        <v>27000</v>
      </c>
      <c r="M89" s="0" t="n">
        <v>3886</v>
      </c>
    </row>
    <row r="90" customFormat="false" ht="13.5" hidden="false" customHeight="false" outlineLevel="0" collapsed="false">
      <c r="A90" s="0" t="s">
        <v>90</v>
      </c>
      <c r="B90" s="1" t="n">
        <v>43950</v>
      </c>
      <c r="C90" s="0" t="n">
        <v>1399</v>
      </c>
      <c r="D90" s="0" t="n">
        <v>36</v>
      </c>
      <c r="E90" s="0" t="n">
        <v>58</v>
      </c>
      <c r="F90" s="0" t="n">
        <v>0</v>
      </c>
      <c r="G90" s="0" t="n">
        <v>222</v>
      </c>
      <c r="H90" s="0" t="n">
        <v>1119</v>
      </c>
      <c r="I90" s="0" t="n">
        <v>39</v>
      </c>
      <c r="J90" s="0" t="n">
        <v>201</v>
      </c>
      <c r="K90" s="0" t="n">
        <v>8</v>
      </c>
      <c r="L90" s="0" t="n">
        <v>27000</v>
      </c>
      <c r="M90" s="0" t="n">
        <v>3886</v>
      </c>
    </row>
    <row r="91" customFormat="false" ht="13.5" hidden="false" customHeight="false" outlineLevel="0" collapsed="false">
      <c r="A91" s="0" t="s">
        <v>90</v>
      </c>
      <c r="B91" s="1" t="n">
        <v>43951</v>
      </c>
      <c r="C91" s="0" t="n">
        <v>1447</v>
      </c>
      <c r="D91" s="0" t="n">
        <v>48</v>
      </c>
      <c r="E91" s="0" t="n">
        <v>64</v>
      </c>
      <c r="F91" s="0" t="n">
        <v>6</v>
      </c>
      <c r="G91" s="0" t="n">
        <v>243</v>
      </c>
      <c r="H91" s="0" t="n">
        <v>1140</v>
      </c>
      <c r="I91" s="0" t="n">
        <v>38</v>
      </c>
      <c r="J91" s="0" t="n">
        <v>208</v>
      </c>
      <c r="K91" s="0" t="n">
        <v>9</v>
      </c>
      <c r="L91" s="0" t="n">
        <v>45208</v>
      </c>
      <c r="M91" s="0" t="n">
        <v>6506</v>
      </c>
    </row>
    <row r="92" customFormat="false" ht="13.5" hidden="false" customHeight="false" outlineLevel="0" collapsed="false">
      <c r="A92" s="0" t="s">
        <v>90</v>
      </c>
      <c r="B92" s="1" t="n">
        <v>43952</v>
      </c>
      <c r="C92" s="0" t="n">
        <v>1506</v>
      </c>
      <c r="D92" s="0" t="n">
        <v>59</v>
      </c>
      <c r="E92" s="0" t="n">
        <v>66</v>
      </c>
      <c r="F92" s="0" t="n">
        <v>2</v>
      </c>
      <c r="G92" s="0" t="n">
        <v>266</v>
      </c>
      <c r="H92" s="0" t="n">
        <v>1174</v>
      </c>
      <c r="I92" s="0" t="n">
        <v>40</v>
      </c>
      <c r="J92" s="0" t="n">
        <v>217</v>
      </c>
      <c r="K92" s="0" t="n">
        <v>9</v>
      </c>
      <c r="L92" s="0" t="n">
        <v>45208</v>
      </c>
      <c r="M92" s="0" t="n">
        <v>6506</v>
      </c>
    </row>
    <row r="93" customFormat="false" ht="13.5" hidden="false" customHeight="false" outlineLevel="0" collapsed="false">
      <c r="A93" s="0" t="s">
        <v>90</v>
      </c>
      <c r="B93" s="1" t="n">
        <v>43953</v>
      </c>
      <c r="C93" s="0" t="n">
        <v>1555</v>
      </c>
      <c r="D93" s="0" t="n">
        <v>49</v>
      </c>
      <c r="E93" s="0" t="n">
        <v>68</v>
      </c>
      <c r="F93" s="0" t="n">
        <v>2</v>
      </c>
      <c r="G93" s="0" t="n">
        <v>276</v>
      </c>
      <c r="H93" s="0" t="n">
        <v>1211</v>
      </c>
      <c r="I93" s="0" t="n">
        <v>43</v>
      </c>
      <c r="J93" s="0" t="n">
        <v>224</v>
      </c>
      <c r="K93" s="0" t="n">
        <v>10</v>
      </c>
      <c r="L93" s="0" t="n">
        <v>46510</v>
      </c>
      <c r="M93" s="0" t="n">
        <v>6694</v>
      </c>
    </row>
    <row r="94" customFormat="false" ht="13.5" hidden="false" customHeight="false" outlineLevel="0" collapsed="false">
      <c r="A94" s="0" t="s">
        <v>90</v>
      </c>
      <c r="B94" s="1" t="n">
        <v>43954</v>
      </c>
      <c r="C94" s="0" t="n">
        <v>1594</v>
      </c>
      <c r="D94" s="0" t="n">
        <v>39</v>
      </c>
      <c r="E94" s="0" t="n">
        <v>72</v>
      </c>
      <c r="F94" s="0" t="n">
        <v>4</v>
      </c>
      <c r="G94" s="0" t="n">
        <v>287</v>
      </c>
      <c r="H94" s="0" t="n">
        <v>1235</v>
      </c>
      <c r="I94" s="0" t="n">
        <v>43</v>
      </c>
      <c r="J94" s="0" t="n">
        <v>229</v>
      </c>
      <c r="K94" s="0" t="n">
        <v>10</v>
      </c>
      <c r="L94" s="0" t="n">
        <v>47636</v>
      </c>
      <c r="M94" s="0" t="n">
        <v>6856</v>
      </c>
    </row>
    <row r="95" customFormat="false" ht="13.5" hidden="false" customHeight="false" outlineLevel="0" collapsed="false">
      <c r="A95" s="0" t="s">
        <v>90</v>
      </c>
      <c r="B95" s="1" t="n">
        <v>43955</v>
      </c>
      <c r="C95" s="0" t="n">
        <v>1618</v>
      </c>
      <c r="D95" s="0" t="n">
        <v>24</v>
      </c>
      <c r="E95" s="0" t="n">
        <v>73</v>
      </c>
      <c r="F95" s="0" t="n">
        <v>1</v>
      </c>
      <c r="G95" s="0" t="n">
        <v>308</v>
      </c>
      <c r="H95" s="0" t="n">
        <v>1237</v>
      </c>
      <c r="I95" s="0" t="n">
        <v>39</v>
      </c>
      <c r="J95" s="0" t="n">
        <v>233</v>
      </c>
      <c r="K95" s="0" t="n">
        <v>11</v>
      </c>
      <c r="L95" s="0" t="n">
        <v>47636</v>
      </c>
      <c r="M95" s="0" t="n">
        <v>6856</v>
      </c>
    </row>
    <row r="96" customFormat="false" ht="13.5" hidden="false" customHeight="false" outlineLevel="0" collapsed="false">
      <c r="A96" s="0" t="s">
        <v>90</v>
      </c>
      <c r="B96" s="1" t="n">
        <v>43956</v>
      </c>
      <c r="C96" s="0" t="n">
        <v>1652</v>
      </c>
      <c r="D96" s="0" t="n">
        <v>34</v>
      </c>
      <c r="E96" s="0" t="n">
        <v>78</v>
      </c>
      <c r="F96" s="0" t="n">
        <v>5</v>
      </c>
      <c r="G96" s="0" t="n">
        <v>321</v>
      </c>
      <c r="H96" s="0" t="n">
        <v>1253</v>
      </c>
      <c r="I96" s="0" t="n">
        <v>37</v>
      </c>
      <c r="J96" s="0" t="n">
        <v>238</v>
      </c>
      <c r="K96" s="0" t="n">
        <v>11</v>
      </c>
      <c r="L96" s="0" t="n">
        <v>49145</v>
      </c>
      <c r="M96" s="0" t="n">
        <v>7073</v>
      </c>
    </row>
    <row r="97" customFormat="false" ht="13.5" hidden="false" customHeight="false" outlineLevel="0" collapsed="false">
      <c r="A97" s="0" t="s">
        <v>90</v>
      </c>
      <c r="B97" s="1" t="n">
        <v>43957</v>
      </c>
      <c r="C97" s="0" t="n">
        <v>1704</v>
      </c>
      <c r="D97" s="0" t="n">
        <v>52</v>
      </c>
      <c r="E97" s="0" t="n">
        <v>80</v>
      </c>
      <c r="F97" s="0" t="n">
        <v>2</v>
      </c>
      <c r="G97" s="0" t="n">
        <v>342</v>
      </c>
      <c r="H97" s="0" t="n">
        <v>1282</v>
      </c>
      <c r="I97" s="0" t="n">
        <v>37</v>
      </c>
      <c r="J97" s="0" t="n">
        <v>245</v>
      </c>
      <c r="K97" s="0" t="n">
        <v>12</v>
      </c>
      <c r="L97" s="0" t="n">
        <v>50303</v>
      </c>
      <c r="M97" s="0" t="n">
        <v>7239</v>
      </c>
    </row>
    <row r="98" customFormat="false" ht="13.5" hidden="false" customHeight="false" outlineLevel="0" collapsed="false">
      <c r="A98" s="0" t="s">
        <v>90</v>
      </c>
      <c r="B98" s="1" t="n">
        <v>43958</v>
      </c>
      <c r="C98" s="0" t="n">
        <v>1778</v>
      </c>
      <c r="D98" s="0" t="n">
        <v>74</v>
      </c>
      <c r="E98" s="0" t="n">
        <v>84</v>
      </c>
      <c r="F98" s="0" t="n">
        <v>4</v>
      </c>
      <c r="G98" s="0" t="n">
        <v>360</v>
      </c>
      <c r="H98" s="0" t="n">
        <v>1334</v>
      </c>
      <c r="I98" s="0" t="n">
        <v>38</v>
      </c>
      <c r="J98" s="0" t="n">
        <v>256</v>
      </c>
      <c r="K98" s="0" t="n">
        <v>12</v>
      </c>
      <c r="L98" s="0" t="n">
        <v>51768</v>
      </c>
      <c r="M98" s="0" t="n">
        <v>7450</v>
      </c>
    </row>
    <row r="99" customFormat="false" ht="13.5" hidden="false" customHeight="false" outlineLevel="0" collapsed="false">
      <c r="A99" s="0" t="s">
        <v>90</v>
      </c>
      <c r="B99" s="1" t="n">
        <v>43959</v>
      </c>
      <c r="C99" s="0" t="n">
        <v>1829</v>
      </c>
      <c r="D99" s="0" t="n">
        <v>51</v>
      </c>
      <c r="E99" s="0" t="n">
        <v>84</v>
      </c>
      <c r="F99" s="0" t="n">
        <v>0</v>
      </c>
      <c r="G99" s="0" t="n">
        <v>384</v>
      </c>
      <c r="H99" s="0" t="n">
        <v>1361</v>
      </c>
      <c r="I99" s="0" t="n">
        <v>43</v>
      </c>
      <c r="J99" s="0" t="n">
        <v>263</v>
      </c>
      <c r="K99" s="0" t="n">
        <v>12</v>
      </c>
      <c r="L99" s="0" t="n">
        <v>52931</v>
      </c>
      <c r="M99" s="0" t="n">
        <v>7618</v>
      </c>
    </row>
    <row r="100" customFormat="false" ht="13.5" hidden="false" customHeight="false" outlineLevel="0" collapsed="false">
      <c r="A100" s="0" t="s">
        <v>90</v>
      </c>
      <c r="B100" s="1" t="n">
        <v>43960</v>
      </c>
      <c r="C100" s="0" t="n">
        <v>1872</v>
      </c>
      <c r="D100" s="0" t="n">
        <v>43</v>
      </c>
      <c r="E100" s="0" t="n">
        <v>86</v>
      </c>
      <c r="F100" s="0" t="n">
        <v>2</v>
      </c>
      <c r="G100" s="0" t="n">
        <v>401</v>
      </c>
      <c r="H100" s="0" t="n">
        <v>1385</v>
      </c>
      <c r="I100" s="0" t="n">
        <v>49</v>
      </c>
      <c r="J100" s="0" t="n">
        <v>269</v>
      </c>
      <c r="K100" s="0" t="n">
        <v>12</v>
      </c>
      <c r="L100" s="0" t="n">
        <v>54328</v>
      </c>
      <c r="M100" s="0" t="n">
        <v>7819</v>
      </c>
    </row>
    <row r="101" customFormat="false" ht="13.5" hidden="false" customHeight="false" outlineLevel="0" collapsed="false">
      <c r="A101" s="0" t="s">
        <v>90</v>
      </c>
      <c r="B101" s="1" t="n">
        <v>43961</v>
      </c>
      <c r="C101" s="0" t="n">
        <v>1921</v>
      </c>
      <c r="D101" s="0" t="n">
        <v>49</v>
      </c>
      <c r="E101" s="0" t="n">
        <v>90</v>
      </c>
      <c r="F101" s="0" t="n">
        <v>4</v>
      </c>
      <c r="G101" s="0" t="n">
        <v>422</v>
      </c>
      <c r="H101" s="0" t="n">
        <v>1409</v>
      </c>
      <c r="I101" s="0" t="n">
        <v>56</v>
      </c>
      <c r="J101" s="0" t="n">
        <v>276</v>
      </c>
      <c r="K101" s="0" t="n">
        <v>13</v>
      </c>
      <c r="L101" s="0" t="n">
        <v>56105</v>
      </c>
      <c r="M101" s="0" t="n">
        <v>8074</v>
      </c>
    </row>
    <row r="102" customFormat="false" ht="13.5" hidden="false" customHeight="false" outlineLevel="0" collapsed="false">
      <c r="A102" s="0" t="s">
        <v>90</v>
      </c>
      <c r="B102" s="1" t="n">
        <v>43962</v>
      </c>
      <c r="C102" s="0" t="n">
        <v>1965</v>
      </c>
      <c r="D102" s="0" t="n">
        <v>44</v>
      </c>
      <c r="E102" s="0" t="n">
        <v>91</v>
      </c>
      <c r="F102" s="0" t="n">
        <v>1</v>
      </c>
      <c r="G102" s="0" t="n">
        <v>444</v>
      </c>
      <c r="H102" s="0" t="n">
        <v>1430</v>
      </c>
      <c r="I102" s="0" t="n">
        <v>58</v>
      </c>
      <c r="J102" s="0" t="n">
        <v>283</v>
      </c>
      <c r="K102" s="0" t="n">
        <v>13</v>
      </c>
      <c r="L102" s="0" t="n">
        <v>57231</v>
      </c>
      <c r="M102" s="0" t="n">
        <v>8237</v>
      </c>
    </row>
    <row r="103" customFormat="false" ht="13.5" hidden="false" customHeight="false" outlineLevel="0" collapsed="false">
      <c r="A103" s="0" t="s">
        <v>90</v>
      </c>
      <c r="B103" s="1" t="n">
        <v>43963</v>
      </c>
      <c r="C103" s="0" t="n">
        <v>1990</v>
      </c>
      <c r="D103" s="0" t="n">
        <v>25</v>
      </c>
      <c r="E103" s="0" t="n">
        <v>93</v>
      </c>
      <c r="F103" s="0" t="n">
        <v>2</v>
      </c>
      <c r="G103" s="0" t="n">
        <v>461</v>
      </c>
      <c r="H103" s="0" t="n">
        <v>1436</v>
      </c>
      <c r="I103" s="0" t="n">
        <v>50</v>
      </c>
      <c r="J103" s="0" t="n">
        <v>286</v>
      </c>
      <c r="K103" s="0" t="n">
        <v>13</v>
      </c>
      <c r="L103" s="0" t="n">
        <v>57634</v>
      </c>
      <c r="M103" s="0" t="n">
        <v>8295</v>
      </c>
    </row>
    <row r="104" customFormat="false" ht="13.5" hidden="false" customHeight="false" outlineLevel="0" collapsed="false">
      <c r="A104" s="0" t="s">
        <v>90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90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90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90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90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90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90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90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90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90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90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90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90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90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90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90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90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90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90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90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90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90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90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90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90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90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90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90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90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90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90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90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90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90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90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90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90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90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90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90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90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90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90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90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90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90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90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90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90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90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90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90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90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90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90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90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90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90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90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90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90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90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90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90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90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90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90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90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90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90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90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90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90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90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90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90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90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90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90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90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90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90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90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90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91</v>
      </c>
      <c r="B2" s="1" t="n">
        <v>43862</v>
      </c>
    </row>
    <row r="3" customFormat="false" ht="13.5" hidden="false" customHeight="false" outlineLevel="0" collapsed="false">
      <c r="A3" s="0" t="s">
        <v>91</v>
      </c>
      <c r="B3" s="1" t="n">
        <v>43863</v>
      </c>
    </row>
    <row r="4" customFormat="false" ht="13.5" hidden="false" customHeight="false" outlineLevel="0" collapsed="false">
      <c r="A4" s="0" t="s">
        <v>91</v>
      </c>
      <c r="B4" s="1" t="n">
        <v>43864</v>
      </c>
    </row>
    <row r="5" customFormat="false" ht="13.5" hidden="false" customHeight="false" outlineLevel="0" collapsed="false">
      <c r="A5" s="0" t="s">
        <v>91</v>
      </c>
      <c r="B5" s="1" t="n">
        <v>43865</v>
      </c>
    </row>
    <row r="6" customFormat="false" ht="13.5" hidden="false" customHeight="false" outlineLevel="0" collapsed="false">
      <c r="A6" s="0" t="s">
        <v>91</v>
      </c>
      <c r="B6" s="1" t="n">
        <v>43866</v>
      </c>
    </row>
    <row r="7" customFormat="false" ht="13.5" hidden="false" customHeight="false" outlineLevel="0" collapsed="false">
      <c r="A7" s="0" t="s">
        <v>91</v>
      </c>
      <c r="B7" s="1" t="n">
        <v>43867</v>
      </c>
    </row>
    <row r="8" customFormat="false" ht="13.5" hidden="false" customHeight="false" outlineLevel="0" collapsed="false">
      <c r="A8" s="0" t="s">
        <v>91</v>
      </c>
      <c r="B8" s="1" t="n">
        <v>43868</v>
      </c>
    </row>
    <row r="9" customFormat="false" ht="13.5" hidden="false" customHeight="false" outlineLevel="0" collapsed="false">
      <c r="A9" s="0" t="s">
        <v>91</v>
      </c>
      <c r="B9" s="1" t="n">
        <v>43869</v>
      </c>
    </row>
    <row r="10" customFormat="false" ht="13.5" hidden="false" customHeight="false" outlineLevel="0" collapsed="false">
      <c r="A10" s="0" t="s">
        <v>91</v>
      </c>
      <c r="B10" s="1" t="n">
        <v>43870</v>
      </c>
    </row>
    <row r="11" customFormat="false" ht="13.5" hidden="false" customHeight="false" outlineLevel="0" collapsed="false">
      <c r="A11" s="0" t="s">
        <v>91</v>
      </c>
      <c r="B11" s="1" t="n">
        <v>43871</v>
      </c>
    </row>
    <row r="12" customFormat="false" ht="13.5" hidden="false" customHeight="false" outlineLevel="0" collapsed="false">
      <c r="A12" s="0" t="s">
        <v>91</v>
      </c>
      <c r="B12" s="1" t="n">
        <v>43872</v>
      </c>
    </row>
    <row r="13" customFormat="false" ht="13.5" hidden="false" customHeight="false" outlineLevel="0" collapsed="false">
      <c r="A13" s="0" t="s">
        <v>91</v>
      </c>
      <c r="B13" s="1" t="n">
        <v>43873</v>
      </c>
    </row>
    <row r="14" customFormat="false" ht="13.5" hidden="false" customHeight="false" outlineLevel="0" collapsed="false">
      <c r="A14" s="0" t="s">
        <v>91</v>
      </c>
      <c r="B14" s="1" t="n">
        <v>43874</v>
      </c>
    </row>
    <row r="15" customFormat="false" ht="13.5" hidden="false" customHeight="false" outlineLevel="0" collapsed="false">
      <c r="A15" s="0" t="s">
        <v>91</v>
      </c>
      <c r="B15" s="1" t="n">
        <v>43875</v>
      </c>
    </row>
    <row r="16" customFormat="false" ht="13.5" hidden="false" customHeight="false" outlineLevel="0" collapsed="false">
      <c r="A16" s="0" t="s">
        <v>91</v>
      </c>
      <c r="B16" s="1" t="n">
        <v>43876</v>
      </c>
    </row>
    <row r="17" customFormat="false" ht="13.5" hidden="false" customHeight="false" outlineLevel="0" collapsed="false">
      <c r="A17" s="0" t="s">
        <v>91</v>
      </c>
      <c r="B17" s="1" t="n">
        <v>43877</v>
      </c>
    </row>
    <row r="18" customFormat="false" ht="13.5" hidden="false" customHeight="false" outlineLevel="0" collapsed="false">
      <c r="A18" s="0" t="s">
        <v>91</v>
      </c>
      <c r="B18" s="1" t="n">
        <v>43878</v>
      </c>
    </row>
    <row r="19" customFormat="false" ht="13.5" hidden="false" customHeight="false" outlineLevel="0" collapsed="false">
      <c r="A19" s="0" t="s">
        <v>91</v>
      </c>
      <c r="B19" s="1" t="n">
        <v>43879</v>
      </c>
    </row>
    <row r="20" customFormat="false" ht="13.5" hidden="false" customHeight="false" outlineLevel="0" collapsed="false">
      <c r="A20" s="0" t="s">
        <v>91</v>
      </c>
      <c r="B20" s="1" t="n">
        <v>43880</v>
      </c>
    </row>
    <row r="21" customFormat="false" ht="13.5" hidden="false" customHeight="false" outlineLevel="0" collapsed="false">
      <c r="A21" s="0" t="s">
        <v>91</v>
      </c>
      <c r="B21" s="1" t="n">
        <v>43881</v>
      </c>
    </row>
    <row r="22" customFormat="false" ht="13.5" hidden="false" customHeight="false" outlineLevel="0" collapsed="false">
      <c r="A22" s="0" t="s">
        <v>91</v>
      </c>
      <c r="B22" s="1" t="n">
        <v>43882</v>
      </c>
    </row>
    <row r="23" customFormat="false" ht="13.5" hidden="false" customHeight="false" outlineLevel="0" collapsed="false">
      <c r="A23" s="0" t="s">
        <v>91</v>
      </c>
      <c r="B23" s="1" t="n">
        <v>43883</v>
      </c>
    </row>
    <row r="24" customFormat="false" ht="13.5" hidden="false" customHeight="false" outlineLevel="0" collapsed="false">
      <c r="A24" s="0" t="s">
        <v>91</v>
      </c>
      <c r="B24" s="1" t="n">
        <v>43884</v>
      </c>
    </row>
    <row r="25" customFormat="false" ht="13.5" hidden="false" customHeight="false" outlineLevel="0" collapsed="false">
      <c r="A25" s="0" t="s">
        <v>91</v>
      </c>
      <c r="B25" s="1" t="n">
        <v>43885</v>
      </c>
    </row>
    <row r="26" customFormat="false" ht="13.5" hidden="false" customHeight="false" outlineLevel="0" collapsed="false">
      <c r="A26" s="0" t="s">
        <v>91</v>
      </c>
      <c r="B26" s="1" t="n">
        <v>43886</v>
      </c>
    </row>
    <row r="27" customFormat="false" ht="13.5" hidden="false" customHeight="false" outlineLevel="0" collapsed="false">
      <c r="A27" s="0" t="s">
        <v>91</v>
      </c>
      <c r="B27" s="1" t="n">
        <v>43887</v>
      </c>
    </row>
    <row r="28" customFormat="false" ht="13.5" hidden="false" customHeight="false" outlineLevel="0" collapsed="false">
      <c r="A28" s="0" t="s">
        <v>91</v>
      </c>
      <c r="B28" s="1" t="n">
        <v>43888</v>
      </c>
    </row>
    <row r="29" customFormat="false" ht="13.5" hidden="false" customHeight="false" outlineLevel="0" collapsed="false">
      <c r="A29" s="0" t="s">
        <v>91</v>
      </c>
      <c r="B29" s="1" t="n">
        <v>43889</v>
      </c>
    </row>
    <row r="30" customFormat="false" ht="13.5" hidden="false" customHeight="false" outlineLevel="0" collapsed="false">
      <c r="A30" s="0" t="s">
        <v>91</v>
      </c>
      <c r="B30" s="1" t="n">
        <v>43890</v>
      </c>
    </row>
    <row r="31" customFormat="false" ht="13.5" hidden="false" customHeight="false" outlineLevel="0" collapsed="false">
      <c r="A31" s="0" t="s">
        <v>91</v>
      </c>
      <c r="B31" s="1" t="n">
        <v>43891</v>
      </c>
    </row>
    <row r="32" customFormat="false" ht="13.5" hidden="false" customHeight="false" outlineLevel="0" collapsed="false">
      <c r="A32" s="0" t="s">
        <v>91</v>
      </c>
      <c r="B32" s="1" t="n">
        <v>43892</v>
      </c>
    </row>
    <row r="33" customFormat="false" ht="13.5" hidden="false" customHeight="false" outlineLevel="0" collapsed="false">
      <c r="A33" s="0" t="s">
        <v>91</v>
      </c>
      <c r="B33" s="1" t="n">
        <v>43893</v>
      </c>
    </row>
    <row r="34" customFormat="false" ht="13.5" hidden="false" customHeight="false" outlineLevel="0" collapsed="false">
      <c r="A34" s="0" t="s">
        <v>91</v>
      </c>
      <c r="B34" s="1" t="n">
        <v>43894</v>
      </c>
    </row>
    <row r="35" customFormat="false" ht="13.5" hidden="false" customHeight="false" outlineLevel="0" collapsed="false">
      <c r="A35" s="0" t="s">
        <v>91</v>
      </c>
      <c r="B35" s="1" t="n">
        <v>43895</v>
      </c>
    </row>
    <row r="36" customFormat="false" ht="13.5" hidden="false" customHeight="false" outlineLevel="0" collapsed="false">
      <c r="A36" s="0" t="s">
        <v>91</v>
      </c>
      <c r="B36" s="1" t="n">
        <v>43896</v>
      </c>
    </row>
    <row r="37" customFormat="false" ht="13.5" hidden="false" customHeight="false" outlineLevel="0" collapsed="false">
      <c r="A37" s="0" t="s">
        <v>91</v>
      </c>
      <c r="B37" s="1" t="n">
        <v>43897</v>
      </c>
    </row>
    <row r="38" customFormat="false" ht="13.5" hidden="false" customHeight="false" outlineLevel="0" collapsed="false">
      <c r="A38" s="0" t="s">
        <v>91</v>
      </c>
      <c r="B38" s="1" t="n">
        <v>43898</v>
      </c>
    </row>
    <row r="39" customFormat="false" ht="13.5" hidden="false" customHeight="false" outlineLevel="0" collapsed="false">
      <c r="A39" s="0" t="s">
        <v>91</v>
      </c>
      <c r="B39" s="1" t="n">
        <v>43899</v>
      </c>
    </row>
    <row r="40" customFormat="false" ht="13.5" hidden="false" customHeight="false" outlineLevel="0" collapsed="false">
      <c r="A40" s="0" t="s">
        <v>91</v>
      </c>
      <c r="B40" s="1" t="n">
        <v>43900</v>
      </c>
    </row>
    <row r="41" customFormat="false" ht="13.5" hidden="false" customHeight="false" outlineLevel="0" collapsed="false">
      <c r="A41" s="0" t="s">
        <v>91</v>
      </c>
      <c r="B41" s="1" t="n">
        <v>43901</v>
      </c>
    </row>
    <row r="42" customFormat="false" ht="13.5" hidden="false" customHeight="false" outlineLevel="0" collapsed="false">
      <c r="A42" s="0" t="s">
        <v>91</v>
      </c>
      <c r="B42" s="1" t="n">
        <v>43902</v>
      </c>
      <c r="C42" s="0" t="n">
        <v>2</v>
      </c>
      <c r="D42" s="0" t="n">
        <v>2</v>
      </c>
      <c r="H42" s="0" t="n">
        <v>2</v>
      </c>
      <c r="J42" s="0" t="n">
        <v>0.2</v>
      </c>
    </row>
    <row r="43" customFormat="false" ht="13.5" hidden="false" customHeight="false" outlineLevel="0" collapsed="false">
      <c r="A43" s="0" t="s">
        <v>91</v>
      </c>
      <c r="B43" s="1" t="n">
        <v>43903</v>
      </c>
      <c r="C43" s="0" t="n">
        <v>2</v>
      </c>
      <c r="D43" s="0" t="n">
        <v>0</v>
      </c>
      <c r="H43" s="0" t="n">
        <v>2</v>
      </c>
      <c r="J43" s="0" t="n">
        <v>0.2</v>
      </c>
    </row>
    <row r="44" customFormat="false" ht="13.5" hidden="false" customHeight="false" outlineLevel="0" collapsed="false">
      <c r="A44" s="0" t="s">
        <v>91</v>
      </c>
      <c r="B44" s="1" t="n">
        <v>43904</v>
      </c>
      <c r="C44" s="0" t="n">
        <v>2</v>
      </c>
      <c r="D44" s="0" t="n">
        <v>0</v>
      </c>
      <c r="H44" s="0" t="n">
        <v>2</v>
      </c>
      <c r="J44" s="0" t="n">
        <v>0.2</v>
      </c>
    </row>
    <row r="45" customFormat="false" ht="13.5" hidden="false" customHeight="false" outlineLevel="0" collapsed="false">
      <c r="A45" s="0" t="s">
        <v>91</v>
      </c>
      <c r="B45" s="1" t="n">
        <v>43905</v>
      </c>
      <c r="C45" s="0" t="n">
        <v>3</v>
      </c>
      <c r="D45" s="0" t="n">
        <v>1</v>
      </c>
      <c r="H45" s="0" t="n">
        <v>3</v>
      </c>
      <c r="J45" s="0" t="n">
        <v>0.3</v>
      </c>
    </row>
    <row r="46" customFormat="false" ht="13.5" hidden="false" customHeight="false" outlineLevel="0" collapsed="false">
      <c r="A46" s="0" t="s">
        <v>91</v>
      </c>
      <c r="B46" s="1" t="n">
        <v>43906</v>
      </c>
      <c r="C46" s="0" t="n">
        <v>3</v>
      </c>
      <c r="D46" s="0" t="n">
        <v>0</v>
      </c>
      <c r="H46" s="0" t="n">
        <v>3</v>
      </c>
      <c r="J46" s="0" t="n">
        <v>0.3</v>
      </c>
    </row>
    <row r="47" customFormat="false" ht="13.5" hidden="false" customHeight="false" outlineLevel="0" collapsed="false">
      <c r="A47" s="0" t="s">
        <v>91</v>
      </c>
      <c r="B47" s="1" t="n">
        <v>43907</v>
      </c>
      <c r="C47" s="0" t="n">
        <v>6</v>
      </c>
      <c r="D47" s="0" t="n">
        <v>3</v>
      </c>
      <c r="H47" s="0" t="n">
        <v>6</v>
      </c>
      <c r="J47" s="0" t="n">
        <v>0.6</v>
      </c>
    </row>
    <row r="48" customFormat="false" ht="13.5" hidden="false" customHeight="false" outlineLevel="0" collapsed="false">
      <c r="A48" s="0" t="s">
        <v>91</v>
      </c>
      <c r="B48" s="1" t="n">
        <v>43908</v>
      </c>
      <c r="C48" s="0" t="n">
        <v>8</v>
      </c>
      <c r="D48" s="0" t="n">
        <v>2</v>
      </c>
      <c r="H48" s="0" t="n">
        <v>8</v>
      </c>
      <c r="J48" s="0" t="n">
        <v>0.8</v>
      </c>
    </row>
    <row r="49" customFormat="false" ht="13.5" hidden="false" customHeight="false" outlineLevel="0" collapsed="false">
      <c r="A49" s="0" t="s">
        <v>91</v>
      </c>
      <c r="B49" s="1" t="n">
        <v>43909</v>
      </c>
      <c r="C49" s="0" t="n">
        <v>9</v>
      </c>
      <c r="D49" s="0" t="n">
        <v>1</v>
      </c>
      <c r="H49" s="0" t="n">
        <v>9</v>
      </c>
      <c r="J49" s="0" t="n">
        <v>0.9</v>
      </c>
    </row>
    <row r="50" customFormat="false" ht="13.5" hidden="false" customHeight="false" outlineLevel="0" collapsed="false">
      <c r="A50" s="0" t="s">
        <v>91</v>
      </c>
      <c r="B50" s="1" t="n">
        <v>43910</v>
      </c>
      <c r="C50" s="0" t="n">
        <v>12</v>
      </c>
      <c r="D50" s="0" t="n">
        <v>3</v>
      </c>
      <c r="H50" s="0" t="n">
        <v>12</v>
      </c>
      <c r="J50" s="0" t="n">
        <v>1</v>
      </c>
    </row>
    <row r="51" customFormat="false" ht="13.5" hidden="false" customHeight="false" outlineLevel="0" collapsed="false">
      <c r="A51" s="0" t="s">
        <v>91</v>
      </c>
      <c r="B51" s="1" t="n">
        <v>43911</v>
      </c>
      <c r="C51" s="0" t="n">
        <v>24</v>
      </c>
      <c r="D51" s="0" t="n">
        <v>12</v>
      </c>
      <c r="H51" s="0" t="n">
        <v>24</v>
      </c>
      <c r="J51" s="0" t="n">
        <v>2</v>
      </c>
    </row>
    <row r="52" customFormat="false" ht="13.5" hidden="false" customHeight="false" outlineLevel="0" collapsed="false">
      <c r="A52" s="0" t="s">
        <v>91</v>
      </c>
      <c r="B52" s="1" t="n">
        <v>43912</v>
      </c>
      <c r="C52" s="0" t="n">
        <v>24</v>
      </c>
      <c r="D52" s="0" t="n">
        <v>0</v>
      </c>
      <c r="H52" s="0" t="n">
        <v>24</v>
      </c>
      <c r="J52" s="0" t="n">
        <v>2</v>
      </c>
    </row>
    <row r="53" customFormat="false" ht="13.5" hidden="false" customHeight="false" outlineLevel="0" collapsed="false">
      <c r="A53" s="0" t="s">
        <v>91</v>
      </c>
      <c r="B53" s="1" t="n">
        <v>43913</v>
      </c>
      <c r="C53" s="0" t="n">
        <v>26</v>
      </c>
      <c r="D53" s="0" t="n">
        <v>2</v>
      </c>
      <c r="H53" s="0" t="n">
        <v>26</v>
      </c>
      <c r="J53" s="0" t="n">
        <v>3</v>
      </c>
    </row>
    <row r="54" customFormat="false" ht="13.5" hidden="false" customHeight="false" outlineLevel="0" collapsed="false">
      <c r="A54" s="0" t="s">
        <v>91</v>
      </c>
      <c r="B54" s="1" t="n">
        <v>43914</v>
      </c>
      <c r="C54" s="0" t="n">
        <v>27</v>
      </c>
      <c r="D54" s="0" t="n">
        <v>1</v>
      </c>
      <c r="H54" s="0" t="n">
        <v>27</v>
      </c>
      <c r="J54" s="0" t="n">
        <v>3</v>
      </c>
    </row>
    <row r="55" customFormat="false" ht="13.5" hidden="false" customHeight="false" outlineLevel="0" collapsed="false">
      <c r="A55" s="0" t="s">
        <v>91</v>
      </c>
      <c r="B55" s="1" t="n">
        <v>43915</v>
      </c>
      <c r="C55" s="0" t="n">
        <v>30</v>
      </c>
      <c r="D55" s="0" t="n">
        <v>3</v>
      </c>
      <c r="H55" s="0" t="n">
        <v>30</v>
      </c>
      <c r="J55" s="0" t="n">
        <v>3</v>
      </c>
    </row>
    <row r="56" customFormat="false" ht="13.5" hidden="false" customHeight="false" outlineLevel="0" collapsed="false">
      <c r="A56" s="0" t="s">
        <v>91</v>
      </c>
      <c r="B56" s="1" t="n">
        <v>43916</v>
      </c>
      <c r="C56" s="0" t="n">
        <v>36</v>
      </c>
      <c r="D56" s="0" t="n">
        <v>6</v>
      </c>
      <c r="H56" s="0" t="n">
        <v>36</v>
      </c>
      <c r="J56" s="0" t="n">
        <v>4</v>
      </c>
    </row>
    <row r="57" customFormat="false" ht="13.5" hidden="false" customHeight="false" outlineLevel="0" collapsed="false">
      <c r="A57" s="0" t="s">
        <v>91</v>
      </c>
      <c r="B57" s="1" t="n">
        <v>43917</v>
      </c>
      <c r="C57" s="0" t="n">
        <v>52</v>
      </c>
      <c r="D57" s="0" t="n">
        <v>16</v>
      </c>
      <c r="E57" s="0" t="n">
        <v>1</v>
      </c>
      <c r="F57" s="0" t="n">
        <v>1</v>
      </c>
      <c r="H57" s="0" t="n">
        <v>51</v>
      </c>
      <c r="J57" s="0" t="n">
        <v>5</v>
      </c>
      <c r="K57" s="0" t="n">
        <v>0.1</v>
      </c>
    </row>
    <row r="58" customFormat="false" ht="13.5" hidden="false" customHeight="false" outlineLevel="0" collapsed="false">
      <c r="A58" s="0" t="s">
        <v>91</v>
      </c>
      <c r="B58" s="1" t="n">
        <v>43918</v>
      </c>
      <c r="C58" s="0" t="n">
        <v>68</v>
      </c>
      <c r="D58" s="0" t="n">
        <v>16</v>
      </c>
      <c r="E58" s="0" t="n">
        <v>1</v>
      </c>
      <c r="F58" s="0" t="n">
        <v>0</v>
      </c>
      <c r="H58" s="0" t="n">
        <v>67</v>
      </c>
      <c r="J58" s="0" t="n">
        <v>7</v>
      </c>
      <c r="K58" s="0" t="n">
        <v>0.1</v>
      </c>
    </row>
    <row r="59" customFormat="false" ht="13.5" hidden="false" customHeight="false" outlineLevel="0" collapsed="false">
      <c r="A59" s="0" t="s">
        <v>91</v>
      </c>
      <c r="B59" s="1" t="n">
        <v>43919</v>
      </c>
      <c r="C59" s="0" t="n">
        <v>95</v>
      </c>
      <c r="D59" s="0" t="n">
        <v>27</v>
      </c>
      <c r="E59" s="0" t="n">
        <v>1</v>
      </c>
      <c r="F59" s="0" t="n">
        <v>0</v>
      </c>
      <c r="G59" s="0" t="n">
        <v>3</v>
      </c>
      <c r="H59" s="0" t="n">
        <v>91</v>
      </c>
      <c r="I59" s="0" t="n">
        <v>4</v>
      </c>
      <c r="J59" s="0" t="n">
        <v>10</v>
      </c>
      <c r="K59" s="0" t="n">
        <v>0.1</v>
      </c>
    </row>
    <row r="60" customFormat="false" ht="13.5" hidden="false" customHeight="false" outlineLevel="0" collapsed="false">
      <c r="A60" s="0" t="s">
        <v>91</v>
      </c>
      <c r="B60" s="1" t="n">
        <v>43920</v>
      </c>
      <c r="C60" s="0" t="n">
        <v>110</v>
      </c>
      <c r="D60" s="0" t="n">
        <v>15</v>
      </c>
      <c r="E60" s="0" t="n">
        <v>2</v>
      </c>
      <c r="F60" s="0" t="n">
        <v>1</v>
      </c>
      <c r="G60" s="0" t="n">
        <v>3</v>
      </c>
      <c r="H60" s="0" t="n">
        <v>105</v>
      </c>
      <c r="I60" s="0" t="n">
        <v>4</v>
      </c>
      <c r="J60" s="0" t="n">
        <v>11</v>
      </c>
      <c r="K60" s="0" t="n">
        <v>0.2</v>
      </c>
    </row>
    <row r="61" customFormat="false" ht="13.5" hidden="false" customHeight="false" outlineLevel="0" collapsed="false">
      <c r="A61" s="0" t="s">
        <v>91</v>
      </c>
      <c r="B61" s="1" t="n">
        <v>43921</v>
      </c>
      <c r="C61" s="0" t="n">
        <v>139</v>
      </c>
      <c r="D61" s="0" t="n">
        <v>29</v>
      </c>
      <c r="E61" s="0" t="n">
        <v>7</v>
      </c>
      <c r="F61" s="0" t="n">
        <v>5</v>
      </c>
      <c r="G61" s="0" t="n">
        <v>3</v>
      </c>
      <c r="H61" s="0" t="n">
        <v>129</v>
      </c>
      <c r="I61" s="0" t="n">
        <v>4</v>
      </c>
      <c r="J61" s="0" t="n">
        <v>14</v>
      </c>
      <c r="K61" s="0" t="n">
        <v>0.7</v>
      </c>
    </row>
    <row r="62" customFormat="false" ht="13.5" hidden="false" customHeight="false" outlineLevel="0" collapsed="false">
      <c r="A62" s="0" t="s">
        <v>91</v>
      </c>
      <c r="B62" s="1" t="n">
        <v>43922</v>
      </c>
      <c r="C62" s="0" t="n">
        <v>141</v>
      </c>
      <c r="D62" s="0" t="n">
        <v>2</v>
      </c>
      <c r="E62" s="0" t="n">
        <v>7</v>
      </c>
      <c r="F62" s="0" t="n">
        <v>0</v>
      </c>
      <c r="G62" s="0" t="n">
        <v>3</v>
      </c>
      <c r="H62" s="0" t="n">
        <v>131</v>
      </c>
      <c r="I62" s="0" t="n">
        <v>4</v>
      </c>
      <c r="J62" s="0" t="n">
        <v>14</v>
      </c>
      <c r="K62" s="0" t="n">
        <v>0.7</v>
      </c>
    </row>
    <row r="63" customFormat="false" ht="13.5" hidden="false" customHeight="false" outlineLevel="0" collapsed="false">
      <c r="A63" s="0" t="s">
        <v>91</v>
      </c>
      <c r="B63" s="1" t="n">
        <v>43923</v>
      </c>
      <c r="C63" s="0" t="n">
        <v>172</v>
      </c>
      <c r="D63" s="0" t="n">
        <v>31</v>
      </c>
      <c r="E63" s="0" t="n">
        <v>10</v>
      </c>
      <c r="F63" s="0" t="n">
        <v>3</v>
      </c>
      <c r="G63" s="0" t="n">
        <v>3</v>
      </c>
      <c r="H63" s="0" t="n">
        <v>159</v>
      </c>
      <c r="I63" s="0" t="n">
        <v>4</v>
      </c>
      <c r="J63" s="0" t="n">
        <v>17</v>
      </c>
      <c r="K63" s="0" t="n">
        <v>1</v>
      </c>
    </row>
    <row r="64" customFormat="false" ht="13.5" hidden="false" customHeight="false" outlineLevel="0" collapsed="false">
      <c r="A64" s="0" t="s">
        <v>91</v>
      </c>
      <c r="B64" s="1" t="n">
        <v>43924</v>
      </c>
      <c r="C64" s="0" t="n">
        <v>219</v>
      </c>
      <c r="D64" s="0" t="n">
        <v>47</v>
      </c>
      <c r="E64" s="0" t="n">
        <v>14</v>
      </c>
      <c r="F64" s="0" t="n">
        <v>4</v>
      </c>
      <c r="G64" s="0" t="n">
        <v>3</v>
      </c>
      <c r="H64" s="0" t="n">
        <v>202</v>
      </c>
      <c r="I64" s="0" t="n">
        <v>4</v>
      </c>
      <c r="J64" s="0" t="n">
        <v>22</v>
      </c>
      <c r="K64" s="0" t="n">
        <v>1</v>
      </c>
    </row>
    <row r="65" customFormat="false" ht="13.5" hidden="false" customHeight="false" outlineLevel="0" collapsed="false">
      <c r="A65" s="0" t="s">
        <v>91</v>
      </c>
      <c r="B65" s="1" t="n">
        <v>43925</v>
      </c>
      <c r="C65" s="0" t="n">
        <v>222</v>
      </c>
      <c r="D65" s="0" t="n">
        <v>3</v>
      </c>
      <c r="E65" s="0" t="n">
        <v>15</v>
      </c>
      <c r="F65" s="0" t="n">
        <v>1</v>
      </c>
      <c r="G65" s="0" t="n">
        <v>3</v>
      </c>
      <c r="H65" s="0" t="n">
        <v>204</v>
      </c>
      <c r="I65" s="0" t="n">
        <v>10</v>
      </c>
      <c r="J65" s="0" t="n">
        <v>22</v>
      </c>
      <c r="K65" s="0" t="n">
        <v>2</v>
      </c>
    </row>
    <row r="66" customFormat="false" ht="13.5" hidden="false" customHeight="false" outlineLevel="0" collapsed="false">
      <c r="A66" s="0" t="s">
        <v>91</v>
      </c>
      <c r="B66" s="1" t="n">
        <v>43926</v>
      </c>
      <c r="C66" s="0" t="n">
        <v>264</v>
      </c>
      <c r="D66" s="0" t="n">
        <v>42</v>
      </c>
      <c r="E66" s="0" t="n">
        <v>15</v>
      </c>
      <c r="F66" s="0" t="n">
        <v>0</v>
      </c>
      <c r="G66" s="0" t="n">
        <v>3</v>
      </c>
      <c r="H66" s="0" t="n">
        <v>246</v>
      </c>
      <c r="I66" s="0" t="n">
        <v>10</v>
      </c>
      <c r="J66" s="0" t="n">
        <v>27</v>
      </c>
      <c r="K66" s="0" t="n">
        <v>2</v>
      </c>
    </row>
    <row r="67" customFormat="false" ht="13.5" hidden="false" customHeight="false" outlineLevel="0" collapsed="false">
      <c r="A67" s="0" t="s">
        <v>91</v>
      </c>
      <c r="B67" s="1" t="n">
        <v>43927</v>
      </c>
      <c r="C67" s="0" t="n">
        <v>268</v>
      </c>
      <c r="D67" s="0" t="n">
        <v>4</v>
      </c>
      <c r="E67" s="0" t="n">
        <v>22</v>
      </c>
      <c r="F67" s="0" t="n">
        <v>7</v>
      </c>
      <c r="G67" s="0" t="n">
        <v>6</v>
      </c>
      <c r="H67" s="0" t="n">
        <v>240</v>
      </c>
      <c r="I67" s="0" t="n">
        <v>10</v>
      </c>
      <c r="J67" s="0" t="n">
        <v>27</v>
      </c>
      <c r="K67" s="0" t="n">
        <v>2</v>
      </c>
    </row>
    <row r="68" customFormat="false" ht="13.5" hidden="false" customHeight="false" outlineLevel="0" collapsed="false">
      <c r="A68" s="0" t="s">
        <v>91</v>
      </c>
      <c r="B68" s="1" t="n">
        <v>43928</v>
      </c>
      <c r="C68" s="0" t="n">
        <v>298</v>
      </c>
      <c r="D68" s="0" t="n">
        <v>30</v>
      </c>
      <c r="E68" s="0" t="n">
        <v>22</v>
      </c>
      <c r="F68" s="0" t="n">
        <v>0</v>
      </c>
      <c r="G68" s="0" t="n">
        <v>6</v>
      </c>
      <c r="H68" s="0" t="n">
        <v>270</v>
      </c>
      <c r="I68" s="0" t="n">
        <v>10</v>
      </c>
      <c r="J68" s="0" t="n">
        <v>30</v>
      </c>
      <c r="K68" s="0" t="n">
        <v>2</v>
      </c>
    </row>
    <row r="69" customFormat="false" ht="13.5" hidden="false" customHeight="false" outlineLevel="0" collapsed="false">
      <c r="A69" s="0" t="s">
        <v>91</v>
      </c>
      <c r="B69" s="1" t="n">
        <v>43929</v>
      </c>
      <c r="C69" s="0" t="n">
        <v>305</v>
      </c>
      <c r="D69" s="0" t="n">
        <v>7</v>
      </c>
      <c r="E69" s="0" t="n">
        <v>22</v>
      </c>
      <c r="F69" s="0" t="n">
        <v>0</v>
      </c>
      <c r="G69" s="0" t="n">
        <v>6</v>
      </c>
      <c r="H69" s="0" t="n">
        <v>277</v>
      </c>
      <c r="I69" s="0" t="n">
        <v>10</v>
      </c>
      <c r="J69" s="0" t="n">
        <v>31</v>
      </c>
      <c r="K69" s="0" t="n">
        <v>2</v>
      </c>
    </row>
    <row r="70" customFormat="false" ht="13.5" hidden="false" customHeight="false" outlineLevel="0" collapsed="false">
      <c r="A70" s="0" t="s">
        <v>91</v>
      </c>
      <c r="B70" s="1" t="n">
        <v>43930</v>
      </c>
      <c r="C70" s="0" t="n">
        <v>312</v>
      </c>
      <c r="D70" s="0" t="n">
        <v>7</v>
      </c>
      <c r="E70" s="0" t="n">
        <v>22</v>
      </c>
      <c r="F70" s="0" t="n">
        <v>0</v>
      </c>
      <c r="G70" s="0" t="n">
        <v>6</v>
      </c>
      <c r="H70" s="0" t="n">
        <v>284</v>
      </c>
      <c r="I70" s="0" t="n">
        <v>10</v>
      </c>
      <c r="J70" s="0" t="n">
        <v>32</v>
      </c>
      <c r="K70" s="0" t="n">
        <v>2</v>
      </c>
    </row>
    <row r="71" customFormat="false" ht="13.5" hidden="false" customHeight="false" outlineLevel="0" collapsed="false">
      <c r="A71" s="0" t="s">
        <v>91</v>
      </c>
      <c r="B71" s="1" t="n">
        <v>43931</v>
      </c>
      <c r="C71" s="0" t="n">
        <v>343</v>
      </c>
      <c r="D71" s="0" t="n">
        <v>31</v>
      </c>
      <c r="E71" s="0" t="n">
        <v>23</v>
      </c>
      <c r="F71" s="0" t="n">
        <v>1</v>
      </c>
      <c r="G71" s="0" t="n">
        <v>6</v>
      </c>
      <c r="H71" s="0" t="n">
        <v>314</v>
      </c>
      <c r="I71" s="0" t="n">
        <v>10</v>
      </c>
      <c r="J71" s="0" t="n">
        <v>35</v>
      </c>
      <c r="K71" s="0" t="n">
        <v>2</v>
      </c>
    </row>
    <row r="72" customFormat="false" ht="13.5" hidden="false" customHeight="false" outlineLevel="0" collapsed="false">
      <c r="A72" s="0" t="s">
        <v>91</v>
      </c>
      <c r="B72" s="1" t="n">
        <v>43932</v>
      </c>
      <c r="C72" s="0" t="n">
        <v>382</v>
      </c>
      <c r="D72" s="0" t="n">
        <v>39</v>
      </c>
      <c r="E72" s="0" t="n">
        <v>23</v>
      </c>
      <c r="F72" s="0" t="n">
        <v>0</v>
      </c>
      <c r="G72" s="0" t="n">
        <v>7</v>
      </c>
      <c r="H72" s="0" t="n">
        <v>352</v>
      </c>
      <c r="I72" s="0" t="n">
        <v>10</v>
      </c>
      <c r="J72" s="0" t="n">
        <v>39</v>
      </c>
      <c r="K72" s="0" t="n">
        <v>2</v>
      </c>
      <c r="L72" s="0" t="n">
        <v>1600</v>
      </c>
      <c r="M72" s="0" t="n">
        <v>162</v>
      </c>
    </row>
    <row r="73" customFormat="false" ht="13.5" hidden="false" customHeight="false" outlineLevel="0" collapsed="false">
      <c r="A73" s="0" t="s">
        <v>91</v>
      </c>
      <c r="B73" s="1" t="n">
        <v>43933</v>
      </c>
      <c r="C73" s="0" t="n">
        <v>392</v>
      </c>
      <c r="D73" s="0" t="n">
        <v>10</v>
      </c>
      <c r="E73" s="0" t="n">
        <v>24</v>
      </c>
      <c r="F73" s="0" t="n">
        <v>1</v>
      </c>
      <c r="G73" s="0" t="n">
        <v>7</v>
      </c>
      <c r="H73" s="0" t="n">
        <v>361</v>
      </c>
      <c r="I73" s="0" t="n">
        <v>10</v>
      </c>
      <c r="J73" s="0" t="n">
        <v>40</v>
      </c>
      <c r="K73" s="0" t="n">
        <v>2</v>
      </c>
      <c r="L73" s="0" t="n">
        <v>1600</v>
      </c>
      <c r="M73" s="0" t="n">
        <v>162</v>
      </c>
    </row>
    <row r="74" customFormat="false" ht="13.5" hidden="false" customHeight="false" outlineLevel="0" collapsed="false">
      <c r="A74" s="0" t="s">
        <v>91</v>
      </c>
      <c r="B74" s="1" t="n">
        <v>43934</v>
      </c>
      <c r="C74" s="0" t="n">
        <v>393</v>
      </c>
      <c r="D74" s="0" t="n">
        <v>1</v>
      </c>
      <c r="E74" s="0" t="n">
        <v>25</v>
      </c>
      <c r="F74" s="0" t="n">
        <v>1</v>
      </c>
      <c r="G74" s="0" t="n">
        <v>7</v>
      </c>
      <c r="H74" s="0" t="n">
        <v>361</v>
      </c>
      <c r="I74" s="0" t="n">
        <v>10</v>
      </c>
      <c r="J74" s="0" t="n">
        <v>40</v>
      </c>
      <c r="K74" s="0" t="n">
        <v>3</v>
      </c>
      <c r="L74" s="0" t="n">
        <v>1600</v>
      </c>
      <c r="M74" s="0" t="n">
        <v>162</v>
      </c>
    </row>
    <row r="75" customFormat="false" ht="13.5" hidden="false" customHeight="false" outlineLevel="0" collapsed="false">
      <c r="A75" s="0" t="s">
        <v>91</v>
      </c>
      <c r="B75" s="1" t="n">
        <v>43935</v>
      </c>
      <c r="C75" s="0" t="n">
        <v>397</v>
      </c>
      <c r="D75" s="0" t="n">
        <v>4</v>
      </c>
      <c r="E75" s="0" t="n">
        <v>25</v>
      </c>
      <c r="F75" s="0" t="n">
        <v>0</v>
      </c>
      <c r="G75" s="0" t="n">
        <v>7</v>
      </c>
      <c r="H75" s="0" t="n">
        <v>365</v>
      </c>
      <c r="I75" s="0" t="n">
        <v>10</v>
      </c>
      <c r="J75" s="0" t="n">
        <v>40</v>
      </c>
      <c r="K75" s="0" t="n">
        <v>3</v>
      </c>
      <c r="L75" s="0" t="n">
        <v>1600</v>
      </c>
      <c r="M75" s="0" t="n">
        <v>162</v>
      </c>
    </row>
    <row r="76" customFormat="false" ht="13.5" hidden="false" customHeight="false" outlineLevel="0" collapsed="false">
      <c r="A76" s="0" t="s">
        <v>91</v>
      </c>
      <c r="B76" s="1" t="n">
        <v>43936</v>
      </c>
      <c r="C76" s="0" t="n">
        <v>407</v>
      </c>
      <c r="D76" s="0" t="n">
        <v>10</v>
      </c>
      <c r="E76" s="0" t="n">
        <v>26</v>
      </c>
      <c r="F76" s="0" t="n">
        <v>1</v>
      </c>
      <c r="G76" s="0" t="n">
        <v>7</v>
      </c>
      <c r="H76" s="0" t="n">
        <v>374</v>
      </c>
      <c r="I76" s="0" t="n">
        <v>10</v>
      </c>
      <c r="J76" s="0" t="n">
        <v>41</v>
      </c>
      <c r="K76" s="0" t="n">
        <v>3</v>
      </c>
      <c r="L76" s="0" t="n">
        <v>1600</v>
      </c>
      <c r="M76" s="0" t="n">
        <v>162</v>
      </c>
    </row>
    <row r="77" customFormat="false" ht="13.5" hidden="false" customHeight="false" outlineLevel="0" collapsed="false">
      <c r="A77" s="0" t="s">
        <v>91</v>
      </c>
      <c r="B77" s="1" t="n">
        <v>43937</v>
      </c>
      <c r="C77" s="0" t="n">
        <v>419</v>
      </c>
      <c r="D77" s="0" t="n">
        <v>12</v>
      </c>
      <c r="E77" s="0" t="n">
        <v>31</v>
      </c>
      <c r="F77" s="0" t="n">
        <v>5</v>
      </c>
      <c r="G77" s="0" t="n">
        <v>9</v>
      </c>
      <c r="H77" s="0" t="n">
        <v>379</v>
      </c>
      <c r="I77" s="0" t="n">
        <v>10</v>
      </c>
      <c r="J77" s="0" t="n">
        <v>42</v>
      </c>
      <c r="K77" s="0" t="n">
        <v>3</v>
      </c>
      <c r="L77" s="0" t="n">
        <v>1600</v>
      </c>
      <c r="M77" s="0" t="n">
        <v>162</v>
      </c>
    </row>
    <row r="78" customFormat="false" ht="13.5" hidden="false" customHeight="false" outlineLevel="0" collapsed="false">
      <c r="A78" s="0" t="s">
        <v>91</v>
      </c>
      <c r="B78" s="1" t="n">
        <v>43938</v>
      </c>
      <c r="C78" s="0" t="n">
        <v>426</v>
      </c>
      <c r="D78" s="0" t="n">
        <v>7</v>
      </c>
      <c r="E78" s="0" t="n">
        <v>35</v>
      </c>
      <c r="F78" s="0" t="n">
        <v>4</v>
      </c>
      <c r="G78" s="0" t="n">
        <v>9</v>
      </c>
      <c r="H78" s="0" t="n">
        <v>382</v>
      </c>
      <c r="I78" s="0" t="n">
        <v>10</v>
      </c>
      <c r="J78" s="0" t="n">
        <v>43</v>
      </c>
      <c r="K78" s="0" t="n">
        <v>4</v>
      </c>
      <c r="L78" s="0" t="n">
        <v>2012</v>
      </c>
      <c r="M78" s="0" t="n">
        <v>203</v>
      </c>
    </row>
    <row r="79" customFormat="false" ht="13.5" hidden="false" customHeight="false" outlineLevel="0" collapsed="false">
      <c r="A79" s="0" t="s">
        <v>91</v>
      </c>
      <c r="B79" s="1" t="n">
        <v>43939</v>
      </c>
      <c r="C79" s="0" t="n">
        <v>442</v>
      </c>
      <c r="D79" s="0" t="n">
        <v>16</v>
      </c>
      <c r="E79" s="0" t="n">
        <v>41</v>
      </c>
      <c r="F79" s="0" t="n">
        <v>6</v>
      </c>
      <c r="G79" s="0" t="n">
        <v>10</v>
      </c>
      <c r="H79" s="0" t="n">
        <v>391</v>
      </c>
      <c r="I79" s="0" t="n">
        <v>10</v>
      </c>
      <c r="J79" s="0" t="n">
        <v>45</v>
      </c>
      <c r="K79" s="0" t="n">
        <v>4</v>
      </c>
      <c r="L79" s="0" t="n">
        <v>2012</v>
      </c>
      <c r="M79" s="0" t="n">
        <v>203</v>
      </c>
    </row>
    <row r="80" customFormat="false" ht="13.5" hidden="false" customHeight="false" outlineLevel="0" collapsed="false">
      <c r="A80" s="0" t="s">
        <v>91</v>
      </c>
      <c r="B80" s="1" t="n">
        <v>43940</v>
      </c>
      <c r="C80" s="0" t="n">
        <v>457</v>
      </c>
      <c r="D80" s="0" t="n">
        <v>15</v>
      </c>
      <c r="E80" s="0" t="n">
        <v>46</v>
      </c>
      <c r="F80" s="0" t="n">
        <v>5</v>
      </c>
      <c r="G80" s="0" t="n">
        <v>10</v>
      </c>
      <c r="H80" s="0" t="n">
        <v>401</v>
      </c>
      <c r="I80" s="0" t="n">
        <v>10</v>
      </c>
      <c r="J80" s="0" t="n">
        <v>46</v>
      </c>
      <c r="K80" s="0" t="n">
        <v>5</v>
      </c>
      <c r="L80" s="0" t="n">
        <v>2396</v>
      </c>
      <c r="M80" s="0" t="n">
        <v>242</v>
      </c>
    </row>
    <row r="81" customFormat="false" ht="13.5" hidden="false" customHeight="false" outlineLevel="0" collapsed="false">
      <c r="A81" s="0" t="s">
        <v>91</v>
      </c>
      <c r="B81" s="1" t="n">
        <v>43941</v>
      </c>
      <c r="C81" s="0" t="n">
        <v>472</v>
      </c>
      <c r="D81" s="0" t="n">
        <v>15</v>
      </c>
      <c r="E81" s="0" t="n">
        <v>46</v>
      </c>
      <c r="F81" s="0" t="n">
        <v>0</v>
      </c>
      <c r="G81" s="0" t="n">
        <v>15</v>
      </c>
      <c r="H81" s="0" t="n">
        <v>411</v>
      </c>
      <c r="I81" s="0" t="n">
        <v>10</v>
      </c>
      <c r="J81" s="0" t="n">
        <v>48</v>
      </c>
      <c r="K81" s="0" t="n">
        <v>5</v>
      </c>
      <c r="L81" s="0" t="n">
        <v>2535</v>
      </c>
      <c r="M81" s="0" t="n">
        <v>256</v>
      </c>
    </row>
    <row r="82" customFormat="false" ht="13.5" hidden="false" customHeight="false" outlineLevel="0" collapsed="false">
      <c r="A82" s="0" t="s">
        <v>91</v>
      </c>
      <c r="B82" s="1" t="n">
        <v>43942</v>
      </c>
      <c r="C82" s="0" t="n">
        <v>477</v>
      </c>
      <c r="D82" s="0" t="n">
        <v>5</v>
      </c>
      <c r="E82" s="0" t="n">
        <v>46</v>
      </c>
      <c r="F82" s="0" t="n">
        <v>0</v>
      </c>
      <c r="G82" s="0" t="n">
        <v>25</v>
      </c>
      <c r="H82" s="0" t="n">
        <v>406</v>
      </c>
      <c r="I82" s="0" t="n">
        <v>10</v>
      </c>
      <c r="J82" s="0" t="n">
        <v>48</v>
      </c>
      <c r="K82" s="0" t="n">
        <v>5</v>
      </c>
      <c r="L82" s="0" t="n">
        <v>2535</v>
      </c>
      <c r="M82" s="0" t="n">
        <v>256</v>
      </c>
    </row>
    <row r="83" customFormat="false" ht="13.5" hidden="false" customHeight="false" outlineLevel="0" collapsed="false">
      <c r="A83" s="0" t="s">
        <v>91</v>
      </c>
      <c r="B83" s="1" t="n">
        <v>43943</v>
      </c>
      <c r="C83" s="0" t="n">
        <v>494</v>
      </c>
      <c r="D83" s="0" t="n">
        <v>17</v>
      </c>
      <c r="E83" s="0" t="n">
        <v>46</v>
      </c>
      <c r="F83" s="0" t="n">
        <v>0</v>
      </c>
      <c r="G83" s="0" t="n">
        <v>29</v>
      </c>
      <c r="H83" s="0" t="n">
        <v>419</v>
      </c>
      <c r="I83" s="0" t="n">
        <v>10</v>
      </c>
      <c r="J83" s="0" t="n">
        <v>50</v>
      </c>
      <c r="K83" s="0" t="n">
        <v>5</v>
      </c>
      <c r="L83" s="0" t="n">
        <v>2535</v>
      </c>
      <c r="M83" s="0" t="n">
        <v>256</v>
      </c>
    </row>
    <row r="84" customFormat="false" ht="13.5" hidden="false" customHeight="false" outlineLevel="0" collapsed="false">
      <c r="A84" s="0" t="s">
        <v>91</v>
      </c>
      <c r="B84" s="1" t="n">
        <v>43944</v>
      </c>
      <c r="C84" s="0" t="n">
        <v>510</v>
      </c>
      <c r="D84" s="0" t="n">
        <v>16</v>
      </c>
      <c r="E84" s="0" t="n">
        <v>46</v>
      </c>
      <c r="F84" s="0" t="n">
        <v>0</v>
      </c>
      <c r="G84" s="0" t="n">
        <v>30</v>
      </c>
      <c r="H84" s="0" t="n">
        <v>434</v>
      </c>
      <c r="I84" s="0" t="n">
        <v>10</v>
      </c>
      <c r="J84" s="0" t="n">
        <v>51</v>
      </c>
      <c r="K84" s="0" t="n">
        <v>5</v>
      </c>
      <c r="L84" s="0" t="n">
        <v>2535</v>
      </c>
      <c r="M84" s="0" t="n">
        <v>256</v>
      </c>
    </row>
    <row r="85" customFormat="false" ht="13.5" hidden="false" customHeight="false" outlineLevel="0" collapsed="false">
      <c r="A85" s="0" t="s">
        <v>91</v>
      </c>
      <c r="B85" s="1" t="n">
        <v>43945</v>
      </c>
      <c r="C85" s="0" t="n">
        <v>519</v>
      </c>
      <c r="D85" s="0" t="n">
        <v>9</v>
      </c>
      <c r="E85" s="0" t="n">
        <v>47</v>
      </c>
      <c r="F85" s="0" t="n">
        <v>1</v>
      </c>
      <c r="G85" s="0" t="n">
        <v>31</v>
      </c>
      <c r="H85" s="0" t="n">
        <v>441</v>
      </c>
      <c r="I85" s="0" t="n">
        <v>10</v>
      </c>
      <c r="J85" s="0" t="n">
        <v>52</v>
      </c>
      <c r="K85" s="0" t="n">
        <v>5</v>
      </c>
      <c r="L85" s="0" t="n">
        <v>2535</v>
      </c>
      <c r="M85" s="0" t="n">
        <v>256</v>
      </c>
    </row>
    <row r="86" customFormat="false" ht="13.5" hidden="false" customHeight="false" outlineLevel="0" collapsed="false">
      <c r="A86" s="0" t="s">
        <v>91</v>
      </c>
      <c r="B86" s="1" t="n">
        <v>43946</v>
      </c>
      <c r="C86" s="0" t="n">
        <v>562</v>
      </c>
      <c r="D86" s="0" t="n">
        <v>43</v>
      </c>
      <c r="E86" s="0" t="n">
        <v>47</v>
      </c>
      <c r="F86" s="0" t="n">
        <v>0</v>
      </c>
      <c r="G86" s="0" t="n">
        <v>50</v>
      </c>
      <c r="H86" s="0" t="n">
        <v>465</v>
      </c>
      <c r="I86" s="0" t="n">
        <v>10</v>
      </c>
      <c r="J86" s="0" t="n">
        <v>57</v>
      </c>
      <c r="K86" s="0" t="n">
        <v>5</v>
      </c>
      <c r="L86" s="0" t="n">
        <v>3107</v>
      </c>
      <c r="M86" s="0" t="n">
        <v>314</v>
      </c>
    </row>
    <row r="87" customFormat="false" ht="13.5" hidden="false" customHeight="false" outlineLevel="0" collapsed="false">
      <c r="A87" s="0" t="s">
        <v>91</v>
      </c>
      <c r="B87" s="1" t="n">
        <v>43947</v>
      </c>
      <c r="C87" s="0" t="n">
        <v>591</v>
      </c>
      <c r="D87" s="0" t="n">
        <v>29</v>
      </c>
      <c r="E87" s="0" t="n">
        <v>55</v>
      </c>
      <c r="F87" s="0" t="n">
        <v>8</v>
      </c>
      <c r="G87" s="0" t="n">
        <v>58</v>
      </c>
      <c r="H87" s="0" t="n">
        <v>478</v>
      </c>
      <c r="I87" s="0" t="n">
        <v>10</v>
      </c>
      <c r="J87" s="0" t="n">
        <v>60</v>
      </c>
      <c r="K87" s="0" t="n">
        <v>6</v>
      </c>
      <c r="L87" s="0" t="n">
        <v>3457</v>
      </c>
      <c r="M87" s="0" t="n">
        <v>349</v>
      </c>
    </row>
    <row r="88" customFormat="false" ht="13.5" hidden="false" customHeight="false" outlineLevel="0" collapsed="false">
      <c r="A88" s="0" t="s">
        <v>91</v>
      </c>
      <c r="B88" s="1" t="n">
        <v>43948</v>
      </c>
      <c r="C88" s="0" t="n">
        <v>627</v>
      </c>
      <c r="D88" s="0" t="n">
        <v>36</v>
      </c>
      <c r="E88" s="0" t="n">
        <v>59</v>
      </c>
      <c r="F88" s="0" t="n">
        <v>4</v>
      </c>
      <c r="G88" s="0" t="n">
        <v>65</v>
      </c>
      <c r="H88" s="0" t="n">
        <v>503</v>
      </c>
      <c r="I88" s="0" t="n">
        <v>10</v>
      </c>
      <c r="J88" s="0" t="n">
        <v>63</v>
      </c>
      <c r="K88" s="0" t="n">
        <v>6</v>
      </c>
      <c r="L88" s="0" t="n">
        <v>3457</v>
      </c>
      <c r="M88" s="0" t="n">
        <v>349</v>
      </c>
    </row>
    <row r="89" customFormat="false" ht="13.5" hidden="false" customHeight="false" outlineLevel="0" collapsed="false">
      <c r="A89" s="0" t="s">
        <v>91</v>
      </c>
      <c r="B89" s="1" t="n">
        <v>43949</v>
      </c>
      <c r="C89" s="0" t="n">
        <v>661</v>
      </c>
      <c r="D89" s="0" t="n">
        <v>34</v>
      </c>
      <c r="E89" s="0" t="n">
        <v>61</v>
      </c>
      <c r="F89" s="0" t="n">
        <v>2</v>
      </c>
      <c r="G89" s="0" t="n">
        <v>79</v>
      </c>
      <c r="H89" s="0" t="n">
        <v>521</v>
      </c>
      <c r="I89" s="0" t="n">
        <v>10</v>
      </c>
      <c r="J89" s="0" t="n">
        <v>67</v>
      </c>
      <c r="K89" s="0" t="n">
        <v>6</v>
      </c>
      <c r="L89" s="0" t="n">
        <v>3643</v>
      </c>
      <c r="M89" s="0" t="n">
        <v>368</v>
      </c>
    </row>
    <row r="90" customFormat="false" ht="13.5" hidden="false" customHeight="false" outlineLevel="0" collapsed="false">
      <c r="A90" s="0" t="s">
        <v>91</v>
      </c>
      <c r="B90" s="1" t="n">
        <v>43950</v>
      </c>
      <c r="C90" s="0" t="n">
        <v>702</v>
      </c>
      <c r="D90" s="0" t="n">
        <v>41</v>
      </c>
      <c r="E90" s="0" t="n">
        <v>64</v>
      </c>
      <c r="F90" s="0" t="n">
        <v>3</v>
      </c>
      <c r="G90" s="0" t="n">
        <v>79</v>
      </c>
      <c r="H90" s="0" t="n">
        <v>559</v>
      </c>
      <c r="I90" s="0" t="n">
        <v>10</v>
      </c>
      <c r="J90" s="0" t="n">
        <v>71</v>
      </c>
      <c r="K90" s="0" t="n">
        <v>6</v>
      </c>
      <c r="L90" s="0" t="n">
        <v>3643</v>
      </c>
      <c r="M90" s="0" t="n">
        <v>368</v>
      </c>
    </row>
    <row r="91" customFormat="false" ht="13.5" hidden="false" customHeight="false" outlineLevel="0" collapsed="false">
      <c r="A91" s="0" t="s">
        <v>91</v>
      </c>
      <c r="B91" s="1" t="n">
        <v>43951</v>
      </c>
      <c r="C91" s="0" t="n">
        <v>738</v>
      </c>
      <c r="D91" s="0" t="n">
        <v>36</v>
      </c>
      <c r="E91" s="0" t="n">
        <v>66</v>
      </c>
      <c r="F91" s="0" t="n">
        <v>2</v>
      </c>
      <c r="G91" s="0" t="n">
        <v>73</v>
      </c>
      <c r="H91" s="0" t="n">
        <v>599</v>
      </c>
      <c r="I91" s="0" t="n">
        <v>10</v>
      </c>
      <c r="J91" s="0" t="n">
        <v>75</v>
      </c>
      <c r="K91" s="0" t="n">
        <v>7</v>
      </c>
      <c r="L91" s="0" t="n">
        <v>3643</v>
      </c>
      <c r="M91" s="0" t="n">
        <v>368</v>
      </c>
    </row>
    <row r="92" customFormat="false" ht="13.5" hidden="false" customHeight="false" outlineLevel="0" collapsed="false">
      <c r="A92" s="0" t="s">
        <v>91</v>
      </c>
      <c r="B92" s="1" t="n">
        <v>43952</v>
      </c>
      <c r="C92" s="0" t="n">
        <v>771</v>
      </c>
      <c r="D92" s="0" t="n">
        <v>33</v>
      </c>
      <c r="E92" s="0" t="n">
        <v>71</v>
      </c>
      <c r="F92" s="0" t="n">
        <v>5</v>
      </c>
      <c r="G92" s="0" t="n">
        <v>79</v>
      </c>
      <c r="H92" s="0" t="n">
        <v>621</v>
      </c>
      <c r="I92" s="0" t="n">
        <v>10</v>
      </c>
      <c r="J92" s="0" t="n">
        <v>78</v>
      </c>
      <c r="K92" s="0" t="n">
        <v>7</v>
      </c>
      <c r="L92" s="0" t="n">
        <v>3643</v>
      </c>
      <c r="M92" s="0" t="n">
        <v>368</v>
      </c>
    </row>
    <row r="93" customFormat="false" ht="13.5" hidden="false" customHeight="false" outlineLevel="0" collapsed="false">
      <c r="A93" s="0" t="s">
        <v>91</v>
      </c>
      <c r="B93" s="1" t="n">
        <v>43953</v>
      </c>
      <c r="C93" s="0" t="n">
        <v>804</v>
      </c>
      <c r="D93" s="0" t="n">
        <v>33</v>
      </c>
      <c r="E93" s="0" t="n">
        <v>75</v>
      </c>
      <c r="F93" s="0" t="n">
        <v>4</v>
      </c>
      <c r="G93" s="0" t="n">
        <v>112</v>
      </c>
      <c r="H93" s="0" t="n">
        <v>617</v>
      </c>
      <c r="I93" s="0" t="n">
        <v>10</v>
      </c>
      <c r="J93" s="0" t="n">
        <v>81</v>
      </c>
      <c r="K93" s="0" t="n">
        <v>8</v>
      </c>
      <c r="L93" s="0" t="n">
        <v>3643</v>
      </c>
      <c r="M93" s="0" t="n">
        <v>368</v>
      </c>
    </row>
    <row r="94" customFormat="false" ht="13.5" hidden="false" customHeight="false" outlineLevel="0" collapsed="false">
      <c r="A94" s="0" t="s">
        <v>91</v>
      </c>
      <c r="B94" s="1" t="n">
        <v>43954</v>
      </c>
      <c r="C94" s="0" t="n">
        <v>899</v>
      </c>
      <c r="D94" s="0" t="n">
        <v>95</v>
      </c>
      <c r="E94" s="0" t="n">
        <v>75</v>
      </c>
      <c r="F94" s="0" t="n">
        <v>0</v>
      </c>
      <c r="G94" s="0" t="n">
        <v>112</v>
      </c>
      <c r="H94" s="0" t="n">
        <v>712</v>
      </c>
      <c r="I94" s="0" t="n">
        <v>10</v>
      </c>
      <c r="J94" s="0" t="n">
        <v>91</v>
      </c>
      <c r="K94" s="0" t="n">
        <v>8</v>
      </c>
      <c r="L94" s="0" t="n">
        <v>3643</v>
      </c>
      <c r="M94" s="0" t="n">
        <v>368</v>
      </c>
    </row>
    <row r="95" customFormat="false" ht="13.5" hidden="false" customHeight="false" outlineLevel="0" collapsed="false">
      <c r="A95" s="0" t="s">
        <v>91</v>
      </c>
      <c r="B95" s="1" t="n">
        <v>43955</v>
      </c>
      <c r="C95" s="0" t="n">
        <v>1010</v>
      </c>
      <c r="D95" s="0" t="n">
        <v>111</v>
      </c>
      <c r="E95" s="0" t="n">
        <v>76</v>
      </c>
      <c r="F95" s="0" t="n">
        <v>1</v>
      </c>
      <c r="G95" s="0" t="n">
        <v>116</v>
      </c>
      <c r="H95" s="0" t="n">
        <v>818</v>
      </c>
      <c r="I95" s="0" t="n">
        <v>10</v>
      </c>
      <c r="J95" s="0" t="n">
        <v>102</v>
      </c>
      <c r="K95" s="0" t="n">
        <v>8</v>
      </c>
      <c r="L95" s="0" t="n">
        <v>4669</v>
      </c>
      <c r="M95" s="0" t="n">
        <v>471</v>
      </c>
    </row>
    <row r="96" customFormat="false" ht="13.5" hidden="false" customHeight="false" outlineLevel="0" collapsed="false">
      <c r="A96" s="0" t="s">
        <v>91</v>
      </c>
      <c r="B96" s="1" t="n">
        <v>43956</v>
      </c>
      <c r="C96" s="0" t="n">
        <v>1055</v>
      </c>
      <c r="D96" s="0" t="n">
        <v>45</v>
      </c>
      <c r="E96" s="0" t="n">
        <v>82</v>
      </c>
      <c r="F96" s="0" t="n">
        <v>6</v>
      </c>
      <c r="G96" s="0" t="n">
        <v>118</v>
      </c>
      <c r="H96" s="0" t="n">
        <v>855</v>
      </c>
      <c r="I96" s="0" t="n">
        <v>10</v>
      </c>
      <c r="J96" s="0" t="n">
        <v>107</v>
      </c>
      <c r="K96" s="0" t="n">
        <v>8</v>
      </c>
      <c r="L96" s="0" t="n">
        <v>4810</v>
      </c>
      <c r="M96" s="0" t="n">
        <v>486</v>
      </c>
    </row>
    <row r="97" customFormat="false" ht="13.5" hidden="false" customHeight="false" outlineLevel="0" collapsed="false">
      <c r="A97" s="0" t="s">
        <v>91</v>
      </c>
      <c r="B97" s="1" t="n">
        <v>43957</v>
      </c>
      <c r="C97" s="0" t="n">
        <v>1178</v>
      </c>
      <c r="D97" s="0" t="n">
        <v>123</v>
      </c>
      <c r="E97" s="0" t="n">
        <v>83</v>
      </c>
      <c r="F97" s="0" t="n">
        <v>1</v>
      </c>
      <c r="G97" s="0" t="n">
        <v>122</v>
      </c>
      <c r="H97" s="0" t="n">
        <v>973</v>
      </c>
      <c r="I97" s="0" t="n">
        <v>10</v>
      </c>
      <c r="J97" s="0" t="n">
        <v>119</v>
      </c>
      <c r="K97" s="0" t="n">
        <v>8</v>
      </c>
      <c r="L97" s="0" t="n">
        <v>5243</v>
      </c>
      <c r="M97" s="0" t="n">
        <v>529</v>
      </c>
    </row>
    <row r="98" customFormat="false" ht="13.5" hidden="false" customHeight="false" outlineLevel="0" collapsed="false">
      <c r="A98" s="0" t="s">
        <v>91</v>
      </c>
      <c r="B98" s="1" t="n">
        <v>43958</v>
      </c>
      <c r="C98" s="0" t="n">
        <v>1270</v>
      </c>
      <c r="D98" s="0" t="n">
        <v>92</v>
      </c>
      <c r="E98" s="0" t="n">
        <v>93</v>
      </c>
      <c r="F98" s="0" t="n">
        <v>10</v>
      </c>
      <c r="G98" s="0" t="n">
        <v>122</v>
      </c>
      <c r="H98" s="0" t="n">
        <v>1055</v>
      </c>
      <c r="I98" s="0" t="n">
        <v>10</v>
      </c>
      <c r="J98" s="0" t="n">
        <v>128</v>
      </c>
      <c r="K98" s="0" t="n">
        <v>9</v>
      </c>
      <c r="L98" s="0" t="n">
        <v>5653</v>
      </c>
      <c r="M98" s="0" t="n">
        <v>571</v>
      </c>
    </row>
    <row r="99" customFormat="false" ht="13.5" hidden="false" customHeight="false" outlineLevel="0" collapsed="false">
      <c r="A99" s="0" t="s">
        <v>91</v>
      </c>
      <c r="B99" s="1" t="n">
        <v>43959</v>
      </c>
      <c r="C99" s="0" t="n">
        <v>1461</v>
      </c>
      <c r="D99" s="0" t="n">
        <v>191</v>
      </c>
      <c r="E99" s="0" t="n">
        <v>99</v>
      </c>
      <c r="F99" s="0" t="n">
        <v>6</v>
      </c>
      <c r="G99" s="0" t="n">
        <v>132</v>
      </c>
      <c r="H99" s="0" t="n">
        <v>1230</v>
      </c>
      <c r="I99" s="0" t="n">
        <v>10</v>
      </c>
      <c r="J99" s="0" t="n">
        <v>148</v>
      </c>
      <c r="K99" s="0" t="n">
        <v>10</v>
      </c>
      <c r="L99" s="0" t="n">
        <v>5653</v>
      </c>
      <c r="M99" s="0" t="n">
        <v>571</v>
      </c>
    </row>
    <row r="100" customFormat="false" ht="13.5" hidden="false" customHeight="false" outlineLevel="0" collapsed="false">
      <c r="A100" s="0" t="s">
        <v>91</v>
      </c>
      <c r="B100" s="1" t="n">
        <v>43960</v>
      </c>
      <c r="C100" s="0" t="n">
        <v>1685</v>
      </c>
      <c r="D100" s="0" t="n">
        <v>224</v>
      </c>
      <c r="E100" s="0" t="n">
        <v>105</v>
      </c>
      <c r="F100" s="0" t="n">
        <v>6</v>
      </c>
      <c r="G100" s="0" t="n">
        <v>154</v>
      </c>
      <c r="H100" s="0" t="n">
        <v>1426</v>
      </c>
      <c r="I100" s="0" t="n">
        <v>10</v>
      </c>
      <c r="J100" s="0" t="n">
        <v>170</v>
      </c>
      <c r="K100" s="0" t="n">
        <v>11</v>
      </c>
      <c r="L100" s="0" t="n">
        <v>5653</v>
      </c>
      <c r="M100" s="0" t="n">
        <v>571</v>
      </c>
    </row>
    <row r="101" customFormat="false" ht="13.5" hidden="false" customHeight="false" outlineLevel="0" collapsed="false">
      <c r="A101" s="0" t="s">
        <v>91</v>
      </c>
      <c r="B101" s="1" t="n">
        <v>43961</v>
      </c>
      <c r="C101" s="0" t="n">
        <v>1771</v>
      </c>
      <c r="D101" s="0" t="n">
        <v>86</v>
      </c>
      <c r="E101" s="0" t="n">
        <v>107</v>
      </c>
      <c r="F101" s="0" t="n">
        <v>2</v>
      </c>
      <c r="G101" s="0" t="n">
        <v>192</v>
      </c>
      <c r="H101" s="0" t="n">
        <v>1472</v>
      </c>
      <c r="I101" s="0" t="n">
        <v>10</v>
      </c>
      <c r="J101" s="0" t="n">
        <v>179</v>
      </c>
      <c r="K101" s="0" t="n">
        <v>11</v>
      </c>
      <c r="L101" s="0" t="n">
        <v>5653</v>
      </c>
      <c r="M101" s="0" t="n">
        <v>571</v>
      </c>
    </row>
    <row r="102" customFormat="false" ht="13.5" hidden="false" customHeight="false" outlineLevel="0" collapsed="false">
      <c r="A102" s="0" t="s">
        <v>91</v>
      </c>
      <c r="B102" s="1" t="n">
        <v>43962</v>
      </c>
      <c r="C102" s="0" t="n">
        <v>1830</v>
      </c>
      <c r="D102" s="0" t="n">
        <v>59</v>
      </c>
      <c r="E102" s="0" t="n">
        <v>108</v>
      </c>
      <c r="F102" s="0" t="n">
        <v>1</v>
      </c>
      <c r="G102" s="0" t="n">
        <v>195</v>
      </c>
      <c r="H102" s="0" t="n">
        <v>1527</v>
      </c>
      <c r="I102" s="0" t="n">
        <v>10</v>
      </c>
      <c r="J102" s="0" t="n">
        <v>185</v>
      </c>
      <c r="K102" s="0" t="n">
        <v>11</v>
      </c>
      <c r="L102" s="0" t="n">
        <v>5653</v>
      </c>
      <c r="M102" s="0" t="n">
        <v>571</v>
      </c>
    </row>
    <row r="103" customFormat="false" ht="13.5" hidden="false" customHeight="false" outlineLevel="0" collapsed="false">
      <c r="A103" s="0" t="s">
        <v>91</v>
      </c>
      <c r="B103" s="1" t="n">
        <v>43963</v>
      </c>
      <c r="C103" s="0" t="n">
        <v>1972</v>
      </c>
      <c r="D103" s="0" t="n">
        <v>142</v>
      </c>
      <c r="E103" s="0" t="n">
        <v>108</v>
      </c>
      <c r="F103" s="0" t="n">
        <v>0</v>
      </c>
      <c r="G103" s="0" t="n">
        <v>203</v>
      </c>
      <c r="H103" s="0" t="n">
        <v>1661</v>
      </c>
      <c r="I103" s="0" t="n">
        <v>10</v>
      </c>
      <c r="J103" s="0" t="n">
        <v>199</v>
      </c>
      <c r="K103" s="0" t="n">
        <v>11</v>
      </c>
      <c r="L103" s="0" t="n">
        <v>5653</v>
      </c>
      <c r="M103" s="0" t="n">
        <v>571</v>
      </c>
    </row>
    <row r="104" customFormat="false" ht="13.5" hidden="false" customHeight="false" outlineLevel="0" collapsed="false">
      <c r="A104" s="0" t="s">
        <v>91</v>
      </c>
      <c r="B104" s="1" t="n">
        <v>43964</v>
      </c>
      <c r="C104" s="0" t="n">
        <v>2080</v>
      </c>
      <c r="D104" s="0" t="n">
        <v>108</v>
      </c>
      <c r="E104" s="0" t="n">
        <v>116</v>
      </c>
      <c r="F104" s="0" t="n">
        <v>8</v>
      </c>
      <c r="G104" s="0" t="n">
        <v>206</v>
      </c>
      <c r="H104" s="0" t="n">
        <v>1778</v>
      </c>
      <c r="I104" s="0" t="n">
        <v>10</v>
      </c>
      <c r="J104" s="0" t="n">
        <v>212</v>
      </c>
      <c r="K104" s="0" t="n">
        <v>12</v>
      </c>
      <c r="L104" s="0" t="n">
        <v>5653</v>
      </c>
      <c r="M104" s="0" t="n">
        <v>571</v>
      </c>
    </row>
    <row r="105" customFormat="false" ht="13.5" hidden="false" customHeight="false" outlineLevel="0" collapsed="false">
      <c r="A105" s="0" t="s">
        <v>91</v>
      </c>
      <c r="B105" s="1" t="n">
        <v>43965</v>
      </c>
      <c r="C105" s="0" t="n">
        <v>2080</v>
      </c>
      <c r="D105" s="0" t="n">
        <v>0</v>
      </c>
      <c r="E105" s="0" t="n">
        <v>121</v>
      </c>
      <c r="F105" s="0" t="n">
        <v>5</v>
      </c>
      <c r="G105" s="0" t="n">
        <v>211</v>
      </c>
      <c r="H105" s="0" t="n">
        <v>1748</v>
      </c>
      <c r="I105" s="0" t="n">
        <v>10</v>
      </c>
      <c r="J105" s="0" t="n">
        <v>210</v>
      </c>
      <c r="K105" s="0" t="n">
        <v>12</v>
      </c>
      <c r="L105" s="0" t="n">
        <v>5653</v>
      </c>
      <c r="M105" s="0" t="n">
        <v>571</v>
      </c>
    </row>
    <row r="106" customFormat="false" ht="13.5" hidden="false" customHeight="false" outlineLevel="0" collapsed="false">
      <c r="A106" s="0" t="s">
        <v>91</v>
      </c>
      <c r="B106" s="1" t="n">
        <v>43966</v>
      </c>
      <c r="C106" s="0" t="n">
        <v>2255</v>
      </c>
      <c r="D106" s="0" t="n">
        <v>175</v>
      </c>
      <c r="E106" s="0" t="n">
        <v>123</v>
      </c>
      <c r="F106" s="0" t="n">
        <v>2</v>
      </c>
      <c r="G106" s="0" t="n">
        <v>237</v>
      </c>
      <c r="H106" s="0" t="n">
        <v>1895</v>
      </c>
      <c r="I106" s="0" t="n">
        <v>10</v>
      </c>
      <c r="J106" s="0" t="n">
        <v>228</v>
      </c>
      <c r="K106" s="0" t="n">
        <v>12</v>
      </c>
      <c r="L106" s="0" t="n">
        <v>5653</v>
      </c>
      <c r="M106" s="0" t="n">
        <v>571</v>
      </c>
    </row>
    <row r="107" customFormat="false" ht="13.5" hidden="false" customHeight="false" outlineLevel="0" collapsed="false">
      <c r="A107" s="0" t="s">
        <v>91</v>
      </c>
      <c r="B107" s="1" t="n">
        <v>43967</v>
      </c>
      <c r="C107" s="0" t="e">
        <f aca="false">sheet1!asw108</f>
        <v>#NAME?</v>
      </c>
      <c r="D107" s="0" t="e">
        <f aca="false">sheet1!asx108</f>
        <v>#NAME?</v>
      </c>
      <c r="E107" s="0" t="e">
        <f aca="false">sheet1!asy108</f>
        <v>#NAME?</v>
      </c>
      <c r="F107" s="0" t="e">
        <f aca="false">sheet1!asz108</f>
        <v>#NAME?</v>
      </c>
      <c r="G107" s="0" t="e">
        <f aca="false">sheet1!ata108</f>
        <v>#NAME?</v>
      </c>
      <c r="H107" s="0" t="e">
        <f aca="false">sheet1!atb108</f>
        <v>#NAME?</v>
      </c>
      <c r="I107" s="0" t="e">
        <f aca="false">sheet1!atc108</f>
        <v>#NAME?</v>
      </c>
      <c r="J107" s="0" t="e">
        <f aca="false">sheet1!atd108</f>
        <v>#NAME?</v>
      </c>
      <c r="K107" s="0" t="e">
        <f aca="false">sheet1!ate108</f>
        <v>#NAME?</v>
      </c>
      <c r="L107" s="0" t="e">
        <f aca="false">sheet1!atf108</f>
        <v>#NAME?</v>
      </c>
      <c r="M107" s="0" t="e">
        <f aca="false">sheet1!atg108</f>
        <v>#NAME?</v>
      </c>
    </row>
    <row r="108" customFormat="false" ht="13.5" hidden="false" customHeight="false" outlineLevel="0" collapsed="false">
      <c r="A108" s="0" t="s">
        <v>91</v>
      </c>
      <c r="B108" s="1" t="n">
        <v>43968</v>
      </c>
      <c r="C108" s="0" t="e">
        <f aca="false">sheet1!asw109</f>
        <v>#NAME?</v>
      </c>
      <c r="D108" s="0" t="e">
        <f aca="false">sheet1!asx109</f>
        <v>#NAME?</v>
      </c>
      <c r="E108" s="0" t="e">
        <f aca="false">sheet1!asy109</f>
        <v>#NAME?</v>
      </c>
      <c r="F108" s="0" t="e">
        <f aca="false">sheet1!asz109</f>
        <v>#NAME?</v>
      </c>
      <c r="G108" s="0" t="e">
        <f aca="false">sheet1!ata109</f>
        <v>#NAME?</v>
      </c>
      <c r="H108" s="0" t="e">
        <f aca="false">sheet1!atb109</f>
        <v>#NAME?</v>
      </c>
      <c r="I108" s="0" t="e">
        <f aca="false">sheet1!atc109</f>
        <v>#NAME?</v>
      </c>
      <c r="J108" s="0" t="e">
        <f aca="false">sheet1!atd109</f>
        <v>#NAME?</v>
      </c>
      <c r="K108" s="0" t="e">
        <f aca="false">sheet1!ate109</f>
        <v>#NAME?</v>
      </c>
      <c r="L108" s="0" t="e">
        <f aca="false">sheet1!atf109</f>
        <v>#NAME?</v>
      </c>
      <c r="M108" s="0" t="e">
        <f aca="false">sheet1!atg109</f>
        <v>#NAME?</v>
      </c>
    </row>
    <row r="109" customFormat="false" ht="13.5" hidden="false" customHeight="false" outlineLevel="0" collapsed="false">
      <c r="A109" s="0" t="s">
        <v>91</v>
      </c>
      <c r="B109" s="1" t="n">
        <v>43969</v>
      </c>
      <c r="C109" s="0" t="e">
        <f aca="false">sheet1!asw110</f>
        <v>#NAME?</v>
      </c>
      <c r="D109" s="0" t="e">
        <f aca="false">sheet1!asx110</f>
        <v>#NAME?</v>
      </c>
      <c r="E109" s="0" t="e">
        <f aca="false">sheet1!asy110</f>
        <v>#NAME?</v>
      </c>
      <c r="F109" s="0" t="e">
        <f aca="false">sheet1!asz110</f>
        <v>#NAME?</v>
      </c>
      <c r="G109" s="0" t="e">
        <f aca="false">sheet1!ata110</f>
        <v>#NAME?</v>
      </c>
      <c r="H109" s="0" t="e">
        <f aca="false">sheet1!atb110</f>
        <v>#NAME?</v>
      </c>
      <c r="I109" s="0" t="e">
        <f aca="false">sheet1!atc110</f>
        <v>#NAME?</v>
      </c>
      <c r="J109" s="0" t="e">
        <f aca="false">sheet1!atd110</f>
        <v>#NAME?</v>
      </c>
      <c r="K109" s="0" t="e">
        <f aca="false">sheet1!ate110</f>
        <v>#NAME?</v>
      </c>
      <c r="L109" s="0" t="e">
        <f aca="false">sheet1!atf110</f>
        <v>#NAME?</v>
      </c>
      <c r="M109" s="0" t="e">
        <f aca="false">sheet1!atg110</f>
        <v>#NAME?</v>
      </c>
    </row>
    <row r="110" customFormat="false" ht="13.5" hidden="false" customHeight="false" outlineLevel="0" collapsed="false">
      <c r="A110" s="0" t="s">
        <v>91</v>
      </c>
      <c r="B110" s="1" t="n">
        <v>43970</v>
      </c>
      <c r="C110" s="0" t="e">
        <f aca="false">sheet1!asw111</f>
        <v>#NAME?</v>
      </c>
      <c r="D110" s="0" t="e">
        <f aca="false">sheet1!asx111</f>
        <v>#NAME?</v>
      </c>
      <c r="E110" s="0" t="e">
        <f aca="false">sheet1!asy111</f>
        <v>#NAME?</v>
      </c>
      <c r="F110" s="0" t="e">
        <f aca="false">sheet1!asz111</f>
        <v>#NAME?</v>
      </c>
      <c r="G110" s="0" t="e">
        <f aca="false">sheet1!ata111</f>
        <v>#NAME?</v>
      </c>
      <c r="H110" s="0" t="e">
        <f aca="false">sheet1!atb111</f>
        <v>#NAME?</v>
      </c>
      <c r="I110" s="0" t="e">
        <f aca="false">sheet1!atc111</f>
        <v>#NAME?</v>
      </c>
      <c r="J110" s="0" t="e">
        <f aca="false">sheet1!atd111</f>
        <v>#NAME?</v>
      </c>
      <c r="K110" s="0" t="e">
        <f aca="false">sheet1!ate111</f>
        <v>#NAME?</v>
      </c>
      <c r="L110" s="0" t="e">
        <f aca="false">sheet1!atf111</f>
        <v>#NAME?</v>
      </c>
      <c r="M110" s="0" t="e">
        <f aca="false">sheet1!atg111</f>
        <v>#NAME?</v>
      </c>
    </row>
    <row r="111" customFormat="false" ht="13.5" hidden="false" customHeight="false" outlineLevel="0" collapsed="false">
      <c r="A111" s="0" t="s">
        <v>91</v>
      </c>
      <c r="B111" s="1" t="n">
        <v>43971</v>
      </c>
      <c r="C111" s="0" t="e">
        <f aca="false">sheet1!asw112</f>
        <v>#NAME?</v>
      </c>
      <c r="D111" s="0" t="e">
        <f aca="false">sheet1!asx112</f>
        <v>#NAME?</v>
      </c>
      <c r="E111" s="0" t="e">
        <f aca="false">sheet1!asy112</f>
        <v>#NAME?</v>
      </c>
      <c r="F111" s="0" t="e">
        <f aca="false">sheet1!asz112</f>
        <v>#NAME?</v>
      </c>
      <c r="G111" s="0" t="e">
        <f aca="false">sheet1!ata112</f>
        <v>#NAME?</v>
      </c>
      <c r="H111" s="0" t="e">
        <f aca="false">sheet1!atb112</f>
        <v>#NAME?</v>
      </c>
      <c r="I111" s="0" t="e">
        <f aca="false">sheet1!atc112</f>
        <v>#NAME?</v>
      </c>
      <c r="J111" s="0" t="e">
        <f aca="false">sheet1!atd112</f>
        <v>#NAME?</v>
      </c>
      <c r="K111" s="0" t="e">
        <f aca="false">sheet1!ate112</f>
        <v>#NAME?</v>
      </c>
      <c r="L111" s="0" t="e">
        <f aca="false">sheet1!atf112</f>
        <v>#NAME?</v>
      </c>
      <c r="M111" s="0" t="e">
        <f aca="false">sheet1!atg112</f>
        <v>#NAME?</v>
      </c>
    </row>
    <row r="112" customFormat="false" ht="13.5" hidden="false" customHeight="false" outlineLevel="0" collapsed="false">
      <c r="A112" s="0" t="s">
        <v>91</v>
      </c>
      <c r="B112" s="1" t="n">
        <v>43972</v>
      </c>
      <c r="C112" s="0" t="e">
        <f aca="false">sheet1!asw113</f>
        <v>#NAME?</v>
      </c>
      <c r="D112" s="0" t="e">
        <f aca="false">sheet1!asx113</f>
        <v>#NAME?</v>
      </c>
      <c r="E112" s="0" t="e">
        <f aca="false">sheet1!asy113</f>
        <v>#NAME?</v>
      </c>
      <c r="F112" s="0" t="e">
        <f aca="false">sheet1!asz113</f>
        <v>#NAME?</v>
      </c>
      <c r="G112" s="0" t="e">
        <f aca="false">sheet1!ata113</f>
        <v>#NAME?</v>
      </c>
      <c r="H112" s="0" t="e">
        <f aca="false">sheet1!atb113</f>
        <v>#NAME?</v>
      </c>
      <c r="I112" s="0" t="e">
        <f aca="false">sheet1!atc113</f>
        <v>#NAME?</v>
      </c>
      <c r="J112" s="0" t="e">
        <f aca="false">sheet1!atd113</f>
        <v>#NAME?</v>
      </c>
      <c r="K112" s="0" t="e">
        <f aca="false">sheet1!ate113</f>
        <v>#NAME?</v>
      </c>
      <c r="L112" s="0" t="e">
        <f aca="false">sheet1!atf113</f>
        <v>#NAME?</v>
      </c>
      <c r="M112" s="0" t="e">
        <f aca="false">sheet1!atg113</f>
        <v>#NAME?</v>
      </c>
    </row>
    <row r="113" customFormat="false" ht="13.5" hidden="false" customHeight="false" outlineLevel="0" collapsed="false">
      <c r="A113" s="0" t="s">
        <v>91</v>
      </c>
      <c r="B113" s="1" t="n">
        <v>43973</v>
      </c>
      <c r="C113" s="0" t="e">
        <f aca="false">sheet1!asw114</f>
        <v>#NAME?</v>
      </c>
      <c r="D113" s="0" t="e">
        <f aca="false">sheet1!asx114</f>
        <v>#NAME?</v>
      </c>
      <c r="E113" s="0" t="e">
        <f aca="false">sheet1!asy114</f>
        <v>#NAME?</v>
      </c>
      <c r="F113" s="0" t="e">
        <f aca="false">sheet1!asz114</f>
        <v>#NAME?</v>
      </c>
      <c r="G113" s="0" t="e">
        <f aca="false">sheet1!ata114</f>
        <v>#NAME?</v>
      </c>
      <c r="H113" s="0" t="e">
        <f aca="false">sheet1!atb114</f>
        <v>#NAME?</v>
      </c>
      <c r="I113" s="0" t="e">
        <f aca="false">sheet1!atc114</f>
        <v>#NAME?</v>
      </c>
      <c r="J113" s="0" t="e">
        <f aca="false">sheet1!atd114</f>
        <v>#NAME?</v>
      </c>
      <c r="K113" s="0" t="e">
        <f aca="false">sheet1!ate114</f>
        <v>#NAME?</v>
      </c>
      <c r="L113" s="0" t="e">
        <f aca="false">sheet1!atf114</f>
        <v>#NAME?</v>
      </c>
      <c r="M113" s="0" t="e">
        <f aca="false">sheet1!atg114</f>
        <v>#NAME?</v>
      </c>
    </row>
    <row r="114" customFormat="false" ht="13.5" hidden="false" customHeight="false" outlineLevel="0" collapsed="false">
      <c r="A114" s="0" t="s">
        <v>91</v>
      </c>
      <c r="B114" s="1" t="n">
        <v>43974</v>
      </c>
      <c r="C114" s="0" t="e">
        <f aca="false">sheet1!asw115</f>
        <v>#NAME?</v>
      </c>
      <c r="D114" s="0" t="e">
        <f aca="false">sheet1!asx115</f>
        <v>#NAME?</v>
      </c>
      <c r="E114" s="0" t="e">
        <f aca="false">sheet1!asy115</f>
        <v>#NAME?</v>
      </c>
      <c r="F114" s="0" t="e">
        <f aca="false">sheet1!asz115</f>
        <v>#NAME?</v>
      </c>
      <c r="G114" s="0" t="e">
        <f aca="false">sheet1!ata115</f>
        <v>#NAME?</v>
      </c>
      <c r="H114" s="0" t="e">
        <f aca="false">sheet1!atb115</f>
        <v>#NAME?</v>
      </c>
      <c r="I114" s="0" t="e">
        <f aca="false">sheet1!atc115</f>
        <v>#NAME?</v>
      </c>
      <c r="J114" s="0" t="e">
        <f aca="false">sheet1!atd115</f>
        <v>#NAME?</v>
      </c>
      <c r="K114" s="0" t="e">
        <f aca="false">sheet1!ate115</f>
        <v>#NAME?</v>
      </c>
      <c r="L114" s="0" t="e">
        <f aca="false">sheet1!atf115</f>
        <v>#NAME?</v>
      </c>
      <c r="M114" s="0" t="e">
        <f aca="false">sheet1!atg115</f>
        <v>#NAME?</v>
      </c>
    </row>
    <row r="115" customFormat="false" ht="13.5" hidden="false" customHeight="false" outlineLevel="0" collapsed="false">
      <c r="A115" s="0" t="s">
        <v>91</v>
      </c>
      <c r="B115" s="1" t="n">
        <v>43975</v>
      </c>
      <c r="C115" s="0" t="e">
        <f aca="false">sheet1!asw116</f>
        <v>#NAME?</v>
      </c>
      <c r="D115" s="0" t="e">
        <f aca="false">sheet1!asx116</f>
        <v>#NAME?</v>
      </c>
      <c r="E115" s="0" t="e">
        <f aca="false">sheet1!asy116</f>
        <v>#NAME?</v>
      </c>
      <c r="F115" s="0" t="e">
        <f aca="false">sheet1!asz116</f>
        <v>#NAME?</v>
      </c>
      <c r="G115" s="0" t="e">
        <f aca="false">sheet1!ata116</f>
        <v>#NAME?</v>
      </c>
      <c r="H115" s="0" t="e">
        <f aca="false">sheet1!atb116</f>
        <v>#NAME?</v>
      </c>
      <c r="I115" s="0" t="e">
        <f aca="false">sheet1!atc116</f>
        <v>#NAME?</v>
      </c>
      <c r="J115" s="0" t="e">
        <f aca="false">sheet1!atd116</f>
        <v>#NAME?</v>
      </c>
      <c r="K115" s="0" t="e">
        <f aca="false">sheet1!ate116</f>
        <v>#NAME?</v>
      </c>
      <c r="L115" s="0" t="e">
        <f aca="false">sheet1!atf116</f>
        <v>#NAME?</v>
      </c>
      <c r="M115" s="0" t="e">
        <f aca="false">sheet1!atg116</f>
        <v>#NAME?</v>
      </c>
    </row>
    <row r="116" customFormat="false" ht="13.5" hidden="false" customHeight="false" outlineLevel="0" collapsed="false">
      <c r="A116" s="0" t="s">
        <v>91</v>
      </c>
      <c r="B116" s="1" t="n">
        <v>43976</v>
      </c>
      <c r="C116" s="0" t="e">
        <f aca="false">sheet1!asw117</f>
        <v>#NAME?</v>
      </c>
      <c r="D116" s="0" t="e">
        <f aca="false">sheet1!asx117</f>
        <v>#NAME?</v>
      </c>
      <c r="E116" s="0" t="e">
        <f aca="false">sheet1!asy117</f>
        <v>#NAME?</v>
      </c>
      <c r="F116" s="0" t="e">
        <f aca="false">sheet1!asz117</f>
        <v>#NAME?</v>
      </c>
      <c r="G116" s="0" t="e">
        <f aca="false">sheet1!ata117</f>
        <v>#NAME?</v>
      </c>
      <c r="H116" s="0" t="e">
        <f aca="false">sheet1!atb117</f>
        <v>#NAME?</v>
      </c>
      <c r="I116" s="0" t="e">
        <f aca="false">sheet1!atc117</f>
        <v>#NAME?</v>
      </c>
      <c r="J116" s="0" t="e">
        <f aca="false">sheet1!atd117</f>
        <v>#NAME?</v>
      </c>
      <c r="K116" s="0" t="e">
        <f aca="false">sheet1!ate117</f>
        <v>#NAME?</v>
      </c>
      <c r="L116" s="0" t="e">
        <f aca="false">sheet1!atf117</f>
        <v>#NAME?</v>
      </c>
      <c r="M116" s="0" t="e">
        <f aca="false">sheet1!atg117</f>
        <v>#NAME?</v>
      </c>
    </row>
    <row r="117" customFormat="false" ht="13.5" hidden="false" customHeight="false" outlineLevel="0" collapsed="false">
      <c r="A117" s="0" t="s">
        <v>91</v>
      </c>
      <c r="B117" s="1" t="n">
        <v>43977</v>
      </c>
      <c r="C117" s="0" t="e">
        <f aca="false">sheet1!asw118</f>
        <v>#NAME?</v>
      </c>
      <c r="D117" s="0" t="e">
        <f aca="false">sheet1!asx118</f>
        <v>#NAME?</v>
      </c>
      <c r="E117" s="0" t="e">
        <f aca="false">sheet1!asy118</f>
        <v>#NAME?</v>
      </c>
      <c r="F117" s="0" t="e">
        <f aca="false">sheet1!asz118</f>
        <v>#NAME?</v>
      </c>
      <c r="G117" s="0" t="e">
        <f aca="false">sheet1!ata118</f>
        <v>#NAME?</v>
      </c>
      <c r="H117" s="0" t="e">
        <f aca="false">sheet1!atb118</f>
        <v>#NAME?</v>
      </c>
      <c r="I117" s="0" t="e">
        <f aca="false">sheet1!atc118</f>
        <v>#NAME?</v>
      </c>
      <c r="J117" s="0" t="e">
        <f aca="false">sheet1!atd118</f>
        <v>#NAME?</v>
      </c>
      <c r="K117" s="0" t="e">
        <f aca="false">sheet1!ate118</f>
        <v>#NAME?</v>
      </c>
      <c r="L117" s="0" t="e">
        <f aca="false">sheet1!atf118</f>
        <v>#NAME?</v>
      </c>
      <c r="M117" s="0" t="e">
        <f aca="false">sheet1!atg118</f>
        <v>#NAME?</v>
      </c>
    </row>
    <row r="118" customFormat="false" ht="13.5" hidden="false" customHeight="false" outlineLevel="0" collapsed="false">
      <c r="A118" s="0" t="s">
        <v>91</v>
      </c>
      <c r="B118" s="1" t="n">
        <v>43978</v>
      </c>
      <c r="C118" s="0" t="e">
        <f aca="false">sheet1!asw119</f>
        <v>#NAME?</v>
      </c>
      <c r="D118" s="0" t="e">
        <f aca="false">sheet1!asx119</f>
        <v>#NAME?</v>
      </c>
      <c r="E118" s="0" t="e">
        <f aca="false">sheet1!asy119</f>
        <v>#NAME?</v>
      </c>
      <c r="F118" s="0" t="e">
        <f aca="false">sheet1!asz119</f>
        <v>#NAME?</v>
      </c>
      <c r="G118" s="0" t="e">
        <f aca="false">sheet1!ata119</f>
        <v>#NAME?</v>
      </c>
      <c r="H118" s="0" t="e">
        <f aca="false">sheet1!atb119</f>
        <v>#NAME?</v>
      </c>
      <c r="I118" s="0" t="e">
        <f aca="false">sheet1!atc119</f>
        <v>#NAME?</v>
      </c>
      <c r="J118" s="0" t="e">
        <f aca="false">sheet1!atd119</f>
        <v>#NAME?</v>
      </c>
      <c r="K118" s="0" t="e">
        <f aca="false">sheet1!ate119</f>
        <v>#NAME?</v>
      </c>
      <c r="L118" s="0" t="e">
        <f aca="false">sheet1!atf119</f>
        <v>#NAME?</v>
      </c>
      <c r="M118" s="0" t="e">
        <f aca="false">sheet1!atg119</f>
        <v>#NAME?</v>
      </c>
    </row>
    <row r="119" customFormat="false" ht="13.5" hidden="false" customHeight="false" outlineLevel="0" collapsed="false">
      <c r="A119" s="0" t="s">
        <v>91</v>
      </c>
      <c r="B119" s="1" t="n">
        <v>43979</v>
      </c>
      <c r="C119" s="0" t="e">
        <f aca="false">sheet1!asw120</f>
        <v>#NAME?</v>
      </c>
      <c r="D119" s="0" t="e">
        <f aca="false">sheet1!asx120</f>
        <v>#NAME?</v>
      </c>
      <c r="E119" s="0" t="e">
        <f aca="false">sheet1!asy120</f>
        <v>#NAME?</v>
      </c>
      <c r="F119" s="0" t="e">
        <f aca="false">sheet1!asz120</f>
        <v>#NAME?</v>
      </c>
      <c r="G119" s="0" t="e">
        <f aca="false">sheet1!ata120</f>
        <v>#NAME?</v>
      </c>
      <c r="H119" s="0" t="e">
        <f aca="false">sheet1!atb120</f>
        <v>#NAME?</v>
      </c>
      <c r="I119" s="0" t="e">
        <f aca="false">sheet1!atc120</f>
        <v>#NAME?</v>
      </c>
      <c r="J119" s="0" t="e">
        <f aca="false">sheet1!atd120</f>
        <v>#NAME?</v>
      </c>
      <c r="K119" s="0" t="e">
        <f aca="false">sheet1!ate120</f>
        <v>#NAME?</v>
      </c>
      <c r="L119" s="0" t="e">
        <f aca="false">sheet1!atf120</f>
        <v>#NAME?</v>
      </c>
      <c r="M119" s="0" t="e">
        <f aca="false">sheet1!atg120</f>
        <v>#NAME?</v>
      </c>
    </row>
    <row r="120" customFormat="false" ht="13.5" hidden="false" customHeight="false" outlineLevel="0" collapsed="false">
      <c r="A120" s="0" t="s">
        <v>91</v>
      </c>
      <c r="B120" s="1" t="n">
        <v>43980</v>
      </c>
      <c r="C120" s="0" t="e">
        <f aca="false">sheet1!asw121</f>
        <v>#NAME?</v>
      </c>
      <c r="D120" s="0" t="e">
        <f aca="false">sheet1!asx121</f>
        <v>#NAME?</v>
      </c>
      <c r="E120" s="0" t="e">
        <f aca="false">sheet1!asy121</f>
        <v>#NAME?</v>
      </c>
      <c r="F120" s="0" t="e">
        <f aca="false">sheet1!asz121</f>
        <v>#NAME?</v>
      </c>
      <c r="G120" s="0" t="e">
        <f aca="false">sheet1!ata121</f>
        <v>#NAME?</v>
      </c>
      <c r="H120" s="0" t="e">
        <f aca="false">sheet1!atb121</f>
        <v>#NAME?</v>
      </c>
      <c r="I120" s="0" t="e">
        <f aca="false">sheet1!atc121</f>
        <v>#NAME?</v>
      </c>
      <c r="J120" s="0" t="e">
        <f aca="false">sheet1!atd121</f>
        <v>#NAME?</v>
      </c>
      <c r="K120" s="0" t="e">
        <f aca="false">sheet1!ate121</f>
        <v>#NAME?</v>
      </c>
      <c r="L120" s="0" t="e">
        <f aca="false">sheet1!atf121</f>
        <v>#NAME?</v>
      </c>
      <c r="M120" s="0" t="e">
        <f aca="false">sheet1!atg121</f>
        <v>#NAME?</v>
      </c>
    </row>
    <row r="121" customFormat="false" ht="13.5" hidden="false" customHeight="false" outlineLevel="0" collapsed="false">
      <c r="A121" s="0" t="s">
        <v>91</v>
      </c>
      <c r="B121" s="1" t="n">
        <v>43981</v>
      </c>
      <c r="C121" s="0" t="e">
        <f aca="false">sheet1!asw122</f>
        <v>#NAME?</v>
      </c>
      <c r="D121" s="0" t="e">
        <f aca="false">sheet1!asx122</f>
        <v>#NAME?</v>
      </c>
      <c r="E121" s="0" t="e">
        <f aca="false">sheet1!asy122</f>
        <v>#NAME?</v>
      </c>
      <c r="F121" s="0" t="e">
        <f aca="false">sheet1!asz122</f>
        <v>#NAME?</v>
      </c>
      <c r="G121" s="0" t="e">
        <f aca="false">sheet1!ata122</f>
        <v>#NAME?</v>
      </c>
      <c r="H121" s="0" t="e">
        <f aca="false">sheet1!atb122</f>
        <v>#NAME?</v>
      </c>
      <c r="I121" s="0" t="e">
        <f aca="false">sheet1!atc122</f>
        <v>#NAME?</v>
      </c>
      <c r="J121" s="0" t="e">
        <f aca="false">sheet1!atd122</f>
        <v>#NAME?</v>
      </c>
      <c r="K121" s="0" t="e">
        <f aca="false">sheet1!ate122</f>
        <v>#NAME?</v>
      </c>
      <c r="L121" s="0" t="e">
        <f aca="false">sheet1!atf122</f>
        <v>#NAME?</v>
      </c>
      <c r="M121" s="0" t="e">
        <f aca="false">sheet1!atg122</f>
        <v>#NAME?</v>
      </c>
    </row>
    <row r="122" customFormat="false" ht="13.5" hidden="false" customHeight="false" outlineLevel="0" collapsed="false">
      <c r="A122" s="0" t="s">
        <v>91</v>
      </c>
      <c r="B122" s="1" t="n">
        <v>43982</v>
      </c>
      <c r="C122" s="0" t="e">
        <f aca="false">sheet1!asw123</f>
        <v>#NAME?</v>
      </c>
      <c r="D122" s="0" t="e">
        <f aca="false">sheet1!asx123</f>
        <v>#NAME?</v>
      </c>
      <c r="E122" s="0" t="e">
        <f aca="false">sheet1!asy123</f>
        <v>#NAME?</v>
      </c>
      <c r="F122" s="0" t="e">
        <f aca="false">sheet1!asz123</f>
        <v>#NAME?</v>
      </c>
      <c r="G122" s="0" t="e">
        <f aca="false">sheet1!ata123</f>
        <v>#NAME?</v>
      </c>
      <c r="H122" s="0" t="e">
        <f aca="false">sheet1!atb123</f>
        <v>#NAME?</v>
      </c>
      <c r="I122" s="0" t="e">
        <f aca="false">sheet1!atc123</f>
        <v>#NAME?</v>
      </c>
      <c r="J122" s="0" t="e">
        <f aca="false">sheet1!atd123</f>
        <v>#NAME?</v>
      </c>
      <c r="K122" s="0" t="e">
        <f aca="false">sheet1!ate123</f>
        <v>#NAME?</v>
      </c>
      <c r="L122" s="0" t="e">
        <f aca="false">sheet1!atf123</f>
        <v>#NAME?</v>
      </c>
      <c r="M122" s="0" t="e">
        <f aca="false">sheet1!atg123</f>
        <v>#NAME?</v>
      </c>
    </row>
    <row r="123" customFormat="false" ht="13.5" hidden="false" customHeight="false" outlineLevel="0" collapsed="false">
      <c r="A123" s="0" t="s">
        <v>91</v>
      </c>
      <c r="B123" s="1" t="n">
        <v>43983</v>
      </c>
      <c r="C123" s="0" t="e">
        <f aca="false">sheet1!asw124</f>
        <v>#NAME?</v>
      </c>
      <c r="D123" s="0" t="e">
        <f aca="false">sheet1!asx124</f>
        <v>#NAME?</v>
      </c>
      <c r="E123" s="0" t="e">
        <f aca="false">sheet1!asy124</f>
        <v>#NAME?</v>
      </c>
      <c r="F123" s="0" t="e">
        <f aca="false">sheet1!asz124</f>
        <v>#NAME?</v>
      </c>
      <c r="G123" s="0" t="e">
        <f aca="false">sheet1!ata124</f>
        <v>#NAME?</v>
      </c>
      <c r="H123" s="0" t="e">
        <f aca="false">sheet1!atb124</f>
        <v>#NAME?</v>
      </c>
      <c r="I123" s="0" t="e">
        <f aca="false">sheet1!atc124</f>
        <v>#NAME?</v>
      </c>
      <c r="J123" s="0" t="e">
        <f aca="false">sheet1!atd124</f>
        <v>#NAME?</v>
      </c>
      <c r="K123" s="0" t="e">
        <f aca="false">sheet1!ate124</f>
        <v>#NAME?</v>
      </c>
      <c r="L123" s="0" t="e">
        <f aca="false">sheet1!atf124</f>
        <v>#NAME?</v>
      </c>
      <c r="M123" s="0" t="e">
        <f aca="false">sheet1!atg124</f>
        <v>#NAME?</v>
      </c>
    </row>
    <row r="124" customFormat="false" ht="13.5" hidden="false" customHeight="false" outlineLevel="0" collapsed="false">
      <c r="A124" s="0" t="s">
        <v>91</v>
      </c>
      <c r="B124" s="1" t="n">
        <v>43984</v>
      </c>
      <c r="C124" s="0" t="e">
        <f aca="false">sheet1!asw125</f>
        <v>#NAME?</v>
      </c>
      <c r="D124" s="0" t="e">
        <f aca="false">sheet1!asx125</f>
        <v>#NAME?</v>
      </c>
      <c r="E124" s="0" t="e">
        <f aca="false">sheet1!asy125</f>
        <v>#NAME?</v>
      </c>
      <c r="F124" s="0" t="e">
        <f aca="false">sheet1!asz125</f>
        <v>#NAME?</v>
      </c>
      <c r="G124" s="0" t="e">
        <f aca="false">sheet1!ata125</f>
        <v>#NAME?</v>
      </c>
      <c r="H124" s="0" t="e">
        <f aca="false">sheet1!atb125</f>
        <v>#NAME?</v>
      </c>
      <c r="I124" s="0" t="e">
        <f aca="false">sheet1!atc125</f>
        <v>#NAME?</v>
      </c>
      <c r="J124" s="0" t="e">
        <f aca="false">sheet1!atd125</f>
        <v>#NAME?</v>
      </c>
      <c r="K124" s="0" t="e">
        <f aca="false">sheet1!ate125</f>
        <v>#NAME?</v>
      </c>
      <c r="L124" s="0" t="e">
        <f aca="false">sheet1!atf125</f>
        <v>#NAME?</v>
      </c>
      <c r="M124" s="0" t="e">
        <f aca="false">sheet1!atg125</f>
        <v>#NAME?</v>
      </c>
    </row>
    <row r="125" customFormat="false" ht="13.5" hidden="false" customHeight="false" outlineLevel="0" collapsed="false">
      <c r="A125" s="0" t="s">
        <v>91</v>
      </c>
      <c r="B125" s="1" t="n">
        <v>43985</v>
      </c>
      <c r="C125" s="0" t="e">
        <f aca="false">sheet1!asw126</f>
        <v>#NAME?</v>
      </c>
      <c r="D125" s="0" t="e">
        <f aca="false">sheet1!asx126</f>
        <v>#NAME?</v>
      </c>
      <c r="E125" s="0" t="e">
        <f aca="false">sheet1!asy126</f>
        <v>#NAME?</v>
      </c>
      <c r="F125" s="0" t="e">
        <f aca="false">sheet1!asz126</f>
        <v>#NAME?</v>
      </c>
      <c r="G125" s="0" t="e">
        <f aca="false">sheet1!ata126</f>
        <v>#NAME?</v>
      </c>
      <c r="H125" s="0" t="e">
        <f aca="false">sheet1!atb126</f>
        <v>#NAME?</v>
      </c>
      <c r="I125" s="0" t="e">
        <f aca="false">sheet1!atc126</f>
        <v>#NAME?</v>
      </c>
      <c r="J125" s="0" t="e">
        <f aca="false">sheet1!atd126</f>
        <v>#NAME?</v>
      </c>
      <c r="K125" s="0" t="e">
        <f aca="false">sheet1!ate126</f>
        <v>#NAME?</v>
      </c>
      <c r="L125" s="0" t="e">
        <f aca="false">sheet1!atf126</f>
        <v>#NAME?</v>
      </c>
      <c r="M125" s="0" t="e">
        <f aca="false">sheet1!atg126</f>
        <v>#NAME?</v>
      </c>
    </row>
    <row r="126" customFormat="false" ht="13.5" hidden="false" customHeight="false" outlineLevel="0" collapsed="false">
      <c r="A126" s="0" t="s">
        <v>91</v>
      </c>
      <c r="B126" s="1" t="n">
        <v>43986</v>
      </c>
      <c r="C126" s="0" t="e">
        <f aca="false">sheet1!asw127</f>
        <v>#NAME?</v>
      </c>
      <c r="D126" s="0" t="e">
        <f aca="false">sheet1!asx127</f>
        <v>#NAME?</v>
      </c>
      <c r="E126" s="0" t="e">
        <f aca="false">sheet1!asy127</f>
        <v>#NAME?</v>
      </c>
      <c r="F126" s="0" t="e">
        <f aca="false">sheet1!asz127</f>
        <v>#NAME?</v>
      </c>
      <c r="G126" s="0" t="e">
        <f aca="false">sheet1!ata127</f>
        <v>#NAME?</v>
      </c>
      <c r="H126" s="0" t="e">
        <f aca="false">sheet1!atb127</f>
        <v>#NAME?</v>
      </c>
      <c r="I126" s="0" t="e">
        <f aca="false">sheet1!atc127</f>
        <v>#NAME?</v>
      </c>
      <c r="J126" s="0" t="e">
        <f aca="false">sheet1!atd127</f>
        <v>#NAME?</v>
      </c>
      <c r="K126" s="0" t="e">
        <f aca="false">sheet1!ate127</f>
        <v>#NAME?</v>
      </c>
      <c r="L126" s="0" t="e">
        <f aca="false">sheet1!atf127</f>
        <v>#NAME?</v>
      </c>
      <c r="M126" s="0" t="e">
        <f aca="false">sheet1!atg127</f>
        <v>#NAME?</v>
      </c>
    </row>
    <row r="127" customFormat="false" ht="13.5" hidden="false" customHeight="false" outlineLevel="0" collapsed="false">
      <c r="A127" s="0" t="s">
        <v>91</v>
      </c>
      <c r="B127" s="1" t="n">
        <v>43987</v>
      </c>
      <c r="C127" s="0" t="e">
        <f aca="false">sheet1!asw128</f>
        <v>#NAME?</v>
      </c>
      <c r="D127" s="0" t="e">
        <f aca="false">sheet1!asx128</f>
        <v>#NAME?</v>
      </c>
      <c r="E127" s="0" t="e">
        <f aca="false">sheet1!asy128</f>
        <v>#NAME?</v>
      </c>
      <c r="F127" s="0" t="e">
        <f aca="false">sheet1!asz128</f>
        <v>#NAME?</v>
      </c>
      <c r="G127" s="0" t="e">
        <f aca="false">sheet1!ata128</f>
        <v>#NAME?</v>
      </c>
      <c r="H127" s="0" t="e">
        <f aca="false">sheet1!atb128</f>
        <v>#NAME?</v>
      </c>
      <c r="I127" s="0" t="e">
        <f aca="false">sheet1!atc128</f>
        <v>#NAME?</v>
      </c>
      <c r="J127" s="0" t="e">
        <f aca="false">sheet1!atd128</f>
        <v>#NAME?</v>
      </c>
      <c r="K127" s="0" t="e">
        <f aca="false">sheet1!ate128</f>
        <v>#NAME?</v>
      </c>
      <c r="L127" s="0" t="e">
        <f aca="false">sheet1!atf128</f>
        <v>#NAME?</v>
      </c>
      <c r="M127" s="0" t="e">
        <f aca="false">sheet1!atg128</f>
        <v>#NAME?</v>
      </c>
    </row>
    <row r="128" customFormat="false" ht="13.5" hidden="false" customHeight="false" outlineLevel="0" collapsed="false">
      <c r="A128" s="0" t="s">
        <v>91</v>
      </c>
      <c r="B128" s="1" t="n">
        <v>43988</v>
      </c>
      <c r="C128" s="0" t="e">
        <f aca="false">sheet1!asw129</f>
        <v>#NAME?</v>
      </c>
      <c r="D128" s="0" t="e">
        <f aca="false">sheet1!asx129</f>
        <v>#NAME?</v>
      </c>
      <c r="E128" s="0" t="e">
        <f aca="false">sheet1!asy129</f>
        <v>#NAME?</v>
      </c>
      <c r="F128" s="0" t="e">
        <f aca="false">sheet1!asz129</f>
        <v>#NAME?</v>
      </c>
      <c r="G128" s="0" t="e">
        <f aca="false">sheet1!ata129</f>
        <v>#NAME?</v>
      </c>
      <c r="H128" s="0" t="e">
        <f aca="false">sheet1!atb129</f>
        <v>#NAME?</v>
      </c>
      <c r="I128" s="0" t="e">
        <f aca="false">sheet1!atc129</f>
        <v>#NAME?</v>
      </c>
      <c r="J128" s="0" t="e">
        <f aca="false">sheet1!atd129</f>
        <v>#NAME?</v>
      </c>
      <c r="K128" s="0" t="e">
        <f aca="false">sheet1!ate129</f>
        <v>#NAME?</v>
      </c>
      <c r="L128" s="0" t="e">
        <f aca="false">sheet1!atf129</f>
        <v>#NAME?</v>
      </c>
      <c r="M128" s="0" t="e">
        <f aca="false">sheet1!atg129</f>
        <v>#NAME?</v>
      </c>
    </row>
    <row r="129" customFormat="false" ht="13.5" hidden="false" customHeight="false" outlineLevel="0" collapsed="false">
      <c r="A129" s="0" t="s">
        <v>91</v>
      </c>
      <c r="B129" s="1" t="n">
        <v>43989</v>
      </c>
      <c r="C129" s="0" t="e">
        <f aca="false">sheet1!asw130</f>
        <v>#NAME?</v>
      </c>
      <c r="D129" s="0" t="e">
        <f aca="false">sheet1!asx130</f>
        <v>#NAME?</v>
      </c>
      <c r="E129" s="0" t="e">
        <f aca="false">sheet1!asy130</f>
        <v>#NAME?</v>
      </c>
      <c r="F129" s="0" t="e">
        <f aca="false">sheet1!asz130</f>
        <v>#NAME?</v>
      </c>
      <c r="G129" s="0" t="e">
        <f aca="false">sheet1!ata130</f>
        <v>#NAME?</v>
      </c>
      <c r="H129" s="0" t="e">
        <f aca="false">sheet1!atb130</f>
        <v>#NAME?</v>
      </c>
      <c r="I129" s="0" t="e">
        <f aca="false">sheet1!atc130</f>
        <v>#NAME?</v>
      </c>
      <c r="J129" s="0" t="e">
        <f aca="false">sheet1!atd130</f>
        <v>#NAME?</v>
      </c>
      <c r="K129" s="0" t="e">
        <f aca="false">sheet1!ate130</f>
        <v>#NAME?</v>
      </c>
      <c r="L129" s="0" t="e">
        <f aca="false">sheet1!atf130</f>
        <v>#NAME?</v>
      </c>
      <c r="M129" s="0" t="e">
        <f aca="false">sheet1!atg130</f>
        <v>#NAME?</v>
      </c>
    </row>
    <row r="130" customFormat="false" ht="13.5" hidden="false" customHeight="false" outlineLevel="0" collapsed="false">
      <c r="A130" s="0" t="s">
        <v>91</v>
      </c>
      <c r="B130" s="1" t="n">
        <v>43990</v>
      </c>
      <c r="C130" s="0" t="e">
        <f aca="false">sheet1!asw131</f>
        <v>#NAME?</v>
      </c>
      <c r="D130" s="0" t="e">
        <f aca="false">sheet1!asx131</f>
        <v>#NAME?</v>
      </c>
      <c r="E130" s="0" t="e">
        <f aca="false">sheet1!asy131</f>
        <v>#NAME?</v>
      </c>
      <c r="F130" s="0" t="e">
        <f aca="false">sheet1!asz131</f>
        <v>#NAME?</v>
      </c>
      <c r="G130" s="0" t="e">
        <f aca="false">sheet1!ata131</f>
        <v>#NAME?</v>
      </c>
      <c r="H130" s="0" t="e">
        <f aca="false">sheet1!atb131</f>
        <v>#NAME?</v>
      </c>
      <c r="I130" s="0" t="e">
        <f aca="false">sheet1!atc131</f>
        <v>#NAME?</v>
      </c>
      <c r="J130" s="0" t="e">
        <f aca="false">sheet1!atd131</f>
        <v>#NAME?</v>
      </c>
      <c r="K130" s="0" t="e">
        <f aca="false">sheet1!ate131</f>
        <v>#NAME?</v>
      </c>
      <c r="L130" s="0" t="e">
        <f aca="false">sheet1!atf131</f>
        <v>#NAME?</v>
      </c>
      <c r="M130" s="0" t="e">
        <f aca="false">sheet1!atg131</f>
        <v>#NAME?</v>
      </c>
    </row>
    <row r="131" customFormat="false" ht="13.5" hidden="false" customHeight="false" outlineLevel="0" collapsed="false">
      <c r="A131" s="0" t="s">
        <v>91</v>
      </c>
      <c r="B131" s="1" t="n">
        <v>43991</v>
      </c>
      <c r="C131" s="0" t="e">
        <f aca="false">sheet1!asw132</f>
        <v>#NAME?</v>
      </c>
      <c r="D131" s="0" t="e">
        <f aca="false">sheet1!asx132</f>
        <v>#NAME?</v>
      </c>
      <c r="E131" s="0" t="e">
        <f aca="false">sheet1!asy132</f>
        <v>#NAME?</v>
      </c>
      <c r="F131" s="0" t="e">
        <f aca="false">sheet1!asz132</f>
        <v>#NAME?</v>
      </c>
      <c r="G131" s="0" t="e">
        <f aca="false">sheet1!ata132</f>
        <v>#NAME?</v>
      </c>
      <c r="H131" s="0" t="e">
        <f aca="false">sheet1!atb132</f>
        <v>#NAME?</v>
      </c>
      <c r="I131" s="0" t="e">
        <f aca="false">sheet1!atc132</f>
        <v>#NAME?</v>
      </c>
      <c r="J131" s="0" t="e">
        <f aca="false">sheet1!atd132</f>
        <v>#NAME?</v>
      </c>
      <c r="K131" s="0" t="e">
        <f aca="false">sheet1!ate132</f>
        <v>#NAME?</v>
      </c>
      <c r="L131" s="0" t="e">
        <f aca="false">sheet1!atf132</f>
        <v>#NAME?</v>
      </c>
      <c r="M131" s="0" t="e">
        <f aca="false">sheet1!atg132</f>
        <v>#NAME?</v>
      </c>
    </row>
    <row r="132" customFormat="false" ht="13.5" hidden="false" customHeight="false" outlineLevel="0" collapsed="false">
      <c r="A132" s="0" t="s">
        <v>91</v>
      </c>
      <c r="B132" s="1" t="n">
        <v>43992</v>
      </c>
      <c r="C132" s="0" t="e">
        <f aca="false">sheet1!asw133</f>
        <v>#NAME?</v>
      </c>
      <c r="D132" s="0" t="e">
        <f aca="false">sheet1!asx133</f>
        <v>#NAME?</v>
      </c>
      <c r="E132" s="0" t="e">
        <f aca="false">sheet1!asy133</f>
        <v>#NAME?</v>
      </c>
      <c r="F132" s="0" t="e">
        <f aca="false">sheet1!asz133</f>
        <v>#NAME?</v>
      </c>
      <c r="G132" s="0" t="e">
        <f aca="false">sheet1!ata133</f>
        <v>#NAME?</v>
      </c>
      <c r="H132" s="0" t="e">
        <f aca="false">sheet1!atb133</f>
        <v>#NAME?</v>
      </c>
      <c r="I132" s="0" t="e">
        <f aca="false">sheet1!atc133</f>
        <v>#NAME?</v>
      </c>
      <c r="J132" s="0" t="e">
        <f aca="false">sheet1!atd133</f>
        <v>#NAME?</v>
      </c>
      <c r="K132" s="0" t="e">
        <f aca="false">sheet1!ate133</f>
        <v>#NAME?</v>
      </c>
      <c r="L132" s="0" t="e">
        <f aca="false">sheet1!atf133</f>
        <v>#NAME?</v>
      </c>
      <c r="M132" s="0" t="e">
        <f aca="false">sheet1!atg133</f>
        <v>#NAME?</v>
      </c>
    </row>
    <row r="133" customFormat="false" ht="13.5" hidden="false" customHeight="false" outlineLevel="0" collapsed="false">
      <c r="A133" s="0" t="s">
        <v>91</v>
      </c>
      <c r="B133" s="1" t="n">
        <v>43993</v>
      </c>
      <c r="C133" s="0" t="e">
        <f aca="false">sheet1!asw134</f>
        <v>#NAME?</v>
      </c>
      <c r="D133" s="0" t="e">
        <f aca="false">sheet1!asx134</f>
        <v>#NAME?</v>
      </c>
      <c r="E133" s="0" t="e">
        <f aca="false">sheet1!asy134</f>
        <v>#NAME?</v>
      </c>
      <c r="F133" s="0" t="e">
        <f aca="false">sheet1!asz134</f>
        <v>#NAME?</v>
      </c>
      <c r="G133" s="0" t="e">
        <f aca="false">sheet1!ata134</f>
        <v>#NAME?</v>
      </c>
      <c r="H133" s="0" t="e">
        <f aca="false">sheet1!atb134</f>
        <v>#NAME?</v>
      </c>
      <c r="I133" s="0" t="e">
        <f aca="false">sheet1!atc134</f>
        <v>#NAME?</v>
      </c>
      <c r="J133" s="0" t="e">
        <f aca="false">sheet1!atd134</f>
        <v>#NAME?</v>
      </c>
      <c r="K133" s="0" t="e">
        <f aca="false">sheet1!ate134</f>
        <v>#NAME?</v>
      </c>
      <c r="L133" s="0" t="e">
        <f aca="false">sheet1!atf134</f>
        <v>#NAME?</v>
      </c>
      <c r="M133" s="0" t="e">
        <f aca="false">sheet1!atg134</f>
        <v>#NAME?</v>
      </c>
    </row>
    <row r="134" customFormat="false" ht="13.5" hidden="false" customHeight="false" outlineLevel="0" collapsed="false">
      <c r="A134" s="0" t="s">
        <v>91</v>
      </c>
      <c r="B134" s="1" t="n">
        <v>43994</v>
      </c>
      <c r="C134" s="0" t="e">
        <f aca="false">sheet1!asw135</f>
        <v>#NAME?</v>
      </c>
      <c r="D134" s="0" t="e">
        <f aca="false">sheet1!asx135</f>
        <v>#NAME?</v>
      </c>
      <c r="E134" s="0" t="e">
        <f aca="false">sheet1!asy135</f>
        <v>#NAME?</v>
      </c>
      <c r="F134" s="0" t="e">
        <f aca="false">sheet1!asz135</f>
        <v>#NAME?</v>
      </c>
      <c r="G134" s="0" t="e">
        <f aca="false">sheet1!ata135</f>
        <v>#NAME?</v>
      </c>
      <c r="H134" s="0" t="e">
        <f aca="false">sheet1!atb135</f>
        <v>#NAME?</v>
      </c>
      <c r="I134" s="0" t="e">
        <f aca="false">sheet1!atc135</f>
        <v>#NAME?</v>
      </c>
      <c r="J134" s="0" t="e">
        <f aca="false">sheet1!atd135</f>
        <v>#NAME?</v>
      </c>
      <c r="K134" s="0" t="e">
        <f aca="false">sheet1!ate135</f>
        <v>#NAME?</v>
      </c>
      <c r="L134" s="0" t="e">
        <f aca="false">sheet1!atf135</f>
        <v>#NAME?</v>
      </c>
      <c r="M134" s="0" t="e">
        <f aca="false">sheet1!atg135</f>
        <v>#NAME?</v>
      </c>
    </row>
    <row r="135" customFormat="false" ht="13.5" hidden="false" customHeight="false" outlineLevel="0" collapsed="false">
      <c r="A135" s="0" t="s">
        <v>91</v>
      </c>
      <c r="B135" s="1" t="n">
        <v>43995</v>
      </c>
      <c r="C135" s="0" t="e">
        <f aca="false">sheet1!asw136</f>
        <v>#NAME?</v>
      </c>
      <c r="D135" s="0" t="e">
        <f aca="false">sheet1!asx136</f>
        <v>#NAME?</v>
      </c>
      <c r="E135" s="0" t="e">
        <f aca="false">sheet1!asy136</f>
        <v>#NAME?</v>
      </c>
      <c r="F135" s="0" t="e">
        <f aca="false">sheet1!asz136</f>
        <v>#NAME?</v>
      </c>
      <c r="G135" s="0" t="e">
        <f aca="false">sheet1!ata136</f>
        <v>#NAME?</v>
      </c>
      <c r="H135" s="0" t="e">
        <f aca="false">sheet1!atb136</f>
        <v>#NAME?</v>
      </c>
      <c r="I135" s="0" t="e">
        <f aca="false">sheet1!atc136</f>
        <v>#NAME?</v>
      </c>
      <c r="J135" s="0" t="e">
        <f aca="false">sheet1!atd136</f>
        <v>#NAME?</v>
      </c>
      <c r="K135" s="0" t="e">
        <f aca="false">sheet1!ate136</f>
        <v>#NAME?</v>
      </c>
      <c r="L135" s="0" t="e">
        <f aca="false">sheet1!atf136</f>
        <v>#NAME?</v>
      </c>
      <c r="M135" s="0" t="e">
        <f aca="false">sheet1!atg136</f>
        <v>#NAME?</v>
      </c>
    </row>
    <row r="136" customFormat="false" ht="13.5" hidden="false" customHeight="false" outlineLevel="0" collapsed="false">
      <c r="A136" s="0" t="s">
        <v>91</v>
      </c>
      <c r="B136" s="1" t="n">
        <v>43996</v>
      </c>
      <c r="C136" s="0" t="e">
        <f aca="false">sheet1!asw137</f>
        <v>#NAME?</v>
      </c>
      <c r="D136" s="0" t="e">
        <f aca="false">sheet1!asx137</f>
        <v>#NAME?</v>
      </c>
      <c r="E136" s="0" t="e">
        <f aca="false">sheet1!asy137</f>
        <v>#NAME?</v>
      </c>
      <c r="F136" s="0" t="e">
        <f aca="false">sheet1!asz137</f>
        <v>#NAME?</v>
      </c>
      <c r="G136" s="0" t="e">
        <f aca="false">sheet1!ata137</f>
        <v>#NAME?</v>
      </c>
      <c r="H136" s="0" t="e">
        <f aca="false">sheet1!atb137</f>
        <v>#NAME?</v>
      </c>
      <c r="I136" s="0" t="e">
        <f aca="false">sheet1!atc137</f>
        <v>#NAME?</v>
      </c>
      <c r="J136" s="0" t="e">
        <f aca="false">sheet1!atd137</f>
        <v>#NAME?</v>
      </c>
      <c r="K136" s="0" t="e">
        <f aca="false">sheet1!ate137</f>
        <v>#NAME?</v>
      </c>
      <c r="L136" s="0" t="e">
        <f aca="false">sheet1!atf137</f>
        <v>#NAME?</v>
      </c>
      <c r="M136" s="0" t="e">
        <f aca="false">sheet1!atg137</f>
        <v>#NAME?</v>
      </c>
    </row>
    <row r="137" customFormat="false" ht="13.5" hidden="false" customHeight="false" outlineLevel="0" collapsed="false">
      <c r="A137" s="0" t="s">
        <v>91</v>
      </c>
      <c r="B137" s="1" t="n">
        <v>43997</v>
      </c>
      <c r="C137" s="0" t="e">
        <f aca="false">sheet1!asw138</f>
        <v>#NAME?</v>
      </c>
      <c r="D137" s="0" t="e">
        <f aca="false">sheet1!asx138</f>
        <v>#NAME?</v>
      </c>
      <c r="E137" s="0" t="e">
        <f aca="false">sheet1!asy138</f>
        <v>#NAME?</v>
      </c>
      <c r="F137" s="0" t="e">
        <f aca="false">sheet1!asz138</f>
        <v>#NAME?</v>
      </c>
      <c r="G137" s="0" t="e">
        <f aca="false">sheet1!ata138</f>
        <v>#NAME?</v>
      </c>
      <c r="H137" s="0" t="e">
        <f aca="false">sheet1!atb138</f>
        <v>#NAME?</v>
      </c>
      <c r="I137" s="0" t="e">
        <f aca="false">sheet1!atc138</f>
        <v>#NAME?</v>
      </c>
      <c r="J137" s="0" t="e">
        <f aca="false">sheet1!atd138</f>
        <v>#NAME?</v>
      </c>
      <c r="K137" s="0" t="e">
        <f aca="false">sheet1!ate138</f>
        <v>#NAME?</v>
      </c>
      <c r="L137" s="0" t="e">
        <f aca="false">sheet1!atf138</f>
        <v>#NAME?</v>
      </c>
      <c r="M137" s="0" t="e">
        <f aca="false">sheet1!atg138</f>
        <v>#NAME?</v>
      </c>
    </row>
    <row r="138" customFormat="false" ht="13.5" hidden="false" customHeight="false" outlineLevel="0" collapsed="false">
      <c r="A138" s="0" t="s">
        <v>91</v>
      </c>
      <c r="B138" s="1" t="n">
        <v>43998</v>
      </c>
      <c r="C138" s="0" t="e">
        <f aca="false">sheet1!asw139</f>
        <v>#NAME?</v>
      </c>
      <c r="D138" s="0" t="e">
        <f aca="false">sheet1!asx139</f>
        <v>#NAME?</v>
      </c>
      <c r="E138" s="0" t="e">
        <f aca="false">sheet1!asy139</f>
        <v>#NAME?</v>
      </c>
      <c r="F138" s="0" t="e">
        <f aca="false">sheet1!asz139</f>
        <v>#NAME?</v>
      </c>
      <c r="G138" s="0" t="e">
        <f aca="false">sheet1!ata139</f>
        <v>#NAME?</v>
      </c>
      <c r="H138" s="0" t="e">
        <f aca="false">sheet1!atb139</f>
        <v>#NAME?</v>
      </c>
      <c r="I138" s="0" t="e">
        <f aca="false">sheet1!atc139</f>
        <v>#NAME?</v>
      </c>
      <c r="J138" s="0" t="e">
        <f aca="false">sheet1!atd139</f>
        <v>#NAME?</v>
      </c>
      <c r="K138" s="0" t="e">
        <f aca="false">sheet1!ate139</f>
        <v>#NAME?</v>
      </c>
      <c r="L138" s="0" t="e">
        <f aca="false">sheet1!atf139</f>
        <v>#NAME?</v>
      </c>
      <c r="M138" s="0" t="e">
        <f aca="false">sheet1!atg139</f>
        <v>#NAME?</v>
      </c>
    </row>
    <row r="139" customFormat="false" ht="13.5" hidden="false" customHeight="false" outlineLevel="0" collapsed="false">
      <c r="A139" s="0" t="s">
        <v>91</v>
      </c>
      <c r="B139" s="1" t="n">
        <v>43999</v>
      </c>
      <c r="C139" s="0" t="e">
        <f aca="false">sheet1!asw140</f>
        <v>#NAME?</v>
      </c>
      <c r="D139" s="0" t="e">
        <f aca="false">sheet1!asx140</f>
        <v>#NAME?</v>
      </c>
      <c r="E139" s="0" t="e">
        <f aca="false">sheet1!asy140</f>
        <v>#NAME?</v>
      </c>
      <c r="F139" s="0" t="e">
        <f aca="false">sheet1!asz140</f>
        <v>#NAME?</v>
      </c>
      <c r="G139" s="0" t="e">
        <f aca="false">sheet1!ata140</f>
        <v>#NAME?</v>
      </c>
      <c r="H139" s="0" t="e">
        <f aca="false">sheet1!atb140</f>
        <v>#NAME?</v>
      </c>
      <c r="I139" s="0" t="e">
        <f aca="false">sheet1!atc140</f>
        <v>#NAME?</v>
      </c>
      <c r="J139" s="0" t="e">
        <f aca="false">sheet1!atd140</f>
        <v>#NAME?</v>
      </c>
      <c r="K139" s="0" t="e">
        <f aca="false">sheet1!ate140</f>
        <v>#NAME?</v>
      </c>
      <c r="L139" s="0" t="e">
        <f aca="false">sheet1!atf140</f>
        <v>#NAME?</v>
      </c>
      <c r="M139" s="0" t="e">
        <f aca="false">sheet1!atg140</f>
        <v>#NAME?</v>
      </c>
    </row>
    <row r="140" customFormat="false" ht="13.5" hidden="false" customHeight="false" outlineLevel="0" collapsed="false">
      <c r="A140" s="0" t="s">
        <v>91</v>
      </c>
      <c r="B140" s="1" t="n">
        <v>44000</v>
      </c>
      <c r="C140" s="0" t="e">
        <f aca="false">sheet1!asw141</f>
        <v>#NAME?</v>
      </c>
      <c r="D140" s="0" t="e">
        <f aca="false">sheet1!asx141</f>
        <v>#NAME?</v>
      </c>
      <c r="E140" s="0" t="e">
        <f aca="false">sheet1!asy141</f>
        <v>#NAME?</v>
      </c>
      <c r="F140" s="0" t="e">
        <f aca="false">sheet1!asz141</f>
        <v>#NAME?</v>
      </c>
      <c r="G140" s="0" t="e">
        <f aca="false">sheet1!ata141</f>
        <v>#NAME?</v>
      </c>
      <c r="H140" s="0" t="e">
        <f aca="false">sheet1!atb141</f>
        <v>#NAME?</v>
      </c>
      <c r="I140" s="0" t="e">
        <f aca="false">sheet1!atc141</f>
        <v>#NAME?</v>
      </c>
      <c r="J140" s="0" t="e">
        <f aca="false">sheet1!atd141</f>
        <v>#NAME?</v>
      </c>
      <c r="K140" s="0" t="e">
        <f aca="false">sheet1!ate141</f>
        <v>#NAME?</v>
      </c>
      <c r="L140" s="0" t="e">
        <f aca="false">sheet1!atf141</f>
        <v>#NAME?</v>
      </c>
      <c r="M140" s="0" t="e">
        <f aca="false">sheet1!atg141</f>
        <v>#NAME?</v>
      </c>
    </row>
    <row r="141" customFormat="false" ht="13.5" hidden="false" customHeight="false" outlineLevel="0" collapsed="false">
      <c r="A141" s="0" t="s">
        <v>91</v>
      </c>
      <c r="B141" s="1" t="n">
        <v>44001</v>
      </c>
      <c r="C141" s="0" t="e">
        <f aca="false">sheet1!asw142</f>
        <v>#NAME?</v>
      </c>
      <c r="D141" s="0" t="e">
        <f aca="false">sheet1!asx142</f>
        <v>#NAME?</v>
      </c>
      <c r="E141" s="0" t="e">
        <f aca="false">sheet1!asy142</f>
        <v>#NAME?</v>
      </c>
      <c r="F141" s="0" t="e">
        <f aca="false">sheet1!asz142</f>
        <v>#NAME?</v>
      </c>
      <c r="G141" s="0" t="e">
        <f aca="false">sheet1!ata142</f>
        <v>#NAME?</v>
      </c>
      <c r="H141" s="0" t="e">
        <f aca="false">sheet1!atb142</f>
        <v>#NAME?</v>
      </c>
      <c r="I141" s="0" t="e">
        <f aca="false">sheet1!atc142</f>
        <v>#NAME?</v>
      </c>
      <c r="J141" s="0" t="e">
        <f aca="false">sheet1!atd142</f>
        <v>#NAME?</v>
      </c>
      <c r="K141" s="0" t="e">
        <f aca="false">sheet1!ate142</f>
        <v>#NAME?</v>
      </c>
      <c r="L141" s="0" t="e">
        <f aca="false">sheet1!atf142</f>
        <v>#NAME?</v>
      </c>
      <c r="M141" s="0" t="e">
        <f aca="false">sheet1!atg142</f>
        <v>#NAME?</v>
      </c>
    </row>
    <row r="142" customFormat="false" ht="13.5" hidden="false" customHeight="false" outlineLevel="0" collapsed="false">
      <c r="A142" s="0" t="s">
        <v>91</v>
      </c>
      <c r="B142" s="1" t="n">
        <v>44002</v>
      </c>
      <c r="C142" s="0" t="e">
        <f aca="false">sheet1!asw143</f>
        <v>#NAME?</v>
      </c>
      <c r="D142" s="0" t="e">
        <f aca="false">sheet1!asx143</f>
        <v>#NAME?</v>
      </c>
      <c r="E142" s="0" t="e">
        <f aca="false">sheet1!asy143</f>
        <v>#NAME?</v>
      </c>
      <c r="F142" s="0" t="e">
        <f aca="false">sheet1!asz143</f>
        <v>#NAME?</v>
      </c>
      <c r="G142" s="0" t="e">
        <f aca="false">sheet1!ata143</f>
        <v>#NAME?</v>
      </c>
      <c r="H142" s="0" t="e">
        <f aca="false">sheet1!atb143</f>
        <v>#NAME?</v>
      </c>
      <c r="I142" s="0" t="e">
        <f aca="false">sheet1!atc143</f>
        <v>#NAME?</v>
      </c>
      <c r="J142" s="0" t="e">
        <f aca="false">sheet1!atd143</f>
        <v>#NAME?</v>
      </c>
      <c r="K142" s="0" t="e">
        <f aca="false">sheet1!ate143</f>
        <v>#NAME?</v>
      </c>
      <c r="L142" s="0" t="e">
        <f aca="false">sheet1!atf143</f>
        <v>#NAME?</v>
      </c>
      <c r="M142" s="0" t="e">
        <f aca="false">sheet1!atg143</f>
        <v>#NAME?</v>
      </c>
    </row>
    <row r="143" customFormat="false" ht="13.5" hidden="false" customHeight="false" outlineLevel="0" collapsed="false">
      <c r="A143" s="0" t="s">
        <v>91</v>
      </c>
      <c r="B143" s="1" t="n">
        <v>44003</v>
      </c>
      <c r="C143" s="0" t="e">
        <f aca="false">sheet1!asw144</f>
        <v>#NAME?</v>
      </c>
      <c r="D143" s="0" t="e">
        <f aca="false">sheet1!asx144</f>
        <v>#NAME?</v>
      </c>
      <c r="E143" s="0" t="e">
        <f aca="false">sheet1!asy144</f>
        <v>#NAME?</v>
      </c>
      <c r="F143" s="0" t="e">
        <f aca="false">sheet1!asz144</f>
        <v>#NAME?</v>
      </c>
      <c r="G143" s="0" t="e">
        <f aca="false">sheet1!ata144</f>
        <v>#NAME?</v>
      </c>
      <c r="H143" s="0" t="e">
        <f aca="false">sheet1!atb144</f>
        <v>#NAME?</v>
      </c>
      <c r="I143" s="0" t="e">
        <f aca="false">sheet1!atc144</f>
        <v>#NAME?</v>
      </c>
      <c r="J143" s="0" t="e">
        <f aca="false">sheet1!atd144</f>
        <v>#NAME?</v>
      </c>
      <c r="K143" s="0" t="e">
        <f aca="false">sheet1!ate144</f>
        <v>#NAME?</v>
      </c>
      <c r="L143" s="0" t="e">
        <f aca="false">sheet1!atf144</f>
        <v>#NAME?</v>
      </c>
      <c r="M143" s="0" t="e">
        <f aca="false">sheet1!atg144</f>
        <v>#NAME?</v>
      </c>
    </row>
    <row r="144" customFormat="false" ht="13.5" hidden="false" customHeight="false" outlineLevel="0" collapsed="false">
      <c r="A144" s="0" t="s">
        <v>91</v>
      </c>
      <c r="B144" s="1" t="n">
        <v>44004</v>
      </c>
      <c r="C144" s="0" t="e">
        <f aca="false">sheet1!asw145</f>
        <v>#NAME?</v>
      </c>
      <c r="D144" s="0" t="e">
        <f aca="false">sheet1!asx145</f>
        <v>#NAME?</v>
      </c>
      <c r="E144" s="0" t="e">
        <f aca="false">sheet1!asy145</f>
        <v>#NAME?</v>
      </c>
      <c r="F144" s="0" t="e">
        <f aca="false">sheet1!asz145</f>
        <v>#NAME?</v>
      </c>
      <c r="G144" s="0" t="e">
        <f aca="false">sheet1!ata145</f>
        <v>#NAME?</v>
      </c>
      <c r="H144" s="0" t="e">
        <f aca="false">sheet1!atb145</f>
        <v>#NAME?</v>
      </c>
      <c r="I144" s="0" t="e">
        <f aca="false">sheet1!atc145</f>
        <v>#NAME?</v>
      </c>
      <c r="J144" s="0" t="e">
        <f aca="false">sheet1!atd145</f>
        <v>#NAME?</v>
      </c>
      <c r="K144" s="0" t="e">
        <f aca="false">sheet1!ate145</f>
        <v>#NAME?</v>
      </c>
      <c r="L144" s="0" t="e">
        <f aca="false">sheet1!atf145</f>
        <v>#NAME?</v>
      </c>
      <c r="M144" s="0" t="e">
        <f aca="false">sheet1!atg145</f>
        <v>#NAME?</v>
      </c>
    </row>
    <row r="145" customFormat="false" ht="13.5" hidden="false" customHeight="false" outlineLevel="0" collapsed="false">
      <c r="A145" s="0" t="s">
        <v>91</v>
      </c>
      <c r="B145" s="1" t="n">
        <v>44005</v>
      </c>
      <c r="C145" s="0" t="e">
        <f aca="false">sheet1!asw146</f>
        <v>#NAME?</v>
      </c>
      <c r="D145" s="0" t="e">
        <f aca="false">sheet1!asx146</f>
        <v>#NAME?</v>
      </c>
      <c r="E145" s="0" t="e">
        <f aca="false">sheet1!asy146</f>
        <v>#NAME?</v>
      </c>
      <c r="F145" s="0" t="e">
        <f aca="false">sheet1!asz146</f>
        <v>#NAME?</v>
      </c>
      <c r="G145" s="0" t="e">
        <f aca="false">sheet1!ata146</f>
        <v>#NAME?</v>
      </c>
      <c r="H145" s="0" t="e">
        <f aca="false">sheet1!atb146</f>
        <v>#NAME?</v>
      </c>
      <c r="I145" s="0" t="e">
        <f aca="false">sheet1!atc146</f>
        <v>#NAME?</v>
      </c>
      <c r="J145" s="0" t="e">
        <f aca="false">sheet1!atd146</f>
        <v>#NAME?</v>
      </c>
      <c r="K145" s="0" t="e">
        <f aca="false">sheet1!ate146</f>
        <v>#NAME?</v>
      </c>
      <c r="L145" s="0" t="e">
        <f aca="false">sheet1!atf146</f>
        <v>#NAME?</v>
      </c>
      <c r="M145" s="0" t="e">
        <f aca="false">sheet1!atg146</f>
        <v>#NAME?</v>
      </c>
    </row>
    <row r="146" customFormat="false" ht="13.5" hidden="false" customHeight="false" outlineLevel="0" collapsed="false">
      <c r="A146" s="0" t="s">
        <v>91</v>
      </c>
      <c r="B146" s="1" t="n">
        <v>44006</v>
      </c>
      <c r="C146" s="0" t="e">
        <f aca="false">sheet1!asw147</f>
        <v>#NAME?</v>
      </c>
      <c r="D146" s="0" t="e">
        <f aca="false">sheet1!asx147</f>
        <v>#NAME?</v>
      </c>
      <c r="E146" s="0" t="e">
        <f aca="false">sheet1!asy147</f>
        <v>#NAME?</v>
      </c>
      <c r="F146" s="0" t="e">
        <f aca="false">sheet1!asz147</f>
        <v>#NAME?</v>
      </c>
      <c r="G146" s="0" t="e">
        <f aca="false">sheet1!ata147</f>
        <v>#NAME?</v>
      </c>
      <c r="H146" s="0" t="e">
        <f aca="false">sheet1!atb147</f>
        <v>#NAME?</v>
      </c>
      <c r="I146" s="0" t="e">
        <f aca="false">sheet1!atc147</f>
        <v>#NAME?</v>
      </c>
      <c r="J146" s="0" t="e">
        <f aca="false">sheet1!atd147</f>
        <v>#NAME?</v>
      </c>
      <c r="K146" s="0" t="e">
        <f aca="false">sheet1!ate147</f>
        <v>#NAME?</v>
      </c>
      <c r="L146" s="0" t="e">
        <f aca="false">sheet1!atf147</f>
        <v>#NAME?</v>
      </c>
      <c r="M146" s="0" t="e">
        <f aca="false">sheet1!atg147</f>
        <v>#NAME?</v>
      </c>
    </row>
    <row r="147" customFormat="false" ht="13.5" hidden="false" customHeight="false" outlineLevel="0" collapsed="false">
      <c r="A147" s="0" t="s">
        <v>91</v>
      </c>
      <c r="B147" s="1" t="n">
        <v>44007</v>
      </c>
      <c r="C147" s="0" t="e">
        <f aca="false">sheet1!asw148</f>
        <v>#NAME?</v>
      </c>
      <c r="D147" s="0" t="e">
        <f aca="false">sheet1!asx148</f>
        <v>#NAME?</v>
      </c>
      <c r="E147" s="0" t="e">
        <f aca="false">sheet1!asy148</f>
        <v>#NAME?</v>
      </c>
      <c r="F147" s="0" t="e">
        <f aca="false">sheet1!asz148</f>
        <v>#NAME?</v>
      </c>
      <c r="G147" s="0" t="e">
        <f aca="false">sheet1!ata148</f>
        <v>#NAME?</v>
      </c>
      <c r="H147" s="0" t="e">
        <f aca="false">sheet1!atb148</f>
        <v>#NAME?</v>
      </c>
      <c r="I147" s="0" t="e">
        <f aca="false">sheet1!atc148</f>
        <v>#NAME?</v>
      </c>
      <c r="J147" s="0" t="e">
        <f aca="false">sheet1!atd148</f>
        <v>#NAME?</v>
      </c>
      <c r="K147" s="0" t="e">
        <f aca="false">sheet1!ate148</f>
        <v>#NAME?</v>
      </c>
      <c r="L147" s="0" t="e">
        <f aca="false">sheet1!atf148</f>
        <v>#NAME?</v>
      </c>
      <c r="M147" s="0" t="e">
        <f aca="false">sheet1!atg148</f>
        <v>#NAME?</v>
      </c>
    </row>
    <row r="148" customFormat="false" ht="13.5" hidden="false" customHeight="false" outlineLevel="0" collapsed="false">
      <c r="A148" s="0" t="s">
        <v>91</v>
      </c>
      <c r="B148" s="1" t="n">
        <v>44008</v>
      </c>
      <c r="C148" s="0" t="e">
        <f aca="false">sheet1!asw149</f>
        <v>#NAME?</v>
      </c>
      <c r="D148" s="0" t="e">
        <f aca="false">sheet1!asx149</f>
        <v>#NAME?</v>
      </c>
      <c r="E148" s="0" t="e">
        <f aca="false">sheet1!asy149</f>
        <v>#NAME?</v>
      </c>
      <c r="F148" s="0" t="e">
        <f aca="false">sheet1!asz149</f>
        <v>#NAME?</v>
      </c>
      <c r="G148" s="0" t="e">
        <f aca="false">sheet1!ata149</f>
        <v>#NAME?</v>
      </c>
      <c r="H148" s="0" t="e">
        <f aca="false">sheet1!atb149</f>
        <v>#NAME?</v>
      </c>
      <c r="I148" s="0" t="e">
        <f aca="false">sheet1!atc149</f>
        <v>#NAME?</v>
      </c>
      <c r="J148" s="0" t="e">
        <f aca="false">sheet1!atd149</f>
        <v>#NAME?</v>
      </c>
      <c r="K148" s="0" t="e">
        <f aca="false">sheet1!ate149</f>
        <v>#NAME?</v>
      </c>
      <c r="L148" s="0" t="e">
        <f aca="false">sheet1!atf149</f>
        <v>#NAME?</v>
      </c>
      <c r="M148" s="0" t="e">
        <f aca="false">sheet1!atg149</f>
        <v>#NAME?</v>
      </c>
    </row>
    <row r="149" customFormat="false" ht="13.5" hidden="false" customHeight="false" outlineLevel="0" collapsed="false">
      <c r="A149" s="0" t="s">
        <v>91</v>
      </c>
      <c r="B149" s="1" t="n">
        <v>44009</v>
      </c>
      <c r="C149" s="0" t="e">
        <f aca="false">sheet1!asw150</f>
        <v>#NAME?</v>
      </c>
      <c r="D149" s="0" t="e">
        <f aca="false">sheet1!asx150</f>
        <v>#NAME?</v>
      </c>
      <c r="E149" s="0" t="e">
        <f aca="false">sheet1!asy150</f>
        <v>#NAME?</v>
      </c>
      <c r="F149" s="0" t="e">
        <f aca="false">sheet1!asz150</f>
        <v>#NAME?</v>
      </c>
      <c r="G149" s="0" t="e">
        <f aca="false">sheet1!ata150</f>
        <v>#NAME?</v>
      </c>
      <c r="H149" s="0" t="e">
        <f aca="false">sheet1!atb150</f>
        <v>#NAME?</v>
      </c>
      <c r="I149" s="0" t="e">
        <f aca="false">sheet1!atc150</f>
        <v>#NAME?</v>
      </c>
      <c r="J149" s="0" t="e">
        <f aca="false">sheet1!atd150</f>
        <v>#NAME?</v>
      </c>
      <c r="K149" s="0" t="e">
        <f aca="false">sheet1!ate150</f>
        <v>#NAME?</v>
      </c>
      <c r="L149" s="0" t="e">
        <f aca="false">sheet1!atf150</f>
        <v>#NAME?</v>
      </c>
      <c r="M149" s="0" t="e">
        <f aca="false">sheet1!atg150</f>
        <v>#NAME?</v>
      </c>
    </row>
    <row r="150" customFormat="false" ht="13.5" hidden="false" customHeight="false" outlineLevel="0" collapsed="false">
      <c r="A150" s="0" t="s">
        <v>91</v>
      </c>
      <c r="B150" s="1" t="n">
        <v>44010</v>
      </c>
      <c r="C150" s="0" t="e">
        <f aca="false">sheet1!asw151</f>
        <v>#NAME?</v>
      </c>
      <c r="D150" s="0" t="e">
        <f aca="false">sheet1!asx151</f>
        <v>#NAME?</v>
      </c>
      <c r="E150" s="0" t="e">
        <f aca="false">sheet1!asy151</f>
        <v>#NAME?</v>
      </c>
      <c r="F150" s="0" t="e">
        <f aca="false">sheet1!asz151</f>
        <v>#NAME?</v>
      </c>
      <c r="G150" s="0" t="e">
        <f aca="false">sheet1!ata151</f>
        <v>#NAME?</v>
      </c>
      <c r="H150" s="0" t="e">
        <f aca="false">sheet1!atb151</f>
        <v>#NAME?</v>
      </c>
      <c r="I150" s="0" t="e">
        <f aca="false">sheet1!atc151</f>
        <v>#NAME?</v>
      </c>
      <c r="J150" s="0" t="e">
        <f aca="false">sheet1!atd151</f>
        <v>#NAME?</v>
      </c>
      <c r="K150" s="0" t="e">
        <f aca="false">sheet1!ate151</f>
        <v>#NAME?</v>
      </c>
      <c r="L150" s="0" t="e">
        <f aca="false">sheet1!atf151</f>
        <v>#NAME?</v>
      </c>
      <c r="M150" s="0" t="e">
        <f aca="false">sheet1!atg151</f>
        <v>#NAME?</v>
      </c>
    </row>
    <row r="151" customFormat="false" ht="13.5" hidden="false" customHeight="false" outlineLevel="0" collapsed="false">
      <c r="A151" s="0" t="s">
        <v>91</v>
      </c>
      <c r="B151" s="1" t="n">
        <v>44011</v>
      </c>
      <c r="C151" s="0" t="e">
        <f aca="false">sheet1!asw152</f>
        <v>#NAME?</v>
      </c>
      <c r="D151" s="0" t="e">
        <f aca="false">sheet1!asx152</f>
        <v>#NAME?</v>
      </c>
      <c r="E151" s="0" t="e">
        <f aca="false">sheet1!asy152</f>
        <v>#NAME?</v>
      </c>
      <c r="F151" s="0" t="e">
        <f aca="false">sheet1!asz152</f>
        <v>#NAME?</v>
      </c>
      <c r="G151" s="0" t="e">
        <f aca="false">sheet1!ata152</f>
        <v>#NAME?</v>
      </c>
      <c r="H151" s="0" t="e">
        <f aca="false">sheet1!atb152</f>
        <v>#NAME?</v>
      </c>
      <c r="I151" s="0" t="e">
        <f aca="false">sheet1!atc152</f>
        <v>#NAME?</v>
      </c>
      <c r="J151" s="0" t="e">
        <f aca="false">sheet1!atd152</f>
        <v>#NAME?</v>
      </c>
      <c r="K151" s="0" t="e">
        <f aca="false">sheet1!ate152</f>
        <v>#NAME?</v>
      </c>
      <c r="L151" s="0" t="e">
        <f aca="false">sheet1!atf152</f>
        <v>#NAME?</v>
      </c>
      <c r="M151" s="0" t="e">
        <f aca="false">sheet1!atg152</f>
        <v>#NAME?</v>
      </c>
    </row>
    <row r="152" customFormat="false" ht="13.5" hidden="false" customHeight="false" outlineLevel="0" collapsed="false">
      <c r="A152" s="0" t="s">
        <v>91</v>
      </c>
      <c r="B152" s="1" t="n">
        <v>44012</v>
      </c>
      <c r="C152" s="0" t="e">
        <f aca="false">sheet1!asw153</f>
        <v>#NAME?</v>
      </c>
      <c r="D152" s="0" t="e">
        <f aca="false">sheet1!asx153</f>
        <v>#NAME?</v>
      </c>
      <c r="E152" s="0" t="e">
        <f aca="false">sheet1!asy153</f>
        <v>#NAME?</v>
      </c>
      <c r="F152" s="0" t="e">
        <f aca="false">sheet1!asz153</f>
        <v>#NAME?</v>
      </c>
      <c r="G152" s="0" t="e">
        <f aca="false">sheet1!ata153</f>
        <v>#NAME?</v>
      </c>
      <c r="H152" s="0" t="e">
        <f aca="false">sheet1!atb153</f>
        <v>#NAME?</v>
      </c>
      <c r="I152" s="0" t="e">
        <f aca="false">sheet1!atc153</f>
        <v>#NAME?</v>
      </c>
      <c r="J152" s="0" t="e">
        <f aca="false">sheet1!atd153</f>
        <v>#NAME?</v>
      </c>
      <c r="K152" s="0" t="e">
        <f aca="false">sheet1!ate153</f>
        <v>#NAME?</v>
      </c>
      <c r="L152" s="0" t="e">
        <f aca="false">sheet1!atf153</f>
        <v>#NAME?</v>
      </c>
      <c r="M152" s="0" t="e">
        <f aca="false">sheet1!atg153</f>
        <v>#NAME?</v>
      </c>
    </row>
    <row r="153" customFormat="false" ht="13.5" hidden="false" customHeight="false" outlineLevel="0" collapsed="false">
      <c r="A153" s="0" t="s">
        <v>91</v>
      </c>
      <c r="B153" s="1" t="n">
        <v>44013</v>
      </c>
      <c r="C153" s="0" t="e">
        <f aca="false">sheet1!asw154</f>
        <v>#NAME?</v>
      </c>
      <c r="D153" s="0" t="e">
        <f aca="false">sheet1!asx154</f>
        <v>#NAME?</v>
      </c>
      <c r="E153" s="0" t="e">
        <f aca="false">sheet1!asy154</f>
        <v>#NAME?</v>
      </c>
      <c r="F153" s="0" t="e">
        <f aca="false">sheet1!asz154</f>
        <v>#NAME?</v>
      </c>
      <c r="G153" s="0" t="e">
        <f aca="false">sheet1!ata154</f>
        <v>#NAME?</v>
      </c>
      <c r="H153" s="0" t="e">
        <f aca="false">sheet1!atb154</f>
        <v>#NAME?</v>
      </c>
      <c r="I153" s="0" t="e">
        <f aca="false">sheet1!atc154</f>
        <v>#NAME?</v>
      </c>
      <c r="J153" s="0" t="e">
        <f aca="false">sheet1!atd154</f>
        <v>#NAME?</v>
      </c>
      <c r="K153" s="0" t="e">
        <f aca="false">sheet1!ate154</f>
        <v>#NAME?</v>
      </c>
      <c r="L153" s="0" t="e">
        <f aca="false">sheet1!atf154</f>
        <v>#NAME?</v>
      </c>
      <c r="M153" s="0" t="e">
        <f aca="false">sheet1!atg154</f>
        <v>#NAME?</v>
      </c>
    </row>
    <row r="154" customFormat="false" ht="13.5" hidden="false" customHeight="false" outlineLevel="0" collapsed="false">
      <c r="A154" s="0" t="s">
        <v>91</v>
      </c>
      <c r="B154" s="1" t="n">
        <v>44014</v>
      </c>
      <c r="C154" s="0" t="e">
        <f aca="false">sheet1!asw155</f>
        <v>#NAME?</v>
      </c>
      <c r="D154" s="0" t="e">
        <f aca="false">sheet1!asx155</f>
        <v>#NAME?</v>
      </c>
      <c r="E154" s="0" t="e">
        <f aca="false">sheet1!asy155</f>
        <v>#NAME?</v>
      </c>
      <c r="F154" s="0" t="e">
        <f aca="false">sheet1!asz155</f>
        <v>#NAME?</v>
      </c>
      <c r="G154" s="0" t="e">
        <f aca="false">sheet1!ata155</f>
        <v>#NAME?</v>
      </c>
      <c r="H154" s="0" t="e">
        <f aca="false">sheet1!atb155</f>
        <v>#NAME?</v>
      </c>
      <c r="I154" s="0" t="e">
        <f aca="false">sheet1!atc155</f>
        <v>#NAME?</v>
      </c>
      <c r="J154" s="0" t="e">
        <f aca="false">sheet1!atd155</f>
        <v>#NAME?</v>
      </c>
      <c r="K154" s="0" t="e">
        <f aca="false">sheet1!ate155</f>
        <v>#NAME?</v>
      </c>
      <c r="L154" s="0" t="e">
        <f aca="false">sheet1!atf155</f>
        <v>#NAME?</v>
      </c>
      <c r="M154" s="0" t="e">
        <f aca="false">sheet1!atg155</f>
        <v>#NAME?</v>
      </c>
    </row>
    <row r="155" customFormat="false" ht="13.5" hidden="false" customHeight="false" outlineLevel="0" collapsed="false">
      <c r="A155" s="0" t="s">
        <v>91</v>
      </c>
      <c r="B155" s="1" t="n">
        <v>44015</v>
      </c>
      <c r="C155" s="0" t="e">
        <f aca="false">sheet1!asw156</f>
        <v>#NAME?</v>
      </c>
      <c r="D155" s="0" t="e">
        <f aca="false">sheet1!asx156</f>
        <v>#NAME?</v>
      </c>
      <c r="E155" s="0" t="e">
        <f aca="false">sheet1!asy156</f>
        <v>#NAME?</v>
      </c>
      <c r="F155" s="0" t="e">
        <f aca="false">sheet1!asz156</f>
        <v>#NAME?</v>
      </c>
      <c r="G155" s="0" t="e">
        <f aca="false">sheet1!ata156</f>
        <v>#NAME?</v>
      </c>
      <c r="H155" s="0" t="e">
        <f aca="false">sheet1!atb156</f>
        <v>#NAME?</v>
      </c>
      <c r="I155" s="0" t="e">
        <f aca="false">sheet1!atc156</f>
        <v>#NAME?</v>
      </c>
      <c r="J155" s="0" t="e">
        <f aca="false">sheet1!atd156</f>
        <v>#NAME?</v>
      </c>
      <c r="K155" s="0" t="e">
        <f aca="false">sheet1!ate156</f>
        <v>#NAME?</v>
      </c>
      <c r="L155" s="0" t="e">
        <f aca="false">sheet1!atf156</f>
        <v>#NAME?</v>
      </c>
      <c r="M155" s="0" t="e">
        <f aca="false">sheet1!atg156</f>
        <v>#NAME?</v>
      </c>
    </row>
    <row r="156" customFormat="false" ht="13.5" hidden="false" customHeight="false" outlineLevel="0" collapsed="false">
      <c r="A156" s="0" t="s">
        <v>91</v>
      </c>
      <c r="B156" s="1" t="n">
        <v>44016</v>
      </c>
      <c r="C156" s="0" t="e">
        <f aca="false">sheet1!asw157</f>
        <v>#NAME?</v>
      </c>
      <c r="D156" s="0" t="e">
        <f aca="false">sheet1!asx157</f>
        <v>#NAME?</v>
      </c>
      <c r="E156" s="0" t="e">
        <f aca="false">sheet1!asy157</f>
        <v>#NAME?</v>
      </c>
      <c r="F156" s="0" t="e">
        <f aca="false">sheet1!asz157</f>
        <v>#NAME?</v>
      </c>
      <c r="G156" s="0" t="e">
        <f aca="false">sheet1!ata157</f>
        <v>#NAME?</v>
      </c>
      <c r="H156" s="0" t="e">
        <f aca="false">sheet1!atb157</f>
        <v>#NAME?</v>
      </c>
      <c r="I156" s="0" t="e">
        <f aca="false">sheet1!atc157</f>
        <v>#NAME?</v>
      </c>
      <c r="J156" s="0" t="e">
        <f aca="false">sheet1!atd157</f>
        <v>#NAME?</v>
      </c>
      <c r="K156" s="0" t="e">
        <f aca="false">sheet1!ate157</f>
        <v>#NAME?</v>
      </c>
      <c r="L156" s="0" t="e">
        <f aca="false">sheet1!atf157</f>
        <v>#NAME?</v>
      </c>
      <c r="M156" s="0" t="e">
        <f aca="false">sheet1!atg157</f>
        <v>#NAME?</v>
      </c>
    </row>
    <row r="157" customFormat="false" ht="13.5" hidden="false" customHeight="false" outlineLevel="0" collapsed="false">
      <c r="A157" s="0" t="s">
        <v>91</v>
      </c>
      <c r="B157" s="1" t="n">
        <v>44017</v>
      </c>
      <c r="C157" s="0" t="e">
        <f aca="false">sheet1!asw158</f>
        <v>#NAME?</v>
      </c>
      <c r="D157" s="0" t="e">
        <f aca="false">sheet1!asx158</f>
        <v>#NAME?</v>
      </c>
      <c r="E157" s="0" t="e">
        <f aca="false">sheet1!asy158</f>
        <v>#NAME?</v>
      </c>
      <c r="F157" s="0" t="e">
        <f aca="false">sheet1!asz158</f>
        <v>#NAME?</v>
      </c>
      <c r="G157" s="0" t="e">
        <f aca="false">sheet1!ata158</f>
        <v>#NAME?</v>
      </c>
      <c r="H157" s="0" t="e">
        <f aca="false">sheet1!atb158</f>
        <v>#NAME?</v>
      </c>
      <c r="I157" s="0" t="e">
        <f aca="false">sheet1!atc158</f>
        <v>#NAME?</v>
      </c>
      <c r="J157" s="0" t="e">
        <f aca="false">sheet1!atd158</f>
        <v>#NAME?</v>
      </c>
      <c r="K157" s="0" t="e">
        <f aca="false">sheet1!ate158</f>
        <v>#NAME?</v>
      </c>
      <c r="L157" s="0" t="e">
        <f aca="false">sheet1!atf158</f>
        <v>#NAME?</v>
      </c>
      <c r="M157" s="0" t="e">
        <f aca="false">sheet1!atg158</f>
        <v>#NAME?</v>
      </c>
    </row>
    <row r="158" customFormat="false" ht="13.5" hidden="false" customHeight="false" outlineLevel="0" collapsed="false">
      <c r="A158" s="0" t="s">
        <v>91</v>
      </c>
      <c r="B158" s="1" t="n">
        <v>44018</v>
      </c>
      <c r="C158" s="0" t="e">
        <f aca="false">sheet1!asw159</f>
        <v>#NAME?</v>
      </c>
      <c r="D158" s="0" t="e">
        <f aca="false">sheet1!asx159</f>
        <v>#NAME?</v>
      </c>
      <c r="E158" s="0" t="e">
        <f aca="false">sheet1!asy159</f>
        <v>#NAME?</v>
      </c>
      <c r="F158" s="0" t="e">
        <f aca="false">sheet1!asz159</f>
        <v>#NAME?</v>
      </c>
      <c r="G158" s="0" t="e">
        <f aca="false">sheet1!ata159</f>
        <v>#NAME?</v>
      </c>
      <c r="H158" s="0" t="e">
        <f aca="false">sheet1!atb159</f>
        <v>#NAME?</v>
      </c>
      <c r="I158" s="0" t="e">
        <f aca="false">sheet1!atc159</f>
        <v>#NAME?</v>
      </c>
      <c r="J158" s="0" t="e">
        <f aca="false">sheet1!atd159</f>
        <v>#NAME?</v>
      </c>
      <c r="K158" s="0" t="e">
        <f aca="false">sheet1!ate159</f>
        <v>#NAME?</v>
      </c>
      <c r="L158" s="0" t="e">
        <f aca="false">sheet1!atf159</f>
        <v>#NAME?</v>
      </c>
      <c r="M158" s="0" t="e">
        <f aca="false">sheet1!atg159</f>
        <v>#NAME?</v>
      </c>
    </row>
    <row r="159" customFormat="false" ht="13.5" hidden="false" customHeight="false" outlineLevel="0" collapsed="false">
      <c r="A159" s="0" t="s">
        <v>91</v>
      </c>
      <c r="B159" s="1" t="n">
        <v>44019</v>
      </c>
      <c r="C159" s="0" t="e">
        <f aca="false">sheet1!asw160</f>
        <v>#NAME?</v>
      </c>
      <c r="D159" s="0" t="e">
        <f aca="false">sheet1!asx160</f>
        <v>#NAME?</v>
      </c>
      <c r="E159" s="0" t="e">
        <f aca="false">sheet1!asy160</f>
        <v>#NAME?</v>
      </c>
      <c r="F159" s="0" t="e">
        <f aca="false">sheet1!asz160</f>
        <v>#NAME?</v>
      </c>
      <c r="G159" s="0" t="e">
        <f aca="false">sheet1!ata160</f>
        <v>#NAME?</v>
      </c>
      <c r="H159" s="0" t="e">
        <f aca="false">sheet1!atb160</f>
        <v>#NAME?</v>
      </c>
      <c r="I159" s="0" t="e">
        <f aca="false">sheet1!atc160</f>
        <v>#NAME?</v>
      </c>
      <c r="J159" s="0" t="e">
        <f aca="false">sheet1!atd160</f>
        <v>#NAME?</v>
      </c>
      <c r="K159" s="0" t="e">
        <f aca="false">sheet1!ate160</f>
        <v>#NAME?</v>
      </c>
      <c r="L159" s="0" t="e">
        <f aca="false">sheet1!atf160</f>
        <v>#NAME?</v>
      </c>
      <c r="M159" s="0" t="e">
        <f aca="false">sheet1!atg160</f>
        <v>#NAME?</v>
      </c>
    </row>
    <row r="160" customFormat="false" ht="13.5" hidden="false" customHeight="false" outlineLevel="0" collapsed="false">
      <c r="A160" s="0" t="s">
        <v>91</v>
      </c>
      <c r="B160" s="1" t="n">
        <v>44020</v>
      </c>
      <c r="C160" s="0" t="e">
        <f aca="false">sheet1!asw161</f>
        <v>#NAME?</v>
      </c>
      <c r="D160" s="0" t="e">
        <f aca="false">sheet1!asx161</f>
        <v>#NAME?</v>
      </c>
      <c r="E160" s="0" t="e">
        <f aca="false">sheet1!asy161</f>
        <v>#NAME?</v>
      </c>
      <c r="F160" s="0" t="e">
        <f aca="false">sheet1!asz161</f>
        <v>#NAME?</v>
      </c>
      <c r="G160" s="0" t="e">
        <f aca="false">sheet1!ata161</f>
        <v>#NAME?</v>
      </c>
      <c r="H160" s="0" t="e">
        <f aca="false">sheet1!atb161</f>
        <v>#NAME?</v>
      </c>
      <c r="I160" s="0" t="e">
        <f aca="false">sheet1!atc161</f>
        <v>#NAME?</v>
      </c>
      <c r="J160" s="0" t="e">
        <f aca="false">sheet1!atd161</f>
        <v>#NAME?</v>
      </c>
      <c r="K160" s="0" t="e">
        <f aca="false">sheet1!ate161</f>
        <v>#NAME?</v>
      </c>
      <c r="L160" s="0" t="e">
        <f aca="false">sheet1!atf161</f>
        <v>#NAME?</v>
      </c>
      <c r="M160" s="0" t="e">
        <f aca="false">sheet1!atg161</f>
        <v>#NAME?</v>
      </c>
    </row>
    <row r="161" customFormat="false" ht="13.5" hidden="false" customHeight="false" outlineLevel="0" collapsed="false">
      <c r="A161" s="0" t="s">
        <v>91</v>
      </c>
      <c r="B161" s="1" t="n">
        <v>44021</v>
      </c>
      <c r="C161" s="0" t="e">
        <f aca="false">sheet1!asw162</f>
        <v>#NAME?</v>
      </c>
      <c r="D161" s="0" t="e">
        <f aca="false">sheet1!asx162</f>
        <v>#NAME?</v>
      </c>
      <c r="E161" s="0" t="e">
        <f aca="false">sheet1!asy162</f>
        <v>#NAME?</v>
      </c>
      <c r="F161" s="0" t="e">
        <f aca="false">sheet1!asz162</f>
        <v>#NAME?</v>
      </c>
      <c r="G161" s="0" t="e">
        <f aca="false">sheet1!ata162</f>
        <v>#NAME?</v>
      </c>
      <c r="H161" s="0" t="e">
        <f aca="false">sheet1!atb162</f>
        <v>#NAME?</v>
      </c>
      <c r="I161" s="0" t="e">
        <f aca="false">sheet1!atc162</f>
        <v>#NAME?</v>
      </c>
      <c r="J161" s="0" t="e">
        <f aca="false">sheet1!atd162</f>
        <v>#NAME?</v>
      </c>
      <c r="K161" s="0" t="e">
        <f aca="false">sheet1!ate162</f>
        <v>#NAME?</v>
      </c>
      <c r="L161" s="0" t="e">
        <f aca="false">sheet1!atf162</f>
        <v>#NAME?</v>
      </c>
      <c r="M161" s="0" t="e">
        <f aca="false">sheet1!atg162</f>
        <v>#NAME?</v>
      </c>
    </row>
    <row r="162" customFormat="false" ht="13.5" hidden="false" customHeight="false" outlineLevel="0" collapsed="false">
      <c r="A162" s="0" t="s">
        <v>91</v>
      </c>
      <c r="B162" s="1" t="n">
        <v>44022</v>
      </c>
      <c r="C162" s="0" t="e">
        <f aca="false">sheet1!asw163</f>
        <v>#NAME?</v>
      </c>
      <c r="D162" s="0" t="e">
        <f aca="false">sheet1!asx163</f>
        <v>#NAME?</v>
      </c>
      <c r="E162" s="0" t="e">
        <f aca="false">sheet1!asy163</f>
        <v>#NAME?</v>
      </c>
      <c r="F162" s="0" t="e">
        <f aca="false">sheet1!asz163</f>
        <v>#NAME?</v>
      </c>
      <c r="G162" s="0" t="e">
        <f aca="false">sheet1!ata163</f>
        <v>#NAME?</v>
      </c>
      <c r="H162" s="0" t="e">
        <f aca="false">sheet1!atb163</f>
        <v>#NAME?</v>
      </c>
      <c r="I162" s="0" t="e">
        <f aca="false">sheet1!atc163</f>
        <v>#NAME?</v>
      </c>
      <c r="J162" s="0" t="e">
        <f aca="false">sheet1!atd163</f>
        <v>#NAME?</v>
      </c>
      <c r="K162" s="0" t="e">
        <f aca="false">sheet1!ate163</f>
        <v>#NAME?</v>
      </c>
      <c r="L162" s="0" t="e">
        <f aca="false">sheet1!atf163</f>
        <v>#NAME?</v>
      </c>
      <c r="M162" s="0" t="e">
        <f aca="false">sheet1!atg163</f>
        <v>#NAME?</v>
      </c>
    </row>
    <row r="163" customFormat="false" ht="13.5" hidden="false" customHeight="false" outlineLevel="0" collapsed="false">
      <c r="A163" s="0" t="s">
        <v>91</v>
      </c>
      <c r="B163" s="1" t="n">
        <v>44023</v>
      </c>
      <c r="C163" s="0" t="e">
        <f aca="false">sheet1!asw164</f>
        <v>#NAME?</v>
      </c>
      <c r="D163" s="0" t="e">
        <f aca="false">sheet1!asx164</f>
        <v>#NAME?</v>
      </c>
      <c r="E163" s="0" t="e">
        <f aca="false">sheet1!asy164</f>
        <v>#NAME?</v>
      </c>
      <c r="F163" s="0" t="e">
        <f aca="false">sheet1!asz164</f>
        <v>#NAME?</v>
      </c>
      <c r="G163" s="0" t="e">
        <f aca="false">sheet1!ata164</f>
        <v>#NAME?</v>
      </c>
      <c r="H163" s="0" t="e">
        <f aca="false">sheet1!atb164</f>
        <v>#NAME?</v>
      </c>
      <c r="I163" s="0" t="e">
        <f aca="false">sheet1!atc164</f>
        <v>#NAME?</v>
      </c>
      <c r="J163" s="0" t="e">
        <f aca="false">sheet1!atd164</f>
        <v>#NAME?</v>
      </c>
      <c r="K163" s="0" t="e">
        <f aca="false">sheet1!ate164</f>
        <v>#NAME?</v>
      </c>
      <c r="L163" s="0" t="e">
        <f aca="false">sheet1!atf164</f>
        <v>#NAME?</v>
      </c>
      <c r="M163" s="0" t="e">
        <f aca="false">sheet1!atg164</f>
        <v>#NAME?</v>
      </c>
    </row>
    <row r="164" customFormat="false" ht="13.5" hidden="false" customHeight="false" outlineLevel="0" collapsed="false">
      <c r="A164" s="0" t="s">
        <v>91</v>
      </c>
      <c r="B164" s="1" t="n">
        <v>44024</v>
      </c>
      <c r="C164" s="0" t="e">
        <f aca="false">sheet1!asw165</f>
        <v>#NAME?</v>
      </c>
      <c r="D164" s="0" t="e">
        <f aca="false">sheet1!asx165</f>
        <v>#NAME?</v>
      </c>
      <c r="E164" s="0" t="e">
        <f aca="false">sheet1!asy165</f>
        <v>#NAME?</v>
      </c>
      <c r="F164" s="0" t="e">
        <f aca="false">sheet1!asz165</f>
        <v>#NAME?</v>
      </c>
      <c r="G164" s="0" t="e">
        <f aca="false">sheet1!ata165</f>
        <v>#NAME?</v>
      </c>
      <c r="H164" s="0" t="e">
        <f aca="false">sheet1!atb165</f>
        <v>#NAME?</v>
      </c>
      <c r="I164" s="0" t="e">
        <f aca="false">sheet1!atc165</f>
        <v>#NAME?</v>
      </c>
      <c r="J164" s="0" t="e">
        <f aca="false">sheet1!atd165</f>
        <v>#NAME?</v>
      </c>
      <c r="K164" s="0" t="e">
        <f aca="false">sheet1!ate165</f>
        <v>#NAME?</v>
      </c>
      <c r="L164" s="0" t="e">
        <f aca="false">sheet1!atf165</f>
        <v>#NAME?</v>
      </c>
      <c r="M164" s="0" t="e">
        <f aca="false">sheet1!atg165</f>
        <v>#NAME?</v>
      </c>
    </row>
    <row r="165" customFormat="false" ht="13.5" hidden="false" customHeight="false" outlineLevel="0" collapsed="false">
      <c r="A165" s="0" t="s">
        <v>91</v>
      </c>
      <c r="B165" s="1" t="n">
        <v>44025</v>
      </c>
      <c r="C165" s="0" t="e">
        <f aca="false">sheet1!asw166</f>
        <v>#NAME?</v>
      </c>
      <c r="D165" s="0" t="e">
        <f aca="false">sheet1!asx166</f>
        <v>#NAME?</v>
      </c>
      <c r="E165" s="0" t="e">
        <f aca="false">sheet1!asy166</f>
        <v>#NAME?</v>
      </c>
      <c r="F165" s="0" t="e">
        <f aca="false">sheet1!asz166</f>
        <v>#NAME?</v>
      </c>
      <c r="G165" s="0" t="e">
        <f aca="false">sheet1!ata166</f>
        <v>#NAME?</v>
      </c>
      <c r="H165" s="0" t="e">
        <f aca="false">sheet1!atb166</f>
        <v>#NAME?</v>
      </c>
      <c r="I165" s="0" t="e">
        <f aca="false">sheet1!atc166</f>
        <v>#NAME?</v>
      </c>
      <c r="J165" s="0" t="e">
        <f aca="false">sheet1!atd166</f>
        <v>#NAME?</v>
      </c>
      <c r="K165" s="0" t="e">
        <f aca="false">sheet1!ate166</f>
        <v>#NAME?</v>
      </c>
      <c r="L165" s="0" t="e">
        <f aca="false">sheet1!atf166</f>
        <v>#NAME?</v>
      </c>
      <c r="M165" s="0" t="e">
        <f aca="false">sheet1!atg166</f>
        <v>#NAME?</v>
      </c>
    </row>
    <row r="166" customFormat="false" ht="13.5" hidden="false" customHeight="false" outlineLevel="0" collapsed="false">
      <c r="A166" s="0" t="s">
        <v>91</v>
      </c>
      <c r="B166" s="1" t="n">
        <v>44026</v>
      </c>
      <c r="C166" s="0" t="e">
        <f aca="false">sheet1!asw167</f>
        <v>#NAME?</v>
      </c>
      <c r="D166" s="0" t="e">
        <f aca="false">sheet1!asx167</f>
        <v>#NAME?</v>
      </c>
      <c r="E166" s="0" t="e">
        <f aca="false">sheet1!asy167</f>
        <v>#NAME?</v>
      </c>
      <c r="F166" s="0" t="e">
        <f aca="false">sheet1!asz167</f>
        <v>#NAME?</v>
      </c>
      <c r="G166" s="0" t="e">
        <f aca="false">sheet1!ata167</f>
        <v>#NAME?</v>
      </c>
      <c r="H166" s="0" t="e">
        <f aca="false">sheet1!atb167</f>
        <v>#NAME?</v>
      </c>
      <c r="I166" s="0" t="e">
        <f aca="false">sheet1!atc167</f>
        <v>#NAME?</v>
      </c>
      <c r="J166" s="0" t="e">
        <f aca="false">sheet1!atd167</f>
        <v>#NAME?</v>
      </c>
      <c r="K166" s="0" t="e">
        <f aca="false">sheet1!ate167</f>
        <v>#NAME?</v>
      </c>
      <c r="L166" s="0" t="e">
        <f aca="false">sheet1!atf167</f>
        <v>#NAME?</v>
      </c>
      <c r="M166" s="0" t="e">
        <f aca="false">sheet1!atg167</f>
        <v>#NAME?</v>
      </c>
    </row>
    <row r="167" customFormat="false" ht="13.5" hidden="false" customHeight="false" outlineLevel="0" collapsed="false">
      <c r="A167" s="0" t="s">
        <v>91</v>
      </c>
      <c r="B167" s="1" t="n">
        <v>44027</v>
      </c>
      <c r="C167" s="0" t="e">
        <f aca="false">sheet1!asw168</f>
        <v>#NAME?</v>
      </c>
      <c r="D167" s="0" t="e">
        <f aca="false">sheet1!asx168</f>
        <v>#NAME?</v>
      </c>
      <c r="E167" s="0" t="e">
        <f aca="false">sheet1!asy168</f>
        <v>#NAME?</v>
      </c>
      <c r="F167" s="0" t="e">
        <f aca="false">sheet1!asz168</f>
        <v>#NAME?</v>
      </c>
      <c r="G167" s="0" t="e">
        <f aca="false">sheet1!ata168</f>
        <v>#NAME?</v>
      </c>
      <c r="H167" s="0" t="e">
        <f aca="false">sheet1!atb168</f>
        <v>#NAME?</v>
      </c>
      <c r="I167" s="0" t="e">
        <f aca="false">sheet1!atc168</f>
        <v>#NAME?</v>
      </c>
      <c r="J167" s="0" t="e">
        <f aca="false">sheet1!atd168</f>
        <v>#NAME?</v>
      </c>
      <c r="K167" s="0" t="e">
        <f aca="false">sheet1!ate168</f>
        <v>#NAME?</v>
      </c>
      <c r="L167" s="0" t="e">
        <f aca="false">sheet1!atf168</f>
        <v>#NAME?</v>
      </c>
      <c r="M167" s="0" t="e">
        <f aca="false">sheet1!atg168</f>
        <v>#NAME?</v>
      </c>
    </row>
    <row r="168" customFormat="false" ht="13.5" hidden="false" customHeight="false" outlineLevel="0" collapsed="false">
      <c r="A168" s="0" t="s">
        <v>91</v>
      </c>
      <c r="B168" s="1" t="n">
        <v>44028</v>
      </c>
      <c r="C168" s="0" t="e">
        <f aca="false">sheet1!asw169</f>
        <v>#NAME?</v>
      </c>
      <c r="D168" s="0" t="e">
        <f aca="false">sheet1!asx169</f>
        <v>#NAME?</v>
      </c>
      <c r="E168" s="0" t="e">
        <f aca="false">sheet1!asy169</f>
        <v>#NAME?</v>
      </c>
      <c r="F168" s="0" t="e">
        <f aca="false">sheet1!asz169</f>
        <v>#NAME?</v>
      </c>
      <c r="G168" s="0" t="e">
        <f aca="false">sheet1!ata169</f>
        <v>#NAME?</v>
      </c>
      <c r="H168" s="0" t="e">
        <f aca="false">sheet1!atb169</f>
        <v>#NAME?</v>
      </c>
      <c r="I168" s="0" t="e">
        <f aca="false">sheet1!atc169</f>
        <v>#NAME?</v>
      </c>
      <c r="J168" s="0" t="e">
        <f aca="false">sheet1!atd169</f>
        <v>#NAME?</v>
      </c>
      <c r="K168" s="0" t="e">
        <f aca="false">sheet1!ate169</f>
        <v>#NAME?</v>
      </c>
      <c r="L168" s="0" t="e">
        <f aca="false">sheet1!atf169</f>
        <v>#NAME?</v>
      </c>
      <c r="M168" s="0" t="e">
        <f aca="false">sheet1!atg169</f>
        <v>#NAME?</v>
      </c>
    </row>
    <row r="169" customFormat="false" ht="13.5" hidden="false" customHeight="false" outlineLevel="0" collapsed="false">
      <c r="A169" s="0" t="s">
        <v>91</v>
      </c>
      <c r="B169" s="1" t="n">
        <v>44029</v>
      </c>
      <c r="C169" s="0" t="e">
        <f aca="false">sheet1!asw170</f>
        <v>#NAME?</v>
      </c>
      <c r="D169" s="0" t="e">
        <f aca="false">sheet1!asx170</f>
        <v>#NAME?</v>
      </c>
      <c r="E169" s="0" t="e">
        <f aca="false">sheet1!asy170</f>
        <v>#NAME?</v>
      </c>
      <c r="F169" s="0" t="e">
        <f aca="false">sheet1!asz170</f>
        <v>#NAME?</v>
      </c>
      <c r="G169" s="0" t="e">
        <f aca="false">sheet1!ata170</f>
        <v>#NAME?</v>
      </c>
      <c r="H169" s="0" t="e">
        <f aca="false">sheet1!atb170</f>
        <v>#NAME?</v>
      </c>
      <c r="I169" s="0" t="e">
        <f aca="false">sheet1!atc170</f>
        <v>#NAME?</v>
      </c>
      <c r="J169" s="0" t="e">
        <f aca="false">sheet1!atd170</f>
        <v>#NAME?</v>
      </c>
      <c r="K169" s="0" t="e">
        <f aca="false">sheet1!ate170</f>
        <v>#NAME?</v>
      </c>
      <c r="L169" s="0" t="e">
        <f aca="false">sheet1!atf170</f>
        <v>#NAME?</v>
      </c>
      <c r="M169" s="0" t="e">
        <f aca="false">sheet1!atg170</f>
        <v>#NAME?</v>
      </c>
    </row>
    <row r="170" customFormat="false" ht="13.5" hidden="false" customHeight="false" outlineLevel="0" collapsed="false">
      <c r="A170" s="0" t="s">
        <v>91</v>
      </c>
      <c r="B170" s="1" t="n">
        <v>44030</v>
      </c>
      <c r="C170" s="0" t="e">
        <f aca="false">sheet1!asw171</f>
        <v>#NAME?</v>
      </c>
      <c r="D170" s="0" t="e">
        <f aca="false">sheet1!asx171</f>
        <v>#NAME?</v>
      </c>
      <c r="E170" s="0" t="e">
        <f aca="false">sheet1!asy171</f>
        <v>#NAME?</v>
      </c>
      <c r="F170" s="0" t="e">
        <f aca="false">sheet1!asz171</f>
        <v>#NAME?</v>
      </c>
      <c r="G170" s="0" t="e">
        <f aca="false">sheet1!ata171</f>
        <v>#NAME?</v>
      </c>
      <c r="H170" s="0" t="e">
        <f aca="false">sheet1!atb171</f>
        <v>#NAME?</v>
      </c>
      <c r="I170" s="0" t="e">
        <f aca="false">sheet1!atc171</f>
        <v>#NAME?</v>
      </c>
      <c r="J170" s="0" t="e">
        <f aca="false">sheet1!atd171</f>
        <v>#NAME?</v>
      </c>
      <c r="K170" s="0" t="e">
        <f aca="false">sheet1!ate171</f>
        <v>#NAME?</v>
      </c>
      <c r="L170" s="0" t="e">
        <f aca="false">sheet1!atf171</f>
        <v>#NAME?</v>
      </c>
      <c r="M170" s="0" t="e">
        <f aca="false">sheet1!atg171</f>
        <v>#NAME?</v>
      </c>
    </row>
    <row r="171" customFormat="false" ht="13.5" hidden="false" customHeight="false" outlineLevel="0" collapsed="false">
      <c r="A171" s="0" t="s">
        <v>91</v>
      </c>
      <c r="B171" s="1" t="n">
        <v>44031</v>
      </c>
      <c r="C171" s="0" t="e">
        <f aca="false">sheet1!asw172</f>
        <v>#NAME?</v>
      </c>
      <c r="D171" s="0" t="e">
        <f aca="false">sheet1!asx172</f>
        <v>#NAME?</v>
      </c>
      <c r="E171" s="0" t="e">
        <f aca="false">sheet1!asy172</f>
        <v>#NAME?</v>
      </c>
      <c r="F171" s="0" t="e">
        <f aca="false">sheet1!asz172</f>
        <v>#NAME?</v>
      </c>
      <c r="G171" s="0" t="e">
        <f aca="false">sheet1!ata172</f>
        <v>#NAME?</v>
      </c>
      <c r="H171" s="0" t="e">
        <f aca="false">sheet1!atb172</f>
        <v>#NAME?</v>
      </c>
      <c r="I171" s="0" t="e">
        <f aca="false">sheet1!atc172</f>
        <v>#NAME?</v>
      </c>
      <c r="J171" s="0" t="e">
        <f aca="false">sheet1!atd172</f>
        <v>#NAME?</v>
      </c>
      <c r="K171" s="0" t="e">
        <f aca="false">sheet1!ate172</f>
        <v>#NAME?</v>
      </c>
      <c r="L171" s="0" t="e">
        <f aca="false">sheet1!atf172</f>
        <v>#NAME?</v>
      </c>
      <c r="M171" s="0" t="e">
        <f aca="false">sheet1!atg172</f>
        <v>#NAME?</v>
      </c>
    </row>
    <row r="172" customFormat="false" ht="13.5" hidden="false" customHeight="false" outlineLevel="0" collapsed="false">
      <c r="A172" s="0" t="s">
        <v>91</v>
      </c>
      <c r="B172" s="1" t="n">
        <v>44032</v>
      </c>
      <c r="C172" s="0" t="e">
        <f aca="false">sheet1!asw173</f>
        <v>#NAME?</v>
      </c>
      <c r="D172" s="0" t="e">
        <f aca="false">sheet1!asx173</f>
        <v>#NAME?</v>
      </c>
      <c r="E172" s="0" t="e">
        <f aca="false">sheet1!asy173</f>
        <v>#NAME?</v>
      </c>
      <c r="F172" s="0" t="e">
        <f aca="false">sheet1!asz173</f>
        <v>#NAME?</v>
      </c>
      <c r="G172" s="0" t="e">
        <f aca="false">sheet1!ata173</f>
        <v>#NAME?</v>
      </c>
      <c r="H172" s="0" t="e">
        <f aca="false">sheet1!atb173</f>
        <v>#NAME?</v>
      </c>
      <c r="I172" s="0" t="e">
        <f aca="false">sheet1!atc173</f>
        <v>#NAME?</v>
      </c>
      <c r="J172" s="0" t="e">
        <f aca="false">sheet1!atd173</f>
        <v>#NAME?</v>
      </c>
      <c r="K172" s="0" t="e">
        <f aca="false">sheet1!ate173</f>
        <v>#NAME?</v>
      </c>
      <c r="L172" s="0" t="e">
        <f aca="false">sheet1!atf173</f>
        <v>#NAME?</v>
      </c>
      <c r="M172" s="0" t="e">
        <f aca="false">sheet1!atg173</f>
        <v>#NAME?</v>
      </c>
    </row>
    <row r="173" customFormat="false" ht="13.5" hidden="false" customHeight="false" outlineLevel="0" collapsed="false">
      <c r="A173" s="0" t="s">
        <v>91</v>
      </c>
      <c r="B173" s="1" t="n">
        <v>44033</v>
      </c>
      <c r="C173" s="0" t="e">
        <f aca="false">sheet1!asw174</f>
        <v>#NAME?</v>
      </c>
      <c r="D173" s="0" t="e">
        <f aca="false">sheet1!asx174</f>
        <v>#NAME?</v>
      </c>
      <c r="E173" s="0" t="e">
        <f aca="false">sheet1!asy174</f>
        <v>#NAME?</v>
      </c>
      <c r="F173" s="0" t="e">
        <f aca="false">sheet1!asz174</f>
        <v>#NAME?</v>
      </c>
      <c r="G173" s="0" t="e">
        <f aca="false">sheet1!ata174</f>
        <v>#NAME?</v>
      </c>
      <c r="H173" s="0" t="e">
        <f aca="false">sheet1!atb174</f>
        <v>#NAME?</v>
      </c>
      <c r="I173" s="0" t="e">
        <f aca="false">sheet1!atc174</f>
        <v>#NAME?</v>
      </c>
      <c r="J173" s="0" t="e">
        <f aca="false">sheet1!atd174</f>
        <v>#NAME?</v>
      </c>
      <c r="K173" s="0" t="e">
        <f aca="false">sheet1!ate174</f>
        <v>#NAME?</v>
      </c>
      <c r="L173" s="0" t="e">
        <f aca="false">sheet1!atf174</f>
        <v>#NAME?</v>
      </c>
      <c r="M173" s="0" t="e">
        <f aca="false">sheet1!atg174</f>
        <v>#NAME?</v>
      </c>
    </row>
    <row r="174" customFormat="false" ht="13.5" hidden="false" customHeight="false" outlineLevel="0" collapsed="false">
      <c r="A174" s="0" t="s">
        <v>91</v>
      </c>
      <c r="B174" s="1" t="n">
        <v>44034</v>
      </c>
      <c r="C174" s="0" t="e">
        <f aca="false">sheet1!asw175</f>
        <v>#NAME?</v>
      </c>
      <c r="D174" s="0" t="e">
        <f aca="false">sheet1!asx175</f>
        <v>#NAME?</v>
      </c>
      <c r="E174" s="0" t="e">
        <f aca="false">sheet1!asy175</f>
        <v>#NAME?</v>
      </c>
      <c r="F174" s="0" t="e">
        <f aca="false">sheet1!asz175</f>
        <v>#NAME?</v>
      </c>
      <c r="G174" s="0" t="e">
        <f aca="false">sheet1!ata175</f>
        <v>#NAME?</v>
      </c>
      <c r="H174" s="0" t="e">
        <f aca="false">sheet1!atb175</f>
        <v>#NAME?</v>
      </c>
      <c r="I174" s="0" t="e">
        <f aca="false">sheet1!atc175</f>
        <v>#NAME?</v>
      </c>
      <c r="J174" s="0" t="e">
        <f aca="false">sheet1!atd175</f>
        <v>#NAME?</v>
      </c>
      <c r="K174" s="0" t="e">
        <f aca="false">sheet1!ate175</f>
        <v>#NAME?</v>
      </c>
      <c r="L174" s="0" t="e">
        <f aca="false">sheet1!atf175</f>
        <v>#NAME?</v>
      </c>
      <c r="M174" s="0" t="e">
        <f aca="false">sheet1!atg175</f>
        <v>#NAME?</v>
      </c>
    </row>
    <row r="175" customFormat="false" ht="13.5" hidden="false" customHeight="false" outlineLevel="0" collapsed="false">
      <c r="A175" s="0" t="s">
        <v>91</v>
      </c>
      <c r="B175" s="1" t="n">
        <v>44035</v>
      </c>
      <c r="C175" s="0" t="e">
        <f aca="false">sheet1!asw176</f>
        <v>#NAME?</v>
      </c>
      <c r="D175" s="0" t="e">
        <f aca="false">sheet1!asx176</f>
        <v>#NAME?</v>
      </c>
      <c r="E175" s="0" t="e">
        <f aca="false">sheet1!asy176</f>
        <v>#NAME?</v>
      </c>
      <c r="F175" s="0" t="e">
        <f aca="false">sheet1!asz176</f>
        <v>#NAME?</v>
      </c>
      <c r="G175" s="0" t="e">
        <f aca="false">sheet1!ata176</f>
        <v>#NAME?</v>
      </c>
      <c r="H175" s="0" t="e">
        <f aca="false">sheet1!atb176</f>
        <v>#NAME?</v>
      </c>
      <c r="I175" s="0" t="e">
        <f aca="false">sheet1!atc176</f>
        <v>#NAME?</v>
      </c>
      <c r="J175" s="0" t="e">
        <f aca="false">sheet1!atd176</f>
        <v>#NAME?</v>
      </c>
      <c r="K175" s="0" t="e">
        <f aca="false">sheet1!ate176</f>
        <v>#NAME?</v>
      </c>
      <c r="L175" s="0" t="e">
        <f aca="false">sheet1!atf176</f>
        <v>#NAME?</v>
      </c>
      <c r="M175" s="0" t="e">
        <f aca="false">sheet1!atg176</f>
        <v>#NAME?</v>
      </c>
    </row>
    <row r="176" customFormat="false" ht="13.5" hidden="false" customHeight="false" outlineLevel="0" collapsed="false">
      <c r="A176" s="0" t="s">
        <v>91</v>
      </c>
      <c r="B176" s="1" t="n">
        <v>44036</v>
      </c>
      <c r="C176" s="0" t="e">
        <f aca="false">sheet1!asw177</f>
        <v>#NAME?</v>
      </c>
      <c r="D176" s="0" t="e">
        <f aca="false">sheet1!asx177</f>
        <v>#NAME?</v>
      </c>
      <c r="E176" s="0" t="e">
        <f aca="false">sheet1!asy177</f>
        <v>#NAME?</v>
      </c>
      <c r="F176" s="0" t="e">
        <f aca="false">sheet1!asz177</f>
        <v>#NAME?</v>
      </c>
      <c r="G176" s="0" t="e">
        <f aca="false">sheet1!ata177</f>
        <v>#NAME?</v>
      </c>
      <c r="H176" s="0" t="e">
        <f aca="false">sheet1!atb177</f>
        <v>#NAME?</v>
      </c>
      <c r="I176" s="0" t="e">
        <f aca="false">sheet1!atc177</f>
        <v>#NAME?</v>
      </c>
      <c r="J176" s="0" t="e">
        <f aca="false">sheet1!atd177</f>
        <v>#NAME?</v>
      </c>
      <c r="K176" s="0" t="e">
        <f aca="false">sheet1!ate177</f>
        <v>#NAME?</v>
      </c>
      <c r="L176" s="0" t="e">
        <f aca="false">sheet1!atf177</f>
        <v>#NAME?</v>
      </c>
      <c r="M176" s="0" t="e">
        <f aca="false">sheet1!atg177</f>
        <v>#NAME?</v>
      </c>
    </row>
    <row r="177" customFormat="false" ht="13.5" hidden="false" customHeight="false" outlineLevel="0" collapsed="false">
      <c r="A177" s="0" t="s">
        <v>91</v>
      </c>
      <c r="B177" s="1" t="n">
        <v>44037</v>
      </c>
      <c r="C177" s="0" t="e">
        <f aca="false">sheet1!asw178</f>
        <v>#NAME?</v>
      </c>
      <c r="D177" s="0" t="e">
        <f aca="false">sheet1!asx178</f>
        <v>#NAME?</v>
      </c>
      <c r="E177" s="0" t="e">
        <f aca="false">sheet1!asy178</f>
        <v>#NAME?</v>
      </c>
      <c r="F177" s="0" t="e">
        <f aca="false">sheet1!asz178</f>
        <v>#NAME?</v>
      </c>
      <c r="G177" s="0" t="e">
        <f aca="false">sheet1!ata178</f>
        <v>#NAME?</v>
      </c>
      <c r="H177" s="0" t="e">
        <f aca="false">sheet1!atb178</f>
        <v>#NAME?</v>
      </c>
      <c r="I177" s="0" t="e">
        <f aca="false">sheet1!atc178</f>
        <v>#NAME?</v>
      </c>
      <c r="J177" s="0" t="e">
        <f aca="false">sheet1!atd178</f>
        <v>#NAME?</v>
      </c>
      <c r="K177" s="0" t="e">
        <f aca="false">sheet1!ate178</f>
        <v>#NAME?</v>
      </c>
      <c r="L177" s="0" t="e">
        <f aca="false">sheet1!atf178</f>
        <v>#NAME?</v>
      </c>
      <c r="M177" s="0" t="e">
        <f aca="false">sheet1!atg178</f>
        <v>#NAME?</v>
      </c>
    </row>
    <row r="178" customFormat="false" ht="13.5" hidden="false" customHeight="false" outlineLevel="0" collapsed="false">
      <c r="A178" s="0" t="s">
        <v>91</v>
      </c>
      <c r="B178" s="1" t="n">
        <v>44038</v>
      </c>
      <c r="C178" s="0" t="e">
        <f aca="false">sheet1!asw179</f>
        <v>#NAME?</v>
      </c>
      <c r="D178" s="0" t="e">
        <f aca="false">sheet1!asx179</f>
        <v>#NAME?</v>
      </c>
      <c r="E178" s="0" t="e">
        <f aca="false">sheet1!asy179</f>
        <v>#NAME?</v>
      </c>
      <c r="F178" s="0" t="e">
        <f aca="false">sheet1!asz179</f>
        <v>#NAME?</v>
      </c>
      <c r="G178" s="0" t="e">
        <f aca="false">sheet1!ata179</f>
        <v>#NAME?</v>
      </c>
      <c r="H178" s="0" t="e">
        <f aca="false">sheet1!atb179</f>
        <v>#NAME?</v>
      </c>
      <c r="I178" s="0" t="e">
        <f aca="false">sheet1!atc179</f>
        <v>#NAME?</v>
      </c>
      <c r="J178" s="0" t="e">
        <f aca="false">sheet1!atd179</f>
        <v>#NAME?</v>
      </c>
      <c r="K178" s="0" t="e">
        <f aca="false">sheet1!ate179</f>
        <v>#NAME?</v>
      </c>
      <c r="L178" s="0" t="e">
        <f aca="false">sheet1!atf179</f>
        <v>#NAME?</v>
      </c>
      <c r="M178" s="0" t="e">
        <f aca="false">sheet1!atg179</f>
        <v>#NAME?</v>
      </c>
    </row>
    <row r="179" customFormat="false" ht="13.5" hidden="false" customHeight="false" outlineLevel="0" collapsed="false">
      <c r="A179" s="0" t="s">
        <v>91</v>
      </c>
      <c r="B179" s="1" t="n">
        <v>44039</v>
      </c>
      <c r="C179" s="0" t="e">
        <f aca="false">sheet1!asw180</f>
        <v>#NAME?</v>
      </c>
      <c r="D179" s="0" t="e">
        <f aca="false">sheet1!asx180</f>
        <v>#NAME?</v>
      </c>
      <c r="E179" s="0" t="e">
        <f aca="false">sheet1!asy180</f>
        <v>#NAME?</v>
      </c>
      <c r="F179" s="0" t="e">
        <f aca="false">sheet1!asz180</f>
        <v>#NAME?</v>
      </c>
      <c r="G179" s="0" t="e">
        <f aca="false">sheet1!ata180</f>
        <v>#NAME?</v>
      </c>
      <c r="H179" s="0" t="e">
        <f aca="false">sheet1!atb180</f>
        <v>#NAME?</v>
      </c>
      <c r="I179" s="0" t="e">
        <f aca="false">sheet1!atc180</f>
        <v>#NAME?</v>
      </c>
      <c r="J179" s="0" t="e">
        <f aca="false">sheet1!atd180</f>
        <v>#NAME?</v>
      </c>
      <c r="K179" s="0" t="e">
        <f aca="false">sheet1!ate180</f>
        <v>#NAME?</v>
      </c>
      <c r="L179" s="0" t="e">
        <f aca="false">sheet1!atf180</f>
        <v>#NAME?</v>
      </c>
      <c r="M179" s="0" t="e">
        <f aca="false">sheet1!atg180</f>
        <v>#NAME?</v>
      </c>
    </row>
    <row r="180" customFormat="false" ht="13.5" hidden="false" customHeight="false" outlineLevel="0" collapsed="false">
      <c r="A180" s="0" t="s">
        <v>91</v>
      </c>
      <c r="B180" s="1" t="n">
        <v>44040</v>
      </c>
      <c r="C180" s="0" t="e">
        <f aca="false">sheet1!asw181</f>
        <v>#NAME?</v>
      </c>
      <c r="D180" s="0" t="e">
        <f aca="false">sheet1!asx181</f>
        <v>#NAME?</v>
      </c>
      <c r="E180" s="0" t="e">
        <f aca="false">sheet1!asy181</f>
        <v>#NAME?</v>
      </c>
      <c r="F180" s="0" t="e">
        <f aca="false">sheet1!asz181</f>
        <v>#NAME?</v>
      </c>
      <c r="G180" s="0" t="e">
        <f aca="false">sheet1!ata181</f>
        <v>#NAME?</v>
      </c>
      <c r="H180" s="0" t="e">
        <f aca="false">sheet1!atb181</f>
        <v>#NAME?</v>
      </c>
      <c r="I180" s="0" t="e">
        <f aca="false">sheet1!atc181</f>
        <v>#NAME?</v>
      </c>
      <c r="J180" s="0" t="e">
        <f aca="false">sheet1!atd181</f>
        <v>#NAME?</v>
      </c>
      <c r="K180" s="0" t="e">
        <f aca="false">sheet1!ate181</f>
        <v>#NAME?</v>
      </c>
      <c r="L180" s="0" t="e">
        <f aca="false">sheet1!atf181</f>
        <v>#NAME?</v>
      </c>
      <c r="M180" s="0" t="e">
        <f aca="false">sheet1!atg181</f>
        <v>#NAME?</v>
      </c>
    </row>
    <row r="181" customFormat="false" ht="13.5" hidden="false" customHeight="false" outlineLevel="0" collapsed="false">
      <c r="A181" s="0" t="s">
        <v>91</v>
      </c>
      <c r="B181" s="1" t="n">
        <v>44041</v>
      </c>
      <c r="C181" s="0" t="e">
        <f aca="false">sheet1!asw182</f>
        <v>#NAME?</v>
      </c>
      <c r="D181" s="0" t="e">
        <f aca="false">sheet1!asx182</f>
        <v>#NAME?</v>
      </c>
      <c r="E181" s="0" t="e">
        <f aca="false">sheet1!asy182</f>
        <v>#NAME?</v>
      </c>
      <c r="F181" s="0" t="e">
        <f aca="false">sheet1!asz182</f>
        <v>#NAME?</v>
      </c>
      <c r="G181" s="0" t="e">
        <f aca="false">sheet1!ata182</f>
        <v>#NAME?</v>
      </c>
      <c r="H181" s="0" t="e">
        <f aca="false">sheet1!atb182</f>
        <v>#NAME?</v>
      </c>
      <c r="I181" s="0" t="e">
        <f aca="false">sheet1!atc182</f>
        <v>#NAME?</v>
      </c>
      <c r="J181" s="0" t="e">
        <f aca="false">sheet1!atd182</f>
        <v>#NAME?</v>
      </c>
      <c r="K181" s="0" t="e">
        <f aca="false">sheet1!ate182</f>
        <v>#NAME?</v>
      </c>
      <c r="L181" s="0" t="e">
        <f aca="false">sheet1!atf182</f>
        <v>#NAME?</v>
      </c>
      <c r="M181" s="0" t="e">
        <f aca="false">sheet1!atg182</f>
        <v>#NAME?</v>
      </c>
    </row>
    <row r="182" customFormat="false" ht="13.5" hidden="false" customHeight="false" outlineLevel="0" collapsed="false">
      <c r="A182" s="0" t="s">
        <v>91</v>
      </c>
      <c r="B182" s="1" t="n">
        <v>44042</v>
      </c>
      <c r="C182" s="0" t="e">
        <f aca="false">sheet1!asw183</f>
        <v>#NAME?</v>
      </c>
      <c r="D182" s="0" t="e">
        <f aca="false">sheet1!asx183</f>
        <v>#NAME?</v>
      </c>
      <c r="E182" s="0" t="e">
        <f aca="false">sheet1!asy183</f>
        <v>#NAME?</v>
      </c>
      <c r="F182" s="0" t="e">
        <f aca="false">sheet1!asz183</f>
        <v>#NAME?</v>
      </c>
      <c r="G182" s="0" t="e">
        <f aca="false">sheet1!ata183</f>
        <v>#NAME?</v>
      </c>
      <c r="H182" s="0" t="e">
        <f aca="false">sheet1!atb183</f>
        <v>#NAME?</v>
      </c>
      <c r="I182" s="0" t="e">
        <f aca="false">sheet1!atc183</f>
        <v>#NAME?</v>
      </c>
      <c r="J182" s="0" t="e">
        <f aca="false">sheet1!atd183</f>
        <v>#NAME?</v>
      </c>
      <c r="K182" s="0" t="e">
        <f aca="false">sheet1!ate183</f>
        <v>#NAME?</v>
      </c>
      <c r="L182" s="0" t="e">
        <f aca="false">sheet1!atf183</f>
        <v>#NAME?</v>
      </c>
      <c r="M182" s="0" t="e">
        <f aca="false">sheet1!atg183</f>
        <v>#NAME?</v>
      </c>
    </row>
    <row r="183" customFormat="false" ht="13.5" hidden="false" customHeight="false" outlineLevel="0" collapsed="false">
      <c r="A183" s="0" t="s">
        <v>91</v>
      </c>
      <c r="B183" s="1" t="n">
        <v>44043</v>
      </c>
      <c r="C183" s="0" t="e">
        <f aca="false">sheet1!asw184</f>
        <v>#NAME?</v>
      </c>
      <c r="D183" s="0" t="e">
        <f aca="false">sheet1!asx184</f>
        <v>#NAME?</v>
      </c>
      <c r="E183" s="0" t="e">
        <f aca="false">sheet1!asy184</f>
        <v>#NAME?</v>
      </c>
      <c r="F183" s="0" t="e">
        <f aca="false">sheet1!asz184</f>
        <v>#NAME?</v>
      </c>
      <c r="G183" s="0" t="e">
        <f aca="false">sheet1!ata184</f>
        <v>#NAME?</v>
      </c>
      <c r="H183" s="0" t="e">
        <f aca="false">sheet1!atb184</f>
        <v>#NAME?</v>
      </c>
      <c r="I183" s="0" t="e">
        <f aca="false">sheet1!atc184</f>
        <v>#NAME?</v>
      </c>
      <c r="J183" s="0" t="e">
        <f aca="false">sheet1!atd184</f>
        <v>#NAME?</v>
      </c>
      <c r="K183" s="0" t="e">
        <f aca="false">sheet1!ate184</f>
        <v>#NAME?</v>
      </c>
      <c r="L183" s="0" t="e">
        <f aca="false">sheet1!atf184</f>
        <v>#NAME?</v>
      </c>
      <c r="M183" s="0" t="e">
        <f aca="false">sheet1!atg184</f>
        <v>#NAME?</v>
      </c>
    </row>
    <row r="184" customFormat="false" ht="13.5" hidden="false" customHeight="false" outlineLevel="0" collapsed="false">
      <c r="A184" s="0" t="s">
        <v>91</v>
      </c>
      <c r="B184" s="1" t="n">
        <v>44044</v>
      </c>
      <c r="C184" s="0" t="e">
        <f aca="false">sheet1!asw185</f>
        <v>#NAME?</v>
      </c>
      <c r="D184" s="0" t="e">
        <f aca="false">sheet1!asx185</f>
        <v>#NAME?</v>
      </c>
      <c r="E184" s="0" t="e">
        <f aca="false">sheet1!asy185</f>
        <v>#NAME?</v>
      </c>
      <c r="F184" s="0" t="e">
        <f aca="false">sheet1!asz185</f>
        <v>#NAME?</v>
      </c>
      <c r="G184" s="0" t="e">
        <f aca="false">sheet1!ata185</f>
        <v>#NAME?</v>
      </c>
      <c r="H184" s="0" t="e">
        <f aca="false">sheet1!atb185</f>
        <v>#NAME?</v>
      </c>
      <c r="I184" s="0" t="e">
        <f aca="false">sheet1!atc185</f>
        <v>#NAME?</v>
      </c>
      <c r="J184" s="0" t="e">
        <f aca="false">sheet1!atd185</f>
        <v>#NAME?</v>
      </c>
      <c r="K184" s="0" t="e">
        <f aca="false">sheet1!ate185</f>
        <v>#NAME?</v>
      </c>
      <c r="L184" s="0" t="e">
        <f aca="false">sheet1!atf185</f>
        <v>#NAME?</v>
      </c>
      <c r="M184" s="0" t="e">
        <f aca="false">sheet1!atg185</f>
        <v>#NAME?</v>
      </c>
    </row>
    <row r="185" customFormat="false" ht="13.5" hidden="false" customHeight="false" outlineLevel="0" collapsed="false">
      <c r="A185" s="0" t="s">
        <v>91</v>
      </c>
      <c r="B185" s="1" t="n">
        <v>44045</v>
      </c>
      <c r="C185" s="0" t="e">
        <f aca="false">sheet1!asw186</f>
        <v>#NAME?</v>
      </c>
      <c r="D185" s="0" t="e">
        <f aca="false">sheet1!asx186</f>
        <v>#NAME?</v>
      </c>
      <c r="E185" s="0" t="e">
        <f aca="false">sheet1!asy186</f>
        <v>#NAME?</v>
      </c>
      <c r="F185" s="0" t="e">
        <f aca="false">sheet1!asz186</f>
        <v>#NAME?</v>
      </c>
      <c r="G185" s="0" t="e">
        <f aca="false">sheet1!ata186</f>
        <v>#NAME?</v>
      </c>
      <c r="H185" s="0" t="e">
        <f aca="false">sheet1!atb186</f>
        <v>#NAME?</v>
      </c>
      <c r="I185" s="0" t="e">
        <f aca="false">sheet1!atc186</f>
        <v>#NAME?</v>
      </c>
      <c r="J185" s="0" t="e">
        <f aca="false">sheet1!atd186</f>
        <v>#NAME?</v>
      </c>
      <c r="K185" s="0" t="e">
        <f aca="false">sheet1!ate186</f>
        <v>#NAME?</v>
      </c>
      <c r="L185" s="0" t="e">
        <f aca="false">sheet1!atf186</f>
        <v>#NAME?</v>
      </c>
      <c r="M185" s="0" t="e">
        <f aca="false">sheet1!atg186</f>
        <v>#NAME?</v>
      </c>
    </row>
    <row r="186" customFormat="false" ht="13.5" hidden="false" customHeight="false" outlineLevel="0" collapsed="false">
      <c r="A186" s="0" t="s">
        <v>91</v>
      </c>
      <c r="B186" s="1" t="n">
        <v>44046</v>
      </c>
      <c r="C186" s="0" t="e">
        <f aca="false">sheet1!asw187</f>
        <v>#NAME?</v>
      </c>
      <c r="D186" s="0" t="e">
        <f aca="false">sheet1!asx187</f>
        <v>#NAME?</v>
      </c>
      <c r="E186" s="0" t="e">
        <f aca="false">sheet1!asy187</f>
        <v>#NAME?</v>
      </c>
      <c r="F186" s="0" t="e">
        <f aca="false">sheet1!asz187</f>
        <v>#NAME?</v>
      </c>
      <c r="G186" s="0" t="e">
        <f aca="false">sheet1!ata187</f>
        <v>#NAME?</v>
      </c>
      <c r="H186" s="0" t="e">
        <f aca="false">sheet1!atb187</f>
        <v>#NAME?</v>
      </c>
      <c r="I186" s="0" t="e">
        <f aca="false">sheet1!atc187</f>
        <v>#NAME?</v>
      </c>
      <c r="J186" s="0" t="e">
        <f aca="false">sheet1!atd187</f>
        <v>#NAME?</v>
      </c>
      <c r="K186" s="0" t="e">
        <f aca="false">sheet1!ate187</f>
        <v>#NAME?</v>
      </c>
      <c r="L186" s="0" t="e">
        <f aca="false">sheet1!atf187</f>
        <v>#NAME?</v>
      </c>
      <c r="M186" s="0" t="e">
        <f aca="false">sheet1!atg187</f>
        <v>#NAME?</v>
      </c>
    </row>
    <row r="187" customFormat="false" ht="13.5" hidden="false" customHeight="false" outlineLevel="0" collapsed="false">
      <c r="A187" s="0" t="s">
        <v>91</v>
      </c>
      <c r="B187" s="1" t="n">
        <v>44047</v>
      </c>
      <c r="C187" s="0" t="e">
        <f aca="false">sheet1!asw188</f>
        <v>#NAME?</v>
      </c>
      <c r="D187" s="0" t="e">
        <f aca="false">sheet1!asx188</f>
        <v>#NAME?</v>
      </c>
      <c r="E187" s="0" t="e">
        <f aca="false">sheet1!asy188</f>
        <v>#NAME?</v>
      </c>
      <c r="F187" s="0" t="e">
        <f aca="false">sheet1!asz188</f>
        <v>#NAME?</v>
      </c>
      <c r="G187" s="0" t="e">
        <f aca="false">sheet1!ata188</f>
        <v>#NAME?</v>
      </c>
      <c r="H187" s="0" t="e">
        <f aca="false">sheet1!atb188</f>
        <v>#NAME?</v>
      </c>
      <c r="I187" s="0" t="e">
        <f aca="false">sheet1!atc188</f>
        <v>#NAME?</v>
      </c>
      <c r="J187" s="0" t="e">
        <f aca="false">sheet1!atd188</f>
        <v>#NAME?</v>
      </c>
      <c r="K187" s="0" t="e">
        <f aca="false">sheet1!ate188</f>
        <v>#NAME?</v>
      </c>
      <c r="L187" s="0" t="e">
        <f aca="false">sheet1!atf188</f>
        <v>#NAME?</v>
      </c>
      <c r="M187" s="0" t="e">
        <f aca="false">sheet1!atg188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92</v>
      </c>
      <c r="B2" s="1" t="n">
        <v>43862</v>
      </c>
    </row>
    <row r="3" customFormat="false" ht="13.5" hidden="false" customHeight="false" outlineLevel="0" collapsed="false">
      <c r="A3" s="0" t="s">
        <v>92</v>
      </c>
      <c r="B3" s="1" t="n">
        <v>43863</v>
      </c>
    </row>
    <row r="4" customFormat="false" ht="13.5" hidden="false" customHeight="false" outlineLevel="0" collapsed="false">
      <c r="A4" s="0" t="s">
        <v>92</v>
      </c>
      <c r="B4" s="1" t="n">
        <v>43864</v>
      </c>
    </row>
    <row r="5" customFormat="false" ht="13.5" hidden="false" customHeight="false" outlineLevel="0" collapsed="false">
      <c r="A5" s="0" t="s">
        <v>92</v>
      </c>
      <c r="B5" s="1" t="n">
        <v>43865</v>
      </c>
    </row>
    <row r="6" customFormat="false" ht="13.5" hidden="false" customHeight="false" outlineLevel="0" collapsed="false">
      <c r="A6" s="0" t="s">
        <v>92</v>
      </c>
      <c r="B6" s="1" t="n">
        <v>43866</v>
      </c>
    </row>
    <row r="7" customFormat="false" ht="13.5" hidden="false" customHeight="false" outlineLevel="0" collapsed="false">
      <c r="A7" s="0" t="s">
        <v>92</v>
      </c>
      <c r="B7" s="1" t="n">
        <v>43867</v>
      </c>
    </row>
    <row r="8" customFormat="false" ht="13.5" hidden="false" customHeight="false" outlineLevel="0" collapsed="false">
      <c r="A8" s="0" t="s">
        <v>92</v>
      </c>
      <c r="B8" s="1" t="n">
        <v>43868</v>
      </c>
    </row>
    <row r="9" customFormat="false" ht="13.5" hidden="false" customHeight="false" outlineLevel="0" collapsed="false">
      <c r="A9" s="0" t="s">
        <v>92</v>
      </c>
      <c r="B9" s="1" t="n">
        <v>43869</v>
      </c>
    </row>
    <row r="10" customFormat="false" ht="13.5" hidden="false" customHeight="false" outlineLevel="0" collapsed="false">
      <c r="A10" s="0" t="s">
        <v>92</v>
      </c>
      <c r="B10" s="1" t="n">
        <v>43870</v>
      </c>
    </row>
    <row r="11" customFormat="false" ht="13.5" hidden="false" customHeight="false" outlineLevel="0" collapsed="false">
      <c r="A11" s="0" t="s">
        <v>92</v>
      </c>
      <c r="B11" s="1" t="n">
        <v>43871</v>
      </c>
    </row>
    <row r="12" customFormat="false" ht="13.5" hidden="false" customHeight="false" outlineLevel="0" collapsed="false">
      <c r="A12" s="0" t="s">
        <v>92</v>
      </c>
      <c r="B12" s="1" t="n">
        <v>43872</v>
      </c>
    </row>
    <row r="13" customFormat="false" ht="13.5" hidden="false" customHeight="false" outlineLevel="0" collapsed="false">
      <c r="A13" s="0" t="s">
        <v>92</v>
      </c>
      <c r="B13" s="1" t="n">
        <v>43873</v>
      </c>
    </row>
    <row r="14" customFormat="false" ht="13.5" hidden="false" customHeight="false" outlineLevel="0" collapsed="false">
      <c r="A14" s="0" t="s">
        <v>92</v>
      </c>
      <c r="B14" s="1" t="n">
        <v>43874</v>
      </c>
    </row>
    <row r="15" customFormat="false" ht="13.5" hidden="false" customHeight="false" outlineLevel="0" collapsed="false">
      <c r="A15" s="0" t="s">
        <v>92</v>
      </c>
      <c r="B15" s="1" t="n">
        <v>43875</v>
      </c>
    </row>
    <row r="16" customFormat="false" ht="13.5" hidden="false" customHeight="false" outlineLevel="0" collapsed="false">
      <c r="A16" s="0" t="s">
        <v>92</v>
      </c>
      <c r="B16" s="1" t="n">
        <v>43876</v>
      </c>
    </row>
    <row r="17" customFormat="false" ht="13.5" hidden="false" customHeight="false" outlineLevel="0" collapsed="false">
      <c r="A17" s="0" t="s">
        <v>92</v>
      </c>
      <c r="B17" s="1" t="n">
        <v>43877</v>
      </c>
    </row>
    <row r="18" customFormat="false" ht="13.5" hidden="false" customHeight="false" outlineLevel="0" collapsed="false">
      <c r="A18" s="0" t="s">
        <v>92</v>
      </c>
      <c r="B18" s="1" t="n">
        <v>43878</v>
      </c>
    </row>
    <row r="19" customFormat="false" ht="13.5" hidden="false" customHeight="false" outlineLevel="0" collapsed="false">
      <c r="A19" s="0" t="s">
        <v>92</v>
      </c>
      <c r="B19" s="1" t="n">
        <v>43879</v>
      </c>
    </row>
    <row r="20" customFormat="false" ht="13.5" hidden="false" customHeight="false" outlineLevel="0" collapsed="false">
      <c r="A20" s="0" t="s">
        <v>92</v>
      </c>
      <c r="B20" s="1" t="n">
        <v>43880</v>
      </c>
    </row>
    <row r="21" customFormat="false" ht="13.5" hidden="false" customHeight="false" outlineLevel="0" collapsed="false">
      <c r="A21" s="0" t="s">
        <v>92</v>
      </c>
      <c r="B21" s="1" t="n">
        <v>43881</v>
      </c>
    </row>
    <row r="22" customFormat="false" ht="13.5" hidden="false" customHeight="false" outlineLevel="0" collapsed="false">
      <c r="A22" s="0" t="s">
        <v>92</v>
      </c>
      <c r="B22" s="1" t="n">
        <v>43882</v>
      </c>
    </row>
    <row r="23" customFormat="false" ht="13.5" hidden="false" customHeight="false" outlineLevel="0" collapsed="false">
      <c r="A23" s="0" t="s">
        <v>92</v>
      </c>
      <c r="B23" s="1" t="n">
        <v>43883</v>
      </c>
    </row>
    <row r="24" customFormat="false" ht="13.5" hidden="false" customHeight="false" outlineLevel="0" collapsed="false">
      <c r="A24" s="0" t="s">
        <v>92</v>
      </c>
      <c r="B24" s="1" t="n">
        <v>43884</v>
      </c>
    </row>
    <row r="25" customFormat="false" ht="13.5" hidden="false" customHeight="false" outlineLevel="0" collapsed="false">
      <c r="A25" s="0" t="s">
        <v>92</v>
      </c>
      <c r="B25" s="1" t="n">
        <v>43885</v>
      </c>
    </row>
    <row r="26" customFormat="false" ht="13.5" hidden="false" customHeight="false" outlineLevel="0" collapsed="false">
      <c r="A26" s="0" t="s">
        <v>92</v>
      </c>
      <c r="B26" s="1" t="n">
        <v>43886</v>
      </c>
    </row>
    <row r="27" customFormat="false" ht="13.5" hidden="false" customHeight="false" outlineLevel="0" collapsed="false">
      <c r="A27" s="0" t="s">
        <v>92</v>
      </c>
      <c r="B27" s="1" t="n">
        <v>43887</v>
      </c>
    </row>
    <row r="28" customFormat="false" ht="13.5" hidden="false" customHeight="false" outlineLevel="0" collapsed="false">
      <c r="A28" s="0" t="s">
        <v>92</v>
      </c>
      <c r="B28" s="1" t="n">
        <v>43888</v>
      </c>
    </row>
    <row r="29" customFormat="false" ht="13.5" hidden="false" customHeight="false" outlineLevel="0" collapsed="false">
      <c r="A29" s="0" t="s">
        <v>92</v>
      </c>
      <c r="B29" s="1" t="n">
        <v>43889</v>
      </c>
    </row>
    <row r="30" customFormat="false" ht="13.5" hidden="false" customHeight="false" outlineLevel="0" collapsed="false">
      <c r="A30" s="0" t="s">
        <v>92</v>
      </c>
      <c r="B30" s="1" t="n">
        <v>43890</v>
      </c>
    </row>
    <row r="31" customFormat="false" ht="13.5" hidden="false" customHeight="false" outlineLevel="0" collapsed="false">
      <c r="A31" s="0" t="s">
        <v>92</v>
      </c>
      <c r="B31" s="1" t="n">
        <v>43891</v>
      </c>
    </row>
    <row r="32" customFormat="false" ht="13.5" hidden="false" customHeight="false" outlineLevel="0" collapsed="false">
      <c r="A32" s="0" t="s">
        <v>92</v>
      </c>
      <c r="B32" s="1" t="n">
        <v>43892</v>
      </c>
    </row>
    <row r="33" customFormat="false" ht="13.5" hidden="false" customHeight="false" outlineLevel="0" collapsed="false">
      <c r="A33" s="0" t="s">
        <v>92</v>
      </c>
      <c r="B33" s="1" t="n">
        <v>43893</v>
      </c>
    </row>
    <row r="34" customFormat="false" ht="13.5" hidden="false" customHeight="false" outlineLevel="0" collapsed="false">
      <c r="A34" s="0" t="s">
        <v>92</v>
      </c>
      <c r="B34" s="1" t="n">
        <v>43894</v>
      </c>
    </row>
    <row r="35" customFormat="false" ht="13.5" hidden="false" customHeight="false" outlineLevel="0" collapsed="false">
      <c r="A35" s="0" t="s">
        <v>92</v>
      </c>
      <c r="B35" s="1" t="n">
        <v>43895</v>
      </c>
    </row>
    <row r="36" customFormat="false" ht="13.5" hidden="false" customHeight="false" outlineLevel="0" collapsed="false">
      <c r="A36" s="0" t="s">
        <v>92</v>
      </c>
      <c r="B36" s="1" t="n">
        <v>43896</v>
      </c>
    </row>
    <row r="37" customFormat="false" ht="13.5" hidden="false" customHeight="false" outlineLevel="0" collapsed="false">
      <c r="A37" s="0" t="s">
        <v>92</v>
      </c>
      <c r="B37" s="1" t="n">
        <v>43897</v>
      </c>
    </row>
    <row r="38" customFormat="false" ht="14.25" hidden="false" customHeight="false" outlineLevel="0" collapsed="false">
      <c r="A38" s="0" t="s">
        <v>92</v>
      </c>
      <c r="B38" s="1" t="n">
        <v>43898</v>
      </c>
      <c r="C38" s="0" t="n">
        <v>4</v>
      </c>
      <c r="G38" s="0" t="n">
        <v>1</v>
      </c>
      <c r="H38" s="0" t="n">
        <v>3</v>
      </c>
    </row>
    <row r="39" customFormat="false" ht="15.75" hidden="false" customHeight="false" outlineLevel="0" collapsed="false">
      <c r="A39" s="0" t="s">
        <v>92</v>
      </c>
      <c r="B39" s="1" t="n">
        <v>43899</v>
      </c>
      <c r="C39" s="6" t="n">
        <v>4</v>
      </c>
      <c r="D39" s="6" t="n">
        <v>0</v>
      </c>
      <c r="E39" s="6"/>
      <c r="F39" s="6"/>
      <c r="G39" s="6" t="n">
        <v>1</v>
      </c>
      <c r="H39" s="6" t="n">
        <v>3</v>
      </c>
      <c r="I39" s="6"/>
      <c r="J39" s="9" t="n">
        <v>0.2</v>
      </c>
    </row>
    <row r="40" customFormat="false" ht="15.75" hidden="false" customHeight="false" outlineLevel="0" collapsed="false">
      <c r="A40" s="0" t="s">
        <v>92</v>
      </c>
      <c r="B40" s="1" t="n">
        <v>43900</v>
      </c>
      <c r="C40" s="0" t="n">
        <v>4</v>
      </c>
      <c r="D40" s="6" t="n">
        <v>0</v>
      </c>
      <c r="G40" s="0" t="n">
        <v>1</v>
      </c>
      <c r="H40" s="0" t="n">
        <v>3</v>
      </c>
      <c r="J40" s="0" t="n">
        <v>0.2</v>
      </c>
    </row>
    <row r="41" customFormat="false" ht="15.75" hidden="false" customHeight="false" outlineLevel="0" collapsed="false">
      <c r="A41" s="0" t="s">
        <v>92</v>
      </c>
      <c r="B41" s="1" t="n">
        <v>43901</v>
      </c>
      <c r="C41" s="0" t="n">
        <v>4</v>
      </c>
      <c r="D41" s="6" t="n">
        <v>0</v>
      </c>
      <c r="G41" s="0" t="n">
        <v>1</v>
      </c>
      <c r="H41" s="0" t="n">
        <v>3</v>
      </c>
      <c r="J41" s="0" t="n">
        <v>0.2</v>
      </c>
    </row>
    <row r="42" customFormat="false" ht="15.75" hidden="false" customHeight="false" outlineLevel="0" collapsed="false">
      <c r="A42" s="0" t="s">
        <v>92</v>
      </c>
      <c r="B42" s="1" t="n">
        <v>43902</v>
      </c>
      <c r="C42" s="0" t="n">
        <v>4</v>
      </c>
      <c r="D42" s="6" t="n">
        <v>0</v>
      </c>
      <c r="G42" s="0" t="n">
        <v>1</v>
      </c>
      <c r="H42" s="0" t="n">
        <v>3</v>
      </c>
      <c r="J42" s="0" t="n">
        <v>0.2</v>
      </c>
    </row>
    <row r="43" customFormat="false" ht="15.75" hidden="false" customHeight="false" outlineLevel="0" collapsed="false">
      <c r="A43" s="0" t="s">
        <v>92</v>
      </c>
      <c r="B43" s="1" t="n">
        <v>43903</v>
      </c>
      <c r="C43" s="0" t="n">
        <v>10</v>
      </c>
      <c r="D43" s="6" t="n">
        <v>6</v>
      </c>
      <c r="G43" s="0" t="n">
        <v>1</v>
      </c>
      <c r="H43" s="0" t="n">
        <v>9</v>
      </c>
      <c r="J43" s="0" t="n">
        <v>0.6</v>
      </c>
    </row>
    <row r="44" customFormat="false" ht="15.75" hidden="false" customHeight="false" outlineLevel="0" collapsed="false">
      <c r="A44" s="0" t="s">
        <v>92</v>
      </c>
      <c r="B44" s="1" t="n">
        <v>43904</v>
      </c>
      <c r="C44" s="0" t="n">
        <v>10</v>
      </c>
      <c r="D44" s="6" t="n">
        <v>0</v>
      </c>
      <c r="G44" s="0" t="n">
        <v>2</v>
      </c>
      <c r="H44" s="0" t="n">
        <v>8</v>
      </c>
      <c r="J44" s="0" t="n">
        <v>0.6</v>
      </c>
    </row>
    <row r="45" customFormat="false" ht="15.75" hidden="false" customHeight="false" outlineLevel="0" collapsed="false">
      <c r="A45" s="0" t="s">
        <v>92</v>
      </c>
      <c r="B45" s="1" t="n">
        <v>43905</v>
      </c>
      <c r="C45" s="0" t="n">
        <v>21</v>
      </c>
      <c r="D45" s="6" t="n">
        <v>11</v>
      </c>
      <c r="G45" s="0" t="n">
        <v>2</v>
      </c>
      <c r="H45" s="0" t="n">
        <v>19</v>
      </c>
      <c r="J45" s="0" t="n">
        <v>1.3</v>
      </c>
    </row>
    <row r="46" customFormat="false" ht="15.75" hidden="false" customHeight="false" outlineLevel="0" collapsed="false">
      <c r="A46" s="0" t="s">
        <v>92</v>
      </c>
      <c r="B46" s="1" t="n">
        <v>43906</v>
      </c>
      <c r="C46" s="0" t="n">
        <v>24</v>
      </c>
      <c r="D46" s="6" t="n">
        <v>3</v>
      </c>
      <c r="G46" s="0" t="n">
        <v>2</v>
      </c>
      <c r="H46" s="0" t="n">
        <v>22</v>
      </c>
      <c r="J46" s="0" t="n">
        <v>1.4</v>
      </c>
    </row>
    <row r="47" customFormat="false" ht="15.75" hidden="false" customHeight="false" outlineLevel="0" collapsed="false">
      <c r="A47" s="0" t="s">
        <v>92</v>
      </c>
      <c r="B47" s="1" t="n">
        <v>43907</v>
      </c>
      <c r="C47" s="0" t="n">
        <v>24</v>
      </c>
      <c r="D47" s="6" t="n">
        <v>0</v>
      </c>
      <c r="G47" s="0" t="n">
        <v>2</v>
      </c>
      <c r="H47" s="0" t="n">
        <v>22</v>
      </c>
      <c r="J47" s="0" t="n">
        <v>1.4</v>
      </c>
    </row>
    <row r="48" customFormat="false" ht="15.75" hidden="false" customHeight="false" outlineLevel="0" collapsed="false">
      <c r="A48" s="0" t="s">
        <v>92</v>
      </c>
      <c r="B48" s="1" t="n">
        <v>43908</v>
      </c>
      <c r="C48" s="0" t="n">
        <v>27</v>
      </c>
      <c r="D48" s="6" t="n">
        <v>3</v>
      </c>
      <c r="G48" s="0" t="n">
        <v>2</v>
      </c>
      <c r="H48" s="0" t="n">
        <v>25</v>
      </c>
      <c r="J48" s="0" t="n">
        <v>1.6</v>
      </c>
    </row>
    <row r="49" customFormat="false" ht="15.75" hidden="false" customHeight="false" outlineLevel="0" collapsed="false">
      <c r="A49" s="0" t="s">
        <v>92</v>
      </c>
      <c r="B49" s="1" t="n">
        <v>43909</v>
      </c>
      <c r="C49" s="0" t="n">
        <v>36</v>
      </c>
      <c r="D49" s="6" t="n">
        <v>9</v>
      </c>
      <c r="G49" s="0" t="n">
        <v>2</v>
      </c>
      <c r="H49" s="0" t="n">
        <v>34</v>
      </c>
      <c r="J49" s="0" t="n">
        <v>2</v>
      </c>
    </row>
    <row r="50" customFormat="false" ht="15.75" hidden="false" customHeight="false" outlineLevel="0" collapsed="false">
      <c r="A50" s="0" t="s">
        <v>92</v>
      </c>
      <c r="B50" s="1" t="n">
        <v>43910</v>
      </c>
      <c r="C50" s="0" t="n">
        <v>36</v>
      </c>
      <c r="D50" s="6" t="n">
        <v>0</v>
      </c>
      <c r="G50" s="0" t="n">
        <v>2</v>
      </c>
      <c r="H50" s="0" t="n">
        <v>34</v>
      </c>
      <c r="J50" s="0" t="n">
        <v>2</v>
      </c>
    </row>
    <row r="51" customFormat="false" ht="15.75" hidden="false" customHeight="false" outlineLevel="0" collapsed="false">
      <c r="A51" s="0" t="s">
        <v>92</v>
      </c>
      <c r="B51" s="1" t="n">
        <v>43911</v>
      </c>
      <c r="C51" s="0" t="n">
        <v>47</v>
      </c>
      <c r="D51" s="6" t="n">
        <v>11</v>
      </c>
      <c r="G51" s="0" t="n">
        <v>5</v>
      </c>
      <c r="H51" s="0" t="n">
        <v>42</v>
      </c>
      <c r="J51" s="0" t="n">
        <v>3</v>
      </c>
    </row>
    <row r="52" customFormat="false" ht="15.75" hidden="false" customHeight="false" outlineLevel="0" collapsed="false">
      <c r="A52" s="0" t="s">
        <v>92</v>
      </c>
      <c r="B52" s="1" t="n">
        <v>43912</v>
      </c>
      <c r="C52" s="0" t="n">
        <v>56</v>
      </c>
      <c r="D52" s="6" t="n">
        <v>9</v>
      </c>
      <c r="G52" s="0" t="n">
        <v>5</v>
      </c>
      <c r="H52" s="0" t="n">
        <v>51</v>
      </c>
      <c r="J52" s="0" t="n">
        <v>3</v>
      </c>
    </row>
    <row r="53" customFormat="false" ht="15.75" hidden="false" customHeight="false" outlineLevel="0" collapsed="false">
      <c r="A53" s="0" t="s">
        <v>92</v>
      </c>
      <c r="B53" s="1" t="n">
        <v>43913</v>
      </c>
      <c r="C53" s="0" t="n">
        <v>67</v>
      </c>
      <c r="D53" s="6" t="n">
        <v>11</v>
      </c>
      <c r="G53" s="0" t="n">
        <v>5</v>
      </c>
      <c r="H53" s="0" t="n">
        <v>62</v>
      </c>
      <c r="J53" s="0" t="n">
        <v>4</v>
      </c>
    </row>
    <row r="54" customFormat="false" ht="15.75" hidden="false" customHeight="false" outlineLevel="0" collapsed="false">
      <c r="A54" s="0" t="s">
        <v>92</v>
      </c>
      <c r="B54" s="1" t="n">
        <v>43914</v>
      </c>
      <c r="C54" s="0" t="n">
        <v>79</v>
      </c>
      <c r="D54" s="6" t="n">
        <v>12</v>
      </c>
      <c r="G54" s="0" t="n">
        <v>8</v>
      </c>
      <c r="H54" s="0" t="n">
        <v>71</v>
      </c>
      <c r="J54" s="0" t="n">
        <v>5</v>
      </c>
    </row>
    <row r="55" customFormat="false" ht="15.75" hidden="false" customHeight="false" outlineLevel="0" collapsed="false">
      <c r="A55" s="0" t="s">
        <v>92</v>
      </c>
      <c r="B55" s="1" t="n">
        <v>43915</v>
      </c>
      <c r="C55" s="0" t="n">
        <v>86</v>
      </c>
      <c r="D55" s="6" t="n">
        <v>7</v>
      </c>
      <c r="G55" s="0" t="n">
        <v>8</v>
      </c>
      <c r="H55" s="0" t="n">
        <v>78</v>
      </c>
      <c r="J55" s="0" t="n">
        <v>5</v>
      </c>
    </row>
    <row r="56" customFormat="false" ht="15.75" hidden="false" customHeight="false" outlineLevel="0" collapsed="false">
      <c r="A56" s="0" t="s">
        <v>92</v>
      </c>
      <c r="B56" s="1" t="n">
        <v>43916</v>
      </c>
      <c r="C56" s="0" t="n">
        <v>99</v>
      </c>
      <c r="D56" s="6" t="n">
        <v>13</v>
      </c>
      <c r="G56" s="0" t="n">
        <v>9</v>
      </c>
      <c r="H56" s="0" t="n">
        <v>90</v>
      </c>
      <c r="J56" s="0" t="n">
        <v>6</v>
      </c>
    </row>
    <row r="57" customFormat="false" ht="15.75" hidden="false" customHeight="false" outlineLevel="0" collapsed="false">
      <c r="A57" s="0" t="s">
        <v>92</v>
      </c>
      <c r="B57" s="1" t="n">
        <v>43917</v>
      </c>
      <c r="C57" s="0" t="n">
        <v>105</v>
      </c>
      <c r="D57" s="6" t="n">
        <v>6</v>
      </c>
      <c r="G57" s="0" t="n">
        <v>9</v>
      </c>
      <c r="H57" s="0" t="n">
        <v>96</v>
      </c>
      <c r="J57" s="0" t="n">
        <v>6</v>
      </c>
    </row>
    <row r="58" customFormat="false" ht="15.75" hidden="false" customHeight="false" outlineLevel="0" collapsed="false">
      <c r="A58" s="0" t="s">
        <v>92</v>
      </c>
      <c r="B58" s="1" t="n">
        <v>43918</v>
      </c>
      <c r="C58" s="0" t="n">
        <v>119</v>
      </c>
      <c r="D58" s="6" t="n">
        <v>14</v>
      </c>
      <c r="G58" s="0" t="n">
        <v>11</v>
      </c>
      <c r="H58" s="0" t="n">
        <v>108</v>
      </c>
      <c r="J58" s="0" t="n">
        <v>7</v>
      </c>
    </row>
    <row r="59" customFormat="false" ht="15.75" hidden="false" customHeight="false" outlineLevel="0" collapsed="false">
      <c r="A59" s="0" t="s">
        <v>92</v>
      </c>
      <c r="B59" s="1" t="n">
        <v>43919</v>
      </c>
      <c r="C59" s="0" t="n">
        <v>130</v>
      </c>
      <c r="D59" s="6" t="n">
        <v>11</v>
      </c>
      <c r="G59" s="0" t="n">
        <v>18</v>
      </c>
      <c r="H59" s="0" t="n">
        <v>112</v>
      </c>
      <c r="J59" s="0" t="n">
        <v>8</v>
      </c>
    </row>
    <row r="60" customFormat="false" ht="15.75" hidden="false" customHeight="false" outlineLevel="0" collapsed="false">
      <c r="A60" s="0" t="s">
        <v>92</v>
      </c>
      <c r="B60" s="1" t="n">
        <v>43920</v>
      </c>
      <c r="C60" s="0" t="n">
        <v>142</v>
      </c>
      <c r="D60" s="6" t="n">
        <v>12</v>
      </c>
      <c r="G60" s="0" t="n">
        <v>27</v>
      </c>
      <c r="H60" s="0" t="n">
        <v>115</v>
      </c>
      <c r="J60" s="0" t="n">
        <v>8</v>
      </c>
    </row>
    <row r="61" customFormat="false" ht="15.75" hidden="false" customHeight="false" outlineLevel="0" collapsed="false">
      <c r="A61" s="0" t="s">
        <v>92</v>
      </c>
      <c r="B61" s="1" t="n">
        <v>43921</v>
      </c>
      <c r="C61" s="0" t="n">
        <v>162</v>
      </c>
      <c r="D61" s="6" t="n">
        <v>20</v>
      </c>
      <c r="G61" s="0" t="n">
        <v>27</v>
      </c>
      <c r="H61" s="0" t="n">
        <v>135</v>
      </c>
      <c r="J61" s="0" t="n">
        <v>10</v>
      </c>
    </row>
    <row r="62" customFormat="false" ht="15.75" hidden="false" customHeight="false" outlineLevel="0" collapsed="false">
      <c r="A62" s="0" t="s">
        <v>92</v>
      </c>
      <c r="B62" s="1" t="n">
        <v>43922</v>
      </c>
      <c r="C62" s="0" t="n">
        <v>175</v>
      </c>
      <c r="D62" s="6" t="n">
        <v>13</v>
      </c>
      <c r="G62" s="0" t="n">
        <v>40</v>
      </c>
      <c r="H62" s="0" t="n">
        <v>135</v>
      </c>
      <c r="J62" s="0" t="n">
        <v>10</v>
      </c>
    </row>
    <row r="63" customFormat="false" ht="15.75" hidden="false" customHeight="false" outlineLevel="0" collapsed="false">
      <c r="A63" s="0" t="s">
        <v>92</v>
      </c>
      <c r="B63" s="1" t="n">
        <v>43923</v>
      </c>
      <c r="C63" s="0" t="n">
        <v>190</v>
      </c>
      <c r="D63" s="6" t="n">
        <v>15</v>
      </c>
      <c r="E63" s="0" t="n">
        <v>1</v>
      </c>
      <c r="F63" s="0" t="n">
        <v>1</v>
      </c>
      <c r="G63" s="0" t="n">
        <v>45</v>
      </c>
      <c r="H63" s="0" t="n">
        <v>144</v>
      </c>
      <c r="J63" s="0" t="n">
        <v>11</v>
      </c>
      <c r="K63" s="0" t="n">
        <v>0.06</v>
      </c>
    </row>
    <row r="64" customFormat="false" ht="15.75" hidden="false" customHeight="false" outlineLevel="0" collapsed="false">
      <c r="A64" s="0" t="s">
        <v>92</v>
      </c>
      <c r="B64" s="1" t="n">
        <v>43924</v>
      </c>
      <c r="C64" s="0" t="n">
        <v>195</v>
      </c>
      <c r="D64" s="6" t="n">
        <v>5</v>
      </c>
      <c r="E64" s="0" t="n">
        <v>1</v>
      </c>
      <c r="F64" s="0" t="n">
        <v>0</v>
      </c>
      <c r="G64" s="0" t="n">
        <v>55</v>
      </c>
      <c r="H64" s="0" t="n">
        <v>139</v>
      </c>
      <c r="J64" s="0" t="n">
        <v>12</v>
      </c>
      <c r="K64" s="0" t="n">
        <v>0.06</v>
      </c>
    </row>
    <row r="65" customFormat="false" ht="15.75" hidden="false" customHeight="false" outlineLevel="0" collapsed="false">
      <c r="A65" s="0" t="s">
        <v>92</v>
      </c>
      <c r="B65" s="1" t="n">
        <v>43925</v>
      </c>
      <c r="C65" s="0" t="n">
        <v>207</v>
      </c>
      <c r="D65" s="6" t="n">
        <v>12</v>
      </c>
      <c r="E65" s="0" t="n">
        <v>1</v>
      </c>
      <c r="F65" s="0" t="n">
        <v>0</v>
      </c>
      <c r="G65" s="0" t="n">
        <v>66</v>
      </c>
      <c r="H65" s="0" t="n">
        <v>140</v>
      </c>
      <c r="I65" s="0" t="n">
        <v>1</v>
      </c>
      <c r="J65" s="0" t="n">
        <v>12</v>
      </c>
      <c r="K65" s="0" t="n">
        <v>0.06</v>
      </c>
    </row>
    <row r="66" customFormat="false" ht="15.75" hidden="false" customHeight="false" outlineLevel="0" collapsed="false">
      <c r="A66" s="0" t="s">
        <v>92</v>
      </c>
      <c r="B66" s="1" t="n">
        <v>43926</v>
      </c>
      <c r="C66" s="0" t="n">
        <v>219</v>
      </c>
      <c r="D66" s="6" t="n">
        <v>12</v>
      </c>
      <c r="E66" s="0" t="n">
        <v>2</v>
      </c>
      <c r="F66" s="0" t="n">
        <v>1</v>
      </c>
      <c r="G66" s="0" t="n">
        <v>72</v>
      </c>
      <c r="H66" s="0" t="n">
        <v>145</v>
      </c>
      <c r="I66" s="0" t="n">
        <v>1</v>
      </c>
      <c r="J66" s="0" t="n">
        <v>13</v>
      </c>
      <c r="K66" s="0" t="n">
        <v>0.1</v>
      </c>
      <c r="L66" s="0" t="n">
        <v>195</v>
      </c>
      <c r="M66" s="0" t="n">
        <v>12</v>
      </c>
    </row>
    <row r="67" customFormat="false" ht="15.75" hidden="false" customHeight="false" outlineLevel="0" collapsed="false">
      <c r="A67" s="0" t="s">
        <v>92</v>
      </c>
      <c r="B67" s="1" t="n">
        <v>43927</v>
      </c>
      <c r="C67" s="0" t="n">
        <v>222</v>
      </c>
      <c r="D67" s="6" t="n">
        <v>3</v>
      </c>
      <c r="E67" s="0" t="n">
        <v>2</v>
      </c>
      <c r="F67" s="0" t="n">
        <v>0</v>
      </c>
      <c r="G67" s="0" t="n">
        <v>82</v>
      </c>
      <c r="H67" s="0" t="n">
        <v>138</v>
      </c>
      <c r="I67" s="0" t="n">
        <v>1</v>
      </c>
      <c r="J67" s="0" t="n">
        <v>13</v>
      </c>
      <c r="K67" s="0" t="n">
        <v>0.1</v>
      </c>
    </row>
    <row r="68" customFormat="false" ht="15.75" hidden="false" customHeight="false" outlineLevel="0" collapsed="false">
      <c r="A68" s="0" t="s">
        <v>92</v>
      </c>
      <c r="B68" s="1" t="n">
        <v>43928</v>
      </c>
      <c r="C68" s="0" t="n">
        <v>226</v>
      </c>
      <c r="D68" s="6" t="n">
        <v>4</v>
      </c>
      <c r="E68" s="0" t="n">
        <v>2</v>
      </c>
      <c r="F68" s="0" t="n">
        <v>0</v>
      </c>
      <c r="G68" s="0" t="n">
        <v>92</v>
      </c>
      <c r="H68" s="0" t="n">
        <v>132</v>
      </c>
      <c r="I68" s="0" t="n">
        <v>1</v>
      </c>
      <c r="J68" s="0" t="n">
        <v>13</v>
      </c>
      <c r="K68" s="0" t="n">
        <v>0.1</v>
      </c>
    </row>
    <row r="69" customFormat="false" ht="15.75" hidden="false" customHeight="false" outlineLevel="0" collapsed="false">
      <c r="A69" s="0" t="s">
        <v>92</v>
      </c>
      <c r="B69" s="1" t="n">
        <v>43929</v>
      </c>
      <c r="C69" s="0" t="n">
        <v>237</v>
      </c>
      <c r="D69" s="6" t="n">
        <v>11</v>
      </c>
      <c r="E69" s="0" t="n">
        <v>2</v>
      </c>
      <c r="F69" s="0" t="n">
        <v>0</v>
      </c>
      <c r="G69" s="0" t="n">
        <v>105</v>
      </c>
      <c r="H69" s="0" t="n">
        <v>130</v>
      </c>
      <c r="I69" s="0" t="n">
        <v>1</v>
      </c>
      <c r="J69" s="0" t="n">
        <v>14</v>
      </c>
      <c r="K69" s="0" t="n">
        <v>0.1</v>
      </c>
    </row>
    <row r="70" customFormat="false" ht="15.75" hidden="false" customHeight="false" outlineLevel="0" collapsed="false">
      <c r="A70" s="0" t="s">
        <v>92</v>
      </c>
      <c r="B70" s="1" t="n">
        <v>43930</v>
      </c>
      <c r="C70" s="0" t="n">
        <v>244</v>
      </c>
      <c r="D70" s="6" t="n">
        <v>7</v>
      </c>
      <c r="E70" s="0" t="n">
        <v>2</v>
      </c>
      <c r="F70" s="0" t="n">
        <v>0</v>
      </c>
      <c r="G70" s="0" t="n">
        <v>113</v>
      </c>
      <c r="H70" s="0" t="n">
        <v>129</v>
      </c>
      <c r="I70" s="0" t="n">
        <v>1</v>
      </c>
      <c r="J70" s="0" t="n">
        <v>15</v>
      </c>
      <c r="K70" s="0" t="n">
        <v>0.1</v>
      </c>
    </row>
    <row r="71" customFormat="false" ht="15.75" hidden="false" customHeight="false" outlineLevel="0" collapsed="false">
      <c r="A71" s="0" t="s">
        <v>92</v>
      </c>
      <c r="B71" s="1" t="n">
        <v>43931</v>
      </c>
      <c r="C71" s="0" t="n">
        <v>250</v>
      </c>
      <c r="D71" s="6" t="n">
        <v>6</v>
      </c>
      <c r="E71" s="0" t="n">
        <v>2</v>
      </c>
      <c r="F71" s="0" t="n">
        <v>0</v>
      </c>
      <c r="G71" s="0" t="n">
        <v>123</v>
      </c>
      <c r="H71" s="0" t="n">
        <v>125</v>
      </c>
      <c r="I71" s="0" t="n">
        <v>1</v>
      </c>
      <c r="J71" s="0" t="n">
        <v>15</v>
      </c>
      <c r="K71" s="0" t="n">
        <v>0.1</v>
      </c>
    </row>
    <row r="72" customFormat="false" ht="15.75" hidden="false" customHeight="false" outlineLevel="0" collapsed="false">
      <c r="A72" s="0" t="s">
        <v>92</v>
      </c>
      <c r="B72" s="1" t="n">
        <v>43932</v>
      </c>
      <c r="C72" s="0" t="n">
        <v>265</v>
      </c>
      <c r="D72" s="6" t="n">
        <v>15</v>
      </c>
      <c r="E72" s="0" t="n">
        <v>2</v>
      </c>
      <c r="F72" s="0" t="n">
        <v>0</v>
      </c>
      <c r="G72" s="0" t="n">
        <v>137</v>
      </c>
      <c r="H72" s="0" t="n">
        <v>126</v>
      </c>
      <c r="I72" s="0" t="n">
        <v>1</v>
      </c>
      <c r="J72" s="0" t="n">
        <v>16</v>
      </c>
      <c r="K72" s="0" t="n">
        <v>0.1</v>
      </c>
    </row>
    <row r="73" customFormat="false" ht="15.75" hidden="false" customHeight="false" outlineLevel="0" collapsed="false">
      <c r="A73" s="0" t="s">
        <v>92</v>
      </c>
      <c r="B73" s="1" t="n">
        <v>43933</v>
      </c>
      <c r="C73" s="0" t="n">
        <v>278</v>
      </c>
      <c r="D73" s="6" t="n">
        <v>13</v>
      </c>
      <c r="E73" s="0" t="n">
        <v>2</v>
      </c>
      <c r="F73" s="0" t="n">
        <v>0</v>
      </c>
      <c r="G73" s="0" t="n">
        <v>152</v>
      </c>
      <c r="H73" s="0" t="n">
        <v>124</v>
      </c>
      <c r="I73" s="0" t="n">
        <v>1</v>
      </c>
      <c r="J73" s="0" t="n">
        <v>17</v>
      </c>
      <c r="K73" s="0" t="n">
        <v>0.1</v>
      </c>
    </row>
    <row r="74" customFormat="false" ht="15.75" hidden="false" customHeight="false" outlineLevel="0" collapsed="false">
      <c r="A74" s="0" t="s">
        <v>92</v>
      </c>
      <c r="B74" s="1" t="n">
        <v>43934</v>
      </c>
      <c r="C74" s="0" t="n">
        <v>280</v>
      </c>
      <c r="D74" s="6" t="n">
        <v>2</v>
      </c>
      <c r="E74" s="0" t="n">
        <v>2</v>
      </c>
      <c r="F74" s="0" t="n">
        <v>0</v>
      </c>
      <c r="G74" s="0" t="n">
        <v>171</v>
      </c>
      <c r="H74" s="0" t="n">
        <v>107</v>
      </c>
      <c r="I74" s="0" t="n">
        <v>1</v>
      </c>
      <c r="J74" s="0" t="n">
        <v>17</v>
      </c>
      <c r="K74" s="0" t="n">
        <v>0.1</v>
      </c>
    </row>
    <row r="75" customFormat="false" ht="15.75" hidden="false" customHeight="false" outlineLevel="0" collapsed="false">
      <c r="A75" s="0" t="s">
        <v>92</v>
      </c>
      <c r="B75" s="1" t="n">
        <v>43935</v>
      </c>
      <c r="C75" s="0" t="n">
        <v>291</v>
      </c>
      <c r="D75" s="6" t="n">
        <v>11</v>
      </c>
      <c r="E75" s="0" t="n">
        <v>2</v>
      </c>
      <c r="F75" s="0" t="n">
        <v>0</v>
      </c>
      <c r="G75" s="0" t="n">
        <v>178</v>
      </c>
      <c r="H75" s="0" t="n">
        <v>111</v>
      </c>
      <c r="I75" s="0" t="n">
        <v>1</v>
      </c>
      <c r="J75" s="0" t="n">
        <v>17</v>
      </c>
      <c r="K75" s="0" t="n">
        <v>0.1</v>
      </c>
    </row>
    <row r="76" customFormat="false" ht="15.75" hidden="false" customHeight="false" outlineLevel="0" collapsed="false">
      <c r="A76" s="0" t="s">
        <v>92</v>
      </c>
      <c r="B76" s="1" t="n">
        <v>43936</v>
      </c>
      <c r="C76" s="0" t="n">
        <v>299</v>
      </c>
      <c r="D76" s="6" t="n">
        <v>8</v>
      </c>
      <c r="E76" s="0" t="n">
        <v>2</v>
      </c>
      <c r="F76" s="0" t="n">
        <v>0</v>
      </c>
      <c r="G76" s="0" t="n">
        <v>183</v>
      </c>
      <c r="H76" s="0" t="n">
        <v>114</v>
      </c>
      <c r="I76" s="0" t="n">
        <v>1</v>
      </c>
      <c r="J76" s="0" t="n">
        <v>18</v>
      </c>
      <c r="K76" s="0" t="n">
        <v>0.1</v>
      </c>
    </row>
    <row r="77" customFormat="false" ht="15.75" hidden="false" customHeight="false" outlineLevel="0" collapsed="false">
      <c r="A77" s="0" t="s">
        <v>92</v>
      </c>
      <c r="B77" s="1" t="n">
        <v>43937</v>
      </c>
      <c r="C77" s="0" t="n">
        <v>314</v>
      </c>
      <c r="D77" s="6" t="n">
        <v>15</v>
      </c>
      <c r="E77" s="0" t="n">
        <v>2</v>
      </c>
      <c r="F77" s="0" t="n">
        <v>0</v>
      </c>
      <c r="G77" s="0" t="n">
        <v>190</v>
      </c>
      <c r="H77" s="0" t="n">
        <v>122</v>
      </c>
      <c r="I77" s="0" t="n">
        <v>1</v>
      </c>
      <c r="J77" s="0" t="n">
        <v>19</v>
      </c>
      <c r="K77" s="0" t="n">
        <v>0.1</v>
      </c>
    </row>
    <row r="78" customFormat="false" ht="15.75" hidden="false" customHeight="false" outlineLevel="0" collapsed="false">
      <c r="A78" s="0" t="s">
        <v>92</v>
      </c>
      <c r="B78" s="1" t="n">
        <v>43938</v>
      </c>
      <c r="C78" s="0" t="n">
        <v>335</v>
      </c>
      <c r="D78" s="6" t="n">
        <v>21</v>
      </c>
      <c r="E78" s="0" t="n">
        <v>2</v>
      </c>
      <c r="F78" s="0" t="n">
        <v>0</v>
      </c>
      <c r="G78" s="0" t="n">
        <v>194</v>
      </c>
      <c r="H78" s="0" t="n">
        <v>139</v>
      </c>
      <c r="I78" s="0" t="n">
        <v>1</v>
      </c>
      <c r="J78" s="0" t="n">
        <v>20</v>
      </c>
      <c r="K78" s="0" t="n">
        <v>0.1</v>
      </c>
    </row>
    <row r="79" customFormat="false" ht="15.75" hidden="false" customHeight="false" outlineLevel="0" collapsed="false">
      <c r="A79" s="0" t="s">
        <v>92</v>
      </c>
      <c r="B79" s="1" t="n">
        <v>43939</v>
      </c>
      <c r="C79" s="0" t="n">
        <v>342</v>
      </c>
      <c r="D79" s="6" t="n">
        <v>7</v>
      </c>
      <c r="E79" s="0" t="n">
        <v>2</v>
      </c>
      <c r="F79" s="0" t="n">
        <v>0</v>
      </c>
      <c r="G79" s="0" t="n">
        <v>198</v>
      </c>
      <c r="H79" s="0" t="n">
        <v>142</v>
      </c>
      <c r="I79" s="0" t="n">
        <v>1</v>
      </c>
      <c r="J79" s="0" t="n">
        <v>20</v>
      </c>
      <c r="K79" s="0" t="n">
        <v>0.1</v>
      </c>
    </row>
    <row r="80" customFormat="false" ht="15.75" hidden="false" customHeight="false" outlineLevel="0" collapsed="false">
      <c r="A80" s="0" t="s">
        <v>92</v>
      </c>
      <c r="B80" s="1" t="n">
        <v>43940</v>
      </c>
      <c r="C80" s="0" t="n">
        <v>350</v>
      </c>
      <c r="D80" s="6" t="n">
        <v>8</v>
      </c>
      <c r="E80" s="0" t="n">
        <v>3</v>
      </c>
      <c r="F80" s="0" t="n">
        <v>1</v>
      </c>
      <c r="G80" s="0" t="n">
        <v>211</v>
      </c>
      <c r="H80" s="0" t="n">
        <v>136</v>
      </c>
      <c r="I80" s="0" t="n">
        <v>1</v>
      </c>
      <c r="J80" s="0" t="n">
        <v>21</v>
      </c>
      <c r="K80" s="0" t="n">
        <v>0.2</v>
      </c>
    </row>
    <row r="81" customFormat="false" ht="15.75" hidden="false" customHeight="false" outlineLevel="0" collapsed="false">
      <c r="A81" s="0" t="s">
        <v>92</v>
      </c>
      <c r="B81" s="1" t="n">
        <v>43941</v>
      </c>
      <c r="C81" s="0" t="n">
        <v>367</v>
      </c>
      <c r="D81" s="6" t="n">
        <v>17</v>
      </c>
      <c r="E81" s="0" t="n">
        <v>3</v>
      </c>
      <c r="F81" s="0" t="n">
        <v>0</v>
      </c>
      <c r="G81" s="0" t="n">
        <v>220</v>
      </c>
      <c r="H81" s="0" t="n">
        <v>144</v>
      </c>
      <c r="I81" s="0" t="n">
        <v>1</v>
      </c>
      <c r="J81" s="0" t="n">
        <v>22</v>
      </c>
      <c r="K81" s="0" t="n">
        <v>0.2</v>
      </c>
    </row>
    <row r="82" customFormat="false" ht="15.75" hidden="false" customHeight="false" outlineLevel="0" collapsed="false">
      <c r="A82" s="0" t="s">
        <v>92</v>
      </c>
      <c r="B82" s="1" t="n">
        <v>43942</v>
      </c>
      <c r="C82" s="0" t="n">
        <v>377</v>
      </c>
      <c r="D82" s="6" t="n">
        <v>10</v>
      </c>
      <c r="E82" s="0" t="n">
        <v>5</v>
      </c>
      <c r="F82" s="0" t="n">
        <v>2</v>
      </c>
      <c r="G82" s="0" t="n">
        <v>235</v>
      </c>
      <c r="H82" s="0" t="n">
        <v>137</v>
      </c>
      <c r="I82" s="0" t="n">
        <v>1</v>
      </c>
      <c r="J82" s="0" t="n">
        <v>23</v>
      </c>
      <c r="K82" s="0" t="n">
        <v>0.3</v>
      </c>
    </row>
    <row r="83" customFormat="false" ht="15.75" hidden="false" customHeight="false" outlineLevel="0" collapsed="false">
      <c r="A83" s="0" t="s">
        <v>92</v>
      </c>
      <c r="B83" s="1" t="n">
        <v>43943</v>
      </c>
      <c r="C83" s="0" t="n">
        <v>412</v>
      </c>
      <c r="D83" s="6" t="n">
        <v>35</v>
      </c>
      <c r="E83" s="0" t="n">
        <v>5</v>
      </c>
      <c r="F83" s="0" t="n">
        <v>0</v>
      </c>
      <c r="G83" s="0" t="n">
        <v>242</v>
      </c>
      <c r="H83" s="0" t="n">
        <v>165</v>
      </c>
      <c r="I83" s="0" t="n">
        <v>1</v>
      </c>
      <c r="J83" s="0" t="n">
        <v>25</v>
      </c>
      <c r="K83" s="0" t="n">
        <v>0.3</v>
      </c>
      <c r="L83" s="0" t="n">
        <v>466</v>
      </c>
      <c r="M83" s="0" t="n">
        <v>28</v>
      </c>
    </row>
    <row r="84" customFormat="false" ht="15.75" hidden="false" customHeight="false" outlineLevel="0" collapsed="false">
      <c r="A84" s="0" t="s">
        <v>92</v>
      </c>
      <c r="B84" s="1" t="n">
        <v>43944</v>
      </c>
      <c r="C84" s="0" t="n">
        <v>442</v>
      </c>
      <c r="D84" s="6" t="n">
        <v>30</v>
      </c>
      <c r="E84" s="0" t="n">
        <v>6</v>
      </c>
      <c r="F84" s="0" t="n">
        <v>1</v>
      </c>
      <c r="G84" s="0" t="n">
        <v>253</v>
      </c>
      <c r="H84" s="0" t="n">
        <v>183</v>
      </c>
      <c r="I84" s="0" t="n">
        <v>1</v>
      </c>
      <c r="J84" s="0" t="n">
        <v>26</v>
      </c>
      <c r="K84" s="0" t="n">
        <v>0.4</v>
      </c>
      <c r="L84" s="0" t="n">
        <v>466</v>
      </c>
      <c r="M84" s="0" t="n">
        <v>28</v>
      </c>
    </row>
    <row r="85" customFormat="false" ht="15.75" hidden="false" customHeight="false" outlineLevel="0" collapsed="false">
      <c r="A85" s="0" t="s">
        <v>92</v>
      </c>
      <c r="B85" s="1" t="n">
        <v>43945</v>
      </c>
      <c r="C85" s="0" t="n">
        <v>479</v>
      </c>
      <c r="D85" s="6" t="n">
        <v>37</v>
      </c>
      <c r="E85" s="0" t="n">
        <v>6</v>
      </c>
      <c r="F85" s="0" t="n">
        <v>0</v>
      </c>
      <c r="G85" s="0" t="n">
        <v>257</v>
      </c>
      <c r="H85" s="0" t="n">
        <v>216</v>
      </c>
      <c r="I85" s="0" t="n">
        <v>1</v>
      </c>
      <c r="J85" s="0" t="n">
        <v>29</v>
      </c>
      <c r="K85" s="0" t="n">
        <v>0.4</v>
      </c>
      <c r="L85" s="0" t="n">
        <v>466</v>
      </c>
      <c r="M85" s="0" t="n">
        <v>28</v>
      </c>
    </row>
    <row r="86" customFormat="false" ht="15.75" hidden="false" customHeight="false" outlineLevel="0" collapsed="false">
      <c r="A86" s="0" t="s">
        <v>92</v>
      </c>
      <c r="B86" s="1" t="n">
        <v>43946</v>
      </c>
      <c r="C86" s="0" t="n">
        <v>545</v>
      </c>
      <c r="D86" s="6" t="n">
        <v>66</v>
      </c>
      <c r="E86" s="0" t="n">
        <v>7</v>
      </c>
      <c r="F86" s="0" t="n">
        <v>1</v>
      </c>
      <c r="G86" s="0" t="n">
        <v>262</v>
      </c>
      <c r="H86" s="0" t="n">
        <v>276</v>
      </c>
      <c r="I86" s="0" t="n">
        <v>1</v>
      </c>
      <c r="J86" s="0" t="n">
        <v>33</v>
      </c>
      <c r="K86" s="0" t="n">
        <v>0.4</v>
      </c>
      <c r="L86" s="0" t="n">
        <v>466</v>
      </c>
      <c r="M86" s="0" t="n">
        <v>28</v>
      </c>
    </row>
    <row r="87" customFormat="false" ht="15.75" hidden="false" customHeight="false" outlineLevel="0" collapsed="false">
      <c r="A87" s="0" t="s">
        <v>92</v>
      </c>
      <c r="B87" s="1" t="n">
        <v>43947</v>
      </c>
      <c r="C87" s="0" t="n">
        <v>614</v>
      </c>
      <c r="D87" s="6" t="n">
        <v>69</v>
      </c>
      <c r="E87" s="0" t="n">
        <v>7</v>
      </c>
      <c r="F87" s="0" t="n">
        <v>0</v>
      </c>
      <c r="G87" s="0" t="n">
        <v>276</v>
      </c>
      <c r="H87" s="0" t="n">
        <v>331</v>
      </c>
      <c r="I87" s="0" t="n">
        <v>1</v>
      </c>
      <c r="J87" s="0" t="n">
        <v>37</v>
      </c>
      <c r="K87" s="0" t="n">
        <v>0.4</v>
      </c>
      <c r="L87" s="0" t="n">
        <v>466</v>
      </c>
      <c r="M87" s="0" t="n">
        <v>28</v>
      </c>
    </row>
    <row r="88" customFormat="false" ht="15.75" hidden="false" customHeight="false" outlineLevel="0" collapsed="false">
      <c r="A88" s="0" t="s">
        <v>92</v>
      </c>
      <c r="B88" s="1" t="n">
        <v>43948</v>
      </c>
      <c r="C88" s="0" t="n">
        <v>671</v>
      </c>
      <c r="D88" s="6" t="n">
        <v>57</v>
      </c>
      <c r="E88" s="0" t="n">
        <v>8</v>
      </c>
      <c r="F88" s="0" t="n">
        <v>1</v>
      </c>
      <c r="G88" s="0" t="n">
        <v>283</v>
      </c>
      <c r="H88" s="0" t="n">
        <v>380</v>
      </c>
      <c r="I88" s="0" t="n">
        <v>1</v>
      </c>
      <c r="J88" s="0" t="n">
        <v>40</v>
      </c>
      <c r="K88" s="0" t="n">
        <v>0.5</v>
      </c>
      <c r="L88" s="0" t="n">
        <v>466</v>
      </c>
      <c r="M88" s="0" t="n">
        <v>28</v>
      </c>
    </row>
    <row r="89" customFormat="false" ht="15.75" hidden="false" customHeight="false" outlineLevel="0" collapsed="false">
      <c r="A89" s="0" t="s">
        <v>92</v>
      </c>
      <c r="B89" s="1" t="n">
        <v>43949</v>
      </c>
      <c r="C89" s="0" t="n">
        <v>736</v>
      </c>
      <c r="D89" s="6" t="n">
        <v>65</v>
      </c>
      <c r="E89" s="0" t="n">
        <v>9</v>
      </c>
      <c r="F89" s="0" t="n">
        <v>1</v>
      </c>
      <c r="G89" s="0" t="n">
        <v>284</v>
      </c>
      <c r="H89" s="0" t="n">
        <v>443</v>
      </c>
      <c r="I89" s="0" t="n">
        <v>1</v>
      </c>
      <c r="J89" s="0" t="n">
        <v>44</v>
      </c>
      <c r="K89" s="0" t="n">
        <v>0.5</v>
      </c>
      <c r="L89" s="0" t="n">
        <v>466</v>
      </c>
      <c r="M89" s="0" t="n">
        <v>28</v>
      </c>
    </row>
    <row r="90" customFormat="false" ht="15.75" hidden="false" customHeight="false" outlineLevel="0" collapsed="false">
      <c r="A90" s="0" t="s">
        <v>92</v>
      </c>
      <c r="B90" s="1" t="n">
        <v>43950</v>
      </c>
      <c r="C90" s="0" t="n">
        <v>823</v>
      </c>
      <c r="D90" s="6" t="n">
        <v>87</v>
      </c>
      <c r="E90" s="0" t="n">
        <v>9</v>
      </c>
      <c r="F90" s="0" t="n">
        <v>0</v>
      </c>
      <c r="G90" s="0" t="n">
        <v>296</v>
      </c>
      <c r="H90" s="0" t="n">
        <v>518</v>
      </c>
      <c r="I90" s="0" t="n">
        <v>1</v>
      </c>
      <c r="J90" s="0" t="n">
        <v>49</v>
      </c>
      <c r="K90" s="0" t="n">
        <v>0.5</v>
      </c>
      <c r="L90" s="0" t="n">
        <v>466</v>
      </c>
      <c r="M90" s="0" t="n">
        <v>28</v>
      </c>
    </row>
    <row r="91" customFormat="false" ht="15.75" hidden="false" customHeight="false" outlineLevel="0" collapsed="false">
      <c r="A91" s="0" t="s">
        <v>92</v>
      </c>
      <c r="B91" s="1" t="n">
        <v>43951</v>
      </c>
      <c r="C91" s="0" t="n">
        <v>882</v>
      </c>
      <c r="D91" s="6" t="n">
        <v>59</v>
      </c>
      <c r="E91" s="0" t="n">
        <v>9</v>
      </c>
      <c r="F91" s="0" t="n">
        <v>0</v>
      </c>
      <c r="G91" s="0" t="n">
        <v>315</v>
      </c>
      <c r="H91" s="0" t="n">
        <v>558</v>
      </c>
      <c r="I91" s="0" t="n">
        <v>1</v>
      </c>
      <c r="J91" s="0" t="n">
        <v>53</v>
      </c>
      <c r="K91" s="0" t="n">
        <v>0.5</v>
      </c>
      <c r="L91" s="0" t="n">
        <v>466</v>
      </c>
      <c r="M91" s="0" t="n">
        <v>28</v>
      </c>
    </row>
    <row r="92" customFormat="false" ht="15.75" hidden="false" customHeight="false" outlineLevel="0" collapsed="false">
      <c r="A92" s="0" t="s">
        <v>92</v>
      </c>
      <c r="B92" s="1" t="n">
        <v>43952</v>
      </c>
      <c r="C92" s="0" t="n">
        <v>933</v>
      </c>
      <c r="D92" s="6" t="n">
        <v>51</v>
      </c>
      <c r="E92" s="0" t="n">
        <v>9</v>
      </c>
      <c r="F92" s="0" t="n">
        <v>0</v>
      </c>
      <c r="G92" s="0" t="n">
        <v>334</v>
      </c>
      <c r="H92" s="0" t="n">
        <v>590</v>
      </c>
      <c r="I92" s="0" t="n">
        <v>1</v>
      </c>
      <c r="J92" s="0" t="n">
        <v>56</v>
      </c>
      <c r="K92" s="0" t="n">
        <v>0.5</v>
      </c>
      <c r="L92" s="0" t="n">
        <v>466</v>
      </c>
      <c r="M92" s="0" t="n">
        <v>28</v>
      </c>
    </row>
    <row r="93" customFormat="false" ht="15.75" hidden="false" customHeight="false" outlineLevel="0" collapsed="false">
      <c r="A93" s="0" t="s">
        <v>92</v>
      </c>
      <c r="B93" s="1" t="n">
        <v>43953</v>
      </c>
      <c r="C93" s="0" t="n">
        <v>1024</v>
      </c>
      <c r="D93" s="6" t="n">
        <v>91</v>
      </c>
      <c r="E93" s="0" t="n">
        <v>9</v>
      </c>
      <c r="F93" s="0" t="n">
        <v>0</v>
      </c>
      <c r="G93" s="0" t="n">
        <v>356</v>
      </c>
      <c r="H93" s="0" t="n">
        <v>659</v>
      </c>
      <c r="I93" s="0" t="n">
        <v>1</v>
      </c>
      <c r="J93" s="0" t="n">
        <v>61</v>
      </c>
      <c r="K93" s="0" t="n">
        <v>0.5</v>
      </c>
      <c r="L93" s="0" t="n">
        <v>466</v>
      </c>
      <c r="M93" s="0" t="n">
        <v>28</v>
      </c>
    </row>
    <row r="94" customFormat="false" ht="15.75" hidden="false" customHeight="false" outlineLevel="0" collapsed="false">
      <c r="A94" s="0" t="s">
        <v>92</v>
      </c>
      <c r="B94" s="1" t="n">
        <v>43954</v>
      </c>
      <c r="C94" s="0" t="n">
        <v>1115</v>
      </c>
      <c r="D94" s="6" t="n">
        <v>91</v>
      </c>
      <c r="E94" s="0" t="n">
        <v>9</v>
      </c>
      <c r="F94" s="0" t="n">
        <v>0</v>
      </c>
      <c r="G94" s="0" t="n">
        <v>368</v>
      </c>
      <c r="H94" s="0" t="n">
        <v>738</v>
      </c>
      <c r="I94" s="0" t="n">
        <v>1</v>
      </c>
      <c r="J94" s="0" t="n">
        <v>67</v>
      </c>
      <c r="K94" s="0" t="n">
        <v>0.5</v>
      </c>
      <c r="L94" s="0" t="n">
        <v>466</v>
      </c>
      <c r="M94" s="0" t="n">
        <v>28</v>
      </c>
    </row>
    <row r="95" customFormat="false" ht="15.75" hidden="false" customHeight="false" outlineLevel="0" collapsed="false">
      <c r="A95" s="0" t="s">
        <v>92</v>
      </c>
      <c r="B95" s="1" t="n">
        <v>43955</v>
      </c>
      <c r="C95" s="0" t="n">
        <v>1182</v>
      </c>
      <c r="D95" s="6" t="n">
        <v>67</v>
      </c>
      <c r="E95" s="0" t="n">
        <v>9</v>
      </c>
      <c r="F95" s="0" t="n">
        <v>0</v>
      </c>
      <c r="G95" s="0" t="n">
        <v>372</v>
      </c>
      <c r="H95" s="0" t="n">
        <v>801</v>
      </c>
      <c r="I95" s="0" t="n">
        <v>4</v>
      </c>
      <c r="J95" s="0" t="n">
        <v>71</v>
      </c>
      <c r="K95" s="0" t="n">
        <v>0.5</v>
      </c>
      <c r="L95" s="0" t="n">
        <v>466</v>
      </c>
      <c r="M95" s="0" t="n">
        <v>28</v>
      </c>
    </row>
    <row r="96" customFormat="false" ht="15.75" hidden="false" customHeight="false" outlineLevel="0" collapsed="false">
      <c r="A96" s="0" t="s">
        <v>92</v>
      </c>
      <c r="B96" s="1" t="n">
        <v>43956</v>
      </c>
      <c r="C96" s="0" t="n">
        <v>1271</v>
      </c>
      <c r="D96" s="6" t="n">
        <v>89</v>
      </c>
      <c r="E96" s="0" t="n">
        <v>10</v>
      </c>
      <c r="F96" s="0" t="n">
        <v>1</v>
      </c>
      <c r="G96" s="0" t="n">
        <v>415</v>
      </c>
      <c r="H96" s="0" t="n">
        <v>846</v>
      </c>
      <c r="I96" s="0" t="n">
        <v>6</v>
      </c>
      <c r="J96" s="0" t="n">
        <v>76</v>
      </c>
      <c r="K96" s="0" t="n">
        <v>0.6</v>
      </c>
      <c r="L96" s="0" t="n">
        <v>17787</v>
      </c>
      <c r="M96" s="0" t="n">
        <v>1062</v>
      </c>
    </row>
    <row r="97" customFormat="false" ht="15.75" hidden="false" customHeight="false" outlineLevel="0" collapsed="false">
      <c r="A97" s="0" t="s">
        <v>92</v>
      </c>
      <c r="B97" s="1" t="n">
        <v>43957</v>
      </c>
      <c r="C97" s="0" t="n">
        <v>1329</v>
      </c>
      <c r="D97" s="6" t="n">
        <v>58</v>
      </c>
      <c r="E97" s="0" t="n">
        <v>11</v>
      </c>
      <c r="F97" s="0" t="n">
        <v>1</v>
      </c>
      <c r="G97" s="0" t="n">
        <v>470</v>
      </c>
      <c r="H97" s="0" t="n">
        <v>848</v>
      </c>
      <c r="I97" s="0" t="n">
        <v>6</v>
      </c>
      <c r="J97" s="0" t="n">
        <v>79</v>
      </c>
      <c r="K97" s="0" t="n">
        <v>0.7</v>
      </c>
      <c r="L97" s="0" t="n">
        <v>17787</v>
      </c>
      <c r="M97" s="0" t="n">
        <v>1062</v>
      </c>
    </row>
    <row r="98" customFormat="false" ht="15.75" hidden="false" customHeight="false" outlineLevel="0" collapsed="false">
      <c r="A98" s="0" t="s">
        <v>92</v>
      </c>
      <c r="B98" s="1" t="n">
        <v>43958</v>
      </c>
      <c r="C98" s="0" t="n">
        <v>1433</v>
      </c>
      <c r="D98" s="6" t="n">
        <v>104</v>
      </c>
      <c r="E98" s="0" t="n">
        <v>12</v>
      </c>
      <c r="F98" s="0" t="n">
        <v>1</v>
      </c>
      <c r="G98" s="0" t="n">
        <v>493</v>
      </c>
      <c r="H98" s="0" t="n">
        <v>928</v>
      </c>
      <c r="I98" s="0" t="n">
        <v>6</v>
      </c>
      <c r="J98" s="0" t="n">
        <v>86</v>
      </c>
      <c r="K98" s="0" t="n">
        <v>0.7</v>
      </c>
      <c r="L98" s="0" t="n">
        <v>18969</v>
      </c>
      <c r="M98" s="0" t="n">
        <v>1133</v>
      </c>
    </row>
    <row r="99" customFormat="false" ht="15.75" hidden="false" customHeight="false" outlineLevel="0" collapsed="false">
      <c r="A99" s="0" t="s">
        <v>92</v>
      </c>
      <c r="B99" s="1" t="n">
        <v>43959</v>
      </c>
      <c r="C99" s="0" t="n">
        <v>1492</v>
      </c>
      <c r="D99" s="6" t="n">
        <v>59</v>
      </c>
      <c r="E99" s="0" t="n">
        <v>13</v>
      </c>
      <c r="F99" s="0" t="n">
        <v>1</v>
      </c>
      <c r="G99" s="0" t="n">
        <v>562</v>
      </c>
      <c r="H99" s="0" t="n">
        <v>917</v>
      </c>
      <c r="I99" s="0" t="n">
        <v>6</v>
      </c>
      <c r="J99" s="0" t="n">
        <v>89</v>
      </c>
      <c r="K99" s="0" t="n">
        <v>0.8</v>
      </c>
      <c r="L99" s="0" t="n">
        <v>18969</v>
      </c>
      <c r="M99" s="0" t="n">
        <v>1133</v>
      </c>
    </row>
    <row r="100" customFormat="false" ht="15.75" hidden="false" customHeight="false" outlineLevel="0" collapsed="false">
      <c r="A100" s="0" t="s">
        <v>92</v>
      </c>
      <c r="B100" s="1" t="n">
        <v>43960</v>
      </c>
      <c r="C100" s="0" t="n">
        <v>1551</v>
      </c>
      <c r="D100" s="6" t="n">
        <v>59</v>
      </c>
      <c r="E100" s="0" t="n">
        <v>13</v>
      </c>
      <c r="F100" s="0" t="n">
        <v>0</v>
      </c>
      <c r="G100" s="0" t="n">
        <v>611</v>
      </c>
      <c r="H100" s="0" t="n">
        <v>927</v>
      </c>
      <c r="I100" s="0" t="n">
        <v>6</v>
      </c>
      <c r="J100" s="0" t="n">
        <v>93</v>
      </c>
      <c r="K100" s="0" t="n">
        <v>0.8</v>
      </c>
      <c r="L100" s="0" t="n">
        <v>18969</v>
      </c>
      <c r="M100" s="0" t="n">
        <v>1133</v>
      </c>
    </row>
    <row r="101" customFormat="false" ht="15.75" hidden="false" customHeight="false" outlineLevel="0" collapsed="false">
      <c r="A101" s="0" t="s">
        <v>92</v>
      </c>
      <c r="B101" s="1" t="n">
        <v>43961</v>
      </c>
      <c r="C101" s="0" t="n">
        <v>1634</v>
      </c>
      <c r="D101" s="6" t="n">
        <v>83</v>
      </c>
      <c r="E101" s="0" t="n">
        <v>17</v>
      </c>
      <c r="F101" s="0" t="n">
        <v>4</v>
      </c>
      <c r="G101" s="0" t="n">
        <v>643</v>
      </c>
      <c r="H101" s="0" t="n">
        <v>974</v>
      </c>
      <c r="I101" s="0" t="n">
        <v>6</v>
      </c>
      <c r="J101" s="0" t="n">
        <v>98</v>
      </c>
      <c r="K101" s="0" t="n">
        <v>1</v>
      </c>
      <c r="L101" s="0" t="n">
        <v>18969</v>
      </c>
      <c r="M101" s="0" t="n">
        <v>1133</v>
      </c>
    </row>
    <row r="102" customFormat="false" ht="15.75" hidden="false" customHeight="false" outlineLevel="0" collapsed="false">
      <c r="A102" s="0" t="s">
        <v>92</v>
      </c>
      <c r="B102" s="1" t="n">
        <v>43962</v>
      </c>
      <c r="C102" s="0" t="n">
        <v>1709</v>
      </c>
      <c r="D102" s="6" t="n">
        <v>75</v>
      </c>
      <c r="E102" s="0" t="n">
        <v>19</v>
      </c>
      <c r="F102" s="0" t="n">
        <v>2</v>
      </c>
      <c r="G102" s="0" t="n">
        <v>650</v>
      </c>
      <c r="H102" s="0" t="n">
        <v>1040</v>
      </c>
      <c r="I102" s="0" t="n">
        <v>6</v>
      </c>
      <c r="J102" s="0" t="n">
        <v>102</v>
      </c>
      <c r="K102" s="0" t="n">
        <v>1</v>
      </c>
      <c r="L102" s="0" t="n">
        <v>18969</v>
      </c>
      <c r="M102" s="0" t="n">
        <v>1133</v>
      </c>
    </row>
    <row r="103" customFormat="false" ht="15.75" hidden="false" customHeight="false" outlineLevel="0" collapsed="false">
      <c r="A103" s="0" t="s">
        <v>92</v>
      </c>
      <c r="B103" s="1" t="n">
        <v>43963</v>
      </c>
      <c r="C103" s="0" t="n">
        <v>1886</v>
      </c>
      <c r="D103" s="6" t="n">
        <v>177</v>
      </c>
      <c r="E103" s="0" t="n">
        <v>19</v>
      </c>
      <c r="F103" s="0" t="n">
        <v>0</v>
      </c>
      <c r="G103" s="0" t="n">
        <v>715</v>
      </c>
      <c r="H103" s="0" t="n">
        <v>1152</v>
      </c>
      <c r="I103" s="0" t="n">
        <v>6</v>
      </c>
      <c r="J103" s="0" t="n">
        <v>113</v>
      </c>
      <c r="K103" s="0" t="n">
        <v>1</v>
      </c>
      <c r="L103" s="0" t="n">
        <v>18969</v>
      </c>
      <c r="M103" s="0" t="n">
        <v>1133</v>
      </c>
    </row>
    <row r="104" customFormat="false" ht="15.75" hidden="false" customHeight="false" outlineLevel="0" collapsed="false">
      <c r="A104" s="0" t="s">
        <v>92</v>
      </c>
      <c r="B104" s="1" t="n">
        <v>43964</v>
      </c>
      <c r="C104" s="0" t="n">
        <v>1995</v>
      </c>
      <c r="D104" s="6" t="n">
        <v>109</v>
      </c>
      <c r="E104" s="0" t="n">
        <v>19</v>
      </c>
      <c r="F104" s="0" t="n">
        <v>0</v>
      </c>
      <c r="G104" s="0" t="n">
        <v>742</v>
      </c>
      <c r="H104" s="0" t="n">
        <v>1234</v>
      </c>
      <c r="I104" s="0" t="n">
        <v>6</v>
      </c>
      <c r="J104" s="0" t="n">
        <v>119</v>
      </c>
      <c r="K104" s="0" t="n">
        <v>1</v>
      </c>
      <c r="L104" s="0" t="n">
        <v>18969</v>
      </c>
      <c r="M104" s="0" t="n">
        <v>1133</v>
      </c>
    </row>
    <row r="105" customFormat="false" ht="15.75" hidden="false" customHeight="false" outlineLevel="0" collapsed="false">
      <c r="A105" s="0" t="s">
        <v>92</v>
      </c>
      <c r="B105" s="1" t="n">
        <v>43965</v>
      </c>
      <c r="C105" s="0" t="n">
        <v>2105</v>
      </c>
      <c r="D105" s="6" t="n">
        <v>110</v>
      </c>
      <c r="E105" s="0" t="n">
        <v>21</v>
      </c>
      <c r="F105" s="0" t="n">
        <v>2</v>
      </c>
      <c r="G105" s="0" t="n">
        <v>782</v>
      </c>
      <c r="H105" s="0" t="n">
        <v>1302</v>
      </c>
      <c r="I105" s="0" t="n">
        <v>6</v>
      </c>
      <c r="J105" s="0" t="n">
        <v>126</v>
      </c>
      <c r="K105" s="0" t="n">
        <v>1</v>
      </c>
      <c r="L105" s="0" t="n">
        <v>24599</v>
      </c>
      <c r="M105" s="0" t="n">
        <v>1469</v>
      </c>
    </row>
    <row r="106" customFormat="false" ht="13.5" hidden="false" customHeight="false" outlineLevel="0" collapsed="false">
      <c r="A106" s="0" t="s">
        <v>92</v>
      </c>
      <c r="B106" s="1" t="n">
        <v>43966</v>
      </c>
      <c r="C106" s="0" t="n">
        <v>2189</v>
      </c>
      <c r="D106" s="0" t="n">
        <v>84</v>
      </c>
      <c r="E106" s="0" t="n">
        <v>23</v>
      </c>
      <c r="F106" s="0" t="n">
        <v>2</v>
      </c>
      <c r="G106" s="0" t="n">
        <v>842</v>
      </c>
      <c r="H106" s="0" t="n">
        <v>1324</v>
      </c>
      <c r="I106" s="0" t="n">
        <v>6</v>
      </c>
      <c r="J106" s="0" t="n">
        <v>131</v>
      </c>
      <c r="K106" s="0" t="n">
        <v>1</v>
      </c>
      <c r="L106" s="0" t="n">
        <v>24599</v>
      </c>
      <c r="M106" s="0" t="n">
        <v>1469</v>
      </c>
    </row>
    <row r="107" customFormat="false" ht="13.5" hidden="false" customHeight="false" outlineLevel="0" collapsed="false">
      <c r="A107" s="0" t="s">
        <v>92</v>
      </c>
      <c r="B107" s="1" t="n">
        <v>43967</v>
      </c>
      <c r="C107" s="0" t="e">
        <f aca="false">sheet1!ath108</f>
        <v>#NAME?</v>
      </c>
      <c r="D107" s="0" t="e">
        <f aca="false">sheet1!ati108</f>
        <v>#NAME?</v>
      </c>
      <c r="E107" s="0" t="e">
        <f aca="false">sheet1!atj108</f>
        <v>#NAME?</v>
      </c>
      <c r="F107" s="0" t="e">
        <f aca="false">sheet1!atk108</f>
        <v>#NAME?</v>
      </c>
      <c r="G107" s="0" t="e">
        <f aca="false">sheet1!atl108</f>
        <v>#NAME?</v>
      </c>
      <c r="H107" s="0" t="e">
        <f aca="false">sheet1!atm108</f>
        <v>#NAME?</v>
      </c>
      <c r="I107" s="0" t="e">
        <f aca="false">sheet1!atn108</f>
        <v>#NAME?</v>
      </c>
      <c r="J107" s="0" t="e">
        <f aca="false">sheet1!ato108</f>
        <v>#NAME?</v>
      </c>
      <c r="K107" s="0" t="e">
        <f aca="false">sheet1!atp108</f>
        <v>#NAME?</v>
      </c>
      <c r="L107" s="0" t="e">
        <f aca="false">sheet1!atq108</f>
        <v>#NAME?</v>
      </c>
      <c r="M107" s="0" t="e">
        <f aca="false">sheet1!atr108</f>
        <v>#NAME?</v>
      </c>
    </row>
    <row r="108" customFormat="false" ht="13.5" hidden="false" customHeight="false" outlineLevel="0" collapsed="false">
      <c r="A108" s="0" t="s">
        <v>92</v>
      </c>
      <c r="B108" s="1" t="n">
        <v>43968</v>
      </c>
      <c r="C108" s="0" t="e">
        <f aca="false">sheet1!ath109</f>
        <v>#NAME?</v>
      </c>
      <c r="D108" s="0" t="e">
        <f aca="false">sheet1!ati109</f>
        <v>#NAME?</v>
      </c>
      <c r="E108" s="0" t="e">
        <f aca="false">sheet1!atj109</f>
        <v>#NAME?</v>
      </c>
      <c r="F108" s="0" t="e">
        <f aca="false">sheet1!atk109</f>
        <v>#NAME?</v>
      </c>
      <c r="G108" s="0" t="e">
        <f aca="false">sheet1!atl109</f>
        <v>#NAME?</v>
      </c>
      <c r="H108" s="0" t="e">
        <f aca="false">sheet1!atm109</f>
        <v>#NAME?</v>
      </c>
      <c r="I108" s="0" t="e">
        <f aca="false">sheet1!atn109</f>
        <v>#NAME?</v>
      </c>
      <c r="J108" s="0" t="e">
        <f aca="false">sheet1!ato109</f>
        <v>#NAME?</v>
      </c>
      <c r="K108" s="0" t="e">
        <f aca="false">sheet1!atp109</f>
        <v>#NAME?</v>
      </c>
      <c r="L108" s="0" t="e">
        <f aca="false">sheet1!atq109</f>
        <v>#NAME?</v>
      </c>
      <c r="M108" s="0" t="e">
        <f aca="false">sheet1!atr109</f>
        <v>#NAME?</v>
      </c>
    </row>
    <row r="109" customFormat="false" ht="13.5" hidden="false" customHeight="false" outlineLevel="0" collapsed="false">
      <c r="A109" s="0" t="s">
        <v>92</v>
      </c>
      <c r="B109" s="1" t="n">
        <v>43969</v>
      </c>
      <c r="C109" s="0" t="e">
        <f aca="false">sheet1!ath110</f>
        <v>#NAME?</v>
      </c>
      <c r="D109" s="0" t="e">
        <f aca="false">sheet1!ati110</f>
        <v>#NAME?</v>
      </c>
      <c r="E109" s="0" t="e">
        <f aca="false">sheet1!atj110</f>
        <v>#NAME?</v>
      </c>
      <c r="F109" s="0" t="e">
        <f aca="false">sheet1!atk110</f>
        <v>#NAME?</v>
      </c>
      <c r="G109" s="0" t="e">
        <f aca="false">sheet1!atl110</f>
        <v>#NAME?</v>
      </c>
      <c r="H109" s="0" t="e">
        <f aca="false">sheet1!atm110</f>
        <v>#NAME?</v>
      </c>
      <c r="I109" s="0" t="e">
        <f aca="false">sheet1!atn110</f>
        <v>#NAME?</v>
      </c>
      <c r="J109" s="0" t="e">
        <f aca="false">sheet1!ato110</f>
        <v>#NAME?</v>
      </c>
      <c r="K109" s="0" t="e">
        <f aca="false">sheet1!atp110</f>
        <v>#NAME?</v>
      </c>
      <c r="L109" s="0" t="e">
        <f aca="false">sheet1!atq110</f>
        <v>#NAME?</v>
      </c>
      <c r="M109" s="0" t="e">
        <f aca="false">sheet1!atr110</f>
        <v>#NAME?</v>
      </c>
    </row>
    <row r="110" customFormat="false" ht="13.5" hidden="false" customHeight="false" outlineLevel="0" collapsed="false">
      <c r="A110" s="0" t="s">
        <v>92</v>
      </c>
      <c r="B110" s="1" t="n">
        <v>43970</v>
      </c>
      <c r="C110" s="0" t="e">
        <f aca="false">sheet1!ath111</f>
        <v>#NAME?</v>
      </c>
      <c r="D110" s="0" t="e">
        <f aca="false">sheet1!ati111</f>
        <v>#NAME?</v>
      </c>
      <c r="E110" s="0" t="e">
        <f aca="false">sheet1!atj111</f>
        <v>#NAME?</v>
      </c>
      <c r="F110" s="0" t="e">
        <f aca="false">sheet1!atk111</f>
        <v>#NAME?</v>
      </c>
      <c r="G110" s="0" t="e">
        <f aca="false">sheet1!atl111</f>
        <v>#NAME?</v>
      </c>
      <c r="H110" s="0" t="e">
        <f aca="false">sheet1!atm111</f>
        <v>#NAME?</v>
      </c>
      <c r="I110" s="0" t="e">
        <f aca="false">sheet1!atn111</f>
        <v>#NAME?</v>
      </c>
      <c r="J110" s="0" t="e">
        <f aca="false">sheet1!ato111</f>
        <v>#NAME?</v>
      </c>
      <c r="K110" s="0" t="e">
        <f aca="false">sheet1!atp111</f>
        <v>#NAME?</v>
      </c>
      <c r="L110" s="0" t="e">
        <f aca="false">sheet1!atq111</f>
        <v>#NAME?</v>
      </c>
      <c r="M110" s="0" t="e">
        <f aca="false">sheet1!atr111</f>
        <v>#NAME?</v>
      </c>
    </row>
    <row r="111" customFormat="false" ht="13.5" hidden="false" customHeight="false" outlineLevel="0" collapsed="false">
      <c r="A111" s="0" t="s">
        <v>92</v>
      </c>
      <c r="B111" s="1" t="n">
        <v>43971</v>
      </c>
      <c r="C111" s="0" t="e">
        <f aca="false">sheet1!ath112</f>
        <v>#NAME?</v>
      </c>
      <c r="D111" s="0" t="e">
        <f aca="false">sheet1!ati112</f>
        <v>#NAME?</v>
      </c>
      <c r="E111" s="0" t="e">
        <f aca="false">sheet1!atj112</f>
        <v>#NAME?</v>
      </c>
      <c r="F111" s="0" t="e">
        <f aca="false">sheet1!atk112</f>
        <v>#NAME?</v>
      </c>
      <c r="G111" s="0" t="e">
        <f aca="false">sheet1!atl112</f>
        <v>#NAME?</v>
      </c>
      <c r="H111" s="0" t="e">
        <f aca="false">sheet1!atm112</f>
        <v>#NAME?</v>
      </c>
      <c r="I111" s="0" t="e">
        <f aca="false">sheet1!atn112</f>
        <v>#NAME?</v>
      </c>
      <c r="J111" s="0" t="e">
        <f aca="false">sheet1!ato112</f>
        <v>#NAME?</v>
      </c>
      <c r="K111" s="0" t="e">
        <f aca="false">sheet1!atp112</f>
        <v>#NAME?</v>
      </c>
      <c r="L111" s="0" t="e">
        <f aca="false">sheet1!atq112</f>
        <v>#NAME?</v>
      </c>
      <c r="M111" s="0" t="e">
        <f aca="false">sheet1!atr112</f>
        <v>#NAME?</v>
      </c>
    </row>
    <row r="112" customFormat="false" ht="13.5" hidden="false" customHeight="false" outlineLevel="0" collapsed="false">
      <c r="A112" s="0" t="s">
        <v>92</v>
      </c>
      <c r="B112" s="1" t="n">
        <v>43972</v>
      </c>
      <c r="C112" s="0" t="e">
        <f aca="false">sheet1!ath113</f>
        <v>#NAME?</v>
      </c>
      <c r="D112" s="0" t="e">
        <f aca="false">sheet1!ati113</f>
        <v>#NAME?</v>
      </c>
      <c r="E112" s="0" t="e">
        <f aca="false">sheet1!atj113</f>
        <v>#NAME?</v>
      </c>
      <c r="F112" s="0" t="e">
        <f aca="false">sheet1!atk113</f>
        <v>#NAME?</v>
      </c>
      <c r="G112" s="0" t="e">
        <f aca="false">sheet1!atl113</f>
        <v>#NAME?</v>
      </c>
      <c r="H112" s="0" t="e">
        <f aca="false">sheet1!atm113</f>
        <v>#NAME?</v>
      </c>
      <c r="I112" s="0" t="e">
        <f aca="false">sheet1!atn113</f>
        <v>#NAME?</v>
      </c>
      <c r="J112" s="0" t="e">
        <f aca="false">sheet1!ato113</f>
        <v>#NAME?</v>
      </c>
      <c r="K112" s="0" t="e">
        <f aca="false">sheet1!atp113</f>
        <v>#NAME?</v>
      </c>
      <c r="L112" s="0" t="e">
        <f aca="false">sheet1!atq113</f>
        <v>#NAME?</v>
      </c>
      <c r="M112" s="0" t="e">
        <f aca="false">sheet1!atr113</f>
        <v>#NAME?</v>
      </c>
    </row>
    <row r="113" customFormat="false" ht="13.5" hidden="false" customHeight="false" outlineLevel="0" collapsed="false">
      <c r="A113" s="0" t="s">
        <v>92</v>
      </c>
      <c r="B113" s="1" t="n">
        <v>43973</v>
      </c>
      <c r="C113" s="0" t="e">
        <f aca="false">sheet1!ath114</f>
        <v>#NAME?</v>
      </c>
      <c r="D113" s="0" t="e">
        <f aca="false">sheet1!ati114</f>
        <v>#NAME?</v>
      </c>
      <c r="E113" s="0" t="e">
        <f aca="false">sheet1!atj114</f>
        <v>#NAME?</v>
      </c>
      <c r="F113" s="0" t="e">
        <f aca="false">sheet1!atk114</f>
        <v>#NAME?</v>
      </c>
      <c r="G113" s="0" t="e">
        <f aca="false">sheet1!atl114</f>
        <v>#NAME?</v>
      </c>
      <c r="H113" s="0" t="e">
        <f aca="false">sheet1!atm114</f>
        <v>#NAME?</v>
      </c>
      <c r="I113" s="0" t="e">
        <f aca="false">sheet1!atn114</f>
        <v>#NAME?</v>
      </c>
      <c r="J113" s="0" t="e">
        <f aca="false">sheet1!ato114</f>
        <v>#NAME?</v>
      </c>
      <c r="K113" s="0" t="e">
        <f aca="false">sheet1!atp114</f>
        <v>#NAME?</v>
      </c>
      <c r="L113" s="0" t="e">
        <f aca="false">sheet1!atq114</f>
        <v>#NAME?</v>
      </c>
      <c r="M113" s="0" t="e">
        <f aca="false">sheet1!atr114</f>
        <v>#NAME?</v>
      </c>
    </row>
    <row r="114" customFormat="false" ht="13.5" hidden="false" customHeight="false" outlineLevel="0" collapsed="false">
      <c r="A114" s="0" t="s">
        <v>92</v>
      </c>
      <c r="B114" s="1" t="n">
        <v>43974</v>
      </c>
      <c r="C114" s="0" t="e">
        <f aca="false">sheet1!ath115</f>
        <v>#NAME?</v>
      </c>
      <c r="D114" s="0" t="e">
        <f aca="false">sheet1!ati115</f>
        <v>#NAME?</v>
      </c>
      <c r="E114" s="0" t="e">
        <f aca="false">sheet1!atj115</f>
        <v>#NAME?</v>
      </c>
      <c r="F114" s="0" t="e">
        <f aca="false">sheet1!atk115</f>
        <v>#NAME?</v>
      </c>
      <c r="G114" s="0" t="e">
        <f aca="false">sheet1!atl115</f>
        <v>#NAME?</v>
      </c>
      <c r="H114" s="0" t="e">
        <f aca="false">sheet1!atm115</f>
        <v>#NAME?</v>
      </c>
      <c r="I114" s="0" t="e">
        <f aca="false">sheet1!atn115</f>
        <v>#NAME?</v>
      </c>
      <c r="J114" s="0" t="e">
        <f aca="false">sheet1!ato115</f>
        <v>#NAME?</v>
      </c>
      <c r="K114" s="0" t="e">
        <f aca="false">sheet1!atp115</f>
        <v>#NAME?</v>
      </c>
      <c r="L114" s="0" t="e">
        <f aca="false">sheet1!atq115</f>
        <v>#NAME?</v>
      </c>
      <c r="M114" s="0" t="e">
        <f aca="false">sheet1!atr115</f>
        <v>#NAME?</v>
      </c>
    </row>
    <row r="115" customFormat="false" ht="13.5" hidden="false" customHeight="false" outlineLevel="0" collapsed="false">
      <c r="A115" s="0" t="s">
        <v>92</v>
      </c>
      <c r="B115" s="1" t="n">
        <v>43975</v>
      </c>
      <c r="C115" s="0" t="e">
        <f aca="false">sheet1!ath116</f>
        <v>#NAME?</v>
      </c>
      <c r="D115" s="0" t="e">
        <f aca="false">sheet1!ati116</f>
        <v>#NAME?</v>
      </c>
      <c r="E115" s="0" t="e">
        <f aca="false">sheet1!atj116</f>
        <v>#NAME?</v>
      </c>
      <c r="F115" s="0" t="e">
        <f aca="false">sheet1!atk116</f>
        <v>#NAME?</v>
      </c>
      <c r="G115" s="0" t="e">
        <f aca="false">sheet1!atl116</f>
        <v>#NAME?</v>
      </c>
      <c r="H115" s="0" t="e">
        <f aca="false">sheet1!atm116</f>
        <v>#NAME?</v>
      </c>
      <c r="I115" s="0" t="e">
        <f aca="false">sheet1!atn116</f>
        <v>#NAME?</v>
      </c>
      <c r="J115" s="0" t="e">
        <f aca="false">sheet1!ato116</f>
        <v>#NAME?</v>
      </c>
      <c r="K115" s="0" t="e">
        <f aca="false">sheet1!atp116</f>
        <v>#NAME?</v>
      </c>
      <c r="L115" s="0" t="e">
        <f aca="false">sheet1!atq116</f>
        <v>#NAME?</v>
      </c>
      <c r="M115" s="0" t="e">
        <f aca="false">sheet1!atr116</f>
        <v>#NAME?</v>
      </c>
    </row>
    <row r="116" customFormat="false" ht="13.5" hidden="false" customHeight="false" outlineLevel="0" collapsed="false">
      <c r="A116" s="0" t="s">
        <v>92</v>
      </c>
      <c r="B116" s="1" t="n">
        <v>43976</v>
      </c>
      <c r="C116" s="0" t="e">
        <f aca="false">sheet1!ath117</f>
        <v>#NAME?</v>
      </c>
      <c r="D116" s="0" t="e">
        <f aca="false">sheet1!ati117</f>
        <v>#NAME?</v>
      </c>
      <c r="E116" s="0" t="e">
        <f aca="false">sheet1!atj117</f>
        <v>#NAME?</v>
      </c>
      <c r="F116" s="0" t="e">
        <f aca="false">sheet1!atk117</f>
        <v>#NAME?</v>
      </c>
      <c r="G116" s="0" t="e">
        <f aca="false">sheet1!atl117</f>
        <v>#NAME?</v>
      </c>
      <c r="H116" s="0" t="e">
        <f aca="false">sheet1!atm117</f>
        <v>#NAME?</v>
      </c>
      <c r="I116" s="0" t="e">
        <f aca="false">sheet1!atn117</f>
        <v>#NAME?</v>
      </c>
      <c r="J116" s="0" t="e">
        <f aca="false">sheet1!ato117</f>
        <v>#NAME?</v>
      </c>
      <c r="K116" s="0" t="e">
        <f aca="false">sheet1!atp117</f>
        <v>#NAME?</v>
      </c>
      <c r="L116" s="0" t="e">
        <f aca="false">sheet1!atq117</f>
        <v>#NAME?</v>
      </c>
      <c r="M116" s="0" t="e">
        <f aca="false">sheet1!atr117</f>
        <v>#NAME?</v>
      </c>
    </row>
    <row r="117" customFormat="false" ht="13.5" hidden="false" customHeight="false" outlineLevel="0" collapsed="false">
      <c r="A117" s="0" t="s">
        <v>92</v>
      </c>
      <c r="B117" s="1" t="n">
        <v>43977</v>
      </c>
      <c r="C117" s="0" t="e">
        <f aca="false">sheet1!ath118</f>
        <v>#NAME?</v>
      </c>
      <c r="D117" s="0" t="e">
        <f aca="false">sheet1!ati118</f>
        <v>#NAME?</v>
      </c>
      <c r="E117" s="0" t="e">
        <f aca="false">sheet1!atj118</f>
        <v>#NAME?</v>
      </c>
      <c r="F117" s="0" t="e">
        <f aca="false">sheet1!atk118</f>
        <v>#NAME?</v>
      </c>
      <c r="G117" s="0" t="e">
        <f aca="false">sheet1!atl118</f>
        <v>#NAME?</v>
      </c>
      <c r="H117" s="0" t="e">
        <f aca="false">sheet1!atm118</f>
        <v>#NAME?</v>
      </c>
      <c r="I117" s="0" t="e">
        <f aca="false">sheet1!atn118</f>
        <v>#NAME?</v>
      </c>
      <c r="J117" s="0" t="e">
        <f aca="false">sheet1!ato118</f>
        <v>#NAME?</v>
      </c>
      <c r="K117" s="0" t="e">
        <f aca="false">sheet1!atp118</f>
        <v>#NAME?</v>
      </c>
      <c r="L117" s="0" t="e">
        <f aca="false">sheet1!atq118</f>
        <v>#NAME?</v>
      </c>
      <c r="M117" s="0" t="e">
        <f aca="false">sheet1!atr118</f>
        <v>#NAME?</v>
      </c>
    </row>
    <row r="118" customFormat="false" ht="13.5" hidden="false" customHeight="false" outlineLevel="0" collapsed="false">
      <c r="A118" s="0" t="s">
        <v>92</v>
      </c>
      <c r="B118" s="1" t="n">
        <v>43978</v>
      </c>
      <c r="C118" s="0" t="e">
        <f aca="false">sheet1!ath119</f>
        <v>#NAME?</v>
      </c>
      <c r="D118" s="0" t="e">
        <f aca="false">sheet1!ati119</f>
        <v>#NAME?</v>
      </c>
      <c r="E118" s="0" t="e">
        <f aca="false">sheet1!atj119</f>
        <v>#NAME?</v>
      </c>
      <c r="F118" s="0" t="e">
        <f aca="false">sheet1!atk119</f>
        <v>#NAME?</v>
      </c>
      <c r="G118" s="0" t="e">
        <f aca="false">sheet1!atl119</f>
        <v>#NAME?</v>
      </c>
      <c r="H118" s="0" t="e">
        <f aca="false">sheet1!atm119</f>
        <v>#NAME?</v>
      </c>
      <c r="I118" s="0" t="e">
        <f aca="false">sheet1!atn119</f>
        <v>#NAME?</v>
      </c>
      <c r="J118" s="0" t="e">
        <f aca="false">sheet1!ato119</f>
        <v>#NAME?</v>
      </c>
      <c r="K118" s="0" t="e">
        <f aca="false">sheet1!atp119</f>
        <v>#NAME?</v>
      </c>
      <c r="L118" s="0" t="e">
        <f aca="false">sheet1!atq119</f>
        <v>#NAME?</v>
      </c>
      <c r="M118" s="0" t="e">
        <f aca="false">sheet1!atr119</f>
        <v>#NAME?</v>
      </c>
    </row>
    <row r="119" customFormat="false" ht="13.5" hidden="false" customHeight="false" outlineLevel="0" collapsed="false">
      <c r="A119" s="0" t="s">
        <v>92</v>
      </c>
      <c r="B119" s="1" t="n">
        <v>43979</v>
      </c>
      <c r="C119" s="0" t="e">
        <f aca="false">sheet1!ath120</f>
        <v>#NAME?</v>
      </c>
      <c r="D119" s="0" t="e">
        <f aca="false">sheet1!ati120</f>
        <v>#NAME?</v>
      </c>
      <c r="E119" s="0" t="e">
        <f aca="false">sheet1!atj120</f>
        <v>#NAME?</v>
      </c>
      <c r="F119" s="0" t="e">
        <f aca="false">sheet1!atk120</f>
        <v>#NAME?</v>
      </c>
      <c r="G119" s="0" t="e">
        <f aca="false">sheet1!atl120</f>
        <v>#NAME?</v>
      </c>
      <c r="H119" s="0" t="e">
        <f aca="false">sheet1!atm120</f>
        <v>#NAME?</v>
      </c>
      <c r="I119" s="0" t="e">
        <f aca="false">sheet1!atn120</f>
        <v>#NAME?</v>
      </c>
      <c r="J119" s="0" t="e">
        <f aca="false">sheet1!ato120</f>
        <v>#NAME?</v>
      </c>
      <c r="K119" s="0" t="e">
        <f aca="false">sheet1!atp120</f>
        <v>#NAME?</v>
      </c>
      <c r="L119" s="0" t="e">
        <f aca="false">sheet1!atq120</f>
        <v>#NAME?</v>
      </c>
      <c r="M119" s="0" t="e">
        <f aca="false">sheet1!atr120</f>
        <v>#NAME?</v>
      </c>
    </row>
    <row r="120" customFormat="false" ht="13.5" hidden="false" customHeight="false" outlineLevel="0" collapsed="false">
      <c r="A120" s="0" t="s">
        <v>92</v>
      </c>
      <c r="B120" s="1" t="n">
        <v>43980</v>
      </c>
      <c r="C120" s="0" t="e">
        <f aca="false">sheet1!ath121</f>
        <v>#NAME?</v>
      </c>
      <c r="D120" s="0" t="e">
        <f aca="false">sheet1!ati121</f>
        <v>#NAME?</v>
      </c>
      <c r="E120" s="0" t="e">
        <f aca="false">sheet1!atj121</f>
        <v>#NAME?</v>
      </c>
      <c r="F120" s="0" t="e">
        <f aca="false">sheet1!atk121</f>
        <v>#NAME?</v>
      </c>
      <c r="G120" s="0" t="e">
        <f aca="false">sheet1!atl121</f>
        <v>#NAME?</v>
      </c>
      <c r="H120" s="0" t="e">
        <f aca="false">sheet1!atm121</f>
        <v>#NAME?</v>
      </c>
      <c r="I120" s="0" t="e">
        <f aca="false">sheet1!atn121</f>
        <v>#NAME?</v>
      </c>
      <c r="J120" s="0" t="e">
        <f aca="false">sheet1!ato121</f>
        <v>#NAME?</v>
      </c>
      <c r="K120" s="0" t="e">
        <f aca="false">sheet1!atp121</f>
        <v>#NAME?</v>
      </c>
      <c r="L120" s="0" t="e">
        <f aca="false">sheet1!atq121</f>
        <v>#NAME?</v>
      </c>
      <c r="M120" s="0" t="e">
        <f aca="false">sheet1!atr121</f>
        <v>#NAME?</v>
      </c>
    </row>
    <row r="121" customFormat="false" ht="13.5" hidden="false" customHeight="false" outlineLevel="0" collapsed="false">
      <c r="A121" s="0" t="s">
        <v>92</v>
      </c>
      <c r="B121" s="1" t="n">
        <v>43981</v>
      </c>
      <c r="C121" s="0" t="e">
        <f aca="false">sheet1!ath122</f>
        <v>#NAME?</v>
      </c>
      <c r="D121" s="0" t="e">
        <f aca="false">sheet1!ati122</f>
        <v>#NAME?</v>
      </c>
      <c r="E121" s="0" t="e">
        <f aca="false">sheet1!atj122</f>
        <v>#NAME?</v>
      </c>
      <c r="F121" s="0" t="e">
        <f aca="false">sheet1!atk122</f>
        <v>#NAME?</v>
      </c>
      <c r="G121" s="0" t="e">
        <f aca="false">sheet1!atl122</f>
        <v>#NAME?</v>
      </c>
      <c r="H121" s="0" t="e">
        <f aca="false">sheet1!atm122</f>
        <v>#NAME?</v>
      </c>
      <c r="I121" s="0" t="e">
        <f aca="false">sheet1!atn122</f>
        <v>#NAME?</v>
      </c>
      <c r="J121" s="0" t="e">
        <f aca="false">sheet1!ato122</f>
        <v>#NAME?</v>
      </c>
      <c r="K121" s="0" t="e">
        <f aca="false">sheet1!atp122</f>
        <v>#NAME?</v>
      </c>
      <c r="L121" s="0" t="e">
        <f aca="false">sheet1!atq122</f>
        <v>#NAME?</v>
      </c>
      <c r="M121" s="0" t="e">
        <f aca="false">sheet1!atr122</f>
        <v>#NAME?</v>
      </c>
    </row>
    <row r="122" customFormat="false" ht="13.5" hidden="false" customHeight="false" outlineLevel="0" collapsed="false">
      <c r="A122" s="0" t="s">
        <v>92</v>
      </c>
      <c r="B122" s="1" t="n">
        <v>43982</v>
      </c>
      <c r="C122" s="0" t="e">
        <f aca="false">sheet1!ath123</f>
        <v>#NAME?</v>
      </c>
      <c r="D122" s="0" t="e">
        <f aca="false">sheet1!ati123</f>
        <v>#NAME?</v>
      </c>
      <c r="E122" s="0" t="e">
        <f aca="false">sheet1!atj123</f>
        <v>#NAME?</v>
      </c>
      <c r="F122" s="0" t="e">
        <f aca="false">sheet1!atk123</f>
        <v>#NAME?</v>
      </c>
      <c r="G122" s="0" t="e">
        <f aca="false">sheet1!atl123</f>
        <v>#NAME?</v>
      </c>
      <c r="H122" s="0" t="e">
        <f aca="false">sheet1!atm123</f>
        <v>#NAME?</v>
      </c>
      <c r="I122" s="0" t="e">
        <f aca="false">sheet1!atn123</f>
        <v>#NAME?</v>
      </c>
      <c r="J122" s="0" t="e">
        <f aca="false">sheet1!ato123</f>
        <v>#NAME?</v>
      </c>
      <c r="K122" s="0" t="e">
        <f aca="false">sheet1!atp123</f>
        <v>#NAME?</v>
      </c>
      <c r="L122" s="0" t="e">
        <f aca="false">sheet1!atq123</f>
        <v>#NAME?</v>
      </c>
      <c r="M122" s="0" t="e">
        <f aca="false">sheet1!atr123</f>
        <v>#NAME?</v>
      </c>
    </row>
    <row r="123" customFormat="false" ht="13.5" hidden="false" customHeight="false" outlineLevel="0" collapsed="false">
      <c r="A123" s="0" t="s">
        <v>92</v>
      </c>
      <c r="B123" s="1" t="n">
        <v>43983</v>
      </c>
      <c r="C123" s="0" t="e">
        <f aca="false">sheet1!ath124</f>
        <v>#NAME?</v>
      </c>
      <c r="D123" s="0" t="e">
        <f aca="false">sheet1!ati124</f>
        <v>#NAME?</v>
      </c>
      <c r="E123" s="0" t="e">
        <f aca="false">sheet1!atj124</f>
        <v>#NAME?</v>
      </c>
      <c r="F123" s="0" t="e">
        <f aca="false">sheet1!atk124</f>
        <v>#NAME?</v>
      </c>
      <c r="G123" s="0" t="e">
        <f aca="false">sheet1!atl124</f>
        <v>#NAME?</v>
      </c>
      <c r="H123" s="0" t="e">
        <f aca="false">sheet1!atm124</f>
        <v>#NAME?</v>
      </c>
      <c r="I123" s="0" t="e">
        <f aca="false">sheet1!atn124</f>
        <v>#NAME?</v>
      </c>
      <c r="J123" s="0" t="e">
        <f aca="false">sheet1!ato124</f>
        <v>#NAME?</v>
      </c>
      <c r="K123" s="0" t="e">
        <f aca="false">sheet1!atp124</f>
        <v>#NAME?</v>
      </c>
      <c r="L123" s="0" t="e">
        <f aca="false">sheet1!atq124</f>
        <v>#NAME?</v>
      </c>
      <c r="M123" s="0" t="e">
        <f aca="false">sheet1!atr124</f>
        <v>#NAME?</v>
      </c>
    </row>
    <row r="124" customFormat="false" ht="13.5" hidden="false" customHeight="false" outlineLevel="0" collapsed="false">
      <c r="A124" s="0" t="s">
        <v>92</v>
      </c>
      <c r="B124" s="1" t="n">
        <v>43984</v>
      </c>
      <c r="C124" s="0" t="e">
        <f aca="false">sheet1!ath125</f>
        <v>#NAME?</v>
      </c>
      <c r="D124" s="0" t="e">
        <f aca="false">sheet1!ati125</f>
        <v>#NAME?</v>
      </c>
      <c r="E124" s="0" t="e">
        <f aca="false">sheet1!atj125</f>
        <v>#NAME?</v>
      </c>
      <c r="F124" s="0" t="e">
        <f aca="false">sheet1!atk125</f>
        <v>#NAME?</v>
      </c>
      <c r="G124" s="0" t="e">
        <f aca="false">sheet1!atl125</f>
        <v>#NAME?</v>
      </c>
      <c r="H124" s="0" t="e">
        <f aca="false">sheet1!atm125</f>
        <v>#NAME?</v>
      </c>
      <c r="I124" s="0" t="e">
        <f aca="false">sheet1!atn125</f>
        <v>#NAME?</v>
      </c>
      <c r="J124" s="0" t="e">
        <f aca="false">sheet1!ato125</f>
        <v>#NAME?</v>
      </c>
      <c r="K124" s="0" t="e">
        <f aca="false">sheet1!atp125</f>
        <v>#NAME?</v>
      </c>
      <c r="L124" s="0" t="e">
        <f aca="false">sheet1!atq125</f>
        <v>#NAME?</v>
      </c>
      <c r="M124" s="0" t="e">
        <f aca="false">sheet1!atr125</f>
        <v>#NAME?</v>
      </c>
    </row>
    <row r="125" customFormat="false" ht="13.5" hidden="false" customHeight="false" outlineLevel="0" collapsed="false">
      <c r="A125" s="0" t="s">
        <v>92</v>
      </c>
      <c r="B125" s="1" t="n">
        <v>43985</v>
      </c>
      <c r="C125" s="0" t="e">
        <f aca="false">sheet1!ath126</f>
        <v>#NAME?</v>
      </c>
      <c r="D125" s="0" t="e">
        <f aca="false">sheet1!ati126</f>
        <v>#NAME?</v>
      </c>
      <c r="E125" s="0" t="e">
        <f aca="false">sheet1!atj126</f>
        <v>#NAME?</v>
      </c>
      <c r="F125" s="0" t="e">
        <f aca="false">sheet1!atk126</f>
        <v>#NAME?</v>
      </c>
      <c r="G125" s="0" t="e">
        <f aca="false">sheet1!atl126</f>
        <v>#NAME?</v>
      </c>
      <c r="H125" s="0" t="e">
        <f aca="false">sheet1!atm126</f>
        <v>#NAME?</v>
      </c>
      <c r="I125" s="0" t="e">
        <f aca="false">sheet1!atn126</f>
        <v>#NAME?</v>
      </c>
      <c r="J125" s="0" t="e">
        <f aca="false">sheet1!ato126</f>
        <v>#NAME?</v>
      </c>
      <c r="K125" s="0" t="e">
        <f aca="false">sheet1!atp126</f>
        <v>#NAME?</v>
      </c>
      <c r="L125" s="0" t="e">
        <f aca="false">sheet1!atq126</f>
        <v>#NAME?</v>
      </c>
      <c r="M125" s="0" t="e">
        <f aca="false">sheet1!atr126</f>
        <v>#NAME?</v>
      </c>
    </row>
    <row r="126" customFormat="false" ht="13.5" hidden="false" customHeight="false" outlineLevel="0" collapsed="false">
      <c r="A126" s="0" t="s">
        <v>92</v>
      </c>
      <c r="B126" s="1" t="n">
        <v>43986</v>
      </c>
      <c r="C126" s="0" t="e">
        <f aca="false">sheet1!ath127</f>
        <v>#NAME?</v>
      </c>
      <c r="D126" s="0" t="e">
        <f aca="false">sheet1!ati127</f>
        <v>#NAME?</v>
      </c>
      <c r="E126" s="0" t="e">
        <f aca="false">sheet1!atj127</f>
        <v>#NAME?</v>
      </c>
      <c r="F126" s="0" t="e">
        <f aca="false">sheet1!atk127</f>
        <v>#NAME?</v>
      </c>
      <c r="G126" s="0" t="e">
        <f aca="false">sheet1!atl127</f>
        <v>#NAME?</v>
      </c>
      <c r="H126" s="0" t="e">
        <f aca="false">sheet1!atm127</f>
        <v>#NAME?</v>
      </c>
      <c r="I126" s="0" t="e">
        <f aca="false">sheet1!atn127</f>
        <v>#NAME?</v>
      </c>
      <c r="J126" s="0" t="e">
        <f aca="false">sheet1!ato127</f>
        <v>#NAME?</v>
      </c>
      <c r="K126" s="0" t="e">
        <f aca="false">sheet1!atp127</f>
        <v>#NAME?</v>
      </c>
      <c r="L126" s="0" t="e">
        <f aca="false">sheet1!atq127</f>
        <v>#NAME?</v>
      </c>
      <c r="M126" s="0" t="e">
        <f aca="false">sheet1!atr127</f>
        <v>#NAME?</v>
      </c>
    </row>
    <row r="127" customFormat="false" ht="13.5" hidden="false" customHeight="false" outlineLevel="0" collapsed="false">
      <c r="A127" s="0" t="s">
        <v>92</v>
      </c>
      <c r="B127" s="1" t="n">
        <v>43987</v>
      </c>
      <c r="C127" s="0" t="e">
        <f aca="false">sheet1!ath128</f>
        <v>#NAME?</v>
      </c>
      <c r="D127" s="0" t="e">
        <f aca="false">sheet1!ati128</f>
        <v>#NAME?</v>
      </c>
      <c r="E127" s="0" t="e">
        <f aca="false">sheet1!atj128</f>
        <v>#NAME?</v>
      </c>
      <c r="F127" s="0" t="e">
        <f aca="false">sheet1!atk128</f>
        <v>#NAME?</v>
      </c>
      <c r="G127" s="0" t="e">
        <f aca="false">sheet1!atl128</f>
        <v>#NAME?</v>
      </c>
      <c r="H127" s="0" t="e">
        <f aca="false">sheet1!atm128</f>
        <v>#NAME?</v>
      </c>
      <c r="I127" s="0" t="e">
        <f aca="false">sheet1!atn128</f>
        <v>#NAME?</v>
      </c>
      <c r="J127" s="0" t="e">
        <f aca="false">sheet1!ato128</f>
        <v>#NAME?</v>
      </c>
      <c r="K127" s="0" t="e">
        <f aca="false">sheet1!atp128</f>
        <v>#NAME?</v>
      </c>
      <c r="L127" s="0" t="e">
        <f aca="false">sheet1!atq128</f>
        <v>#NAME?</v>
      </c>
      <c r="M127" s="0" t="e">
        <f aca="false">sheet1!atr128</f>
        <v>#NAME?</v>
      </c>
    </row>
    <row r="128" customFormat="false" ht="13.5" hidden="false" customHeight="false" outlineLevel="0" collapsed="false">
      <c r="A128" s="0" t="s">
        <v>92</v>
      </c>
      <c r="B128" s="1" t="n">
        <v>43988</v>
      </c>
      <c r="C128" s="0" t="e">
        <f aca="false">sheet1!ath129</f>
        <v>#NAME?</v>
      </c>
      <c r="D128" s="0" t="e">
        <f aca="false">sheet1!ati129</f>
        <v>#NAME?</v>
      </c>
      <c r="E128" s="0" t="e">
        <f aca="false">sheet1!atj129</f>
        <v>#NAME?</v>
      </c>
      <c r="F128" s="0" t="e">
        <f aca="false">sheet1!atk129</f>
        <v>#NAME?</v>
      </c>
      <c r="G128" s="0" t="e">
        <f aca="false">sheet1!atl129</f>
        <v>#NAME?</v>
      </c>
      <c r="H128" s="0" t="e">
        <f aca="false">sheet1!atm129</f>
        <v>#NAME?</v>
      </c>
      <c r="I128" s="0" t="e">
        <f aca="false">sheet1!atn129</f>
        <v>#NAME?</v>
      </c>
      <c r="J128" s="0" t="e">
        <f aca="false">sheet1!ato129</f>
        <v>#NAME?</v>
      </c>
      <c r="K128" s="0" t="e">
        <f aca="false">sheet1!atp129</f>
        <v>#NAME?</v>
      </c>
      <c r="L128" s="0" t="e">
        <f aca="false">sheet1!atq129</f>
        <v>#NAME?</v>
      </c>
      <c r="M128" s="0" t="e">
        <f aca="false">sheet1!atr129</f>
        <v>#NAME?</v>
      </c>
    </row>
    <row r="129" customFormat="false" ht="13.5" hidden="false" customHeight="false" outlineLevel="0" collapsed="false">
      <c r="A129" s="0" t="s">
        <v>92</v>
      </c>
      <c r="B129" s="1" t="n">
        <v>43989</v>
      </c>
      <c r="C129" s="0" t="e">
        <f aca="false">sheet1!ath130</f>
        <v>#NAME?</v>
      </c>
      <c r="D129" s="0" t="e">
        <f aca="false">sheet1!ati130</f>
        <v>#NAME?</v>
      </c>
      <c r="E129" s="0" t="e">
        <f aca="false">sheet1!atj130</f>
        <v>#NAME?</v>
      </c>
      <c r="F129" s="0" t="e">
        <f aca="false">sheet1!atk130</f>
        <v>#NAME?</v>
      </c>
      <c r="G129" s="0" t="e">
        <f aca="false">sheet1!atl130</f>
        <v>#NAME?</v>
      </c>
      <c r="H129" s="0" t="e">
        <f aca="false">sheet1!atm130</f>
        <v>#NAME?</v>
      </c>
      <c r="I129" s="0" t="e">
        <f aca="false">sheet1!atn130</f>
        <v>#NAME?</v>
      </c>
      <c r="J129" s="0" t="e">
        <f aca="false">sheet1!ato130</f>
        <v>#NAME?</v>
      </c>
      <c r="K129" s="0" t="e">
        <f aca="false">sheet1!atp130</f>
        <v>#NAME?</v>
      </c>
      <c r="L129" s="0" t="e">
        <f aca="false">sheet1!atq130</f>
        <v>#NAME?</v>
      </c>
      <c r="M129" s="0" t="e">
        <f aca="false">sheet1!atr130</f>
        <v>#NAME?</v>
      </c>
    </row>
    <row r="130" customFormat="false" ht="13.5" hidden="false" customHeight="false" outlineLevel="0" collapsed="false">
      <c r="A130" s="0" t="s">
        <v>92</v>
      </c>
      <c r="B130" s="1" t="n">
        <v>43990</v>
      </c>
      <c r="C130" s="0" t="e">
        <f aca="false">sheet1!ath131</f>
        <v>#NAME?</v>
      </c>
      <c r="D130" s="0" t="e">
        <f aca="false">sheet1!ati131</f>
        <v>#NAME?</v>
      </c>
      <c r="E130" s="0" t="e">
        <f aca="false">sheet1!atj131</f>
        <v>#NAME?</v>
      </c>
      <c r="F130" s="0" t="e">
        <f aca="false">sheet1!atk131</f>
        <v>#NAME?</v>
      </c>
      <c r="G130" s="0" t="e">
        <f aca="false">sheet1!atl131</f>
        <v>#NAME?</v>
      </c>
      <c r="H130" s="0" t="e">
        <f aca="false">sheet1!atm131</f>
        <v>#NAME?</v>
      </c>
      <c r="I130" s="0" t="e">
        <f aca="false">sheet1!atn131</f>
        <v>#NAME?</v>
      </c>
      <c r="J130" s="0" t="e">
        <f aca="false">sheet1!ato131</f>
        <v>#NAME?</v>
      </c>
      <c r="K130" s="0" t="e">
        <f aca="false">sheet1!atp131</f>
        <v>#NAME?</v>
      </c>
      <c r="L130" s="0" t="e">
        <f aca="false">sheet1!atq131</f>
        <v>#NAME?</v>
      </c>
      <c r="M130" s="0" t="e">
        <f aca="false">sheet1!atr131</f>
        <v>#NAME?</v>
      </c>
    </row>
    <row r="131" customFormat="false" ht="13.5" hidden="false" customHeight="false" outlineLevel="0" collapsed="false">
      <c r="A131" s="0" t="s">
        <v>92</v>
      </c>
      <c r="B131" s="1" t="n">
        <v>43991</v>
      </c>
      <c r="C131" s="0" t="e">
        <f aca="false">sheet1!ath132</f>
        <v>#NAME?</v>
      </c>
      <c r="D131" s="0" t="e">
        <f aca="false">sheet1!ati132</f>
        <v>#NAME?</v>
      </c>
      <c r="E131" s="0" t="e">
        <f aca="false">sheet1!atj132</f>
        <v>#NAME?</v>
      </c>
      <c r="F131" s="0" t="e">
        <f aca="false">sheet1!atk132</f>
        <v>#NAME?</v>
      </c>
      <c r="G131" s="0" t="e">
        <f aca="false">sheet1!atl132</f>
        <v>#NAME?</v>
      </c>
      <c r="H131" s="0" t="e">
        <f aca="false">sheet1!atm132</f>
        <v>#NAME?</v>
      </c>
      <c r="I131" s="0" t="e">
        <f aca="false">sheet1!atn132</f>
        <v>#NAME?</v>
      </c>
      <c r="J131" s="0" t="e">
        <f aca="false">sheet1!ato132</f>
        <v>#NAME?</v>
      </c>
      <c r="K131" s="0" t="e">
        <f aca="false">sheet1!atp132</f>
        <v>#NAME?</v>
      </c>
      <c r="L131" s="0" t="e">
        <f aca="false">sheet1!atq132</f>
        <v>#NAME?</v>
      </c>
      <c r="M131" s="0" t="e">
        <f aca="false">sheet1!atr132</f>
        <v>#NAME?</v>
      </c>
    </row>
    <row r="132" customFormat="false" ht="13.5" hidden="false" customHeight="false" outlineLevel="0" collapsed="false">
      <c r="A132" s="0" t="s">
        <v>92</v>
      </c>
      <c r="B132" s="1" t="n">
        <v>43992</v>
      </c>
      <c r="C132" s="0" t="e">
        <f aca="false">sheet1!ath133</f>
        <v>#NAME?</v>
      </c>
      <c r="D132" s="0" t="e">
        <f aca="false">sheet1!ati133</f>
        <v>#NAME?</v>
      </c>
      <c r="E132" s="0" t="e">
        <f aca="false">sheet1!atj133</f>
        <v>#NAME?</v>
      </c>
      <c r="F132" s="0" t="e">
        <f aca="false">sheet1!atk133</f>
        <v>#NAME?</v>
      </c>
      <c r="G132" s="0" t="e">
        <f aca="false">sheet1!atl133</f>
        <v>#NAME?</v>
      </c>
      <c r="H132" s="0" t="e">
        <f aca="false">sheet1!atm133</f>
        <v>#NAME?</v>
      </c>
      <c r="I132" s="0" t="e">
        <f aca="false">sheet1!atn133</f>
        <v>#NAME?</v>
      </c>
      <c r="J132" s="0" t="e">
        <f aca="false">sheet1!ato133</f>
        <v>#NAME?</v>
      </c>
      <c r="K132" s="0" t="e">
        <f aca="false">sheet1!atp133</f>
        <v>#NAME?</v>
      </c>
      <c r="L132" s="0" t="e">
        <f aca="false">sheet1!atq133</f>
        <v>#NAME?</v>
      </c>
      <c r="M132" s="0" t="e">
        <f aca="false">sheet1!atr133</f>
        <v>#NAME?</v>
      </c>
    </row>
    <row r="133" customFormat="false" ht="13.5" hidden="false" customHeight="false" outlineLevel="0" collapsed="false">
      <c r="A133" s="0" t="s">
        <v>92</v>
      </c>
      <c r="B133" s="1" t="n">
        <v>43993</v>
      </c>
      <c r="C133" s="0" t="e">
        <f aca="false">sheet1!ath134</f>
        <v>#NAME?</v>
      </c>
      <c r="D133" s="0" t="e">
        <f aca="false">sheet1!ati134</f>
        <v>#NAME?</v>
      </c>
      <c r="E133" s="0" t="e">
        <f aca="false">sheet1!atj134</f>
        <v>#NAME?</v>
      </c>
      <c r="F133" s="0" t="e">
        <f aca="false">sheet1!atk134</f>
        <v>#NAME?</v>
      </c>
      <c r="G133" s="0" t="e">
        <f aca="false">sheet1!atl134</f>
        <v>#NAME?</v>
      </c>
      <c r="H133" s="0" t="e">
        <f aca="false">sheet1!atm134</f>
        <v>#NAME?</v>
      </c>
      <c r="I133" s="0" t="e">
        <f aca="false">sheet1!atn134</f>
        <v>#NAME?</v>
      </c>
      <c r="J133" s="0" t="e">
        <f aca="false">sheet1!ato134</f>
        <v>#NAME?</v>
      </c>
      <c r="K133" s="0" t="e">
        <f aca="false">sheet1!atp134</f>
        <v>#NAME?</v>
      </c>
      <c r="L133" s="0" t="e">
        <f aca="false">sheet1!atq134</f>
        <v>#NAME?</v>
      </c>
      <c r="M133" s="0" t="e">
        <f aca="false">sheet1!atr134</f>
        <v>#NAME?</v>
      </c>
    </row>
    <row r="134" customFormat="false" ht="13.5" hidden="false" customHeight="false" outlineLevel="0" collapsed="false">
      <c r="A134" s="0" t="s">
        <v>92</v>
      </c>
      <c r="B134" s="1" t="n">
        <v>43994</v>
      </c>
      <c r="C134" s="0" t="e">
        <f aca="false">sheet1!ath135</f>
        <v>#NAME?</v>
      </c>
      <c r="D134" s="0" t="e">
        <f aca="false">sheet1!ati135</f>
        <v>#NAME?</v>
      </c>
      <c r="E134" s="0" t="e">
        <f aca="false">sheet1!atj135</f>
        <v>#NAME?</v>
      </c>
      <c r="F134" s="0" t="e">
        <f aca="false">sheet1!atk135</f>
        <v>#NAME?</v>
      </c>
      <c r="G134" s="0" t="e">
        <f aca="false">sheet1!atl135</f>
        <v>#NAME?</v>
      </c>
      <c r="H134" s="0" t="e">
        <f aca="false">sheet1!atm135</f>
        <v>#NAME?</v>
      </c>
      <c r="I134" s="0" t="e">
        <f aca="false">sheet1!atn135</f>
        <v>#NAME?</v>
      </c>
      <c r="J134" s="0" t="e">
        <f aca="false">sheet1!ato135</f>
        <v>#NAME?</v>
      </c>
      <c r="K134" s="0" t="e">
        <f aca="false">sheet1!atp135</f>
        <v>#NAME?</v>
      </c>
      <c r="L134" s="0" t="e">
        <f aca="false">sheet1!atq135</f>
        <v>#NAME?</v>
      </c>
      <c r="M134" s="0" t="e">
        <f aca="false">sheet1!atr135</f>
        <v>#NAME?</v>
      </c>
    </row>
    <row r="135" customFormat="false" ht="13.5" hidden="false" customHeight="false" outlineLevel="0" collapsed="false">
      <c r="A135" s="0" t="s">
        <v>92</v>
      </c>
      <c r="B135" s="1" t="n">
        <v>43995</v>
      </c>
      <c r="C135" s="0" t="e">
        <f aca="false">sheet1!ath136</f>
        <v>#NAME?</v>
      </c>
      <c r="D135" s="0" t="e">
        <f aca="false">sheet1!ati136</f>
        <v>#NAME?</v>
      </c>
      <c r="E135" s="0" t="e">
        <f aca="false">sheet1!atj136</f>
        <v>#NAME?</v>
      </c>
      <c r="F135" s="0" t="e">
        <f aca="false">sheet1!atk136</f>
        <v>#NAME?</v>
      </c>
      <c r="G135" s="0" t="e">
        <f aca="false">sheet1!atl136</f>
        <v>#NAME?</v>
      </c>
      <c r="H135" s="0" t="e">
        <f aca="false">sheet1!atm136</f>
        <v>#NAME?</v>
      </c>
      <c r="I135" s="0" t="e">
        <f aca="false">sheet1!atn136</f>
        <v>#NAME?</v>
      </c>
      <c r="J135" s="0" t="e">
        <f aca="false">sheet1!ato136</f>
        <v>#NAME?</v>
      </c>
      <c r="K135" s="0" t="e">
        <f aca="false">sheet1!atp136</f>
        <v>#NAME?</v>
      </c>
      <c r="L135" s="0" t="e">
        <f aca="false">sheet1!atq136</f>
        <v>#NAME?</v>
      </c>
      <c r="M135" s="0" t="e">
        <f aca="false">sheet1!atr136</f>
        <v>#NAME?</v>
      </c>
    </row>
    <row r="136" customFormat="false" ht="13.5" hidden="false" customHeight="false" outlineLevel="0" collapsed="false">
      <c r="A136" s="0" t="s">
        <v>92</v>
      </c>
      <c r="B136" s="1" t="n">
        <v>43996</v>
      </c>
      <c r="C136" s="0" t="e">
        <f aca="false">sheet1!ath137</f>
        <v>#NAME?</v>
      </c>
      <c r="D136" s="0" t="e">
        <f aca="false">sheet1!ati137</f>
        <v>#NAME?</v>
      </c>
      <c r="E136" s="0" t="e">
        <f aca="false">sheet1!atj137</f>
        <v>#NAME?</v>
      </c>
      <c r="F136" s="0" t="e">
        <f aca="false">sheet1!atk137</f>
        <v>#NAME?</v>
      </c>
      <c r="G136" s="0" t="e">
        <f aca="false">sheet1!atl137</f>
        <v>#NAME?</v>
      </c>
      <c r="H136" s="0" t="e">
        <f aca="false">sheet1!atm137</f>
        <v>#NAME?</v>
      </c>
      <c r="I136" s="0" t="e">
        <f aca="false">sheet1!atn137</f>
        <v>#NAME?</v>
      </c>
      <c r="J136" s="0" t="e">
        <f aca="false">sheet1!ato137</f>
        <v>#NAME?</v>
      </c>
      <c r="K136" s="0" t="e">
        <f aca="false">sheet1!atp137</f>
        <v>#NAME?</v>
      </c>
      <c r="L136" s="0" t="e">
        <f aca="false">sheet1!atq137</f>
        <v>#NAME?</v>
      </c>
      <c r="M136" s="0" t="e">
        <f aca="false">sheet1!atr137</f>
        <v>#NAME?</v>
      </c>
    </row>
    <row r="137" customFormat="false" ht="13.5" hidden="false" customHeight="false" outlineLevel="0" collapsed="false">
      <c r="A137" s="0" t="s">
        <v>92</v>
      </c>
      <c r="B137" s="1" t="n">
        <v>43997</v>
      </c>
      <c r="C137" s="0" t="e">
        <f aca="false">sheet1!ath138</f>
        <v>#NAME?</v>
      </c>
      <c r="D137" s="0" t="e">
        <f aca="false">sheet1!ati138</f>
        <v>#NAME?</v>
      </c>
      <c r="E137" s="0" t="e">
        <f aca="false">sheet1!atj138</f>
        <v>#NAME?</v>
      </c>
      <c r="F137" s="0" t="e">
        <f aca="false">sheet1!atk138</f>
        <v>#NAME?</v>
      </c>
      <c r="G137" s="0" t="e">
        <f aca="false">sheet1!atl138</f>
        <v>#NAME?</v>
      </c>
      <c r="H137" s="0" t="e">
        <f aca="false">sheet1!atm138</f>
        <v>#NAME?</v>
      </c>
      <c r="I137" s="0" t="e">
        <f aca="false">sheet1!atn138</f>
        <v>#NAME?</v>
      </c>
      <c r="J137" s="0" t="e">
        <f aca="false">sheet1!ato138</f>
        <v>#NAME?</v>
      </c>
      <c r="K137" s="0" t="e">
        <f aca="false">sheet1!atp138</f>
        <v>#NAME?</v>
      </c>
      <c r="L137" s="0" t="e">
        <f aca="false">sheet1!atq138</f>
        <v>#NAME?</v>
      </c>
      <c r="M137" s="0" t="e">
        <f aca="false">sheet1!atr138</f>
        <v>#NAME?</v>
      </c>
    </row>
    <row r="138" customFormat="false" ht="13.5" hidden="false" customHeight="false" outlineLevel="0" collapsed="false">
      <c r="A138" s="0" t="s">
        <v>92</v>
      </c>
      <c r="B138" s="1" t="n">
        <v>43998</v>
      </c>
      <c r="C138" s="0" t="e">
        <f aca="false">sheet1!ath139</f>
        <v>#NAME?</v>
      </c>
      <c r="D138" s="0" t="e">
        <f aca="false">sheet1!ati139</f>
        <v>#NAME?</v>
      </c>
      <c r="E138" s="0" t="e">
        <f aca="false">sheet1!atj139</f>
        <v>#NAME?</v>
      </c>
      <c r="F138" s="0" t="e">
        <f aca="false">sheet1!atk139</f>
        <v>#NAME?</v>
      </c>
      <c r="G138" s="0" t="e">
        <f aca="false">sheet1!atl139</f>
        <v>#NAME?</v>
      </c>
      <c r="H138" s="0" t="e">
        <f aca="false">sheet1!atm139</f>
        <v>#NAME?</v>
      </c>
      <c r="I138" s="0" t="e">
        <f aca="false">sheet1!atn139</f>
        <v>#NAME?</v>
      </c>
      <c r="J138" s="0" t="e">
        <f aca="false">sheet1!ato139</f>
        <v>#NAME?</v>
      </c>
      <c r="K138" s="0" t="e">
        <f aca="false">sheet1!atp139</f>
        <v>#NAME?</v>
      </c>
      <c r="L138" s="0" t="e">
        <f aca="false">sheet1!atq139</f>
        <v>#NAME?</v>
      </c>
      <c r="M138" s="0" t="e">
        <f aca="false">sheet1!atr139</f>
        <v>#NAME?</v>
      </c>
    </row>
    <row r="139" customFormat="false" ht="13.5" hidden="false" customHeight="false" outlineLevel="0" collapsed="false">
      <c r="A139" s="0" t="s">
        <v>92</v>
      </c>
      <c r="B139" s="1" t="n">
        <v>43999</v>
      </c>
      <c r="C139" s="0" t="e">
        <f aca="false">sheet1!ath140</f>
        <v>#NAME?</v>
      </c>
      <c r="D139" s="0" t="e">
        <f aca="false">sheet1!ati140</f>
        <v>#NAME?</v>
      </c>
      <c r="E139" s="0" t="e">
        <f aca="false">sheet1!atj140</f>
        <v>#NAME?</v>
      </c>
      <c r="F139" s="0" t="e">
        <f aca="false">sheet1!atk140</f>
        <v>#NAME?</v>
      </c>
      <c r="G139" s="0" t="e">
        <f aca="false">sheet1!atl140</f>
        <v>#NAME?</v>
      </c>
      <c r="H139" s="0" t="e">
        <f aca="false">sheet1!atm140</f>
        <v>#NAME?</v>
      </c>
      <c r="I139" s="0" t="e">
        <f aca="false">sheet1!atn140</f>
        <v>#NAME?</v>
      </c>
      <c r="J139" s="0" t="e">
        <f aca="false">sheet1!ato140</f>
        <v>#NAME?</v>
      </c>
      <c r="K139" s="0" t="e">
        <f aca="false">sheet1!atp140</f>
        <v>#NAME?</v>
      </c>
      <c r="L139" s="0" t="e">
        <f aca="false">sheet1!atq140</f>
        <v>#NAME?</v>
      </c>
      <c r="M139" s="0" t="e">
        <f aca="false">sheet1!atr140</f>
        <v>#NAME?</v>
      </c>
    </row>
    <row r="140" customFormat="false" ht="13.5" hidden="false" customHeight="false" outlineLevel="0" collapsed="false">
      <c r="A140" s="0" t="s">
        <v>92</v>
      </c>
      <c r="B140" s="1" t="n">
        <v>44000</v>
      </c>
      <c r="C140" s="0" t="e">
        <f aca="false">sheet1!ath141</f>
        <v>#NAME?</v>
      </c>
      <c r="D140" s="0" t="e">
        <f aca="false">sheet1!ati141</f>
        <v>#NAME?</v>
      </c>
      <c r="E140" s="0" t="e">
        <f aca="false">sheet1!atj141</f>
        <v>#NAME?</v>
      </c>
      <c r="F140" s="0" t="e">
        <f aca="false">sheet1!atk141</f>
        <v>#NAME?</v>
      </c>
      <c r="G140" s="0" t="e">
        <f aca="false">sheet1!atl141</f>
        <v>#NAME?</v>
      </c>
      <c r="H140" s="0" t="e">
        <f aca="false">sheet1!atm141</f>
        <v>#NAME?</v>
      </c>
      <c r="I140" s="0" t="e">
        <f aca="false">sheet1!atn141</f>
        <v>#NAME?</v>
      </c>
      <c r="J140" s="0" t="e">
        <f aca="false">sheet1!ato141</f>
        <v>#NAME?</v>
      </c>
      <c r="K140" s="0" t="e">
        <f aca="false">sheet1!atp141</f>
        <v>#NAME?</v>
      </c>
      <c r="L140" s="0" t="e">
        <f aca="false">sheet1!atq141</f>
        <v>#NAME?</v>
      </c>
      <c r="M140" s="0" t="e">
        <f aca="false">sheet1!atr141</f>
        <v>#NAME?</v>
      </c>
    </row>
    <row r="141" customFormat="false" ht="13.5" hidden="false" customHeight="false" outlineLevel="0" collapsed="false">
      <c r="A141" s="0" t="s">
        <v>92</v>
      </c>
      <c r="B141" s="1" t="n">
        <v>44001</v>
      </c>
      <c r="C141" s="0" t="e">
        <f aca="false">sheet1!ath142</f>
        <v>#NAME?</v>
      </c>
      <c r="D141" s="0" t="e">
        <f aca="false">sheet1!ati142</f>
        <v>#NAME?</v>
      </c>
      <c r="E141" s="0" t="e">
        <f aca="false">sheet1!atj142</f>
        <v>#NAME?</v>
      </c>
      <c r="F141" s="0" t="e">
        <f aca="false">sheet1!atk142</f>
        <v>#NAME?</v>
      </c>
      <c r="G141" s="0" t="e">
        <f aca="false">sheet1!atl142</f>
        <v>#NAME?</v>
      </c>
      <c r="H141" s="0" t="e">
        <f aca="false">sheet1!atm142</f>
        <v>#NAME?</v>
      </c>
      <c r="I141" s="0" t="e">
        <f aca="false">sheet1!atn142</f>
        <v>#NAME?</v>
      </c>
      <c r="J141" s="0" t="e">
        <f aca="false">sheet1!ato142</f>
        <v>#NAME?</v>
      </c>
      <c r="K141" s="0" t="e">
        <f aca="false">sheet1!atp142</f>
        <v>#NAME?</v>
      </c>
      <c r="L141" s="0" t="e">
        <f aca="false">sheet1!atq142</f>
        <v>#NAME?</v>
      </c>
      <c r="M141" s="0" t="e">
        <f aca="false">sheet1!atr142</f>
        <v>#NAME?</v>
      </c>
    </row>
    <row r="142" customFormat="false" ht="13.5" hidden="false" customHeight="false" outlineLevel="0" collapsed="false">
      <c r="A142" s="0" t="s">
        <v>92</v>
      </c>
      <c r="B142" s="1" t="n">
        <v>44002</v>
      </c>
      <c r="C142" s="0" t="e">
        <f aca="false">sheet1!ath143</f>
        <v>#NAME?</v>
      </c>
      <c r="D142" s="0" t="e">
        <f aca="false">sheet1!ati143</f>
        <v>#NAME?</v>
      </c>
      <c r="E142" s="0" t="e">
        <f aca="false">sheet1!atj143</f>
        <v>#NAME?</v>
      </c>
      <c r="F142" s="0" t="e">
        <f aca="false">sheet1!atk143</f>
        <v>#NAME?</v>
      </c>
      <c r="G142" s="0" t="e">
        <f aca="false">sheet1!atl143</f>
        <v>#NAME?</v>
      </c>
      <c r="H142" s="0" t="e">
        <f aca="false">sheet1!atm143</f>
        <v>#NAME?</v>
      </c>
      <c r="I142" s="0" t="e">
        <f aca="false">sheet1!atn143</f>
        <v>#NAME?</v>
      </c>
      <c r="J142" s="0" t="e">
        <f aca="false">sheet1!ato143</f>
        <v>#NAME?</v>
      </c>
      <c r="K142" s="0" t="e">
        <f aca="false">sheet1!atp143</f>
        <v>#NAME?</v>
      </c>
      <c r="L142" s="0" t="e">
        <f aca="false">sheet1!atq143</f>
        <v>#NAME?</v>
      </c>
      <c r="M142" s="0" t="e">
        <f aca="false">sheet1!atr143</f>
        <v>#NAME?</v>
      </c>
    </row>
    <row r="143" customFormat="false" ht="13.5" hidden="false" customHeight="false" outlineLevel="0" collapsed="false">
      <c r="A143" s="0" t="s">
        <v>92</v>
      </c>
      <c r="B143" s="1" t="n">
        <v>44003</v>
      </c>
      <c r="C143" s="0" t="e">
        <f aca="false">sheet1!ath144</f>
        <v>#NAME?</v>
      </c>
      <c r="D143" s="0" t="e">
        <f aca="false">sheet1!ati144</f>
        <v>#NAME?</v>
      </c>
      <c r="E143" s="0" t="e">
        <f aca="false">sheet1!atj144</f>
        <v>#NAME?</v>
      </c>
      <c r="F143" s="0" t="e">
        <f aca="false">sheet1!atk144</f>
        <v>#NAME?</v>
      </c>
      <c r="G143" s="0" t="e">
        <f aca="false">sheet1!atl144</f>
        <v>#NAME?</v>
      </c>
      <c r="H143" s="0" t="e">
        <f aca="false">sheet1!atm144</f>
        <v>#NAME?</v>
      </c>
      <c r="I143" s="0" t="e">
        <f aca="false">sheet1!atn144</f>
        <v>#NAME?</v>
      </c>
      <c r="J143" s="0" t="e">
        <f aca="false">sheet1!ato144</f>
        <v>#NAME?</v>
      </c>
      <c r="K143" s="0" t="e">
        <f aca="false">sheet1!atp144</f>
        <v>#NAME?</v>
      </c>
      <c r="L143" s="0" t="e">
        <f aca="false">sheet1!atq144</f>
        <v>#NAME?</v>
      </c>
      <c r="M143" s="0" t="e">
        <f aca="false">sheet1!atr144</f>
        <v>#NAME?</v>
      </c>
    </row>
    <row r="144" customFormat="false" ht="13.5" hidden="false" customHeight="false" outlineLevel="0" collapsed="false">
      <c r="A144" s="0" t="s">
        <v>92</v>
      </c>
      <c r="B144" s="1" t="n">
        <v>44004</v>
      </c>
      <c r="C144" s="0" t="e">
        <f aca="false">sheet1!ath145</f>
        <v>#NAME?</v>
      </c>
      <c r="D144" s="0" t="e">
        <f aca="false">sheet1!ati145</f>
        <v>#NAME?</v>
      </c>
      <c r="E144" s="0" t="e">
        <f aca="false">sheet1!atj145</f>
        <v>#NAME?</v>
      </c>
      <c r="F144" s="0" t="e">
        <f aca="false">sheet1!atk145</f>
        <v>#NAME?</v>
      </c>
      <c r="G144" s="0" t="e">
        <f aca="false">sheet1!atl145</f>
        <v>#NAME?</v>
      </c>
      <c r="H144" s="0" t="e">
        <f aca="false">sheet1!atm145</f>
        <v>#NAME?</v>
      </c>
      <c r="I144" s="0" t="e">
        <f aca="false">sheet1!atn145</f>
        <v>#NAME?</v>
      </c>
      <c r="J144" s="0" t="e">
        <f aca="false">sheet1!ato145</f>
        <v>#NAME?</v>
      </c>
      <c r="K144" s="0" t="e">
        <f aca="false">sheet1!atp145</f>
        <v>#NAME?</v>
      </c>
      <c r="L144" s="0" t="e">
        <f aca="false">sheet1!atq145</f>
        <v>#NAME?</v>
      </c>
      <c r="M144" s="0" t="e">
        <f aca="false">sheet1!atr145</f>
        <v>#NAME?</v>
      </c>
    </row>
    <row r="145" customFormat="false" ht="13.5" hidden="false" customHeight="false" outlineLevel="0" collapsed="false">
      <c r="A145" s="0" t="s">
        <v>92</v>
      </c>
      <c r="B145" s="1" t="n">
        <v>44005</v>
      </c>
      <c r="C145" s="0" t="e">
        <f aca="false">sheet1!ath146</f>
        <v>#NAME?</v>
      </c>
      <c r="D145" s="0" t="e">
        <f aca="false">sheet1!ati146</f>
        <v>#NAME?</v>
      </c>
      <c r="E145" s="0" t="e">
        <f aca="false">sheet1!atj146</f>
        <v>#NAME?</v>
      </c>
      <c r="F145" s="0" t="e">
        <f aca="false">sheet1!atk146</f>
        <v>#NAME?</v>
      </c>
      <c r="G145" s="0" t="e">
        <f aca="false">sheet1!atl146</f>
        <v>#NAME?</v>
      </c>
      <c r="H145" s="0" t="e">
        <f aca="false">sheet1!atm146</f>
        <v>#NAME?</v>
      </c>
      <c r="I145" s="0" t="e">
        <f aca="false">sheet1!atn146</f>
        <v>#NAME?</v>
      </c>
      <c r="J145" s="0" t="e">
        <f aca="false">sheet1!ato146</f>
        <v>#NAME?</v>
      </c>
      <c r="K145" s="0" t="e">
        <f aca="false">sheet1!atp146</f>
        <v>#NAME?</v>
      </c>
      <c r="L145" s="0" t="e">
        <f aca="false">sheet1!atq146</f>
        <v>#NAME?</v>
      </c>
      <c r="M145" s="0" t="e">
        <f aca="false">sheet1!atr146</f>
        <v>#NAME?</v>
      </c>
    </row>
    <row r="146" customFormat="false" ht="13.5" hidden="false" customHeight="false" outlineLevel="0" collapsed="false">
      <c r="A146" s="0" t="s">
        <v>92</v>
      </c>
      <c r="B146" s="1" t="n">
        <v>44006</v>
      </c>
      <c r="C146" s="0" t="e">
        <f aca="false">sheet1!ath147</f>
        <v>#NAME?</v>
      </c>
      <c r="D146" s="0" t="e">
        <f aca="false">sheet1!ati147</f>
        <v>#NAME?</v>
      </c>
      <c r="E146" s="0" t="e">
        <f aca="false">sheet1!atj147</f>
        <v>#NAME?</v>
      </c>
      <c r="F146" s="0" t="e">
        <f aca="false">sheet1!atk147</f>
        <v>#NAME?</v>
      </c>
      <c r="G146" s="0" t="e">
        <f aca="false">sheet1!atl147</f>
        <v>#NAME?</v>
      </c>
      <c r="H146" s="0" t="e">
        <f aca="false">sheet1!atm147</f>
        <v>#NAME?</v>
      </c>
      <c r="I146" s="0" t="e">
        <f aca="false">sheet1!atn147</f>
        <v>#NAME?</v>
      </c>
      <c r="J146" s="0" t="e">
        <f aca="false">sheet1!ato147</f>
        <v>#NAME?</v>
      </c>
      <c r="K146" s="0" t="e">
        <f aca="false">sheet1!atp147</f>
        <v>#NAME?</v>
      </c>
      <c r="L146" s="0" t="e">
        <f aca="false">sheet1!atq147</f>
        <v>#NAME?</v>
      </c>
      <c r="M146" s="0" t="e">
        <f aca="false">sheet1!atr147</f>
        <v>#NAME?</v>
      </c>
    </row>
    <row r="147" customFormat="false" ht="13.5" hidden="false" customHeight="false" outlineLevel="0" collapsed="false">
      <c r="A147" s="0" t="s">
        <v>92</v>
      </c>
      <c r="B147" s="1" t="n">
        <v>44007</v>
      </c>
      <c r="C147" s="0" t="e">
        <f aca="false">sheet1!ath148</f>
        <v>#NAME?</v>
      </c>
      <c r="D147" s="0" t="e">
        <f aca="false">sheet1!ati148</f>
        <v>#NAME?</v>
      </c>
      <c r="E147" s="0" t="e">
        <f aca="false">sheet1!atj148</f>
        <v>#NAME?</v>
      </c>
      <c r="F147" s="0" t="e">
        <f aca="false">sheet1!atk148</f>
        <v>#NAME?</v>
      </c>
      <c r="G147" s="0" t="e">
        <f aca="false">sheet1!atl148</f>
        <v>#NAME?</v>
      </c>
      <c r="H147" s="0" t="e">
        <f aca="false">sheet1!atm148</f>
        <v>#NAME?</v>
      </c>
      <c r="I147" s="0" t="e">
        <f aca="false">sheet1!atn148</f>
        <v>#NAME?</v>
      </c>
      <c r="J147" s="0" t="e">
        <f aca="false">sheet1!ato148</f>
        <v>#NAME?</v>
      </c>
      <c r="K147" s="0" t="e">
        <f aca="false">sheet1!atp148</f>
        <v>#NAME?</v>
      </c>
      <c r="L147" s="0" t="e">
        <f aca="false">sheet1!atq148</f>
        <v>#NAME?</v>
      </c>
      <c r="M147" s="0" t="e">
        <f aca="false">sheet1!atr148</f>
        <v>#NAME?</v>
      </c>
    </row>
    <row r="148" customFormat="false" ht="13.5" hidden="false" customHeight="false" outlineLevel="0" collapsed="false">
      <c r="A148" s="0" t="s">
        <v>92</v>
      </c>
      <c r="B148" s="1" t="n">
        <v>44008</v>
      </c>
      <c r="C148" s="0" t="e">
        <f aca="false">sheet1!ath149</f>
        <v>#NAME?</v>
      </c>
      <c r="D148" s="0" t="e">
        <f aca="false">sheet1!ati149</f>
        <v>#NAME?</v>
      </c>
      <c r="E148" s="0" t="e">
        <f aca="false">sheet1!atj149</f>
        <v>#NAME?</v>
      </c>
      <c r="F148" s="0" t="e">
        <f aca="false">sheet1!atk149</f>
        <v>#NAME?</v>
      </c>
      <c r="G148" s="0" t="e">
        <f aca="false">sheet1!atl149</f>
        <v>#NAME?</v>
      </c>
      <c r="H148" s="0" t="e">
        <f aca="false">sheet1!atm149</f>
        <v>#NAME?</v>
      </c>
      <c r="I148" s="0" t="e">
        <f aca="false">sheet1!atn149</f>
        <v>#NAME?</v>
      </c>
      <c r="J148" s="0" t="e">
        <f aca="false">sheet1!ato149</f>
        <v>#NAME?</v>
      </c>
      <c r="K148" s="0" t="e">
        <f aca="false">sheet1!atp149</f>
        <v>#NAME?</v>
      </c>
      <c r="L148" s="0" t="e">
        <f aca="false">sheet1!atq149</f>
        <v>#NAME?</v>
      </c>
      <c r="M148" s="0" t="e">
        <f aca="false">sheet1!atr149</f>
        <v>#NAME?</v>
      </c>
    </row>
    <row r="149" customFormat="false" ht="13.5" hidden="false" customHeight="false" outlineLevel="0" collapsed="false">
      <c r="A149" s="0" t="s">
        <v>92</v>
      </c>
      <c r="B149" s="1" t="n">
        <v>44009</v>
      </c>
      <c r="C149" s="0" t="e">
        <f aca="false">sheet1!ath150</f>
        <v>#NAME?</v>
      </c>
      <c r="D149" s="0" t="e">
        <f aca="false">sheet1!ati150</f>
        <v>#NAME?</v>
      </c>
      <c r="E149" s="0" t="e">
        <f aca="false">sheet1!atj150</f>
        <v>#NAME?</v>
      </c>
      <c r="F149" s="0" t="e">
        <f aca="false">sheet1!atk150</f>
        <v>#NAME?</v>
      </c>
      <c r="G149" s="0" t="e">
        <f aca="false">sheet1!atl150</f>
        <v>#NAME?</v>
      </c>
      <c r="H149" s="0" t="e">
        <f aca="false">sheet1!atm150</f>
        <v>#NAME?</v>
      </c>
      <c r="I149" s="0" t="e">
        <f aca="false">sheet1!atn150</f>
        <v>#NAME?</v>
      </c>
      <c r="J149" s="0" t="e">
        <f aca="false">sheet1!ato150</f>
        <v>#NAME?</v>
      </c>
      <c r="K149" s="0" t="e">
        <f aca="false">sheet1!atp150</f>
        <v>#NAME?</v>
      </c>
      <c r="L149" s="0" t="e">
        <f aca="false">sheet1!atq150</f>
        <v>#NAME?</v>
      </c>
      <c r="M149" s="0" t="e">
        <f aca="false">sheet1!atr150</f>
        <v>#NAME?</v>
      </c>
    </row>
    <row r="150" customFormat="false" ht="13.5" hidden="false" customHeight="false" outlineLevel="0" collapsed="false">
      <c r="A150" s="0" t="s">
        <v>92</v>
      </c>
      <c r="B150" s="1" t="n">
        <v>44010</v>
      </c>
      <c r="C150" s="0" t="e">
        <f aca="false">sheet1!ath151</f>
        <v>#NAME?</v>
      </c>
      <c r="D150" s="0" t="e">
        <f aca="false">sheet1!ati151</f>
        <v>#NAME?</v>
      </c>
      <c r="E150" s="0" t="e">
        <f aca="false">sheet1!atj151</f>
        <v>#NAME?</v>
      </c>
      <c r="F150" s="0" t="e">
        <f aca="false">sheet1!atk151</f>
        <v>#NAME?</v>
      </c>
      <c r="G150" s="0" t="e">
        <f aca="false">sheet1!atl151</f>
        <v>#NAME?</v>
      </c>
      <c r="H150" s="0" t="e">
        <f aca="false">sheet1!atm151</f>
        <v>#NAME?</v>
      </c>
      <c r="I150" s="0" t="e">
        <f aca="false">sheet1!atn151</f>
        <v>#NAME?</v>
      </c>
      <c r="J150" s="0" t="e">
        <f aca="false">sheet1!ato151</f>
        <v>#NAME?</v>
      </c>
      <c r="K150" s="0" t="e">
        <f aca="false">sheet1!atp151</f>
        <v>#NAME?</v>
      </c>
      <c r="L150" s="0" t="e">
        <f aca="false">sheet1!atq151</f>
        <v>#NAME?</v>
      </c>
      <c r="M150" s="0" t="e">
        <f aca="false">sheet1!atr151</f>
        <v>#NAME?</v>
      </c>
    </row>
    <row r="151" customFormat="false" ht="13.5" hidden="false" customHeight="false" outlineLevel="0" collapsed="false">
      <c r="A151" s="0" t="s">
        <v>92</v>
      </c>
      <c r="B151" s="1" t="n">
        <v>44011</v>
      </c>
      <c r="C151" s="0" t="e">
        <f aca="false">sheet1!ath152</f>
        <v>#NAME?</v>
      </c>
      <c r="D151" s="0" t="e">
        <f aca="false">sheet1!ati152</f>
        <v>#NAME?</v>
      </c>
      <c r="E151" s="0" t="e">
        <f aca="false">sheet1!atj152</f>
        <v>#NAME?</v>
      </c>
      <c r="F151" s="0" t="e">
        <f aca="false">sheet1!atk152</f>
        <v>#NAME?</v>
      </c>
      <c r="G151" s="0" t="e">
        <f aca="false">sheet1!atl152</f>
        <v>#NAME?</v>
      </c>
      <c r="H151" s="0" t="e">
        <f aca="false">sheet1!atm152</f>
        <v>#NAME?</v>
      </c>
      <c r="I151" s="0" t="e">
        <f aca="false">sheet1!atn152</f>
        <v>#NAME?</v>
      </c>
      <c r="J151" s="0" t="e">
        <f aca="false">sheet1!ato152</f>
        <v>#NAME?</v>
      </c>
      <c r="K151" s="0" t="e">
        <f aca="false">sheet1!atp152</f>
        <v>#NAME?</v>
      </c>
      <c r="L151" s="0" t="e">
        <f aca="false">sheet1!atq152</f>
        <v>#NAME?</v>
      </c>
      <c r="M151" s="0" t="e">
        <f aca="false">sheet1!atr152</f>
        <v>#NAME?</v>
      </c>
    </row>
    <row r="152" customFormat="false" ht="13.5" hidden="false" customHeight="false" outlineLevel="0" collapsed="false">
      <c r="A152" s="0" t="s">
        <v>92</v>
      </c>
      <c r="B152" s="1" t="n">
        <v>44012</v>
      </c>
      <c r="C152" s="0" t="e">
        <f aca="false">sheet1!ath153</f>
        <v>#NAME?</v>
      </c>
      <c r="D152" s="0" t="e">
        <f aca="false">sheet1!ati153</f>
        <v>#NAME?</v>
      </c>
      <c r="E152" s="0" t="e">
        <f aca="false">sheet1!atj153</f>
        <v>#NAME?</v>
      </c>
      <c r="F152" s="0" t="e">
        <f aca="false">sheet1!atk153</f>
        <v>#NAME?</v>
      </c>
      <c r="G152" s="0" t="e">
        <f aca="false">sheet1!atl153</f>
        <v>#NAME?</v>
      </c>
      <c r="H152" s="0" t="e">
        <f aca="false">sheet1!atm153</f>
        <v>#NAME?</v>
      </c>
      <c r="I152" s="0" t="e">
        <f aca="false">sheet1!atn153</f>
        <v>#NAME?</v>
      </c>
      <c r="J152" s="0" t="e">
        <f aca="false">sheet1!ato153</f>
        <v>#NAME?</v>
      </c>
      <c r="K152" s="0" t="e">
        <f aca="false">sheet1!atp153</f>
        <v>#NAME?</v>
      </c>
      <c r="L152" s="0" t="e">
        <f aca="false">sheet1!atq153</f>
        <v>#NAME?</v>
      </c>
      <c r="M152" s="0" t="e">
        <f aca="false">sheet1!atr153</f>
        <v>#NAME?</v>
      </c>
    </row>
    <row r="153" customFormat="false" ht="13.5" hidden="false" customHeight="false" outlineLevel="0" collapsed="false">
      <c r="A153" s="0" t="s">
        <v>92</v>
      </c>
      <c r="B153" s="1" t="n">
        <v>44013</v>
      </c>
      <c r="C153" s="0" t="e">
        <f aca="false">sheet1!ath154</f>
        <v>#NAME?</v>
      </c>
      <c r="D153" s="0" t="e">
        <f aca="false">sheet1!ati154</f>
        <v>#NAME?</v>
      </c>
      <c r="E153" s="0" t="e">
        <f aca="false">sheet1!atj154</f>
        <v>#NAME?</v>
      </c>
      <c r="F153" s="0" t="e">
        <f aca="false">sheet1!atk154</f>
        <v>#NAME?</v>
      </c>
      <c r="G153" s="0" t="e">
        <f aca="false">sheet1!atl154</f>
        <v>#NAME?</v>
      </c>
      <c r="H153" s="0" t="e">
        <f aca="false">sheet1!atm154</f>
        <v>#NAME?</v>
      </c>
      <c r="I153" s="0" t="e">
        <f aca="false">sheet1!atn154</f>
        <v>#NAME?</v>
      </c>
      <c r="J153" s="0" t="e">
        <f aca="false">sheet1!ato154</f>
        <v>#NAME?</v>
      </c>
      <c r="K153" s="0" t="e">
        <f aca="false">sheet1!atp154</f>
        <v>#NAME?</v>
      </c>
      <c r="L153" s="0" t="e">
        <f aca="false">sheet1!atq154</f>
        <v>#NAME?</v>
      </c>
      <c r="M153" s="0" t="e">
        <f aca="false">sheet1!atr154</f>
        <v>#NAME?</v>
      </c>
    </row>
    <row r="154" customFormat="false" ht="13.5" hidden="false" customHeight="false" outlineLevel="0" collapsed="false">
      <c r="A154" s="0" t="s">
        <v>92</v>
      </c>
      <c r="B154" s="1" t="n">
        <v>44014</v>
      </c>
      <c r="C154" s="0" t="e">
        <f aca="false">sheet1!ath155</f>
        <v>#NAME?</v>
      </c>
      <c r="D154" s="0" t="e">
        <f aca="false">sheet1!ati155</f>
        <v>#NAME?</v>
      </c>
      <c r="E154" s="0" t="e">
        <f aca="false">sheet1!atj155</f>
        <v>#NAME?</v>
      </c>
      <c r="F154" s="0" t="e">
        <f aca="false">sheet1!atk155</f>
        <v>#NAME?</v>
      </c>
      <c r="G154" s="0" t="e">
        <f aca="false">sheet1!atl155</f>
        <v>#NAME?</v>
      </c>
      <c r="H154" s="0" t="e">
        <f aca="false">sheet1!atm155</f>
        <v>#NAME?</v>
      </c>
      <c r="I154" s="0" t="e">
        <f aca="false">sheet1!atn155</f>
        <v>#NAME?</v>
      </c>
      <c r="J154" s="0" t="e">
        <f aca="false">sheet1!ato155</f>
        <v>#NAME?</v>
      </c>
      <c r="K154" s="0" t="e">
        <f aca="false">sheet1!atp155</f>
        <v>#NAME?</v>
      </c>
      <c r="L154" s="0" t="e">
        <f aca="false">sheet1!atq155</f>
        <v>#NAME?</v>
      </c>
      <c r="M154" s="0" t="e">
        <f aca="false">sheet1!atr155</f>
        <v>#NAME?</v>
      </c>
    </row>
    <row r="155" customFormat="false" ht="13.5" hidden="false" customHeight="false" outlineLevel="0" collapsed="false">
      <c r="A155" s="0" t="s">
        <v>92</v>
      </c>
      <c r="B155" s="1" t="n">
        <v>44015</v>
      </c>
      <c r="C155" s="0" t="e">
        <f aca="false">sheet1!ath156</f>
        <v>#NAME?</v>
      </c>
      <c r="D155" s="0" t="e">
        <f aca="false">sheet1!ati156</f>
        <v>#NAME?</v>
      </c>
      <c r="E155" s="0" t="e">
        <f aca="false">sheet1!atj156</f>
        <v>#NAME?</v>
      </c>
      <c r="F155" s="0" t="e">
        <f aca="false">sheet1!atk156</f>
        <v>#NAME?</v>
      </c>
      <c r="G155" s="0" t="e">
        <f aca="false">sheet1!atl156</f>
        <v>#NAME?</v>
      </c>
      <c r="H155" s="0" t="e">
        <f aca="false">sheet1!atm156</f>
        <v>#NAME?</v>
      </c>
      <c r="I155" s="0" t="e">
        <f aca="false">sheet1!atn156</f>
        <v>#NAME?</v>
      </c>
      <c r="J155" s="0" t="e">
        <f aca="false">sheet1!ato156</f>
        <v>#NAME?</v>
      </c>
      <c r="K155" s="0" t="e">
        <f aca="false">sheet1!atp156</f>
        <v>#NAME?</v>
      </c>
      <c r="L155" s="0" t="e">
        <f aca="false">sheet1!atq156</f>
        <v>#NAME?</v>
      </c>
      <c r="M155" s="0" t="e">
        <f aca="false">sheet1!atr156</f>
        <v>#NAME?</v>
      </c>
    </row>
    <row r="156" customFormat="false" ht="13.5" hidden="false" customHeight="false" outlineLevel="0" collapsed="false">
      <c r="A156" s="0" t="s">
        <v>92</v>
      </c>
      <c r="B156" s="1" t="n">
        <v>44016</v>
      </c>
      <c r="C156" s="0" t="e">
        <f aca="false">sheet1!ath157</f>
        <v>#NAME?</v>
      </c>
      <c r="D156" s="0" t="e">
        <f aca="false">sheet1!ati157</f>
        <v>#NAME?</v>
      </c>
      <c r="E156" s="0" t="e">
        <f aca="false">sheet1!atj157</f>
        <v>#NAME?</v>
      </c>
      <c r="F156" s="0" t="e">
        <f aca="false">sheet1!atk157</f>
        <v>#NAME?</v>
      </c>
      <c r="G156" s="0" t="e">
        <f aca="false">sheet1!atl157</f>
        <v>#NAME?</v>
      </c>
      <c r="H156" s="0" t="e">
        <f aca="false">sheet1!atm157</f>
        <v>#NAME?</v>
      </c>
      <c r="I156" s="0" t="e">
        <f aca="false">sheet1!atn157</f>
        <v>#NAME?</v>
      </c>
      <c r="J156" s="0" t="e">
        <f aca="false">sheet1!ato157</f>
        <v>#NAME?</v>
      </c>
      <c r="K156" s="0" t="e">
        <f aca="false">sheet1!atp157</f>
        <v>#NAME?</v>
      </c>
      <c r="L156" s="0" t="e">
        <f aca="false">sheet1!atq157</f>
        <v>#NAME?</v>
      </c>
      <c r="M156" s="0" t="e">
        <f aca="false">sheet1!atr157</f>
        <v>#NAME?</v>
      </c>
    </row>
    <row r="157" customFormat="false" ht="13.5" hidden="false" customHeight="false" outlineLevel="0" collapsed="false">
      <c r="A157" s="0" t="s">
        <v>92</v>
      </c>
      <c r="B157" s="1" t="n">
        <v>44017</v>
      </c>
      <c r="C157" s="0" t="e">
        <f aca="false">sheet1!ath158</f>
        <v>#NAME?</v>
      </c>
      <c r="D157" s="0" t="e">
        <f aca="false">sheet1!ati158</f>
        <v>#NAME?</v>
      </c>
      <c r="E157" s="0" t="e">
        <f aca="false">sheet1!atj158</f>
        <v>#NAME?</v>
      </c>
      <c r="F157" s="0" t="e">
        <f aca="false">sheet1!atk158</f>
        <v>#NAME?</v>
      </c>
      <c r="G157" s="0" t="e">
        <f aca="false">sheet1!atl158</f>
        <v>#NAME?</v>
      </c>
      <c r="H157" s="0" t="e">
        <f aca="false">sheet1!atm158</f>
        <v>#NAME?</v>
      </c>
      <c r="I157" s="0" t="e">
        <f aca="false">sheet1!atn158</f>
        <v>#NAME?</v>
      </c>
      <c r="J157" s="0" t="e">
        <f aca="false">sheet1!ato158</f>
        <v>#NAME?</v>
      </c>
      <c r="K157" s="0" t="e">
        <f aca="false">sheet1!atp158</f>
        <v>#NAME?</v>
      </c>
      <c r="L157" s="0" t="e">
        <f aca="false">sheet1!atq158</f>
        <v>#NAME?</v>
      </c>
      <c r="M157" s="0" t="e">
        <f aca="false">sheet1!atr158</f>
        <v>#NAME?</v>
      </c>
    </row>
    <row r="158" customFormat="false" ht="13.5" hidden="false" customHeight="false" outlineLevel="0" collapsed="false">
      <c r="A158" s="0" t="s">
        <v>92</v>
      </c>
      <c r="B158" s="1" t="n">
        <v>44018</v>
      </c>
      <c r="C158" s="0" t="e">
        <f aca="false">sheet1!ath159</f>
        <v>#NAME?</v>
      </c>
      <c r="D158" s="0" t="e">
        <f aca="false">sheet1!ati159</f>
        <v>#NAME?</v>
      </c>
      <c r="E158" s="0" t="e">
        <f aca="false">sheet1!atj159</f>
        <v>#NAME?</v>
      </c>
      <c r="F158" s="0" t="e">
        <f aca="false">sheet1!atk159</f>
        <v>#NAME?</v>
      </c>
      <c r="G158" s="0" t="e">
        <f aca="false">sheet1!atl159</f>
        <v>#NAME?</v>
      </c>
      <c r="H158" s="0" t="e">
        <f aca="false">sheet1!atm159</f>
        <v>#NAME?</v>
      </c>
      <c r="I158" s="0" t="e">
        <f aca="false">sheet1!atn159</f>
        <v>#NAME?</v>
      </c>
      <c r="J158" s="0" t="e">
        <f aca="false">sheet1!ato159</f>
        <v>#NAME?</v>
      </c>
      <c r="K158" s="0" t="e">
        <f aca="false">sheet1!atp159</f>
        <v>#NAME?</v>
      </c>
      <c r="L158" s="0" t="e">
        <f aca="false">sheet1!atq159</f>
        <v>#NAME?</v>
      </c>
      <c r="M158" s="0" t="e">
        <f aca="false">sheet1!atr159</f>
        <v>#NAME?</v>
      </c>
    </row>
    <row r="159" customFormat="false" ht="13.5" hidden="false" customHeight="false" outlineLevel="0" collapsed="false">
      <c r="A159" s="0" t="s">
        <v>92</v>
      </c>
      <c r="B159" s="1" t="n">
        <v>44019</v>
      </c>
      <c r="C159" s="0" t="e">
        <f aca="false">sheet1!ath160</f>
        <v>#NAME?</v>
      </c>
      <c r="D159" s="0" t="e">
        <f aca="false">sheet1!ati160</f>
        <v>#NAME?</v>
      </c>
      <c r="E159" s="0" t="e">
        <f aca="false">sheet1!atj160</f>
        <v>#NAME?</v>
      </c>
      <c r="F159" s="0" t="e">
        <f aca="false">sheet1!atk160</f>
        <v>#NAME?</v>
      </c>
      <c r="G159" s="0" t="e">
        <f aca="false">sheet1!atl160</f>
        <v>#NAME?</v>
      </c>
      <c r="H159" s="0" t="e">
        <f aca="false">sheet1!atm160</f>
        <v>#NAME?</v>
      </c>
      <c r="I159" s="0" t="e">
        <f aca="false">sheet1!atn160</f>
        <v>#NAME?</v>
      </c>
      <c r="J159" s="0" t="e">
        <f aca="false">sheet1!ato160</f>
        <v>#NAME?</v>
      </c>
      <c r="K159" s="0" t="e">
        <f aca="false">sheet1!atp160</f>
        <v>#NAME?</v>
      </c>
      <c r="L159" s="0" t="e">
        <f aca="false">sheet1!atq160</f>
        <v>#NAME?</v>
      </c>
      <c r="M159" s="0" t="e">
        <f aca="false">sheet1!atr160</f>
        <v>#NAME?</v>
      </c>
    </row>
    <row r="160" customFormat="false" ht="13.5" hidden="false" customHeight="false" outlineLevel="0" collapsed="false">
      <c r="A160" s="0" t="s">
        <v>92</v>
      </c>
      <c r="B160" s="1" t="n">
        <v>44020</v>
      </c>
      <c r="C160" s="0" t="e">
        <f aca="false">sheet1!ath161</f>
        <v>#NAME?</v>
      </c>
      <c r="D160" s="0" t="e">
        <f aca="false">sheet1!ati161</f>
        <v>#NAME?</v>
      </c>
      <c r="E160" s="0" t="e">
        <f aca="false">sheet1!atj161</f>
        <v>#NAME?</v>
      </c>
      <c r="F160" s="0" t="e">
        <f aca="false">sheet1!atk161</f>
        <v>#NAME?</v>
      </c>
      <c r="G160" s="0" t="e">
        <f aca="false">sheet1!atl161</f>
        <v>#NAME?</v>
      </c>
      <c r="H160" s="0" t="e">
        <f aca="false">sheet1!atm161</f>
        <v>#NAME?</v>
      </c>
      <c r="I160" s="0" t="e">
        <f aca="false">sheet1!atn161</f>
        <v>#NAME?</v>
      </c>
      <c r="J160" s="0" t="e">
        <f aca="false">sheet1!ato161</f>
        <v>#NAME?</v>
      </c>
      <c r="K160" s="0" t="e">
        <f aca="false">sheet1!atp161</f>
        <v>#NAME?</v>
      </c>
      <c r="L160" s="0" t="e">
        <f aca="false">sheet1!atq161</f>
        <v>#NAME?</v>
      </c>
      <c r="M160" s="0" t="e">
        <f aca="false">sheet1!atr161</f>
        <v>#NAME?</v>
      </c>
    </row>
    <row r="161" customFormat="false" ht="13.5" hidden="false" customHeight="false" outlineLevel="0" collapsed="false">
      <c r="A161" s="0" t="s">
        <v>92</v>
      </c>
      <c r="B161" s="1" t="n">
        <v>44021</v>
      </c>
      <c r="C161" s="0" t="e">
        <f aca="false">sheet1!ath162</f>
        <v>#NAME?</v>
      </c>
      <c r="D161" s="0" t="e">
        <f aca="false">sheet1!ati162</f>
        <v>#NAME?</v>
      </c>
      <c r="E161" s="0" t="e">
        <f aca="false">sheet1!atj162</f>
        <v>#NAME?</v>
      </c>
      <c r="F161" s="0" t="e">
        <f aca="false">sheet1!atk162</f>
        <v>#NAME?</v>
      </c>
      <c r="G161" s="0" t="e">
        <f aca="false">sheet1!atl162</f>
        <v>#NAME?</v>
      </c>
      <c r="H161" s="0" t="e">
        <f aca="false">sheet1!atm162</f>
        <v>#NAME?</v>
      </c>
      <c r="I161" s="0" t="e">
        <f aca="false">sheet1!atn162</f>
        <v>#NAME?</v>
      </c>
      <c r="J161" s="0" t="e">
        <f aca="false">sheet1!ato162</f>
        <v>#NAME?</v>
      </c>
      <c r="K161" s="0" t="e">
        <f aca="false">sheet1!atp162</f>
        <v>#NAME?</v>
      </c>
      <c r="L161" s="0" t="e">
        <f aca="false">sheet1!atq162</f>
        <v>#NAME?</v>
      </c>
      <c r="M161" s="0" t="e">
        <f aca="false">sheet1!atr162</f>
        <v>#NAME?</v>
      </c>
    </row>
    <row r="162" customFormat="false" ht="13.5" hidden="false" customHeight="false" outlineLevel="0" collapsed="false">
      <c r="A162" s="0" t="s">
        <v>92</v>
      </c>
      <c r="B162" s="1" t="n">
        <v>44022</v>
      </c>
      <c r="C162" s="0" t="e">
        <f aca="false">sheet1!ath163</f>
        <v>#NAME?</v>
      </c>
      <c r="D162" s="0" t="e">
        <f aca="false">sheet1!ati163</f>
        <v>#NAME?</v>
      </c>
      <c r="E162" s="0" t="e">
        <f aca="false">sheet1!atj163</f>
        <v>#NAME?</v>
      </c>
      <c r="F162" s="0" t="e">
        <f aca="false">sheet1!atk163</f>
        <v>#NAME?</v>
      </c>
      <c r="G162" s="0" t="e">
        <f aca="false">sheet1!atl163</f>
        <v>#NAME?</v>
      </c>
      <c r="H162" s="0" t="e">
        <f aca="false">sheet1!atm163</f>
        <v>#NAME?</v>
      </c>
      <c r="I162" s="0" t="e">
        <f aca="false">sheet1!atn163</f>
        <v>#NAME?</v>
      </c>
      <c r="J162" s="0" t="e">
        <f aca="false">sheet1!ato163</f>
        <v>#NAME?</v>
      </c>
      <c r="K162" s="0" t="e">
        <f aca="false">sheet1!atp163</f>
        <v>#NAME?</v>
      </c>
      <c r="L162" s="0" t="e">
        <f aca="false">sheet1!atq163</f>
        <v>#NAME?</v>
      </c>
      <c r="M162" s="0" t="e">
        <f aca="false">sheet1!atr163</f>
        <v>#NAME?</v>
      </c>
    </row>
    <row r="163" customFormat="false" ht="13.5" hidden="false" customHeight="false" outlineLevel="0" collapsed="false">
      <c r="A163" s="0" t="s">
        <v>92</v>
      </c>
      <c r="B163" s="1" t="n">
        <v>44023</v>
      </c>
      <c r="C163" s="0" t="e">
        <f aca="false">sheet1!ath164</f>
        <v>#NAME?</v>
      </c>
      <c r="D163" s="0" t="e">
        <f aca="false">sheet1!ati164</f>
        <v>#NAME?</v>
      </c>
      <c r="E163" s="0" t="e">
        <f aca="false">sheet1!atj164</f>
        <v>#NAME?</v>
      </c>
      <c r="F163" s="0" t="e">
        <f aca="false">sheet1!atk164</f>
        <v>#NAME?</v>
      </c>
      <c r="G163" s="0" t="e">
        <f aca="false">sheet1!atl164</f>
        <v>#NAME?</v>
      </c>
      <c r="H163" s="0" t="e">
        <f aca="false">sheet1!atm164</f>
        <v>#NAME?</v>
      </c>
      <c r="I163" s="0" t="e">
        <f aca="false">sheet1!atn164</f>
        <v>#NAME?</v>
      </c>
      <c r="J163" s="0" t="e">
        <f aca="false">sheet1!ato164</f>
        <v>#NAME?</v>
      </c>
      <c r="K163" s="0" t="e">
        <f aca="false">sheet1!atp164</f>
        <v>#NAME?</v>
      </c>
      <c r="L163" s="0" t="e">
        <f aca="false">sheet1!atq164</f>
        <v>#NAME?</v>
      </c>
      <c r="M163" s="0" t="e">
        <f aca="false">sheet1!atr164</f>
        <v>#NAME?</v>
      </c>
    </row>
    <row r="164" customFormat="false" ht="13.5" hidden="false" customHeight="false" outlineLevel="0" collapsed="false">
      <c r="A164" s="0" t="s">
        <v>92</v>
      </c>
      <c r="B164" s="1" t="n">
        <v>44024</v>
      </c>
      <c r="C164" s="0" t="e">
        <f aca="false">sheet1!ath165</f>
        <v>#NAME?</v>
      </c>
      <c r="D164" s="0" t="e">
        <f aca="false">sheet1!ati165</f>
        <v>#NAME?</v>
      </c>
      <c r="E164" s="0" t="e">
        <f aca="false">sheet1!atj165</f>
        <v>#NAME?</v>
      </c>
      <c r="F164" s="0" t="e">
        <f aca="false">sheet1!atk165</f>
        <v>#NAME?</v>
      </c>
      <c r="G164" s="0" t="e">
        <f aca="false">sheet1!atl165</f>
        <v>#NAME?</v>
      </c>
      <c r="H164" s="0" t="e">
        <f aca="false">sheet1!atm165</f>
        <v>#NAME?</v>
      </c>
      <c r="I164" s="0" t="e">
        <f aca="false">sheet1!atn165</f>
        <v>#NAME?</v>
      </c>
      <c r="J164" s="0" t="e">
        <f aca="false">sheet1!ato165</f>
        <v>#NAME?</v>
      </c>
      <c r="K164" s="0" t="e">
        <f aca="false">sheet1!atp165</f>
        <v>#NAME?</v>
      </c>
      <c r="L164" s="0" t="e">
        <f aca="false">sheet1!atq165</f>
        <v>#NAME?</v>
      </c>
      <c r="M164" s="0" t="e">
        <f aca="false">sheet1!atr165</f>
        <v>#NAME?</v>
      </c>
    </row>
    <row r="165" customFormat="false" ht="13.5" hidden="false" customHeight="false" outlineLevel="0" collapsed="false">
      <c r="A165" s="0" t="s">
        <v>92</v>
      </c>
      <c r="B165" s="1" t="n">
        <v>44025</v>
      </c>
      <c r="C165" s="0" t="e">
        <f aca="false">sheet1!ath166</f>
        <v>#NAME?</v>
      </c>
      <c r="D165" s="0" t="e">
        <f aca="false">sheet1!ati166</f>
        <v>#NAME?</v>
      </c>
      <c r="E165" s="0" t="e">
        <f aca="false">sheet1!atj166</f>
        <v>#NAME?</v>
      </c>
      <c r="F165" s="0" t="e">
        <f aca="false">sheet1!atk166</f>
        <v>#NAME?</v>
      </c>
      <c r="G165" s="0" t="e">
        <f aca="false">sheet1!atl166</f>
        <v>#NAME?</v>
      </c>
      <c r="H165" s="0" t="e">
        <f aca="false">sheet1!atm166</f>
        <v>#NAME?</v>
      </c>
      <c r="I165" s="0" t="e">
        <f aca="false">sheet1!atn166</f>
        <v>#NAME?</v>
      </c>
      <c r="J165" s="0" t="e">
        <f aca="false">sheet1!ato166</f>
        <v>#NAME?</v>
      </c>
      <c r="K165" s="0" t="e">
        <f aca="false">sheet1!atp166</f>
        <v>#NAME?</v>
      </c>
      <c r="L165" s="0" t="e">
        <f aca="false">sheet1!atq166</f>
        <v>#NAME?</v>
      </c>
      <c r="M165" s="0" t="e">
        <f aca="false">sheet1!atr166</f>
        <v>#NAME?</v>
      </c>
    </row>
    <row r="166" customFormat="false" ht="13.5" hidden="false" customHeight="false" outlineLevel="0" collapsed="false">
      <c r="A166" s="0" t="s">
        <v>92</v>
      </c>
      <c r="B166" s="1" t="n">
        <v>44026</v>
      </c>
      <c r="C166" s="0" t="e">
        <f aca="false">sheet1!ath167</f>
        <v>#NAME?</v>
      </c>
      <c r="D166" s="0" t="e">
        <f aca="false">sheet1!ati167</f>
        <v>#NAME?</v>
      </c>
      <c r="E166" s="0" t="e">
        <f aca="false">sheet1!atj167</f>
        <v>#NAME?</v>
      </c>
      <c r="F166" s="0" t="e">
        <f aca="false">sheet1!atk167</f>
        <v>#NAME?</v>
      </c>
      <c r="G166" s="0" t="e">
        <f aca="false">sheet1!atl167</f>
        <v>#NAME?</v>
      </c>
      <c r="H166" s="0" t="e">
        <f aca="false">sheet1!atm167</f>
        <v>#NAME?</v>
      </c>
      <c r="I166" s="0" t="e">
        <f aca="false">sheet1!atn167</f>
        <v>#NAME?</v>
      </c>
      <c r="J166" s="0" t="e">
        <f aca="false">sheet1!ato167</f>
        <v>#NAME?</v>
      </c>
      <c r="K166" s="0" t="e">
        <f aca="false">sheet1!atp167</f>
        <v>#NAME?</v>
      </c>
      <c r="L166" s="0" t="e">
        <f aca="false">sheet1!atq167</f>
        <v>#NAME?</v>
      </c>
      <c r="M166" s="0" t="e">
        <f aca="false">sheet1!atr167</f>
        <v>#NAME?</v>
      </c>
    </row>
    <row r="167" customFormat="false" ht="13.5" hidden="false" customHeight="false" outlineLevel="0" collapsed="false">
      <c r="A167" s="0" t="s">
        <v>92</v>
      </c>
      <c r="B167" s="1" t="n">
        <v>44027</v>
      </c>
      <c r="C167" s="0" t="e">
        <f aca="false">sheet1!ath168</f>
        <v>#NAME?</v>
      </c>
      <c r="D167" s="0" t="e">
        <f aca="false">sheet1!ati168</f>
        <v>#NAME?</v>
      </c>
      <c r="E167" s="0" t="e">
        <f aca="false">sheet1!atj168</f>
        <v>#NAME?</v>
      </c>
      <c r="F167" s="0" t="e">
        <f aca="false">sheet1!atk168</f>
        <v>#NAME?</v>
      </c>
      <c r="G167" s="0" t="e">
        <f aca="false">sheet1!atl168</f>
        <v>#NAME?</v>
      </c>
      <c r="H167" s="0" t="e">
        <f aca="false">sheet1!atm168</f>
        <v>#NAME?</v>
      </c>
      <c r="I167" s="0" t="e">
        <f aca="false">sheet1!atn168</f>
        <v>#NAME?</v>
      </c>
      <c r="J167" s="0" t="e">
        <f aca="false">sheet1!ato168</f>
        <v>#NAME?</v>
      </c>
      <c r="K167" s="0" t="e">
        <f aca="false">sheet1!atp168</f>
        <v>#NAME?</v>
      </c>
      <c r="L167" s="0" t="e">
        <f aca="false">sheet1!atq168</f>
        <v>#NAME?</v>
      </c>
      <c r="M167" s="0" t="e">
        <f aca="false">sheet1!atr168</f>
        <v>#NAME?</v>
      </c>
    </row>
    <row r="168" customFormat="false" ht="13.5" hidden="false" customHeight="false" outlineLevel="0" collapsed="false">
      <c r="A168" s="0" t="s">
        <v>92</v>
      </c>
      <c r="B168" s="1" t="n">
        <v>44028</v>
      </c>
      <c r="C168" s="0" t="e">
        <f aca="false">sheet1!ath169</f>
        <v>#NAME?</v>
      </c>
      <c r="D168" s="0" t="e">
        <f aca="false">sheet1!ati169</f>
        <v>#NAME?</v>
      </c>
      <c r="E168" s="0" t="e">
        <f aca="false">sheet1!atj169</f>
        <v>#NAME?</v>
      </c>
      <c r="F168" s="0" t="e">
        <f aca="false">sheet1!atk169</f>
        <v>#NAME?</v>
      </c>
      <c r="G168" s="0" t="e">
        <f aca="false">sheet1!atl169</f>
        <v>#NAME?</v>
      </c>
      <c r="H168" s="0" t="e">
        <f aca="false">sheet1!atm169</f>
        <v>#NAME?</v>
      </c>
      <c r="I168" s="0" t="e">
        <f aca="false">sheet1!atn169</f>
        <v>#NAME?</v>
      </c>
      <c r="J168" s="0" t="e">
        <f aca="false">sheet1!ato169</f>
        <v>#NAME?</v>
      </c>
      <c r="K168" s="0" t="e">
        <f aca="false">sheet1!atp169</f>
        <v>#NAME?</v>
      </c>
      <c r="L168" s="0" t="e">
        <f aca="false">sheet1!atq169</f>
        <v>#NAME?</v>
      </c>
      <c r="M168" s="0" t="e">
        <f aca="false">sheet1!atr169</f>
        <v>#NAME?</v>
      </c>
    </row>
    <row r="169" customFormat="false" ht="13.5" hidden="false" customHeight="false" outlineLevel="0" collapsed="false">
      <c r="A169" s="0" t="s">
        <v>92</v>
      </c>
      <c r="B169" s="1" t="n">
        <v>44029</v>
      </c>
      <c r="C169" s="0" t="e">
        <f aca="false">sheet1!ath170</f>
        <v>#NAME?</v>
      </c>
      <c r="D169" s="0" t="e">
        <f aca="false">sheet1!ati170</f>
        <v>#NAME?</v>
      </c>
      <c r="E169" s="0" t="e">
        <f aca="false">sheet1!atj170</f>
        <v>#NAME?</v>
      </c>
      <c r="F169" s="0" t="e">
        <f aca="false">sheet1!atk170</f>
        <v>#NAME?</v>
      </c>
      <c r="G169" s="0" t="e">
        <f aca="false">sheet1!atl170</f>
        <v>#NAME?</v>
      </c>
      <c r="H169" s="0" t="e">
        <f aca="false">sheet1!atm170</f>
        <v>#NAME?</v>
      </c>
      <c r="I169" s="0" t="e">
        <f aca="false">sheet1!atn170</f>
        <v>#NAME?</v>
      </c>
      <c r="J169" s="0" t="e">
        <f aca="false">sheet1!ato170</f>
        <v>#NAME?</v>
      </c>
      <c r="K169" s="0" t="e">
        <f aca="false">sheet1!atp170</f>
        <v>#NAME?</v>
      </c>
      <c r="L169" s="0" t="e">
        <f aca="false">sheet1!atq170</f>
        <v>#NAME?</v>
      </c>
      <c r="M169" s="0" t="e">
        <f aca="false">sheet1!atr170</f>
        <v>#NAME?</v>
      </c>
    </row>
    <row r="170" customFormat="false" ht="13.5" hidden="false" customHeight="false" outlineLevel="0" collapsed="false">
      <c r="A170" s="0" t="s">
        <v>92</v>
      </c>
      <c r="B170" s="1" t="n">
        <v>44030</v>
      </c>
      <c r="C170" s="0" t="e">
        <f aca="false">sheet1!ath171</f>
        <v>#NAME?</v>
      </c>
      <c r="D170" s="0" t="e">
        <f aca="false">sheet1!ati171</f>
        <v>#NAME?</v>
      </c>
      <c r="E170" s="0" t="e">
        <f aca="false">sheet1!atj171</f>
        <v>#NAME?</v>
      </c>
      <c r="F170" s="0" t="e">
        <f aca="false">sheet1!atk171</f>
        <v>#NAME?</v>
      </c>
      <c r="G170" s="0" t="e">
        <f aca="false">sheet1!atl171</f>
        <v>#NAME?</v>
      </c>
      <c r="H170" s="0" t="e">
        <f aca="false">sheet1!atm171</f>
        <v>#NAME?</v>
      </c>
      <c r="I170" s="0" t="e">
        <f aca="false">sheet1!atn171</f>
        <v>#NAME?</v>
      </c>
      <c r="J170" s="0" t="e">
        <f aca="false">sheet1!ato171</f>
        <v>#NAME?</v>
      </c>
      <c r="K170" s="0" t="e">
        <f aca="false">sheet1!atp171</f>
        <v>#NAME?</v>
      </c>
      <c r="L170" s="0" t="e">
        <f aca="false">sheet1!atq171</f>
        <v>#NAME?</v>
      </c>
      <c r="M170" s="0" t="e">
        <f aca="false">sheet1!atr171</f>
        <v>#NAME?</v>
      </c>
    </row>
    <row r="171" customFormat="false" ht="13.5" hidden="false" customHeight="false" outlineLevel="0" collapsed="false">
      <c r="A171" s="0" t="s">
        <v>92</v>
      </c>
      <c r="B171" s="1" t="n">
        <v>44031</v>
      </c>
      <c r="C171" s="0" t="e">
        <f aca="false">sheet1!ath172</f>
        <v>#NAME?</v>
      </c>
      <c r="D171" s="0" t="e">
        <f aca="false">sheet1!ati172</f>
        <v>#NAME?</v>
      </c>
      <c r="E171" s="0" t="e">
        <f aca="false">sheet1!atj172</f>
        <v>#NAME?</v>
      </c>
      <c r="F171" s="0" t="e">
        <f aca="false">sheet1!atk172</f>
        <v>#NAME?</v>
      </c>
      <c r="G171" s="0" t="e">
        <f aca="false">sheet1!atl172</f>
        <v>#NAME?</v>
      </c>
      <c r="H171" s="0" t="e">
        <f aca="false">sheet1!atm172</f>
        <v>#NAME?</v>
      </c>
      <c r="I171" s="0" t="e">
        <f aca="false">sheet1!atn172</f>
        <v>#NAME?</v>
      </c>
      <c r="J171" s="0" t="e">
        <f aca="false">sheet1!ato172</f>
        <v>#NAME?</v>
      </c>
      <c r="K171" s="0" t="e">
        <f aca="false">sheet1!atp172</f>
        <v>#NAME?</v>
      </c>
      <c r="L171" s="0" t="e">
        <f aca="false">sheet1!atq172</f>
        <v>#NAME?</v>
      </c>
      <c r="M171" s="0" t="e">
        <f aca="false">sheet1!atr172</f>
        <v>#NAME?</v>
      </c>
    </row>
    <row r="172" customFormat="false" ht="13.5" hidden="false" customHeight="false" outlineLevel="0" collapsed="false">
      <c r="A172" s="0" t="s">
        <v>92</v>
      </c>
      <c r="B172" s="1" t="n">
        <v>44032</v>
      </c>
      <c r="C172" s="0" t="e">
        <f aca="false">sheet1!ath173</f>
        <v>#NAME?</v>
      </c>
      <c r="D172" s="0" t="e">
        <f aca="false">sheet1!ati173</f>
        <v>#NAME?</v>
      </c>
      <c r="E172" s="0" t="e">
        <f aca="false">sheet1!atj173</f>
        <v>#NAME?</v>
      </c>
      <c r="F172" s="0" t="e">
        <f aca="false">sheet1!atk173</f>
        <v>#NAME?</v>
      </c>
      <c r="G172" s="0" t="e">
        <f aca="false">sheet1!atl173</f>
        <v>#NAME?</v>
      </c>
      <c r="H172" s="0" t="e">
        <f aca="false">sheet1!atm173</f>
        <v>#NAME?</v>
      </c>
      <c r="I172" s="0" t="e">
        <f aca="false">sheet1!atn173</f>
        <v>#NAME?</v>
      </c>
      <c r="J172" s="0" t="e">
        <f aca="false">sheet1!ato173</f>
        <v>#NAME?</v>
      </c>
      <c r="K172" s="0" t="e">
        <f aca="false">sheet1!atp173</f>
        <v>#NAME?</v>
      </c>
      <c r="L172" s="0" t="e">
        <f aca="false">sheet1!atq173</f>
        <v>#NAME?</v>
      </c>
      <c r="M172" s="0" t="e">
        <f aca="false">sheet1!atr173</f>
        <v>#NAME?</v>
      </c>
    </row>
    <row r="173" customFormat="false" ht="13.5" hidden="false" customHeight="false" outlineLevel="0" collapsed="false">
      <c r="A173" s="0" t="s">
        <v>92</v>
      </c>
      <c r="B173" s="1" t="n">
        <v>44033</v>
      </c>
      <c r="C173" s="0" t="e">
        <f aca="false">sheet1!ath174</f>
        <v>#NAME?</v>
      </c>
      <c r="D173" s="0" t="e">
        <f aca="false">sheet1!ati174</f>
        <v>#NAME?</v>
      </c>
      <c r="E173" s="0" t="e">
        <f aca="false">sheet1!atj174</f>
        <v>#NAME?</v>
      </c>
      <c r="F173" s="0" t="e">
        <f aca="false">sheet1!atk174</f>
        <v>#NAME?</v>
      </c>
      <c r="G173" s="0" t="e">
        <f aca="false">sheet1!atl174</f>
        <v>#NAME?</v>
      </c>
      <c r="H173" s="0" t="e">
        <f aca="false">sheet1!atm174</f>
        <v>#NAME?</v>
      </c>
      <c r="I173" s="0" t="e">
        <f aca="false">sheet1!atn174</f>
        <v>#NAME?</v>
      </c>
      <c r="J173" s="0" t="e">
        <f aca="false">sheet1!ato174</f>
        <v>#NAME?</v>
      </c>
      <c r="K173" s="0" t="e">
        <f aca="false">sheet1!atp174</f>
        <v>#NAME?</v>
      </c>
      <c r="L173" s="0" t="e">
        <f aca="false">sheet1!atq174</f>
        <v>#NAME?</v>
      </c>
      <c r="M173" s="0" t="e">
        <f aca="false">sheet1!atr174</f>
        <v>#NAME?</v>
      </c>
    </row>
    <row r="174" customFormat="false" ht="13.5" hidden="false" customHeight="false" outlineLevel="0" collapsed="false">
      <c r="A174" s="0" t="s">
        <v>92</v>
      </c>
      <c r="B174" s="1" t="n">
        <v>44034</v>
      </c>
      <c r="C174" s="0" t="e">
        <f aca="false">sheet1!ath175</f>
        <v>#NAME?</v>
      </c>
      <c r="D174" s="0" t="e">
        <f aca="false">sheet1!ati175</f>
        <v>#NAME?</v>
      </c>
      <c r="E174" s="0" t="e">
        <f aca="false">sheet1!atj175</f>
        <v>#NAME?</v>
      </c>
      <c r="F174" s="0" t="e">
        <f aca="false">sheet1!atk175</f>
        <v>#NAME?</v>
      </c>
      <c r="G174" s="0" t="e">
        <f aca="false">sheet1!atl175</f>
        <v>#NAME?</v>
      </c>
      <c r="H174" s="0" t="e">
        <f aca="false">sheet1!atm175</f>
        <v>#NAME?</v>
      </c>
      <c r="I174" s="0" t="e">
        <f aca="false">sheet1!atn175</f>
        <v>#NAME?</v>
      </c>
      <c r="J174" s="0" t="e">
        <f aca="false">sheet1!ato175</f>
        <v>#NAME?</v>
      </c>
      <c r="K174" s="0" t="e">
        <f aca="false">sheet1!atp175</f>
        <v>#NAME?</v>
      </c>
      <c r="L174" s="0" t="e">
        <f aca="false">sheet1!atq175</f>
        <v>#NAME?</v>
      </c>
      <c r="M174" s="0" t="e">
        <f aca="false">sheet1!atr175</f>
        <v>#NAME?</v>
      </c>
    </row>
    <row r="175" customFormat="false" ht="13.5" hidden="false" customHeight="false" outlineLevel="0" collapsed="false">
      <c r="A175" s="0" t="s">
        <v>92</v>
      </c>
      <c r="B175" s="1" t="n">
        <v>44035</v>
      </c>
      <c r="C175" s="0" t="e">
        <f aca="false">sheet1!ath176</f>
        <v>#NAME?</v>
      </c>
      <c r="D175" s="0" t="e">
        <f aca="false">sheet1!ati176</f>
        <v>#NAME?</v>
      </c>
      <c r="E175" s="0" t="e">
        <f aca="false">sheet1!atj176</f>
        <v>#NAME?</v>
      </c>
      <c r="F175" s="0" t="e">
        <f aca="false">sheet1!atk176</f>
        <v>#NAME?</v>
      </c>
      <c r="G175" s="0" t="e">
        <f aca="false">sheet1!atl176</f>
        <v>#NAME?</v>
      </c>
      <c r="H175" s="0" t="e">
        <f aca="false">sheet1!atm176</f>
        <v>#NAME?</v>
      </c>
      <c r="I175" s="0" t="e">
        <f aca="false">sheet1!atn176</f>
        <v>#NAME?</v>
      </c>
      <c r="J175" s="0" t="e">
        <f aca="false">sheet1!ato176</f>
        <v>#NAME?</v>
      </c>
      <c r="K175" s="0" t="e">
        <f aca="false">sheet1!atp176</f>
        <v>#NAME?</v>
      </c>
      <c r="L175" s="0" t="e">
        <f aca="false">sheet1!atq176</f>
        <v>#NAME?</v>
      </c>
      <c r="M175" s="0" t="e">
        <f aca="false">sheet1!atr176</f>
        <v>#NAME?</v>
      </c>
    </row>
    <row r="176" customFormat="false" ht="13.5" hidden="false" customHeight="false" outlineLevel="0" collapsed="false">
      <c r="A176" s="0" t="s">
        <v>92</v>
      </c>
      <c r="B176" s="1" t="n">
        <v>44036</v>
      </c>
      <c r="C176" s="0" t="e">
        <f aca="false">sheet1!ath177</f>
        <v>#NAME?</v>
      </c>
      <c r="D176" s="0" t="e">
        <f aca="false">sheet1!ati177</f>
        <v>#NAME?</v>
      </c>
      <c r="E176" s="0" t="e">
        <f aca="false">sheet1!atj177</f>
        <v>#NAME?</v>
      </c>
      <c r="F176" s="0" t="e">
        <f aca="false">sheet1!atk177</f>
        <v>#NAME?</v>
      </c>
      <c r="G176" s="0" t="e">
        <f aca="false">sheet1!atl177</f>
        <v>#NAME?</v>
      </c>
      <c r="H176" s="0" t="e">
        <f aca="false">sheet1!atm177</f>
        <v>#NAME?</v>
      </c>
      <c r="I176" s="0" t="e">
        <f aca="false">sheet1!atn177</f>
        <v>#NAME?</v>
      </c>
      <c r="J176" s="0" t="e">
        <f aca="false">sheet1!ato177</f>
        <v>#NAME?</v>
      </c>
      <c r="K176" s="0" t="e">
        <f aca="false">sheet1!atp177</f>
        <v>#NAME?</v>
      </c>
      <c r="L176" s="0" t="e">
        <f aca="false">sheet1!atq177</f>
        <v>#NAME?</v>
      </c>
      <c r="M176" s="0" t="e">
        <f aca="false">sheet1!atr177</f>
        <v>#NAME?</v>
      </c>
    </row>
    <row r="177" customFormat="false" ht="13.5" hidden="false" customHeight="false" outlineLevel="0" collapsed="false">
      <c r="A177" s="0" t="s">
        <v>92</v>
      </c>
      <c r="B177" s="1" t="n">
        <v>44037</v>
      </c>
      <c r="C177" s="0" t="e">
        <f aca="false">sheet1!ath178</f>
        <v>#NAME?</v>
      </c>
      <c r="D177" s="0" t="e">
        <f aca="false">sheet1!ati178</f>
        <v>#NAME?</v>
      </c>
      <c r="E177" s="0" t="e">
        <f aca="false">sheet1!atj178</f>
        <v>#NAME?</v>
      </c>
      <c r="F177" s="0" t="e">
        <f aca="false">sheet1!atk178</f>
        <v>#NAME?</v>
      </c>
      <c r="G177" s="0" t="e">
        <f aca="false">sheet1!atl178</f>
        <v>#NAME?</v>
      </c>
      <c r="H177" s="0" t="e">
        <f aca="false">sheet1!atm178</f>
        <v>#NAME?</v>
      </c>
      <c r="I177" s="0" t="e">
        <f aca="false">sheet1!atn178</f>
        <v>#NAME?</v>
      </c>
      <c r="J177" s="0" t="e">
        <f aca="false">sheet1!ato178</f>
        <v>#NAME?</v>
      </c>
      <c r="K177" s="0" t="e">
        <f aca="false">sheet1!atp178</f>
        <v>#NAME?</v>
      </c>
      <c r="L177" s="0" t="e">
        <f aca="false">sheet1!atq178</f>
        <v>#NAME?</v>
      </c>
      <c r="M177" s="0" t="e">
        <f aca="false">sheet1!atr178</f>
        <v>#NAME?</v>
      </c>
    </row>
    <row r="178" customFormat="false" ht="13.5" hidden="false" customHeight="false" outlineLevel="0" collapsed="false">
      <c r="A178" s="0" t="s">
        <v>92</v>
      </c>
      <c r="B178" s="1" t="n">
        <v>44038</v>
      </c>
      <c r="C178" s="0" t="e">
        <f aca="false">sheet1!ath179</f>
        <v>#NAME?</v>
      </c>
      <c r="D178" s="0" t="e">
        <f aca="false">sheet1!ati179</f>
        <v>#NAME?</v>
      </c>
      <c r="E178" s="0" t="e">
        <f aca="false">sheet1!atj179</f>
        <v>#NAME?</v>
      </c>
      <c r="F178" s="0" t="e">
        <f aca="false">sheet1!atk179</f>
        <v>#NAME?</v>
      </c>
      <c r="G178" s="0" t="e">
        <f aca="false">sheet1!atl179</f>
        <v>#NAME?</v>
      </c>
      <c r="H178" s="0" t="e">
        <f aca="false">sheet1!atm179</f>
        <v>#NAME?</v>
      </c>
      <c r="I178" s="0" t="e">
        <f aca="false">sheet1!atn179</f>
        <v>#NAME?</v>
      </c>
      <c r="J178" s="0" t="e">
        <f aca="false">sheet1!ato179</f>
        <v>#NAME?</v>
      </c>
      <c r="K178" s="0" t="e">
        <f aca="false">sheet1!atp179</f>
        <v>#NAME?</v>
      </c>
      <c r="L178" s="0" t="e">
        <f aca="false">sheet1!atq179</f>
        <v>#NAME?</v>
      </c>
      <c r="M178" s="0" t="e">
        <f aca="false">sheet1!atr179</f>
        <v>#NAME?</v>
      </c>
    </row>
    <row r="179" customFormat="false" ht="13.5" hidden="false" customHeight="false" outlineLevel="0" collapsed="false">
      <c r="A179" s="0" t="s">
        <v>92</v>
      </c>
      <c r="B179" s="1" t="n">
        <v>44039</v>
      </c>
      <c r="C179" s="0" t="e">
        <f aca="false">sheet1!ath180</f>
        <v>#NAME?</v>
      </c>
      <c r="D179" s="0" t="e">
        <f aca="false">sheet1!ati180</f>
        <v>#NAME?</v>
      </c>
      <c r="E179" s="0" t="e">
        <f aca="false">sheet1!atj180</f>
        <v>#NAME?</v>
      </c>
      <c r="F179" s="0" t="e">
        <f aca="false">sheet1!atk180</f>
        <v>#NAME?</v>
      </c>
      <c r="G179" s="0" t="e">
        <f aca="false">sheet1!atl180</f>
        <v>#NAME?</v>
      </c>
      <c r="H179" s="0" t="e">
        <f aca="false">sheet1!atm180</f>
        <v>#NAME?</v>
      </c>
      <c r="I179" s="0" t="e">
        <f aca="false">sheet1!atn180</f>
        <v>#NAME?</v>
      </c>
      <c r="J179" s="0" t="e">
        <f aca="false">sheet1!ato180</f>
        <v>#NAME?</v>
      </c>
      <c r="K179" s="0" t="e">
        <f aca="false">sheet1!atp180</f>
        <v>#NAME?</v>
      </c>
      <c r="L179" s="0" t="e">
        <f aca="false">sheet1!atq180</f>
        <v>#NAME?</v>
      </c>
      <c r="M179" s="0" t="e">
        <f aca="false">sheet1!atr180</f>
        <v>#NAME?</v>
      </c>
    </row>
    <row r="180" customFormat="false" ht="13.5" hidden="false" customHeight="false" outlineLevel="0" collapsed="false">
      <c r="A180" s="0" t="s">
        <v>92</v>
      </c>
      <c r="B180" s="1" t="n">
        <v>44040</v>
      </c>
      <c r="C180" s="0" t="e">
        <f aca="false">sheet1!ath181</f>
        <v>#NAME?</v>
      </c>
      <c r="D180" s="0" t="e">
        <f aca="false">sheet1!ati181</f>
        <v>#NAME?</v>
      </c>
      <c r="E180" s="0" t="e">
        <f aca="false">sheet1!atj181</f>
        <v>#NAME?</v>
      </c>
      <c r="F180" s="0" t="e">
        <f aca="false">sheet1!atk181</f>
        <v>#NAME?</v>
      </c>
      <c r="G180" s="0" t="e">
        <f aca="false">sheet1!atl181</f>
        <v>#NAME?</v>
      </c>
      <c r="H180" s="0" t="e">
        <f aca="false">sheet1!atm181</f>
        <v>#NAME?</v>
      </c>
      <c r="I180" s="0" t="e">
        <f aca="false">sheet1!atn181</f>
        <v>#NAME?</v>
      </c>
      <c r="J180" s="0" t="e">
        <f aca="false">sheet1!ato181</f>
        <v>#NAME?</v>
      </c>
      <c r="K180" s="0" t="e">
        <f aca="false">sheet1!atp181</f>
        <v>#NAME?</v>
      </c>
      <c r="L180" s="0" t="e">
        <f aca="false">sheet1!atq181</f>
        <v>#NAME?</v>
      </c>
      <c r="M180" s="0" t="e">
        <f aca="false">sheet1!atr181</f>
        <v>#NAME?</v>
      </c>
    </row>
    <row r="181" customFormat="false" ht="13.5" hidden="false" customHeight="false" outlineLevel="0" collapsed="false">
      <c r="A181" s="0" t="s">
        <v>92</v>
      </c>
      <c r="B181" s="1" t="n">
        <v>44041</v>
      </c>
      <c r="C181" s="0" t="e">
        <f aca="false">sheet1!ath182</f>
        <v>#NAME?</v>
      </c>
      <c r="D181" s="0" t="e">
        <f aca="false">sheet1!ati182</f>
        <v>#NAME?</v>
      </c>
      <c r="E181" s="0" t="e">
        <f aca="false">sheet1!atj182</f>
        <v>#NAME?</v>
      </c>
      <c r="F181" s="0" t="e">
        <f aca="false">sheet1!atk182</f>
        <v>#NAME?</v>
      </c>
      <c r="G181" s="0" t="e">
        <f aca="false">sheet1!atl182</f>
        <v>#NAME?</v>
      </c>
      <c r="H181" s="0" t="e">
        <f aca="false">sheet1!atm182</f>
        <v>#NAME?</v>
      </c>
      <c r="I181" s="0" t="e">
        <f aca="false">sheet1!atn182</f>
        <v>#NAME?</v>
      </c>
      <c r="J181" s="0" t="e">
        <f aca="false">sheet1!ato182</f>
        <v>#NAME?</v>
      </c>
      <c r="K181" s="0" t="e">
        <f aca="false">sheet1!atp182</f>
        <v>#NAME?</v>
      </c>
      <c r="L181" s="0" t="e">
        <f aca="false">sheet1!atq182</f>
        <v>#NAME?</v>
      </c>
      <c r="M181" s="0" t="e">
        <f aca="false">sheet1!atr182</f>
        <v>#NAME?</v>
      </c>
    </row>
    <row r="182" customFormat="false" ht="13.5" hidden="false" customHeight="false" outlineLevel="0" collapsed="false">
      <c r="A182" s="0" t="s">
        <v>92</v>
      </c>
      <c r="B182" s="1" t="n">
        <v>44042</v>
      </c>
      <c r="C182" s="0" t="e">
        <f aca="false">sheet1!ath183</f>
        <v>#NAME?</v>
      </c>
      <c r="D182" s="0" t="e">
        <f aca="false">sheet1!ati183</f>
        <v>#NAME?</v>
      </c>
      <c r="E182" s="0" t="e">
        <f aca="false">sheet1!atj183</f>
        <v>#NAME?</v>
      </c>
      <c r="F182" s="0" t="e">
        <f aca="false">sheet1!atk183</f>
        <v>#NAME?</v>
      </c>
      <c r="G182" s="0" t="e">
        <f aca="false">sheet1!atl183</f>
        <v>#NAME?</v>
      </c>
      <c r="H182" s="0" t="e">
        <f aca="false">sheet1!atm183</f>
        <v>#NAME?</v>
      </c>
      <c r="I182" s="0" t="e">
        <f aca="false">sheet1!atn183</f>
        <v>#NAME?</v>
      </c>
      <c r="J182" s="0" t="e">
        <f aca="false">sheet1!ato183</f>
        <v>#NAME?</v>
      </c>
      <c r="K182" s="0" t="e">
        <f aca="false">sheet1!atp183</f>
        <v>#NAME?</v>
      </c>
      <c r="L182" s="0" t="e">
        <f aca="false">sheet1!atq183</f>
        <v>#NAME?</v>
      </c>
      <c r="M182" s="0" t="e">
        <f aca="false">sheet1!atr183</f>
        <v>#NAME?</v>
      </c>
    </row>
    <row r="183" customFormat="false" ht="13.5" hidden="false" customHeight="false" outlineLevel="0" collapsed="false">
      <c r="A183" s="0" t="s">
        <v>92</v>
      </c>
      <c r="B183" s="1" t="n">
        <v>44043</v>
      </c>
      <c r="C183" s="0" t="e">
        <f aca="false">sheet1!ath184</f>
        <v>#NAME?</v>
      </c>
      <c r="D183" s="0" t="e">
        <f aca="false">sheet1!ati184</f>
        <v>#NAME?</v>
      </c>
      <c r="E183" s="0" t="e">
        <f aca="false">sheet1!atj184</f>
        <v>#NAME?</v>
      </c>
      <c r="F183" s="0" t="e">
        <f aca="false">sheet1!atk184</f>
        <v>#NAME?</v>
      </c>
      <c r="G183" s="0" t="e">
        <f aca="false">sheet1!atl184</f>
        <v>#NAME?</v>
      </c>
      <c r="H183" s="0" t="e">
        <f aca="false">sheet1!atm184</f>
        <v>#NAME?</v>
      </c>
      <c r="I183" s="0" t="e">
        <f aca="false">sheet1!atn184</f>
        <v>#NAME?</v>
      </c>
      <c r="J183" s="0" t="e">
        <f aca="false">sheet1!ato184</f>
        <v>#NAME?</v>
      </c>
      <c r="K183" s="0" t="e">
        <f aca="false">sheet1!atp184</f>
        <v>#NAME?</v>
      </c>
      <c r="L183" s="0" t="e">
        <f aca="false">sheet1!atq184</f>
        <v>#NAME?</v>
      </c>
      <c r="M183" s="0" t="e">
        <f aca="false">sheet1!atr184</f>
        <v>#NAME?</v>
      </c>
    </row>
    <row r="184" customFormat="false" ht="13.5" hidden="false" customHeight="false" outlineLevel="0" collapsed="false">
      <c r="A184" s="0" t="s">
        <v>92</v>
      </c>
      <c r="B184" s="1" t="n">
        <v>44044</v>
      </c>
      <c r="C184" s="0" t="e">
        <f aca="false">sheet1!ath185</f>
        <v>#NAME?</v>
      </c>
      <c r="D184" s="0" t="e">
        <f aca="false">sheet1!ati185</f>
        <v>#NAME?</v>
      </c>
      <c r="E184" s="0" t="e">
        <f aca="false">sheet1!atj185</f>
        <v>#NAME?</v>
      </c>
      <c r="F184" s="0" t="e">
        <f aca="false">sheet1!atk185</f>
        <v>#NAME?</v>
      </c>
      <c r="G184" s="0" t="e">
        <f aca="false">sheet1!atl185</f>
        <v>#NAME?</v>
      </c>
      <c r="H184" s="0" t="e">
        <f aca="false">sheet1!atm185</f>
        <v>#NAME?</v>
      </c>
      <c r="I184" s="0" t="e">
        <f aca="false">sheet1!atn185</f>
        <v>#NAME?</v>
      </c>
      <c r="J184" s="0" t="e">
        <f aca="false">sheet1!ato185</f>
        <v>#NAME?</v>
      </c>
      <c r="K184" s="0" t="e">
        <f aca="false">sheet1!atp185</f>
        <v>#NAME?</v>
      </c>
      <c r="L184" s="0" t="e">
        <f aca="false">sheet1!atq185</f>
        <v>#NAME?</v>
      </c>
      <c r="M184" s="0" t="e">
        <f aca="false">sheet1!atr185</f>
        <v>#NAME?</v>
      </c>
    </row>
    <row r="185" customFormat="false" ht="13.5" hidden="false" customHeight="false" outlineLevel="0" collapsed="false">
      <c r="A185" s="0" t="s">
        <v>92</v>
      </c>
      <c r="B185" s="1" t="n">
        <v>44045</v>
      </c>
      <c r="C185" s="0" t="e">
        <f aca="false">sheet1!ath186</f>
        <v>#NAME?</v>
      </c>
      <c r="D185" s="0" t="e">
        <f aca="false">sheet1!ati186</f>
        <v>#NAME?</v>
      </c>
      <c r="E185" s="0" t="e">
        <f aca="false">sheet1!atj186</f>
        <v>#NAME?</v>
      </c>
      <c r="F185" s="0" t="e">
        <f aca="false">sheet1!atk186</f>
        <v>#NAME?</v>
      </c>
      <c r="G185" s="0" t="e">
        <f aca="false">sheet1!atl186</f>
        <v>#NAME?</v>
      </c>
      <c r="H185" s="0" t="e">
        <f aca="false">sheet1!atm186</f>
        <v>#NAME?</v>
      </c>
      <c r="I185" s="0" t="e">
        <f aca="false">sheet1!atn186</f>
        <v>#NAME?</v>
      </c>
      <c r="J185" s="0" t="e">
        <f aca="false">sheet1!ato186</f>
        <v>#NAME?</v>
      </c>
      <c r="K185" s="0" t="e">
        <f aca="false">sheet1!atp186</f>
        <v>#NAME?</v>
      </c>
      <c r="L185" s="0" t="e">
        <f aca="false">sheet1!atq186</f>
        <v>#NAME?</v>
      </c>
      <c r="M185" s="0" t="e">
        <f aca="false">sheet1!atr186</f>
        <v>#NAME?</v>
      </c>
    </row>
    <row r="186" customFormat="false" ht="13.5" hidden="false" customHeight="false" outlineLevel="0" collapsed="false">
      <c r="A186" s="0" t="s">
        <v>92</v>
      </c>
      <c r="B186" s="1" t="n">
        <v>44046</v>
      </c>
      <c r="C186" s="0" t="e">
        <f aca="false">sheet1!ath187</f>
        <v>#NAME?</v>
      </c>
      <c r="D186" s="0" t="e">
        <f aca="false">sheet1!ati187</f>
        <v>#NAME?</v>
      </c>
      <c r="E186" s="0" t="e">
        <f aca="false">sheet1!atj187</f>
        <v>#NAME?</v>
      </c>
      <c r="F186" s="0" t="e">
        <f aca="false">sheet1!atk187</f>
        <v>#NAME?</v>
      </c>
      <c r="G186" s="0" t="e">
        <f aca="false">sheet1!atl187</f>
        <v>#NAME?</v>
      </c>
      <c r="H186" s="0" t="e">
        <f aca="false">sheet1!atm187</f>
        <v>#NAME?</v>
      </c>
      <c r="I186" s="0" t="e">
        <f aca="false">sheet1!atn187</f>
        <v>#NAME?</v>
      </c>
      <c r="J186" s="0" t="e">
        <f aca="false">sheet1!ato187</f>
        <v>#NAME?</v>
      </c>
      <c r="K186" s="0" t="e">
        <f aca="false">sheet1!atp187</f>
        <v>#NAME?</v>
      </c>
      <c r="L186" s="0" t="e">
        <f aca="false">sheet1!atq187</f>
        <v>#NAME?</v>
      </c>
      <c r="M186" s="0" t="e">
        <f aca="false">sheet1!atr187</f>
        <v>#NAME?</v>
      </c>
    </row>
    <row r="187" customFormat="false" ht="13.5" hidden="false" customHeight="false" outlineLevel="0" collapsed="false">
      <c r="A187" s="0" t="s">
        <v>92</v>
      </c>
      <c r="B187" s="1" t="n">
        <v>44047</v>
      </c>
      <c r="C187" s="0" t="e">
        <f aca="false">sheet1!ath188</f>
        <v>#NAME?</v>
      </c>
      <c r="D187" s="0" t="e">
        <f aca="false">sheet1!ati188</f>
        <v>#NAME?</v>
      </c>
      <c r="E187" s="0" t="e">
        <f aca="false">sheet1!atj188</f>
        <v>#NAME?</v>
      </c>
      <c r="F187" s="0" t="e">
        <f aca="false">sheet1!atk188</f>
        <v>#NAME?</v>
      </c>
      <c r="G187" s="0" t="e">
        <f aca="false">sheet1!atl188</f>
        <v>#NAME?</v>
      </c>
      <c r="H187" s="0" t="e">
        <f aca="false">sheet1!atm188</f>
        <v>#NAME?</v>
      </c>
      <c r="I187" s="0" t="e">
        <f aca="false">sheet1!atn188</f>
        <v>#NAME?</v>
      </c>
      <c r="J187" s="0" t="e">
        <f aca="false">sheet1!ato188</f>
        <v>#NAME?</v>
      </c>
      <c r="K187" s="0" t="e">
        <f aca="false">sheet1!atp188</f>
        <v>#NAME?</v>
      </c>
      <c r="L187" s="0" t="e">
        <f aca="false">sheet1!atq188</f>
        <v>#NAME?</v>
      </c>
      <c r="M187" s="0" t="e">
        <f aca="false">sheet1!atr188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93</v>
      </c>
      <c r="B2" s="1" t="n">
        <v>43862</v>
      </c>
    </row>
    <row r="3" customFormat="false" ht="13.5" hidden="false" customHeight="false" outlineLevel="0" collapsed="false">
      <c r="A3" s="0" t="s">
        <v>93</v>
      </c>
      <c r="B3" s="1" t="n">
        <v>43863</v>
      </c>
    </row>
    <row r="4" customFormat="false" ht="13.5" hidden="false" customHeight="false" outlineLevel="0" collapsed="false">
      <c r="A4" s="0" t="s">
        <v>93</v>
      </c>
      <c r="B4" s="1" t="n">
        <v>43864</v>
      </c>
    </row>
    <row r="5" customFormat="false" ht="13.5" hidden="false" customHeight="false" outlineLevel="0" collapsed="false">
      <c r="A5" s="0" t="s">
        <v>93</v>
      </c>
      <c r="B5" s="1" t="n">
        <v>43865</v>
      </c>
    </row>
    <row r="6" customFormat="false" ht="13.5" hidden="false" customHeight="false" outlineLevel="0" collapsed="false">
      <c r="A6" s="0" t="s">
        <v>93</v>
      </c>
      <c r="B6" s="1" t="n">
        <v>43866</v>
      </c>
    </row>
    <row r="7" customFormat="false" ht="13.5" hidden="false" customHeight="false" outlineLevel="0" collapsed="false">
      <c r="A7" s="0" t="s">
        <v>93</v>
      </c>
      <c r="B7" s="1" t="n">
        <v>43867</v>
      </c>
    </row>
    <row r="8" customFormat="false" ht="13.5" hidden="false" customHeight="false" outlineLevel="0" collapsed="false">
      <c r="A8" s="0" t="s">
        <v>93</v>
      </c>
      <c r="B8" s="1" t="n">
        <v>43868</v>
      </c>
    </row>
    <row r="9" customFormat="false" ht="13.5" hidden="false" customHeight="false" outlineLevel="0" collapsed="false">
      <c r="A9" s="0" t="s">
        <v>93</v>
      </c>
      <c r="B9" s="1" t="n">
        <v>43869</v>
      </c>
    </row>
    <row r="10" customFormat="false" ht="13.5" hidden="false" customHeight="false" outlineLevel="0" collapsed="false">
      <c r="A10" s="0" t="s">
        <v>93</v>
      </c>
      <c r="B10" s="1" t="n">
        <v>43870</v>
      </c>
    </row>
    <row r="11" customFormat="false" ht="13.5" hidden="false" customHeight="false" outlineLevel="0" collapsed="false">
      <c r="A11" s="0" t="s">
        <v>93</v>
      </c>
      <c r="B11" s="1" t="n">
        <v>43871</v>
      </c>
    </row>
    <row r="12" customFormat="false" ht="13.5" hidden="false" customHeight="false" outlineLevel="0" collapsed="false">
      <c r="A12" s="0" t="s">
        <v>93</v>
      </c>
      <c r="B12" s="1" t="n">
        <v>43872</v>
      </c>
    </row>
    <row r="13" customFormat="false" ht="13.5" hidden="false" customHeight="false" outlineLevel="0" collapsed="false">
      <c r="A13" s="0" t="s">
        <v>93</v>
      </c>
      <c r="B13" s="1" t="n">
        <v>43873</v>
      </c>
    </row>
    <row r="14" customFormat="false" ht="13.5" hidden="false" customHeight="false" outlineLevel="0" collapsed="false">
      <c r="A14" s="0" t="s">
        <v>93</v>
      </c>
      <c r="B14" s="1" t="n">
        <v>43874</v>
      </c>
    </row>
    <row r="15" customFormat="false" ht="13.5" hidden="false" customHeight="false" outlineLevel="0" collapsed="false">
      <c r="A15" s="0" t="s">
        <v>93</v>
      </c>
      <c r="B15" s="1" t="n">
        <v>43875</v>
      </c>
    </row>
    <row r="16" customFormat="false" ht="13.5" hidden="false" customHeight="false" outlineLevel="0" collapsed="false">
      <c r="A16" s="0" t="s">
        <v>93</v>
      </c>
      <c r="B16" s="1" t="n">
        <v>43876</v>
      </c>
    </row>
    <row r="17" customFormat="false" ht="13.5" hidden="false" customHeight="false" outlineLevel="0" collapsed="false">
      <c r="A17" s="0" t="s">
        <v>93</v>
      </c>
      <c r="B17" s="1" t="n">
        <v>43877</v>
      </c>
    </row>
    <row r="18" customFormat="false" ht="13.5" hidden="false" customHeight="false" outlineLevel="0" collapsed="false">
      <c r="A18" s="0" t="s">
        <v>93</v>
      </c>
      <c r="B18" s="1" t="n">
        <v>43878</v>
      </c>
    </row>
    <row r="19" customFormat="false" ht="13.5" hidden="false" customHeight="false" outlineLevel="0" collapsed="false">
      <c r="A19" s="0" t="s">
        <v>93</v>
      </c>
      <c r="B19" s="1" t="n">
        <v>43879</v>
      </c>
    </row>
    <row r="20" customFormat="false" ht="13.5" hidden="false" customHeight="false" outlineLevel="0" collapsed="false">
      <c r="A20" s="0" t="s">
        <v>93</v>
      </c>
      <c r="B20" s="1" t="n">
        <v>43880</v>
      </c>
    </row>
    <row r="21" customFormat="false" ht="13.5" hidden="false" customHeight="false" outlineLevel="0" collapsed="false">
      <c r="A21" s="0" t="s">
        <v>93</v>
      </c>
      <c r="B21" s="1" t="n">
        <v>43881</v>
      </c>
    </row>
    <row r="22" customFormat="false" ht="13.5" hidden="false" customHeight="false" outlineLevel="0" collapsed="false">
      <c r="A22" s="0" t="s">
        <v>93</v>
      </c>
      <c r="B22" s="1" t="n">
        <v>43882</v>
      </c>
    </row>
    <row r="23" customFormat="false" ht="13.5" hidden="false" customHeight="false" outlineLevel="0" collapsed="false">
      <c r="A23" s="0" t="s">
        <v>93</v>
      </c>
      <c r="B23" s="1" t="n">
        <v>43883</v>
      </c>
    </row>
    <row r="24" customFormat="false" ht="13.5" hidden="false" customHeight="false" outlineLevel="0" collapsed="false">
      <c r="A24" s="0" t="s">
        <v>93</v>
      </c>
      <c r="B24" s="1" t="n">
        <v>43884</v>
      </c>
    </row>
    <row r="25" customFormat="false" ht="13.5" hidden="false" customHeight="false" outlineLevel="0" collapsed="false">
      <c r="A25" s="0" t="s">
        <v>93</v>
      </c>
      <c r="B25" s="1" t="n">
        <v>43885</v>
      </c>
    </row>
    <row r="26" customFormat="false" ht="13.5" hidden="false" customHeight="false" outlineLevel="0" collapsed="false">
      <c r="A26" s="0" t="s">
        <v>93</v>
      </c>
      <c r="B26" s="1" t="n">
        <v>43886</v>
      </c>
    </row>
    <row r="27" customFormat="false" ht="13.5" hidden="false" customHeight="false" outlineLevel="0" collapsed="false">
      <c r="A27" s="0" t="s">
        <v>93</v>
      </c>
      <c r="B27" s="1" t="n">
        <v>43887</v>
      </c>
    </row>
    <row r="28" customFormat="false" ht="13.5" hidden="false" customHeight="false" outlineLevel="0" collapsed="false">
      <c r="A28" s="0" t="s">
        <v>93</v>
      </c>
      <c r="B28" s="1" t="n">
        <v>43888</v>
      </c>
    </row>
    <row r="29" customFormat="false" ht="13.5" hidden="false" customHeight="false" outlineLevel="0" collapsed="false">
      <c r="A29" s="0" t="s">
        <v>93</v>
      </c>
      <c r="B29" s="1" t="n">
        <v>43889</v>
      </c>
    </row>
    <row r="30" customFormat="false" ht="13.5" hidden="false" customHeight="false" outlineLevel="0" collapsed="false">
      <c r="A30" s="0" t="s">
        <v>93</v>
      </c>
      <c r="B30" s="1" t="n">
        <v>43890</v>
      </c>
    </row>
    <row r="31" customFormat="false" ht="13.5" hidden="false" customHeight="false" outlineLevel="0" collapsed="false">
      <c r="A31" s="0" t="s">
        <v>93</v>
      </c>
      <c r="B31" s="1" t="n">
        <v>43891</v>
      </c>
    </row>
    <row r="32" customFormat="false" ht="13.5" hidden="false" customHeight="false" outlineLevel="0" collapsed="false">
      <c r="A32" s="0" t="s">
        <v>93</v>
      </c>
      <c r="B32" s="1" t="n">
        <v>43892</v>
      </c>
    </row>
    <row r="33" customFormat="false" ht="13.5" hidden="false" customHeight="false" outlineLevel="0" collapsed="false">
      <c r="A33" s="0" t="s">
        <v>93</v>
      </c>
      <c r="B33" s="1" t="n">
        <v>43893</v>
      </c>
    </row>
    <row r="34" customFormat="false" ht="13.5" hidden="false" customHeight="false" outlineLevel="0" collapsed="false">
      <c r="A34" s="0" t="s">
        <v>93</v>
      </c>
      <c r="B34" s="1" t="n">
        <v>43894</v>
      </c>
    </row>
    <row r="35" customFormat="false" ht="13.5" hidden="false" customHeight="false" outlineLevel="0" collapsed="false">
      <c r="A35" s="0" t="s">
        <v>93</v>
      </c>
      <c r="B35" s="1" t="n">
        <v>43895</v>
      </c>
    </row>
    <row r="36" customFormat="false" ht="13.5" hidden="false" customHeight="false" outlineLevel="0" collapsed="false">
      <c r="A36" s="0" t="s">
        <v>93</v>
      </c>
      <c r="B36" s="1" t="n">
        <v>43896</v>
      </c>
    </row>
    <row r="37" customFormat="false" ht="13.5" hidden="false" customHeight="false" outlineLevel="0" collapsed="false">
      <c r="A37" s="0" t="s">
        <v>93</v>
      </c>
      <c r="B37" s="1" t="n">
        <v>43897</v>
      </c>
    </row>
    <row r="38" customFormat="false" ht="13.5" hidden="false" customHeight="false" outlineLevel="0" collapsed="false">
      <c r="A38" s="0" t="s">
        <v>93</v>
      </c>
      <c r="B38" s="1" t="n">
        <v>43898</v>
      </c>
    </row>
    <row r="39" customFormat="false" ht="13.5" hidden="false" customHeight="false" outlineLevel="0" collapsed="false">
      <c r="A39" s="0" t="s">
        <v>93</v>
      </c>
      <c r="B39" s="1" t="n">
        <v>43899</v>
      </c>
    </row>
    <row r="40" customFormat="false" ht="13.5" hidden="false" customHeight="false" outlineLevel="0" collapsed="false">
      <c r="A40" s="0" t="s">
        <v>93</v>
      </c>
      <c r="B40" s="1" t="n">
        <v>43900</v>
      </c>
    </row>
    <row r="41" customFormat="false" ht="13.5" hidden="false" customHeight="false" outlineLevel="0" collapsed="false">
      <c r="A41" s="0" t="s">
        <v>93</v>
      </c>
      <c r="B41" s="1" t="n">
        <v>43901</v>
      </c>
    </row>
    <row r="42" customFormat="false" ht="13.5" hidden="false" customHeight="false" outlineLevel="0" collapsed="false">
      <c r="A42" s="0" t="s">
        <v>93</v>
      </c>
      <c r="B42" s="1" t="n">
        <v>43902</v>
      </c>
      <c r="C42" s="0" t="n">
        <v>1</v>
      </c>
      <c r="D42" s="0" t="n">
        <v>1</v>
      </c>
      <c r="H42" s="0" t="n">
        <v>1</v>
      </c>
    </row>
    <row r="43" customFormat="false" ht="13.5" hidden="false" customHeight="false" outlineLevel="0" collapsed="false">
      <c r="A43" s="0" t="s">
        <v>93</v>
      </c>
      <c r="B43" s="1" t="n">
        <v>43903</v>
      </c>
      <c r="C43" s="0" t="n">
        <v>1</v>
      </c>
      <c r="D43" s="0" t="n">
        <v>0</v>
      </c>
      <c r="H43" s="0" t="n">
        <v>1</v>
      </c>
    </row>
    <row r="44" customFormat="false" ht="13.5" hidden="false" customHeight="false" outlineLevel="0" collapsed="false">
      <c r="A44" s="0" t="s">
        <v>93</v>
      </c>
      <c r="B44" s="1" t="n">
        <v>43904</v>
      </c>
      <c r="C44" s="0" t="n">
        <v>1</v>
      </c>
      <c r="D44" s="0" t="n">
        <v>0</v>
      </c>
      <c r="H44" s="0" t="n">
        <v>1</v>
      </c>
    </row>
    <row r="45" customFormat="false" ht="13.5" hidden="false" customHeight="false" outlineLevel="0" collapsed="false">
      <c r="A45" s="0" t="s">
        <v>93</v>
      </c>
      <c r="B45" s="1" t="n">
        <v>43905</v>
      </c>
      <c r="C45" s="0" t="n">
        <v>1</v>
      </c>
      <c r="D45" s="0" t="n">
        <v>0</v>
      </c>
      <c r="H45" s="0" t="n">
        <v>1</v>
      </c>
    </row>
    <row r="46" customFormat="false" ht="13.5" hidden="false" customHeight="false" outlineLevel="0" collapsed="false">
      <c r="A46" s="0" t="s">
        <v>93</v>
      </c>
      <c r="B46" s="1" t="n">
        <v>43906</v>
      </c>
      <c r="C46" s="0" t="n">
        <v>4</v>
      </c>
      <c r="D46" s="0" t="n">
        <v>3</v>
      </c>
      <c r="H46" s="0" t="n">
        <v>4</v>
      </c>
      <c r="J46" s="0" t="n">
        <v>0.2</v>
      </c>
    </row>
    <row r="47" customFormat="false" ht="13.5" hidden="false" customHeight="false" outlineLevel="0" collapsed="false">
      <c r="A47" s="0" t="s">
        <v>93</v>
      </c>
      <c r="B47" s="1" t="n">
        <v>43907</v>
      </c>
      <c r="C47" s="0" t="n">
        <v>4</v>
      </c>
      <c r="D47" s="0" t="n">
        <v>0</v>
      </c>
      <c r="H47" s="0" t="n">
        <v>4</v>
      </c>
      <c r="J47" s="0" t="n">
        <v>0.2</v>
      </c>
    </row>
    <row r="48" customFormat="false" ht="13.5" hidden="false" customHeight="false" outlineLevel="0" collapsed="false">
      <c r="A48" s="0" t="s">
        <v>93</v>
      </c>
      <c r="B48" s="1" t="n">
        <v>43908</v>
      </c>
      <c r="C48" s="0" t="n">
        <v>4</v>
      </c>
      <c r="D48" s="0" t="n">
        <v>0</v>
      </c>
      <c r="H48" s="0" t="n">
        <v>4</v>
      </c>
      <c r="J48" s="0" t="n">
        <v>0.2</v>
      </c>
    </row>
    <row r="49" customFormat="false" ht="13.5" hidden="false" customHeight="false" outlineLevel="0" collapsed="false">
      <c r="A49" s="0" t="s">
        <v>93</v>
      </c>
      <c r="B49" s="1" t="n">
        <v>43909</v>
      </c>
      <c r="C49" s="0" t="n">
        <v>9</v>
      </c>
      <c r="D49" s="0" t="n">
        <v>5</v>
      </c>
      <c r="G49" s="0" t="n">
        <v>1</v>
      </c>
      <c r="H49" s="0" t="n">
        <v>8</v>
      </c>
      <c r="J49" s="0" t="n">
        <v>0.3</v>
      </c>
    </row>
    <row r="50" customFormat="false" ht="13.5" hidden="false" customHeight="false" outlineLevel="0" collapsed="false">
      <c r="A50" s="0" t="s">
        <v>93</v>
      </c>
      <c r="B50" s="1" t="n">
        <v>43910</v>
      </c>
      <c r="C50" s="0" t="n">
        <v>9</v>
      </c>
      <c r="D50" s="0" t="n">
        <v>0</v>
      </c>
      <c r="G50" s="0" t="n">
        <v>1</v>
      </c>
      <c r="H50" s="0" t="n">
        <v>8</v>
      </c>
      <c r="J50" s="0" t="n">
        <v>0.3</v>
      </c>
    </row>
    <row r="51" customFormat="false" ht="13.5" hidden="false" customHeight="false" outlineLevel="0" collapsed="false">
      <c r="A51" s="0" t="s">
        <v>93</v>
      </c>
      <c r="B51" s="1" t="n">
        <v>43911</v>
      </c>
      <c r="C51" s="0" t="n">
        <v>14</v>
      </c>
      <c r="D51" s="0" t="n">
        <v>5</v>
      </c>
      <c r="G51" s="0" t="n">
        <v>1</v>
      </c>
      <c r="H51" s="0" t="n">
        <v>13</v>
      </c>
      <c r="J51" s="0" t="n">
        <v>0.5</v>
      </c>
    </row>
    <row r="52" customFormat="false" ht="13.5" hidden="false" customHeight="false" outlineLevel="0" collapsed="false">
      <c r="A52" s="0" t="s">
        <v>93</v>
      </c>
      <c r="B52" s="1" t="n">
        <v>43912</v>
      </c>
      <c r="C52" s="0" t="n">
        <v>14</v>
      </c>
      <c r="D52" s="0" t="n">
        <v>0</v>
      </c>
      <c r="G52" s="0" t="n">
        <v>1</v>
      </c>
      <c r="H52" s="0" t="n">
        <v>13</v>
      </c>
      <c r="J52" s="0" t="n">
        <v>0.5</v>
      </c>
    </row>
    <row r="53" customFormat="false" ht="13.5" hidden="false" customHeight="false" outlineLevel="0" collapsed="false">
      <c r="A53" s="0" t="s">
        <v>93</v>
      </c>
      <c r="B53" s="1" t="n">
        <v>43913</v>
      </c>
      <c r="C53" s="0" t="n">
        <v>14</v>
      </c>
      <c r="D53" s="0" t="n">
        <v>0</v>
      </c>
      <c r="G53" s="0" t="n">
        <v>1</v>
      </c>
      <c r="H53" s="0" t="n">
        <v>13</v>
      </c>
      <c r="J53" s="0" t="n">
        <v>0.5</v>
      </c>
    </row>
    <row r="54" customFormat="false" ht="13.5" hidden="false" customHeight="false" outlineLevel="0" collapsed="false">
      <c r="A54" s="0" t="s">
        <v>93</v>
      </c>
      <c r="B54" s="1" t="n">
        <v>43914</v>
      </c>
      <c r="C54" s="0" t="n">
        <v>25</v>
      </c>
      <c r="D54" s="0" t="n">
        <v>11</v>
      </c>
      <c r="G54" s="0" t="n">
        <v>2</v>
      </c>
      <c r="H54" s="0" t="n">
        <v>23</v>
      </c>
      <c r="J54" s="0" t="n">
        <v>0.9</v>
      </c>
    </row>
    <row r="55" customFormat="false" ht="13.5" hidden="false" customHeight="false" outlineLevel="0" collapsed="false">
      <c r="A55" s="0" t="s">
        <v>93</v>
      </c>
      <c r="B55" s="1" t="n">
        <v>43915</v>
      </c>
      <c r="C55" s="0" t="n">
        <v>73</v>
      </c>
      <c r="D55" s="0" t="n">
        <v>48</v>
      </c>
      <c r="G55" s="0" t="n">
        <v>2</v>
      </c>
      <c r="H55" s="0" t="n">
        <v>71</v>
      </c>
      <c r="J55" s="0" t="n">
        <v>3</v>
      </c>
    </row>
    <row r="56" customFormat="false" ht="13.5" hidden="false" customHeight="false" outlineLevel="0" collapsed="false">
      <c r="A56" s="0" t="s">
        <v>93</v>
      </c>
      <c r="B56" s="1" t="n">
        <v>43916</v>
      </c>
      <c r="C56" s="0" t="n">
        <v>80</v>
      </c>
      <c r="D56" s="0" t="n">
        <v>7</v>
      </c>
      <c r="G56" s="0" t="n">
        <v>3</v>
      </c>
      <c r="H56" s="0" t="n">
        <v>77</v>
      </c>
      <c r="J56" s="0" t="n">
        <v>3</v>
      </c>
    </row>
    <row r="57" customFormat="false" ht="13.5" hidden="false" customHeight="false" outlineLevel="0" collapsed="false">
      <c r="A57" s="0" t="s">
        <v>93</v>
      </c>
      <c r="B57" s="1" t="n">
        <v>43917</v>
      </c>
      <c r="C57" s="0" t="n">
        <v>96</v>
      </c>
      <c r="D57" s="0" t="n">
        <v>16</v>
      </c>
      <c r="G57" s="0" t="n">
        <v>3</v>
      </c>
      <c r="H57" s="0" t="n">
        <v>93</v>
      </c>
      <c r="J57" s="0" t="n">
        <v>4</v>
      </c>
    </row>
    <row r="58" customFormat="false" ht="13.5" hidden="false" customHeight="false" outlineLevel="0" collapsed="false">
      <c r="A58" s="0" t="s">
        <v>93</v>
      </c>
      <c r="B58" s="1" t="n">
        <v>43918</v>
      </c>
      <c r="C58" s="0" t="n">
        <v>101</v>
      </c>
      <c r="D58" s="0" t="n">
        <v>5</v>
      </c>
      <c r="G58" s="0" t="n">
        <v>3</v>
      </c>
      <c r="H58" s="0" t="n">
        <v>98</v>
      </c>
      <c r="J58" s="0" t="n">
        <v>4</v>
      </c>
    </row>
    <row r="59" customFormat="false" ht="13.5" hidden="false" customHeight="false" outlineLevel="0" collapsed="false">
      <c r="A59" s="0" t="s">
        <v>93</v>
      </c>
      <c r="B59" s="1" t="n">
        <v>43919</v>
      </c>
      <c r="C59" s="0" t="n">
        <v>101</v>
      </c>
      <c r="D59" s="0" t="n">
        <v>0</v>
      </c>
      <c r="G59" s="0" t="n">
        <v>3</v>
      </c>
      <c r="H59" s="0" t="n">
        <v>98</v>
      </c>
      <c r="J59" s="0" t="n">
        <v>4</v>
      </c>
    </row>
    <row r="60" customFormat="false" ht="13.5" hidden="false" customHeight="false" outlineLevel="0" collapsed="false">
      <c r="A60" s="0" t="s">
        <v>93</v>
      </c>
      <c r="B60" s="1" t="n">
        <v>43920</v>
      </c>
      <c r="C60" s="0" t="n">
        <v>165</v>
      </c>
      <c r="D60" s="0" t="n">
        <v>64</v>
      </c>
      <c r="E60" s="0" t="n">
        <v>1</v>
      </c>
      <c r="F60" s="0" t="n">
        <v>1</v>
      </c>
      <c r="G60" s="0" t="n">
        <v>4</v>
      </c>
      <c r="H60" s="0" t="n">
        <v>160</v>
      </c>
      <c r="J60" s="0" t="n">
        <v>6</v>
      </c>
      <c r="K60" s="0" t="n">
        <v>0.04</v>
      </c>
    </row>
    <row r="61" customFormat="false" ht="13.5" hidden="false" customHeight="false" outlineLevel="0" collapsed="false">
      <c r="A61" s="0" t="s">
        <v>93</v>
      </c>
      <c r="B61" s="1" t="n">
        <v>43921</v>
      </c>
      <c r="C61" s="0" t="n">
        <v>165</v>
      </c>
      <c r="D61" s="0" t="n">
        <v>0</v>
      </c>
      <c r="E61" s="0" t="n">
        <v>1</v>
      </c>
      <c r="F61" s="0" t="n">
        <v>0</v>
      </c>
      <c r="G61" s="0" t="n">
        <v>4</v>
      </c>
      <c r="H61" s="0" t="n">
        <v>160</v>
      </c>
      <c r="J61" s="0" t="n">
        <v>6</v>
      </c>
      <c r="K61" s="0" t="n">
        <v>0.04</v>
      </c>
    </row>
    <row r="62" customFormat="false" ht="13.5" hidden="false" customHeight="false" outlineLevel="0" collapsed="false">
      <c r="A62" s="0" t="s">
        <v>93</v>
      </c>
      <c r="B62" s="1" t="n">
        <v>43922</v>
      </c>
      <c r="C62" s="0" t="n">
        <v>168</v>
      </c>
      <c r="D62" s="0" t="n">
        <v>3</v>
      </c>
      <c r="E62" s="0" t="n">
        <v>1</v>
      </c>
      <c r="F62" s="0" t="n">
        <v>0</v>
      </c>
      <c r="G62" s="0" t="n">
        <v>6</v>
      </c>
      <c r="H62" s="0" t="n">
        <v>161</v>
      </c>
      <c r="J62" s="0" t="n">
        <v>6</v>
      </c>
      <c r="K62" s="0" t="n">
        <v>0.04</v>
      </c>
    </row>
    <row r="63" customFormat="false" ht="13.5" hidden="false" customHeight="false" outlineLevel="0" collapsed="false">
      <c r="A63" s="0" t="s">
        <v>93</v>
      </c>
      <c r="B63" s="1" t="n">
        <v>43923</v>
      </c>
      <c r="C63" s="0" t="n">
        <v>190</v>
      </c>
      <c r="D63" s="0" t="n">
        <v>22</v>
      </c>
      <c r="E63" s="0" t="n">
        <v>1</v>
      </c>
      <c r="F63" s="0" t="n">
        <v>0</v>
      </c>
      <c r="G63" s="0" t="n">
        <v>9</v>
      </c>
      <c r="H63" s="0" t="n">
        <v>180</v>
      </c>
      <c r="J63" s="0" t="n">
        <v>7</v>
      </c>
      <c r="K63" s="0" t="n">
        <v>0.04</v>
      </c>
    </row>
    <row r="64" customFormat="false" ht="13.5" hidden="false" customHeight="false" outlineLevel="0" collapsed="false">
      <c r="A64" s="0" t="s">
        <v>93</v>
      </c>
      <c r="B64" s="1" t="n">
        <v>43924</v>
      </c>
      <c r="C64" s="0" t="n">
        <v>194</v>
      </c>
      <c r="D64" s="0" t="n">
        <v>4</v>
      </c>
      <c r="E64" s="0" t="n">
        <v>1</v>
      </c>
      <c r="F64" s="0" t="n">
        <v>0</v>
      </c>
      <c r="G64" s="0" t="n">
        <v>15</v>
      </c>
      <c r="H64" s="0" t="n">
        <v>178</v>
      </c>
      <c r="J64" s="0" t="n">
        <v>7</v>
      </c>
      <c r="K64" s="0" t="n">
        <v>0.04</v>
      </c>
    </row>
    <row r="65" customFormat="false" ht="13.5" hidden="false" customHeight="false" outlineLevel="0" collapsed="false">
      <c r="A65" s="0" t="s">
        <v>93</v>
      </c>
      <c r="B65" s="1" t="n">
        <v>43925</v>
      </c>
      <c r="C65" s="0" t="n">
        <v>218</v>
      </c>
      <c r="D65" s="0" t="n">
        <v>24</v>
      </c>
      <c r="E65" s="0" t="n">
        <v>1</v>
      </c>
      <c r="F65" s="0" t="n">
        <v>0</v>
      </c>
      <c r="G65" s="0" t="n">
        <v>19</v>
      </c>
      <c r="H65" s="0" t="n">
        <v>198</v>
      </c>
      <c r="J65" s="0" t="n">
        <v>8</v>
      </c>
      <c r="K65" s="0" t="n">
        <v>0.04</v>
      </c>
    </row>
    <row r="66" customFormat="false" ht="13.5" hidden="false" customHeight="false" outlineLevel="0" collapsed="false">
      <c r="A66" s="0" t="s">
        <v>93</v>
      </c>
      <c r="B66" s="1" t="n">
        <v>43926</v>
      </c>
      <c r="C66" s="0" t="n">
        <v>245</v>
      </c>
      <c r="D66" s="0" t="n">
        <v>27</v>
      </c>
      <c r="E66" s="0" t="n">
        <v>1</v>
      </c>
      <c r="F66" s="0" t="n">
        <v>0</v>
      </c>
      <c r="G66" s="0" t="n">
        <v>25</v>
      </c>
      <c r="H66" s="0" t="n">
        <v>219</v>
      </c>
      <c r="J66" s="0" t="n">
        <v>9</v>
      </c>
      <c r="K66" s="0" t="n">
        <v>0.04</v>
      </c>
    </row>
    <row r="67" customFormat="false" ht="13.5" hidden="false" customHeight="false" outlineLevel="0" collapsed="false">
      <c r="A67" s="0" t="s">
        <v>93</v>
      </c>
      <c r="B67" s="1" t="n">
        <v>43927</v>
      </c>
      <c r="C67" s="0" t="n">
        <v>261</v>
      </c>
      <c r="D67" s="0" t="n">
        <v>16</v>
      </c>
      <c r="E67" s="0" t="n">
        <v>3</v>
      </c>
      <c r="F67" s="0" t="n">
        <v>2</v>
      </c>
      <c r="G67" s="0" t="n">
        <v>37</v>
      </c>
      <c r="H67" s="0" t="n">
        <v>221</v>
      </c>
      <c r="J67" s="0" t="n">
        <v>10</v>
      </c>
      <c r="K67" s="0" t="n">
        <v>0.1</v>
      </c>
    </row>
    <row r="68" customFormat="false" ht="13.5" hidden="false" customHeight="false" outlineLevel="0" collapsed="false">
      <c r="A68" s="0" t="s">
        <v>93</v>
      </c>
      <c r="B68" s="1" t="n">
        <v>43928</v>
      </c>
      <c r="C68" s="0" t="n">
        <v>323</v>
      </c>
      <c r="D68" s="0" t="n">
        <v>62</v>
      </c>
      <c r="E68" s="0" t="n">
        <v>3</v>
      </c>
      <c r="F68" s="0" t="n">
        <v>0</v>
      </c>
      <c r="G68" s="0" t="n">
        <v>41</v>
      </c>
      <c r="H68" s="0" t="n">
        <v>279</v>
      </c>
      <c r="J68" s="0" t="n">
        <v>12</v>
      </c>
      <c r="K68" s="0" t="n">
        <v>0.1</v>
      </c>
    </row>
    <row r="69" customFormat="false" ht="13.5" hidden="false" customHeight="false" outlineLevel="0" collapsed="false">
      <c r="A69" s="0" t="s">
        <v>93</v>
      </c>
      <c r="B69" s="1" t="n">
        <v>43929</v>
      </c>
      <c r="C69" s="0" t="n">
        <v>349</v>
      </c>
      <c r="D69" s="0" t="n">
        <v>26</v>
      </c>
      <c r="E69" s="0" t="n">
        <v>3</v>
      </c>
      <c r="F69" s="0" t="n">
        <v>0</v>
      </c>
      <c r="G69" s="0" t="n">
        <v>41</v>
      </c>
      <c r="H69" s="0" t="n">
        <v>305</v>
      </c>
      <c r="J69" s="0" t="n">
        <v>13</v>
      </c>
      <c r="K69" s="0" t="n">
        <v>0.1</v>
      </c>
    </row>
    <row r="70" customFormat="false" ht="13.5" hidden="false" customHeight="false" outlineLevel="0" collapsed="false">
      <c r="A70" s="0" t="s">
        <v>93</v>
      </c>
      <c r="B70" s="1" t="n">
        <v>43930</v>
      </c>
      <c r="C70" s="0" t="n">
        <v>384</v>
      </c>
      <c r="D70" s="0" t="n">
        <v>35</v>
      </c>
      <c r="E70" s="0" t="n">
        <v>3</v>
      </c>
      <c r="F70" s="0" t="n">
        <v>0</v>
      </c>
      <c r="G70" s="0" t="n">
        <v>48</v>
      </c>
      <c r="H70" s="0" t="n">
        <v>333</v>
      </c>
      <c r="J70" s="0" t="n">
        <v>15</v>
      </c>
      <c r="K70" s="0" t="n">
        <v>0.1</v>
      </c>
    </row>
    <row r="71" customFormat="false" ht="13.5" hidden="false" customHeight="false" outlineLevel="0" collapsed="false">
      <c r="A71" s="0" t="s">
        <v>93</v>
      </c>
      <c r="B71" s="1" t="n">
        <v>43931</v>
      </c>
      <c r="C71" s="0" t="n">
        <v>444</v>
      </c>
      <c r="D71" s="0" t="n">
        <v>60</v>
      </c>
      <c r="E71" s="0" t="n">
        <v>3</v>
      </c>
      <c r="F71" s="0" t="n">
        <v>0</v>
      </c>
      <c r="G71" s="0" t="n">
        <v>52</v>
      </c>
      <c r="H71" s="0" t="n">
        <v>389</v>
      </c>
      <c r="J71" s="0" t="n">
        <v>17</v>
      </c>
      <c r="K71" s="0" t="n">
        <v>0.1</v>
      </c>
    </row>
    <row r="72" customFormat="false" ht="13.5" hidden="false" customHeight="false" outlineLevel="0" collapsed="false">
      <c r="A72" s="0" t="s">
        <v>93</v>
      </c>
      <c r="B72" s="1" t="n">
        <v>43932</v>
      </c>
      <c r="C72" s="0" t="n">
        <v>444</v>
      </c>
      <c r="D72" s="0" t="n">
        <v>0</v>
      </c>
      <c r="E72" s="0" t="n">
        <v>3</v>
      </c>
      <c r="F72" s="0" t="n">
        <v>0</v>
      </c>
      <c r="G72" s="0" t="n">
        <v>52</v>
      </c>
      <c r="H72" s="0" t="n">
        <v>389</v>
      </c>
      <c r="J72" s="0" t="n">
        <v>17</v>
      </c>
      <c r="K72" s="0" t="n">
        <v>0.1</v>
      </c>
    </row>
    <row r="73" customFormat="false" ht="13.5" hidden="false" customHeight="false" outlineLevel="0" collapsed="false">
      <c r="A73" s="0" t="s">
        <v>93</v>
      </c>
      <c r="B73" s="1" t="n">
        <v>43933</v>
      </c>
      <c r="C73" s="0" t="n">
        <v>533</v>
      </c>
      <c r="D73" s="0" t="n">
        <v>89</v>
      </c>
      <c r="E73" s="0" t="n">
        <v>4</v>
      </c>
      <c r="F73" s="0" t="n">
        <v>1</v>
      </c>
      <c r="G73" s="0" t="n">
        <v>58</v>
      </c>
      <c r="H73" s="0" t="n">
        <v>471</v>
      </c>
      <c r="J73" s="0" t="n">
        <v>20</v>
      </c>
      <c r="K73" s="0" t="n">
        <v>0.2</v>
      </c>
    </row>
    <row r="74" customFormat="false" ht="13.5" hidden="false" customHeight="false" outlineLevel="0" collapsed="false">
      <c r="A74" s="0" t="s">
        <v>93</v>
      </c>
      <c r="B74" s="1" t="n">
        <v>43934</v>
      </c>
      <c r="C74" s="0" t="n">
        <v>574</v>
      </c>
      <c r="D74" s="0" t="n">
        <v>41</v>
      </c>
      <c r="E74" s="0" t="n">
        <v>5</v>
      </c>
      <c r="F74" s="0" t="n">
        <v>1</v>
      </c>
      <c r="G74" s="0" t="n">
        <v>85</v>
      </c>
      <c r="H74" s="0" t="n">
        <v>484</v>
      </c>
      <c r="J74" s="0" t="n">
        <v>22</v>
      </c>
      <c r="K74" s="0" t="n">
        <v>0.2</v>
      </c>
    </row>
    <row r="75" customFormat="false" ht="13.5" hidden="false" customHeight="false" outlineLevel="0" collapsed="false">
      <c r="A75" s="0" t="s">
        <v>93</v>
      </c>
      <c r="B75" s="1" t="n">
        <v>43935</v>
      </c>
      <c r="C75" s="0" t="n">
        <v>626</v>
      </c>
      <c r="D75" s="0" t="n">
        <v>52</v>
      </c>
      <c r="E75" s="0" t="n">
        <v>6</v>
      </c>
      <c r="F75" s="0" t="n">
        <v>1</v>
      </c>
      <c r="G75" s="0" t="n">
        <v>89</v>
      </c>
      <c r="H75" s="0" t="n">
        <v>531</v>
      </c>
      <c r="J75" s="0" t="n">
        <v>24</v>
      </c>
      <c r="K75" s="0" t="n">
        <v>0.2</v>
      </c>
    </row>
    <row r="76" customFormat="false" ht="13.5" hidden="false" customHeight="false" outlineLevel="0" collapsed="false">
      <c r="A76" s="0" t="s">
        <v>93</v>
      </c>
      <c r="B76" s="1" t="n">
        <v>43936</v>
      </c>
      <c r="C76" s="0" t="n">
        <v>638</v>
      </c>
      <c r="D76" s="0" t="n">
        <v>12</v>
      </c>
      <c r="E76" s="0" t="n">
        <v>6</v>
      </c>
      <c r="F76" s="0" t="n">
        <v>0</v>
      </c>
      <c r="G76" s="0" t="n">
        <v>114</v>
      </c>
      <c r="H76" s="0" t="n">
        <v>518</v>
      </c>
      <c r="I76" s="0" t="n">
        <v>0</v>
      </c>
      <c r="J76" s="0" t="n">
        <v>24</v>
      </c>
      <c r="K76" s="0" t="n">
        <v>0.2</v>
      </c>
    </row>
    <row r="77" customFormat="false" ht="13.5" hidden="false" customHeight="false" outlineLevel="0" collapsed="false">
      <c r="A77" s="0" t="s">
        <v>93</v>
      </c>
      <c r="B77" s="1" t="n">
        <v>43937</v>
      </c>
      <c r="C77" s="0" t="n">
        <v>638</v>
      </c>
      <c r="D77" s="0" t="n">
        <v>0</v>
      </c>
      <c r="E77" s="0" t="n">
        <v>6</v>
      </c>
      <c r="F77" s="0" t="n">
        <v>0</v>
      </c>
      <c r="G77" s="0" t="n">
        <v>114</v>
      </c>
      <c r="H77" s="0" t="n">
        <v>518</v>
      </c>
      <c r="I77" s="0" t="n">
        <v>0</v>
      </c>
      <c r="J77" s="0" t="n">
        <v>24</v>
      </c>
      <c r="K77" s="0" t="n">
        <v>0.2</v>
      </c>
    </row>
    <row r="78" customFormat="false" ht="13.5" hidden="false" customHeight="false" outlineLevel="0" collapsed="false">
      <c r="A78" s="0" t="s">
        <v>93</v>
      </c>
      <c r="B78" s="1" t="n">
        <v>43938</v>
      </c>
      <c r="C78" s="0" t="n">
        <v>654</v>
      </c>
      <c r="D78" s="0" t="n">
        <v>16</v>
      </c>
      <c r="E78" s="0" t="n">
        <v>6</v>
      </c>
      <c r="F78" s="0" t="n">
        <v>0</v>
      </c>
      <c r="G78" s="0" t="n">
        <v>146</v>
      </c>
      <c r="H78" s="0" t="n">
        <v>502</v>
      </c>
      <c r="I78" s="0" t="n">
        <v>0</v>
      </c>
      <c r="J78" s="0" t="n">
        <v>25</v>
      </c>
      <c r="K78" s="0" t="n">
        <v>0.2</v>
      </c>
    </row>
    <row r="79" customFormat="false" ht="13.5" hidden="false" customHeight="false" outlineLevel="0" collapsed="false">
      <c r="A79" s="0" t="s">
        <v>93</v>
      </c>
      <c r="B79" s="1" t="n">
        <v>43939</v>
      </c>
      <c r="C79" s="0" t="n">
        <v>688</v>
      </c>
      <c r="D79" s="0" t="n">
        <v>34</v>
      </c>
      <c r="E79" s="0" t="n">
        <v>6</v>
      </c>
      <c r="F79" s="0" t="n">
        <v>0</v>
      </c>
      <c r="G79" s="0" t="n">
        <v>193</v>
      </c>
      <c r="H79" s="0" t="n">
        <v>489</v>
      </c>
      <c r="I79" s="0" t="n">
        <v>0</v>
      </c>
      <c r="J79" s="0" t="n">
        <v>26</v>
      </c>
      <c r="K79" s="0" t="n">
        <v>0.2</v>
      </c>
    </row>
    <row r="80" customFormat="false" ht="13.5" hidden="false" customHeight="false" outlineLevel="0" collapsed="false">
      <c r="A80" s="0" t="s">
        <v>93</v>
      </c>
      <c r="B80" s="1" t="n">
        <v>43940</v>
      </c>
      <c r="C80" s="0" t="n">
        <v>801</v>
      </c>
      <c r="D80" s="0" t="n">
        <v>113</v>
      </c>
      <c r="E80" s="0" t="n">
        <v>8</v>
      </c>
      <c r="F80" s="0" t="n">
        <v>2</v>
      </c>
      <c r="G80" s="0" t="n">
        <v>239</v>
      </c>
      <c r="H80" s="0" t="n">
        <v>554</v>
      </c>
      <c r="I80" s="0" t="n">
        <v>0</v>
      </c>
      <c r="J80" s="0" t="n">
        <v>30</v>
      </c>
      <c r="K80" s="0" t="n">
        <v>0.3</v>
      </c>
    </row>
    <row r="81" customFormat="false" ht="13.5" hidden="false" customHeight="false" outlineLevel="0" collapsed="false">
      <c r="A81" s="0" t="s">
        <v>93</v>
      </c>
      <c r="B81" s="1" t="n">
        <v>43941</v>
      </c>
      <c r="C81" s="0" t="n">
        <v>847</v>
      </c>
      <c r="D81" s="0" t="n">
        <v>46</v>
      </c>
      <c r="E81" s="0" t="n">
        <v>9</v>
      </c>
      <c r="F81" s="0" t="n">
        <v>1</v>
      </c>
      <c r="G81" s="0" t="n">
        <v>260</v>
      </c>
      <c r="H81" s="0" t="n">
        <v>578</v>
      </c>
      <c r="I81" s="0" t="n">
        <v>0</v>
      </c>
      <c r="J81" s="0" t="n">
        <v>32</v>
      </c>
      <c r="K81" s="0" t="n">
        <v>0.3</v>
      </c>
    </row>
    <row r="82" customFormat="false" ht="13.5" hidden="false" customHeight="false" outlineLevel="0" collapsed="false">
      <c r="A82" s="0" t="s">
        <v>93</v>
      </c>
      <c r="B82" s="1" t="n">
        <v>43942</v>
      </c>
      <c r="C82" s="0" t="n">
        <v>847</v>
      </c>
      <c r="D82" s="0" t="n">
        <v>0</v>
      </c>
      <c r="E82" s="0" t="n">
        <v>9</v>
      </c>
      <c r="F82" s="0" t="n">
        <v>0</v>
      </c>
      <c r="G82" s="0" t="n">
        <v>260</v>
      </c>
      <c r="H82" s="0" t="n">
        <v>578</v>
      </c>
      <c r="I82" s="0" t="n">
        <v>0</v>
      </c>
      <c r="J82" s="0" t="n">
        <v>32</v>
      </c>
      <c r="K82" s="0" t="n">
        <v>0.3</v>
      </c>
    </row>
    <row r="83" customFormat="false" ht="13.5" hidden="false" customHeight="false" outlineLevel="0" collapsed="false">
      <c r="A83" s="0" t="s">
        <v>93</v>
      </c>
      <c r="B83" s="1" t="n">
        <v>43943</v>
      </c>
      <c r="C83" s="0" t="n">
        <v>916</v>
      </c>
      <c r="D83" s="0" t="n">
        <v>69</v>
      </c>
      <c r="E83" s="0" t="n">
        <v>13</v>
      </c>
      <c r="F83" s="0" t="n">
        <v>4</v>
      </c>
      <c r="G83" s="0" t="n">
        <v>303</v>
      </c>
      <c r="H83" s="0" t="n">
        <v>600</v>
      </c>
      <c r="I83" s="0" t="n">
        <v>0</v>
      </c>
      <c r="J83" s="0" t="n">
        <v>35</v>
      </c>
      <c r="K83" s="0" t="n">
        <v>0.5</v>
      </c>
    </row>
    <row r="84" customFormat="false" ht="13.5" hidden="false" customHeight="false" outlineLevel="0" collapsed="false">
      <c r="A84" s="0" t="s">
        <v>93</v>
      </c>
      <c r="B84" s="1" t="n">
        <v>43944</v>
      </c>
      <c r="C84" s="0" t="n">
        <v>916</v>
      </c>
      <c r="D84" s="0" t="n">
        <v>0</v>
      </c>
      <c r="E84" s="0" t="n">
        <v>13</v>
      </c>
      <c r="F84" s="0" t="n">
        <v>0</v>
      </c>
      <c r="G84" s="0" t="n">
        <v>303</v>
      </c>
      <c r="H84" s="0" t="n">
        <v>600</v>
      </c>
      <c r="I84" s="0" t="n">
        <v>0</v>
      </c>
      <c r="J84" s="0" t="n">
        <v>35</v>
      </c>
      <c r="K84" s="0" t="n">
        <v>0.5</v>
      </c>
    </row>
    <row r="85" customFormat="false" ht="13.5" hidden="false" customHeight="false" outlineLevel="0" collapsed="false">
      <c r="A85" s="0" t="s">
        <v>93</v>
      </c>
      <c r="B85" s="1" t="n">
        <v>43945</v>
      </c>
      <c r="C85" s="0" t="n">
        <v>1004</v>
      </c>
      <c r="D85" s="0" t="n">
        <v>88</v>
      </c>
      <c r="E85" s="0" t="n">
        <v>14</v>
      </c>
      <c r="F85" s="0" t="n">
        <v>1</v>
      </c>
      <c r="G85" s="0" t="n">
        <v>359</v>
      </c>
      <c r="H85" s="0" t="n">
        <v>631</v>
      </c>
      <c r="I85" s="0" t="n">
        <v>0</v>
      </c>
      <c r="J85" s="0" t="n">
        <v>38</v>
      </c>
      <c r="K85" s="0" t="n">
        <v>0.5</v>
      </c>
    </row>
    <row r="86" customFormat="false" ht="13.5" hidden="false" customHeight="false" outlineLevel="0" collapsed="false">
      <c r="A86" s="0" t="s">
        <v>93</v>
      </c>
      <c r="B86" s="1" t="n">
        <v>43946</v>
      </c>
      <c r="C86" s="0" t="n">
        <v>1004</v>
      </c>
      <c r="D86" s="0" t="n">
        <v>0</v>
      </c>
      <c r="E86" s="0" t="n">
        <v>14</v>
      </c>
      <c r="F86" s="0" t="n">
        <v>0</v>
      </c>
      <c r="G86" s="0" t="n">
        <v>359</v>
      </c>
      <c r="H86" s="0" t="n">
        <v>631</v>
      </c>
      <c r="I86" s="0" t="n">
        <v>0</v>
      </c>
      <c r="J86" s="0" t="n">
        <v>38</v>
      </c>
      <c r="K86" s="0" t="n">
        <v>0.5</v>
      </c>
    </row>
    <row r="87" customFormat="false" ht="13.5" hidden="false" customHeight="false" outlineLevel="0" collapsed="false">
      <c r="A87" s="0" t="s">
        <v>93</v>
      </c>
      <c r="B87" s="1" t="n">
        <v>43947</v>
      </c>
      <c r="C87" s="0" t="n">
        <v>1077</v>
      </c>
      <c r="D87" s="0" t="n">
        <v>73</v>
      </c>
      <c r="E87" s="0" t="n">
        <v>14</v>
      </c>
      <c r="F87" s="0" t="n">
        <v>0</v>
      </c>
      <c r="G87" s="0" t="n">
        <v>419</v>
      </c>
      <c r="H87" s="0" t="n">
        <v>644</v>
      </c>
      <c r="I87" s="0" t="n">
        <v>0</v>
      </c>
      <c r="J87" s="0" t="n">
        <v>41</v>
      </c>
      <c r="K87" s="0" t="n">
        <v>0.5</v>
      </c>
    </row>
    <row r="88" customFormat="false" ht="13.5" hidden="false" customHeight="false" outlineLevel="0" collapsed="false">
      <c r="A88" s="0" t="s">
        <v>93</v>
      </c>
      <c r="B88" s="1" t="n">
        <v>43948</v>
      </c>
      <c r="C88" s="0" t="n">
        <v>1150</v>
      </c>
      <c r="D88" s="0" t="n">
        <v>73</v>
      </c>
      <c r="E88" s="0" t="n">
        <v>14</v>
      </c>
      <c r="F88" s="0" t="n">
        <v>0</v>
      </c>
      <c r="G88" s="0" t="n">
        <v>468</v>
      </c>
      <c r="H88" s="0" t="n">
        <v>668</v>
      </c>
      <c r="I88" s="0" t="n">
        <v>0</v>
      </c>
      <c r="J88" s="0" t="n">
        <v>44</v>
      </c>
      <c r="K88" s="0" t="n">
        <v>0.5</v>
      </c>
    </row>
    <row r="89" customFormat="false" ht="13.5" hidden="false" customHeight="false" outlineLevel="0" collapsed="false">
      <c r="A89" s="0" t="s">
        <v>93</v>
      </c>
      <c r="B89" s="1" t="n">
        <v>43949</v>
      </c>
      <c r="C89" s="0" t="n">
        <v>1164</v>
      </c>
      <c r="D89" s="0" t="n">
        <v>14</v>
      </c>
      <c r="E89" s="0" t="n">
        <v>14</v>
      </c>
      <c r="F89" s="0" t="n">
        <v>0</v>
      </c>
      <c r="G89" s="0" t="n">
        <v>499</v>
      </c>
      <c r="H89" s="0" t="n">
        <v>651</v>
      </c>
      <c r="I89" s="0" t="n">
        <v>0</v>
      </c>
      <c r="J89" s="0" t="n">
        <v>44</v>
      </c>
      <c r="K89" s="0" t="n">
        <v>0.5</v>
      </c>
    </row>
    <row r="90" customFormat="false" ht="13.5" hidden="false" customHeight="false" outlineLevel="0" collapsed="false">
      <c r="A90" s="0" t="s">
        <v>93</v>
      </c>
      <c r="B90" s="1" t="n">
        <v>43950</v>
      </c>
      <c r="C90" s="0" t="n">
        <v>1164</v>
      </c>
      <c r="D90" s="0" t="n">
        <v>0</v>
      </c>
      <c r="E90" s="0" t="n">
        <v>14</v>
      </c>
      <c r="F90" s="0" t="n">
        <v>0</v>
      </c>
      <c r="G90" s="0" t="n">
        <v>499</v>
      </c>
      <c r="H90" s="0" t="n">
        <v>651</v>
      </c>
      <c r="I90" s="0" t="n">
        <v>0</v>
      </c>
      <c r="J90" s="0" t="n">
        <v>44</v>
      </c>
      <c r="K90" s="0" t="n">
        <v>0.5</v>
      </c>
    </row>
    <row r="91" customFormat="false" ht="13.5" hidden="false" customHeight="false" outlineLevel="0" collapsed="false">
      <c r="A91" s="0" t="s">
        <v>93</v>
      </c>
      <c r="B91" s="1" t="n">
        <v>43951</v>
      </c>
      <c r="C91" s="0" t="n">
        <v>1183</v>
      </c>
      <c r="D91" s="0" t="n">
        <v>19</v>
      </c>
      <c r="E91" s="0" t="n">
        <v>14</v>
      </c>
      <c r="F91" s="0" t="n">
        <v>0</v>
      </c>
      <c r="G91" s="0" t="n">
        <v>525</v>
      </c>
      <c r="H91" s="0" t="n">
        <v>644</v>
      </c>
      <c r="I91" s="0" t="n">
        <v>0</v>
      </c>
      <c r="J91" s="0" t="n">
        <v>45</v>
      </c>
      <c r="K91" s="0" t="n">
        <v>0.5</v>
      </c>
    </row>
    <row r="92" customFormat="false" ht="13.5" hidden="false" customHeight="false" outlineLevel="0" collapsed="false">
      <c r="A92" s="0" t="s">
        <v>93</v>
      </c>
      <c r="B92" s="1" t="n">
        <v>43952</v>
      </c>
      <c r="C92" s="0" t="n">
        <v>1275</v>
      </c>
      <c r="D92" s="0" t="n">
        <v>92</v>
      </c>
      <c r="E92" s="0" t="n">
        <v>14</v>
      </c>
      <c r="F92" s="0" t="n">
        <v>0</v>
      </c>
      <c r="G92" s="0" t="n">
        <v>574</v>
      </c>
      <c r="H92" s="0" t="n">
        <v>687</v>
      </c>
      <c r="I92" s="0" t="n">
        <v>0</v>
      </c>
      <c r="J92" s="0" t="n">
        <v>48</v>
      </c>
      <c r="K92" s="0" t="n">
        <v>0.5</v>
      </c>
      <c r="L92" s="0" t="n">
        <v>9657</v>
      </c>
      <c r="M92" s="0" t="n">
        <v>366</v>
      </c>
    </row>
    <row r="93" customFormat="false" ht="13.5" hidden="false" customHeight="false" outlineLevel="0" collapsed="false">
      <c r="A93" s="0" t="s">
        <v>93</v>
      </c>
      <c r="B93" s="1" t="n">
        <v>43953</v>
      </c>
      <c r="C93" s="0" t="n">
        <v>1275</v>
      </c>
      <c r="D93" s="0" t="n">
        <v>0</v>
      </c>
      <c r="E93" s="0" t="n">
        <v>14</v>
      </c>
      <c r="F93" s="0" t="n">
        <v>0</v>
      </c>
      <c r="G93" s="0" t="n">
        <v>574</v>
      </c>
      <c r="H93" s="0" t="n">
        <v>687</v>
      </c>
      <c r="I93" s="0" t="n">
        <v>0</v>
      </c>
      <c r="J93" s="0" t="n">
        <v>48</v>
      </c>
      <c r="K93" s="0" t="n">
        <v>0.5</v>
      </c>
      <c r="L93" s="0" t="n">
        <v>9657</v>
      </c>
      <c r="M93" s="0" t="n">
        <v>366</v>
      </c>
    </row>
    <row r="94" customFormat="false" ht="13.5" hidden="false" customHeight="false" outlineLevel="0" collapsed="false">
      <c r="A94" s="0" t="s">
        <v>93</v>
      </c>
      <c r="B94" s="1" t="n">
        <v>43954</v>
      </c>
      <c r="C94" s="0" t="n">
        <v>1362</v>
      </c>
      <c r="D94" s="0" t="n">
        <v>87</v>
      </c>
      <c r="E94" s="0" t="n">
        <v>15</v>
      </c>
      <c r="F94" s="0" t="n">
        <v>1</v>
      </c>
      <c r="G94" s="0" t="n">
        <v>622</v>
      </c>
      <c r="H94" s="0" t="n">
        <v>725</v>
      </c>
      <c r="I94" s="0" t="n">
        <v>0</v>
      </c>
      <c r="J94" s="0" t="n">
        <v>52</v>
      </c>
      <c r="K94" s="0" t="n">
        <v>0.6</v>
      </c>
      <c r="L94" s="0" t="n">
        <v>10508</v>
      </c>
      <c r="M94" s="0" t="n">
        <v>398</v>
      </c>
    </row>
    <row r="95" customFormat="false" ht="13.5" hidden="false" customHeight="false" outlineLevel="0" collapsed="false">
      <c r="A95" s="0" t="s">
        <v>93</v>
      </c>
      <c r="B95" s="1" t="n">
        <v>43955</v>
      </c>
      <c r="C95" s="0" t="n">
        <v>1398</v>
      </c>
      <c r="D95" s="0" t="n">
        <v>36</v>
      </c>
      <c r="E95" s="0" t="n">
        <v>17</v>
      </c>
      <c r="F95" s="0" t="n">
        <v>2</v>
      </c>
      <c r="G95" s="0" t="n">
        <v>653</v>
      </c>
      <c r="H95" s="0" t="n">
        <v>728</v>
      </c>
      <c r="I95" s="0" t="n">
        <v>0</v>
      </c>
      <c r="J95" s="0" t="n">
        <v>53</v>
      </c>
      <c r="K95" s="0" t="n">
        <v>0.6</v>
      </c>
      <c r="L95" s="0" t="n">
        <v>10778</v>
      </c>
      <c r="M95" s="0" t="n">
        <v>409</v>
      </c>
    </row>
    <row r="96" customFormat="false" ht="13.5" hidden="false" customHeight="false" outlineLevel="0" collapsed="false">
      <c r="A96" s="0" t="s">
        <v>93</v>
      </c>
      <c r="B96" s="1" t="n">
        <v>43956</v>
      </c>
      <c r="C96" s="0" t="n">
        <v>1432</v>
      </c>
      <c r="D96" s="0" t="n">
        <v>34</v>
      </c>
      <c r="E96" s="0" t="n">
        <v>17</v>
      </c>
      <c r="F96" s="0" t="n">
        <v>0</v>
      </c>
      <c r="G96" s="0" t="n">
        <v>693</v>
      </c>
      <c r="H96" s="0" t="n">
        <v>722</v>
      </c>
      <c r="I96" s="0" t="n">
        <v>0</v>
      </c>
      <c r="J96" s="0" t="n">
        <v>54</v>
      </c>
      <c r="K96" s="0" t="n">
        <v>0.6</v>
      </c>
      <c r="L96" s="0" t="n">
        <v>10778</v>
      </c>
      <c r="M96" s="0" t="n">
        <v>409</v>
      </c>
    </row>
    <row r="97" customFormat="false" ht="13.5" hidden="false" customHeight="false" outlineLevel="0" collapsed="false">
      <c r="A97" s="0" t="s">
        <v>93</v>
      </c>
      <c r="B97" s="1" t="n">
        <v>43957</v>
      </c>
      <c r="C97" s="0" t="n">
        <v>1464</v>
      </c>
      <c r="D97" s="0" t="n">
        <v>32</v>
      </c>
      <c r="E97" s="0" t="n">
        <v>18</v>
      </c>
      <c r="F97" s="0" t="n">
        <v>1</v>
      </c>
      <c r="G97" s="0" t="n">
        <v>701</v>
      </c>
      <c r="H97" s="0" t="n">
        <v>745</v>
      </c>
      <c r="I97" s="0" t="n">
        <v>0</v>
      </c>
      <c r="J97" s="0" t="n">
        <v>56</v>
      </c>
      <c r="K97" s="0" t="n">
        <v>0.7</v>
      </c>
      <c r="L97" s="0" t="n">
        <v>11448</v>
      </c>
      <c r="M97" s="0" t="n">
        <v>434</v>
      </c>
    </row>
    <row r="98" customFormat="false" ht="13.5" hidden="false" customHeight="false" outlineLevel="0" collapsed="false">
      <c r="A98" s="0" t="s">
        <v>93</v>
      </c>
      <c r="B98" s="1" t="n">
        <v>43958</v>
      </c>
      <c r="C98" s="0" t="n">
        <v>1516</v>
      </c>
      <c r="D98" s="0" t="n">
        <v>52</v>
      </c>
      <c r="E98" s="0" t="n">
        <v>18</v>
      </c>
      <c r="F98" s="0" t="n">
        <v>0</v>
      </c>
      <c r="G98" s="0" t="n">
        <v>721</v>
      </c>
      <c r="H98" s="0" t="n">
        <v>777</v>
      </c>
      <c r="I98" s="0" t="n">
        <v>0</v>
      </c>
      <c r="J98" s="0" t="n">
        <v>57</v>
      </c>
      <c r="K98" s="0" t="n">
        <v>0.7</v>
      </c>
      <c r="L98" s="0" t="n">
        <v>11448</v>
      </c>
      <c r="M98" s="0" t="n">
        <v>434</v>
      </c>
    </row>
    <row r="99" customFormat="false" ht="13.5" hidden="false" customHeight="false" outlineLevel="0" collapsed="false">
      <c r="A99" s="0" t="s">
        <v>93</v>
      </c>
      <c r="B99" s="1" t="n">
        <v>43959</v>
      </c>
      <c r="C99" s="0" t="n">
        <v>1516</v>
      </c>
      <c r="D99" s="0" t="n">
        <v>0</v>
      </c>
      <c r="E99" s="0" t="n">
        <v>18</v>
      </c>
      <c r="F99" s="0" t="n">
        <v>0</v>
      </c>
      <c r="G99" s="0" t="n">
        <v>721</v>
      </c>
      <c r="H99" s="0" t="n">
        <v>777</v>
      </c>
      <c r="I99" s="0" t="n">
        <v>0</v>
      </c>
      <c r="J99" s="0" t="n">
        <v>57</v>
      </c>
      <c r="K99" s="0" t="n">
        <v>0.7</v>
      </c>
      <c r="L99" s="0" t="n">
        <v>11448</v>
      </c>
      <c r="M99" s="0" t="n">
        <v>434</v>
      </c>
    </row>
    <row r="100" customFormat="false" ht="13.5" hidden="false" customHeight="false" outlineLevel="0" collapsed="false">
      <c r="A100" s="0" t="s">
        <v>93</v>
      </c>
      <c r="B100" s="1" t="n">
        <v>43960</v>
      </c>
      <c r="C100" s="0" t="n">
        <v>1602</v>
      </c>
      <c r="D100" s="0" t="n">
        <v>86</v>
      </c>
      <c r="E100" s="0" t="n">
        <v>20</v>
      </c>
      <c r="F100" s="0" t="n">
        <v>2</v>
      </c>
      <c r="G100" s="0" t="n">
        <v>754</v>
      </c>
      <c r="H100" s="0" t="n">
        <v>828</v>
      </c>
      <c r="I100" s="0" t="n">
        <v>0</v>
      </c>
      <c r="J100" s="0" t="n">
        <v>61</v>
      </c>
      <c r="K100" s="0" t="n">
        <v>0.8</v>
      </c>
      <c r="L100" s="0" t="n">
        <v>12312</v>
      </c>
      <c r="M100" s="0" t="n">
        <v>467</v>
      </c>
    </row>
    <row r="101" customFormat="false" ht="13.5" hidden="false" customHeight="false" outlineLevel="0" collapsed="false">
      <c r="A101" s="0" t="s">
        <v>93</v>
      </c>
      <c r="B101" s="1" t="n">
        <v>43961</v>
      </c>
      <c r="C101" s="0" t="n">
        <v>1667</v>
      </c>
      <c r="D101" s="0" t="n">
        <v>65</v>
      </c>
      <c r="E101" s="0" t="n">
        <v>21</v>
      </c>
      <c r="F101" s="0" t="n">
        <v>1</v>
      </c>
      <c r="G101" s="0" t="n">
        <v>769</v>
      </c>
      <c r="H101" s="0" t="n">
        <v>877</v>
      </c>
      <c r="I101" s="0" t="n">
        <v>0</v>
      </c>
      <c r="J101" s="0" t="n">
        <v>63</v>
      </c>
      <c r="K101" s="0" t="n">
        <v>0.8</v>
      </c>
      <c r="L101" s="0" t="n">
        <v>12312</v>
      </c>
      <c r="M101" s="0" t="n">
        <v>467</v>
      </c>
    </row>
    <row r="102" customFormat="false" ht="13.5" hidden="false" customHeight="false" outlineLevel="0" collapsed="false">
      <c r="A102" s="0" t="s">
        <v>93</v>
      </c>
      <c r="B102" s="1" t="n">
        <v>43962</v>
      </c>
      <c r="C102" s="0" t="n">
        <v>1700</v>
      </c>
      <c r="D102" s="0" t="n">
        <v>33</v>
      </c>
      <c r="E102" s="0" t="n">
        <v>21</v>
      </c>
      <c r="F102" s="0" t="n">
        <v>0</v>
      </c>
      <c r="G102" s="0" t="n">
        <v>794</v>
      </c>
      <c r="H102" s="0" t="n">
        <v>885</v>
      </c>
      <c r="I102" s="0" t="n">
        <v>0</v>
      </c>
      <c r="J102" s="0" t="n">
        <v>64</v>
      </c>
      <c r="K102" s="0" t="n">
        <v>0.8</v>
      </c>
      <c r="L102" s="0" t="n">
        <v>13663</v>
      </c>
      <c r="M102" s="0" t="n">
        <v>518</v>
      </c>
    </row>
    <row r="103" customFormat="false" ht="13.5" hidden="false" customHeight="false" outlineLevel="0" collapsed="false">
      <c r="A103" s="0" t="s">
        <v>93</v>
      </c>
      <c r="B103" s="1" t="n">
        <v>43963</v>
      </c>
      <c r="C103" s="0" t="n">
        <v>1700</v>
      </c>
      <c r="D103" s="0" t="n">
        <v>0</v>
      </c>
      <c r="E103" s="0" t="n">
        <v>21</v>
      </c>
      <c r="F103" s="0" t="n">
        <v>0</v>
      </c>
      <c r="G103" s="0" t="n">
        <v>794</v>
      </c>
      <c r="H103" s="0" t="n">
        <v>885</v>
      </c>
      <c r="I103" s="0" t="n">
        <v>0</v>
      </c>
      <c r="J103" s="0" t="n">
        <v>64</v>
      </c>
      <c r="K103" s="0" t="n">
        <v>0.8</v>
      </c>
      <c r="L103" s="0" t="n">
        <v>13663</v>
      </c>
      <c r="M103" s="0" t="n">
        <v>518</v>
      </c>
    </row>
    <row r="104" customFormat="false" ht="13.5" hidden="false" customHeight="false" outlineLevel="0" collapsed="false">
      <c r="A104" s="0" t="s">
        <v>93</v>
      </c>
      <c r="B104" s="1" t="n">
        <v>43964</v>
      </c>
      <c r="C104" s="0" t="n">
        <v>1730</v>
      </c>
      <c r="D104" s="0" t="n">
        <v>30</v>
      </c>
      <c r="E104" s="0" t="n">
        <v>21</v>
      </c>
      <c r="F104" s="0" t="n">
        <v>0</v>
      </c>
      <c r="G104" s="0" t="n">
        <v>818</v>
      </c>
      <c r="H104" s="0" t="n">
        <v>891</v>
      </c>
      <c r="I104" s="0" t="n">
        <v>0</v>
      </c>
      <c r="J104" s="0" t="n">
        <v>66</v>
      </c>
      <c r="K104" s="0" t="n">
        <v>0.8</v>
      </c>
      <c r="L104" s="0" t="n">
        <v>13663</v>
      </c>
      <c r="M104" s="0" t="n">
        <v>518</v>
      </c>
    </row>
    <row r="105" customFormat="false" ht="13.5" hidden="false" customHeight="false" outlineLevel="0" collapsed="false">
      <c r="A105" s="0" t="s">
        <v>93</v>
      </c>
      <c r="B105" s="1" t="n">
        <v>43965</v>
      </c>
      <c r="C105" s="0" t="n">
        <v>1912</v>
      </c>
      <c r="D105" s="0" t="n">
        <v>182</v>
      </c>
      <c r="E105" s="0" t="n">
        <v>24</v>
      </c>
      <c r="F105" s="0" t="n">
        <v>3</v>
      </c>
      <c r="G105" s="0" t="n">
        <v>902</v>
      </c>
      <c r="H105" s="0" t="n">
        <v>986</v>
      </c>
      <c r="I105" s="0" t="n">
        <v>0</v>
      </c>
      <c r="J105" s="0" t="n">
        <v>72</v>
      </c>
      <c r="K105" s="0" t="n">
        <v>0.9</v>
      </c>
      <c r="L105" s="0" t="n">
        <v>15260</v>
      </c>
      <c r="M105" s="0" t="n">
        <v>579</v>
      </c>
    </row>
    <row r="106" customFormat="false" ht="13.5" hidden="false" customHeight="false" outlineLevel="0" collapsed="false">
      <c r="A106" s="0" t="s">
        <v>93</v>
      </c>
      <c r="B106" s="1" t="n">
        <v>43966</v>
      </c>
      <c r="C106" s="0" t="n">
        <v>1971</v>
      </c>
      <c r="D106" s="0" t="n">
        <v>59</v>
      </c>
      <c r="E106" s="0" t="n">
        <v>24</v>
      </c>
      <c r="F106" s="0" t="n">
        <v>0</v>
      </c>
      <c r="G106" s="0" t="n">
        <v>930</v>
      </c>
      <c r="H106" s="0" t="n">
        <v>1017</v>
      </c>
      <c r="I106" s="0" t="n">
        <v>0</v>
      </c>
      <c r="J106" s="0" t="n">
        <v>75</v>
      </c>
      <c r="K106" s="0" t="n">
        <v>0.9</v>
      </c>
      <c r="L106" s="0" t="n">
        <v>15260</v>
      </c>
      <c r="M106" s="0" t="n">
        <v>579</v>
      </c>
    </row>
    <row r="107" customFormat="false" ht="13.5" hidden="false" customHeight="false" outlineLevel="0" collapsed="false">
      <c r="A107" s="0" t="s">
        <v>93</v>
      </c>
      <c r="B107" s="1" t="n">
        <v>43967</v>
      </c>
      <c r="C107" s="0" t="n">
        <v>2017</v>
      </c>
      <c r="D107" s="0" t="n">
        <v>46</v>
      </c>
      <c r="E107" s="0" t="n">
        <v>24</v>
      </c>
      <c r="F107" s="0" t="n">
        <v>0</v>
      </c>
      <c r="G107" s="0" t="n">
        <v>942</v>
      </c>
      <c r="H107" s="0" t="n">
        <v>1051</v>
      </c>
      <c r="I107" s="0" t="n">
        <v>0</v>
      </c>
      <c r="J107" s="0" t="n">
        <v>77</v>
      </c>
      <c r="K107" s="0" t="n">
        <v>0.9</v>
      </c>
      <c r="L107" s="0" t="n">
        <v>15260</v>
      </c>
      <c r="M107" s="0" t="n">
        <v>581</v>
      </c>
    </row>
    <row r="108" customFormat="false" ht="13.5" hidden="false" customHeight="false" outlineLevel="0" collapsed="false">
      <c r="A108" s="0" t="s">
        <v>93</v>
      </c>
      <c r="B108" s="1" t="n">
        <v>43968</v>
      </c>
      <c r="C108" s="0" t="n">
        <v>2061</v>
      </c>
      <c r="D108" s="0" t="n">
        <v>44</v>
      </c>
      <c r="E108" s="0" t="n">
        <v>25</v>
      </c>
      <c r="F108" s="0" t="n">
        <v>1</v>
      </c>
      <c r="G108" s="0" t="n">
        <v>987</v>
      </c>
      <c r="H108" s="0" t="n">
        <v>1049</v>
      </c>
      <c r="I108" s="0" t="n">
        <v>0</v>
      </c>
      <c r="J108" s="0" t="n">
        <v>78</v>
      </c>
      <c r="K108" s="0" t="n">
        <v>1</v>
      </c>
      <c r="L108" s="0" t="n">
        <v>15260</v>
      </c>
      <c r="M108" s="0" t="n">
        <v>580</v>
      </c>
    </row>
    <row r="109" customFormat="false" ht="13.5" hidden="false" customHeight="false" outlineLevel="0" collapsed="false">
      <c r="A109" s="0" t="s">
        <v>93</v>
      </c>
      <c r="B109" s="1" t="n">
        <v>43969</v>
      </c>
      <c r="C109" s="0" t="n">
        <v>2109</v>
      </c>
      <c r="D109" s="0" t="n">
        <v>48</v>
      </c>
      <c r="E109" s="0" t="n">
        <v>27</v>
      </c>
      <c r="F109" s="0" t="n">
        <v>2</v>
      </c>
      <c r="G109" s="0" t="n">
        <v>1004</v>
      </c>
      <c r="H109" s="0" t="n">
        <v>1078</v>
      </c>
      <c r="I109" s="0" t="n">
        <v>0</v>
      </c>
      <c r="J109" s="0" t="n">
        <v>80</v>
      </c>
      <c r="K109" s="0" t="n">
        <v>1</v>
      </c>
      <c r="L109" s="0" t="n">
        <v>18303</v>
      </c>
      <c r="M109" s="0" t="n">
        <v>696</v>
      </c>
    </row>
    <row r="110" customFormat="false" ht="13.5" hidden="false" customHeight="false" outlineLevel="0" collapsed="false">
      <c r="A110" s="0" t="s">
        <v>93</v>
      </c>
      <c r="B110" s="1" t="n">
        <v>43970</v>
      </c>
      <c r="C110" s="0" t="n">
        <v>2119</v>
      </c>
      <c r="D110" s="0" t="n">
        <v>10</v>
      </c>
      <c r="E110" s="0" t="n">
        <v>28</v>
      </c>
      <c r="F110" s="0" t="n">
        <v>1</v>
      </c>
      <c r="G110" s="0" t="n">
        <v>1040</v>
      </c>
      <c r="H110" s="0" t="n">
        <v>1051</v>
      </c>
      <c r="I110" s="0" t="n">
        <v>0</v>
      </c>
      <c r="J110" s="0" t="n">
        <v>81</v>
      </c>
      <c r="K110" s="0" t="n">
        <v>1</v>
      </c>
      <c r="L110" s="0" t="n">
        <v>18608</v>
      </c>
      <c r="M110" s="0" t="n">
        <v>708</v>
      </c>
    </row>
    <row r="111" customFormat="false" ht="13.5" hidden="false" customHeight="false" outlineLevel="0" collapsed="false">
      <c r="A111" s="0" t="s">
        <v>93</v>
      </c>
      <c r="B111" s="1" t="n">
        <v>43971</v>
      </c>
      <c r="C111" s="0" t="n">
        <v>2153</v>
      </c>
      <c r="D111" s="0" t="n">
        <v>34</v>
      </c>
      <c r="E111" s="0" t="n">
        <v>28</v>
      </c>
      <c r="F111" s="0" t="n">
        <v>0</v>
      </c>
      <c r="G111" s="0" t="n">
        <v>1050</v>
      </c>
      <c r="H111" s="0" t="n">
        <v>1075</v>
      </c>
      <c r="I111" s="0" t="n">
        <v>0</v>
      </c>
      <c r="J111" s="0" t="n">
        <v>82</v>
      </c>
      <c r="K111" s="0" t="n">
        <v>1</v>
      </c>
      <c r="L111" s="0" t="n">
        <v>18608</v>
      </c>
      <c r="M111" s="0" t="n">
        <v>708</v>
      </c>
    </row>
    <row r="112" customFormat="false" ht="13.5" hidden="false" customHeight="false" outlineLevel="0" collapsed="false">
      <c r="A112" s="0" t="s">
        <v>93</v>
      </c>
      <c r="B112" s="1" t="n">
        <v>43972</v>
      </c>
      <c r="C112" s="0" t="n">
        <v>2231</v>
      </c>
      <c r="D112" s="0" t="n">
        <v>78</v>
      </c>
      <c r="E112" s="0" t="n">
        <v>29</v>
      </c>
      <c r="F112" s="0" t="n">
        <v>1</v>
      </c>
      <c r="G112" s="0" t="n">
        <v>1083</v>
      </c>
      <c r="H112" s="0" t="n">
        <v>1119</v>
      </c>
      <c r="I112" s="0" t="n">
        <v>0</v>
      </c>
      <c r="J112" s="0" t="n">
        <v>85</v>
      </c>
      <c r="K112" s="0" t="n">
        <v>1</v>
      </c>
      <c r="L112" s="0" t="n">
        <v>19174</v>
      </c>
      <c r="M112" s="0" t="n">
        <v>729</v>
      </c>
    </row>
    <row r="113" customFormat="false" ht="13.5" hidden="false" customHeight="false" outlineLevel="0" collapsed="false">
      <c r="A113" s="0" t="s">
        <v>93</v>
      </c>
      <c r="B113" s="1" t="n">
        <v>43973</v>
      </c>
      <c r="C113" s="0" t="n">
        <v>2301</v>
      </c>
      <c r="D113" s="0" t="n">
        <v>70</v>
      </c>
      <c r="E113" s="0" t="n">
        <v>29</v>
      </c>
      <c r="F113" s="0" t="n">
        <v>0</v>
      </c>
      <c r="G113" s="0" t="n">
        <v>1100</v>
      </c>
      <c r="H113" s="0" t="n">
        <v>1172</v>
      </c>
      <c r="I113" s="0" t="n">
        <v>0</v>
      </c>
      <c r="J113" s="0" t="n">
        <v>87</v>
      </c>
      <c r="K113" s="0" t="n">
        <v>1</v>
      </c>
      <c r="L113" s="0" t="n">
        <v>21069</v>
      </c>
      <c r="M113" s="0" t="n">
        <v>801</v>
      </c>
    </row>
    <row r="114" customFormat="false" ht="13.5" hidden="false" customHeight="false" outlineLevel="0" collapsed="false">
      <c r="A114" s="0" t="s">
        <v>93</v>
      </c>
      <c r="B114" s="1" t="n">
        <v>43974</v>
      </c>
      <c r="C114" s="0" t="n">
        <v>2341</v>
      </c>
      <c r="D114" s="0" t="n">
        <v>40</v>
      </c>
      <c r="E114" s="0" t="n">
        <v>29</v>
      </c>
      <c r="F114" s="0" t="n">
        <v>0</v>
      </c>
      <c r="G114" s="0" t="n">
        <v>1146</v>
      </c>
      <c r="H114" s="0" t="n">
        <v>1166</v>
      </c>
      <c r="I114" s="0" t="n">
        <v>0</v>
      </c>
      <c r="J114" s="0" t="n">
        <v>89</v>
      </c>
      <c r="K114" s="0" t="n">
        <v>1</v>
      </c>
      <c r="L114" s="0" t="n">
        <v>22233</v>
      </c>
      <c r="M114" s="0" t="n">
        <v>845</v>
      </c>
    </row>
    <row r="115" customFormat="false" ht="13.5" hidden="false" customHeight="false" outlineLevel="0" collapsed="false">
      <c r="A115" s="0" t="s">
        <v>93</v>
      </c>
      <c r="B115" s="1" t="n">
        <v>43975</v>
      </c>
      <c r="C115" s="0" t="n">
        <v>2366</v>
      </c>
      <c r="D115" s="0" t="n">
        <v>25</v>
      </c>
      <c r="E115" s="0" t="n">
        <v>30</v>
      </c>
      <c r="F115" s="0" t="n">
        <v>1</v>
      </c>
      <c r="G115" s="0" t="n">
        <v>1188</v>
      </c>
      <c r="H115" s="0" t="n">
        <v>1148</v>
      </c>
      <c r="I115" s="0" t="n">
        <v>0</v>
      </c>
      <c r="J115" s="0" t="n">
        <v>90</v>
      </c>
      <c r="K115" s="0" t="n">
        <v>1</v>
      </c>
      <c r="L115" s="0" t="n">
        <v>22233</v>
      </c>
      <c r="M115" s="0" t="n">
        <v>845</v>
      </c>
    </row>
    <row r="116" customFormat="false" ht="13.5" hidden="false" customHeight="false" outlineLevel="0" collapsed="false">
      <c r="A116" s="0" t="s">
        <v>93</v>
      </c>
      <c r="B116" s="1" t="n">
        <v>43976</v>
      </c>
      <c r="C116" s="0" t="n">
        <v>2376</v>
      </c>
      <c r="D116" s="0" t="n">
        <v>10</v>
      </c>
      <c r="E116" s="0" t="n">
        <v>30</v>
      </c>
      <c r="F116" s="0" t="n">
        <v>0</v>
      </c>
      <c r="G116" s="0" t="n">
        <v>1219</v>
      </c>
      <c r="H116" s="0" t="n">
        <v>1127</v>
      </c>
      <c r="I116" s="0" t="n">
        <v>0</v>
      </c>
      <c r="J116" s="0" t="n">
        <v>90</v>
      </c>
      <c r="K116" s="0" t="n">
        <v>1</v>
      </c>
      <c r="L116" s="0" t="n">
        <v>23444</v>
      </c>
      <c r="M116" s="0" t="n">
        <v>891</v>
      </c>
    </row>
    <row r="117" customFormat="false" ht="13.5" hidden="false" customHeight="false" outlineLevel="0" collapsed="false">
      <c r="A117" s="0" t="s">
        <v>93</v>
      </c>
      <c r="B117" s="1" t="n">
        <v>43977</v>
      </c>
      <c r="C117" s="0" t="n">
        <v>2423</v>
      </c>
      <c r="D117" s="0" t="n">
        <v>47</v>
      </c>
      <c r="E117" s="0" t="n">
        <v>30</v>
      </c>
      <c r="F117" s="0" t="n">
        <v>0</v>
      </c>
      <c r="G117" s="0" t="n">
        <v>1257</v>
      </c>
      <c r="H117" s="0" t="n">
        <v>1136</v>
      </c>
      <c r="I117" s="0" t="n">
        <v>0</v>
      </c>
      <c r="J117" s="0" t="n">
        <v>92</v>
      </c>
      <c r="K117" s="0" t="n">
        <v>1</v>
      </c>
      <c r="L117" s="0" t="n">
        <v>24317</v>
      </c>
      <c r="M117" s="0" t="n">
        <v>924</v>
      </c>
    </row>
    <row r="118" customFormat="false" ht="13.5" hidden="false" customHeight="false" outlineLevel="0" collapsed="false">
      <c r="A118" s="0" t="s">
        <v>93</v>
      </c>
      <c r="B118" s="1" t="n">
        <v>43978</v>
      </c>
      <c r="C118" s="0" t="n">
        <v>2477</v>
      </c>
      <c r="D118" s="0" t="n">
        <v>54</v>
      </c>
      <c r="E118" s="0" t="n">
        <v>30</v>
      </c>
      <c r="F118" s="0" t="n">
        <v>0</v>
      </c>
      <c r="G118" s="0" t="n">
        <v>1286</v>
      </c>
      <c r="H118" s="0" t="n">
        <v>1161</v>
      </c>
      <c r="I118" s="0" t="n">
        <v>0</v>
      </c>
      <c r="J118" s="0" t="n">
        <v>94</v>
      </c>
      <c r="K118" s="0" t="n">
        <v>1</v>
      </c>
      <c r="L118" s="0" t="n">
        <v>25099</v>
      </c>
      <c r="M118" s="0" t="n">
        <v>954</v>
      </c>
    </row>
    <row r="119" customFormat="false" ht="13.5" hidden="false" customHeight="false" outlineLevel="0" collapsed="false">
      <c r="A119" s="0" t="s">
        <v>93</v>
      </c>
      <c r="B119" s="1" t="n">
        <v>43979</v>
      </c>
      <c r="C119" s="0" t="n">
        <v>2556</v>
      </c>
      <c r="D119" s="0" t="n">
        <v>79</v>
      </c>
      <c r="E119" s="0" t="n">
        <v>31</v>
      </c>
      <c r="F119" s="0" t="n">
        <v>1</v>
      </c>
      <c r="G119" s="0" t="n">
        <v>1302</v>
      </c>
      <c r="H119" s="0" t="n">
        <v>1223</v>
      </c>
      <c r="I119" s="0" t="n">
        <v>0</v>
      </c>
      <c r="J119" s="0" t="n">
        <v>97</v>
      </c>
      <c r="K119" s="0" t="n">
        <v>1</v>
      </c>
      <c r="L119" s="0" t="n">
        <v>25524</v>
      </c>
      <c r="M119" s="0" t="n">
        <v>970</v>
      </c>
    </row>
    <row r="120" customFormat="false" ht="13.5" hidden="false" customHeight="false" outlineLevel="0" collapsed="false">
      <c r="A120" s="0" t="s">
        <v>93</v>
      </c>
      <c r="B120" s="1" t="n">
        <v>43980</v>
      </c>
      <c r="C120" s="0" t="n">
        <v>2641</v>
      </c>
      <c r="D120" s="0" t="n">
        <v>85</v>
      </c>
      <c r="E120" s="0" t="n">
        <v>32</v>
      </c>
      <c r="F120" s="0" t="n">
        <v>1</v>
      </c>
      <c r="G120" s="0" t="n">
        <v>1326</v>
      </c>
      <c r="H120" s="0" t="n">
        <v>1283</v>
      </c>
      <c r="I120" s="0" t="n">
        <v>0</v>
      </c>
      <c r="J120" s="0" t="n">
        <v>100</v>
      </c>
      <c r="K120" s="0" t="n">
        <v>1</v>
      </c>
      <c r="L120" s="0" t="n">
        <v>26021</v>
      </c>
      <c r="M120" s="0" t="n">
        <v>989</v>
      </c>
    </row>
    <row r="121" customFormat="false" ht="13.5" hidden="false" customHeight="false" outlineLevel="0" collapsed="false">
      <c r="A121" s="0" t="s">
        <v>93</v>
      </c>
      <c r="B121" s="1" t="n">
        <v>43981</v>
      </c>
      <c r="C121" s="0" t="n">
        <v>2750</v>
      </c>
      <c r="D121" s="0" t="n">
        <v>109</v>
      </c>
      <c r="E121" s="0" t="n">
        <v>32</v>
      </c>
      <c r="F121" s="0" t="n">
        <v>0</v>
      </c>
      <c r="G121" s="0" t="n">
        <v>1370</v>
      </c>
      <c r="H121" s="0" t="n">
        <v>1348</v>
      </c>
      <c r="I121" s="0" t="n">
        <v>0</v>
      </c>
      <c r="J121" s="0" t="n">
        <v>105</v>
      </c>
      <c r="K121" s="0" t="n">
        <v>1</v>
      </c>
      <c r="L121" s="0" t="n">
        <v>26548</v>
      </c>
      <c r="M121" s="0" t="n">
        <v>1009</v>
      </c>
    </row>
    <row r="122" customFormat="false" ht="13.5" hidden="false" customHeight="false" outlineLevel="0" collapsed="false">
      <c r="A122" s="0" t="s">
        <v>93</v>
      </c>
      <c r="B122" s="1" t="n">
        <v>43982</v>
      </c>
      <c r="C122" s="0" t="e">
        <f aca="false">sheet1!auo123</f>
        <v>#NAME?</v>
      </c>
      <c r="D122" s="0" t="e">
        <f aca="false">sheet1!aup123</f>
        <v>#NAME?</v>
      </c>
      <c r="E122" s="0" t="e">
        <f aca="false">sheet1!auq123</f>
        <v>#NAME?</v>
      </c>
      <c r="F122" s="0" t="e">
        <f aca="false">sheet1!aur123</f>
        <v>#NAME?</v>
      </c>
      <c r="G122" s="0" t="e">
        <f aca="false">sheet1!aus123</f>
        <v>#NAME?</v>
      </c>
      <c r="H122" s="0" t="e">
        <f aca="false">sheet1!aut123</f>
        <v>#NAME?</v>
      </c>
      <c r="I122" s="0" t="e">
        <f aca="false">sheet1!auu123</f>
        <v>#NAME?</v>
      </c>
      <c r="J122" s="0" t="e">
        <f aca="false">sheet1!auv123</f>
        <v>#NAME?</v>
      </c>
      <c r="K122" s="0" t="e">
        <f aca="false">sheet1!auw123</f>
        <v>#NAME?</v>
      </c>
      <c r="L122" s="0" t="e">
        <f aca="false">sheet1!aux123</f>
        <v>#NAME?</v>
      </c>
      <c r="M122" s="0" t="e">
        <f aca="false">sheet1!auy123</f>
        <v>#NAME?</v>
      </c>
    </row>
    <row r="123" customFormat="false" ht="13.5" hidden="false" customHeight="false" outlineLevel="0" collapsed="false">
      <c r="A123" s="0" t="s">
        <v>93</v>
      </c>
      <c r="B123" s="1" t="n">
        <v>43983</v>
      </c>
      <c r="C123" s="0" t="e">
        <f aca="false">sheet1!auo124</f>
        <v>#NAME?</v>
      </c>
      <c r="D123" s="0" t="e">
        <f aca="false">sheet1!aup124</f>
        <v>#NAME?</v>
      </c>
      <c r="E123" s="0" t="e">
        <f aca="false">sheet1!auq124</f>
        <v>#NAME?</v>
      </c>
      <c r="F123" s="0" t="e">
        <f aca="false">sheet1!aur124</f>
        <v>#NAME?</v>
      </c>
      <c r="G123" s="0" t="e">
        <f aca="false">sheet1!aus124</f>
        <v>#NAME?</v>
      </c>
      <c r="H123" s="0" t="e">
        <f aca="false">sheet1!aut124</f>
        <v>#NAME?</v>
      </c>
      <c r="I123" s="0" t="e">
        <f aca="false">sheet1!auu124</f>
        <v>#NAME?</v>
      </c>
      <c r="J123" s="0" t="e">
        <f aca="false">sheet1!auv124</f>
        <v>#NAME?</v>
      </c>
      <c r="K123" s="0" t="e">
        <f aca="false">sheet1!auw124</f>
        <v>#NAME?</v>
      </c>
      <c r="L123" s="0" t="e">
        <f aca="false">sheet1!aux124</f>
        <v>#NAME?</v>
      </c>
      <c r="M123" s="0" t="e">
        <f aca="false">sheet1!auy124</f>
        <v>#NAME?</v>
      </c>
    </row>
    <row r="124" customFormat="false" ht="13.5" hidden="false" customHeight="false" outlineLevel="0" collapsed="false">
      <c r="A124" s="0" t="s">
        <v>93</v>
      </c>
      <c r="B124" s="1" t="n">
        <v>43984</v>
      </c>
      <c r="C124" s="0" t="e">
        <f aca="false">sheet1!auo125</f>
        <v>#NAME?</v>
      </c>
      <c r="D124" s="0" t="e">
        <f aca="false">sheet1!aup125</f>
        <v>#NAME?</v>
      </c>
      <c r="E124" s="0" t="e">
        <f aca="false">sheet1!auq125</f>
        <v>#NAME?</v>
      </c>
      <c r="F124" s="0" t="e">
        <f aca="false">sheet1!aur125</f>
        <v>#NAME?</v>
      </c>
      <c r="G124" s="0" t="e">
        <f aca="false">sheet1!aus125</f>
        <v>#NAME?</v>
      </c>
      <c r="H124" s="0" t="e">
        <f aca="false">sheet1!aut125</f>
        <v>#NAME?</v>
      </c>
      <c r="I124" s="0" t="e">
        <f aca="false">sheet1!auu125</f>
        <v>#NAME?</v>
      </c>
      <c r="J124" s="0" t="e">
        <f aca="false">sheet1!auv125</f>
        <v>#NAME?</v>
      </c>
      <c r="K124" s="0" t="e">
        <f aca="false">sheet1!auw125</f>
        <v>#NAME?</v>
      </c>
      <c r="L124" s="0" t="e">
        <f aca="false">sheet1!aux125</f>
        <v>#NAME?</v>
      </c>
      <c r="M124" s="0" t="e">
        <f aca="false">sheet1!auy125</f>
        <v>#NAME?</v>
      </c>
    </row>
    <row r="125" customFormat="false" ht="13.5" hidden="false" customHeight="false" outlineLevel="0" collapsed="false">
      <c r="A125" s="0" t="s">
        <v>93</v>
      </c>
      <c r="B125" s="1" t="n">
        <v>43985</v>
      </c>
      <c r="C125" s="0" t="e">
        <f aca="false">sheet1!auo126</f>
        <v>#NAME?</v>
      </c>
      <c r="D125" s="0" t="e">
        <f aca="false">sheet1!aup126</f>
        <v>#NAME?</v>
      </c>
      <c r="E125" s="0" t="e">
        <f aca="false">sheet1!auq126</f>
        <v>#NAME?</v>
      </c>
      <c r="F125" s="0" t="e">
        <f aca="false">sheet1!aur126</f>
        <v>#NAME?</v>
      </c>
      <c r="G125" s="0" t="e">
        <f aca="false">sheet1!aus126</f>
        <v>#NAME?</v>
      </c>
      <c r="H125" s="0" t="e">
        <f aca="false">sheet1!aut126</f>
        <v>#NAME?</v>
      </c>
      <c r="I125" s="0" t="e">
        <f aca="false">sheet1!auu126</f>
        <v>#NAME?</v>
      </c>
      <c r="J125" s="0" t="e">
        <f aca="false">sheet1!auv126</f>
        <v>#NAME?</v>
      </c>
      <c r="K125" s="0" t="e">
        <f aca="false">sheet1!auw126</f>
        <v>#NAME?</v>
      </c>
      <c r="L125" s="0" t="e">
        <f aca="false">sheet1!aux126</f>
        <v>#NAME?</v>
      </c>
      <c r="M125" s="0" t="e">
        <f aca="false">sheet1!auy126</f>
        <v>#NAME?</v>
      </c>
    </row>
    <row r="126" customFormat="false" ht="13.5" hidden="false" customHeight="false" outlineLevel="0" collapsed="false">
      <c r="A126" s="0" t="s">
        <v>93</v>
      </c>
      <c r="B126" s="1" t="n">
        <v>43986</v>
      </c>
      <c r="C126" s="0" t="e">
        <f aca="false">sheet1!auo127</f>
        <v>#NAME?</v>
      </c>
      <c r="D126" s="0" t="e">
        <f aca="false">sheet1!aup127</f>
        <v>#NAME?</v>
      </c>
      <c r="E126" s="0" t="e">
        <f aca="false">sheet1!auq127</f>
        <v>#NAME?</v>
      </c>
      <c r="F126" s="0" t="e">
        <f aca="false">sheet1!aur127</f>
        <v>#NAME?</v>
      </c>
      <c r="G126" s="0" t="e">
        <f aca="false">sheet1!aus127</f>
        <v>#NAME?</v>
      </c>
      <c r="H126" s="0" t="e">
        <f aca="false">sheet1!aut127</f>
        <v>#NAME?</v>
      </c>
      <c r="I126" s="0" t="e">
        <f aca="false">sheet1!auu127</f>
        <v>#NAME?</v>
      </c>
      <c r="J126" s="0" t="e">
        <f aca="false">sheet1!auv127</f>
        <v>#NAME?</v>
      </c>
      <c r="K126" s="0" t="e">
        <f aca="false">sheet1!auw127</f>
        <v>#NAME?</v>
      </c>
      <c r="L126" s="0" t="e">
        <f aca="false">sheet1!aux127</f>
        <v>#NAME?</v>
      </c>
      <c r="M126" s="0" t="e">
        <f aca="false">sheet1!auy127</f>
        <v>#NAME?</v>
      </c>
    </row>
    <row r="127" customFormat="false" ht="13.5" hidden="false" customHeight="false" outlineLevel="0" collapsed="false">
      <c r="A127" s="0" t="s">
        <v>93</v>
      </c>
      <c r="B127" s="1" t="n">
        <v>43987</v>
      </c>
      <c r="C127" s="0" t="e">
        <f aca="false">sheet1!auo128</f>
        <v>#NAME?</v>
      </c>
      <c r="D127" s="0" t="e">
        <f aca="false">sheet1!aup128</f>
        <v>#NAME?</v>
      </c>
      <c r="E127" s="0" t="e">
        <f aca="false">sheet1!auq128</f>
        <v>#NAME?</v>
      </c>
      <c r="F127" s="0" t="e">
        <f aca="false">sheet1!aur128</f>
        <v>#NAME?</v>
      </c>
      <c r="G127" s="0" t="e">
        <f aca="false">sheet1!aus128</f>
        <v>#NAME?</v>
      </c>
      <c r="H127" s="0" t="e">
        <f aca="false">sheet1!aut128</f>
        <v>#NAME?</v>
      </c>
      <c r="I127" s="0" t="e">
        <f aca="false">sheet1!auu128</f>
        <v>#NAME?</v>
      </c>
      <c r="J127" s="0" t="e">
        <f aca="false">sheet1!auv128</f>
        <v>#NAME?</v>
      </c>
      <c r="K127" s="0" t="e">
        <f aca="false">sheet1!auw128</f>
        <v>#NAME?</v>
      </c>
      <c r="L127" s="0" t="e">
        <f aca="false">sheet1!aux128</f>
        <v>#NAME?</v>
      </c>
      <c r="M127" s="0" t="e">
        <f aca="false">sheet1!auy128</f>
        <v>#NAME?</v>
      </c>
    </row>
    <row r="128" customFormat="false" ht="13.5" hidden="false" customHeight="false" outlineLevel="0" collapsed="false">
      <c r="A128" s="0" t="s">
        <v>93</v>
      </c>
      <c r="B128" s="1" t="n">
        <v>43988</v>
      </c>
      <c r="C128" s="0" t="e">
        <f aca="false">sheet1!auo129</f>
        <v>#NAME?</v>
      </c>
      <c r="D128" s="0" t="e">
        <f aca="false">sheet1!aup129</f>
        <v>#NAME?</v>
      </c>
      <c r="E128" s="0" t="e">
        <f aca="false">sheet1!auq129</f>
        <v>#NAME?</v>
      </c>
      <c r="F128" s="0" t="e">
        <f aca="false">sheet1!aur129</f>
        <v>#NAME?</v>
      </c>
      <c r="G128" s="0" t="e">
        <f aca="false">sheet1!aus129</f>
        <v>#NAME?</v>
      </c>
      <c r="H128" s="0" t="e">
        <f aca="false">sheet1!aut129</f>
        <v>#NAME?</v>
      </c>
      <c r="I128" s="0" t="e">
        <f aca="false">sheet1!auu129</f>
        <v>#NAME?</v>
      </c>
      <c r="J128" s="0" t="e">
        <f aca="false">sheet1!auv129</f>
        <v>#NAME?</v>
      </c>
      <c r="K128" s="0" t="e">
        <f aca="false">sheet1!auw129</f>
        <v>#NAME?</v>
      </c>
      <c r="L128" s="0" t="e">
        <f aca="false">sheet1!aux129</f>
        <v>#NAME?</v>
      </c>
      <c r="M128" s="0" t="e">
        <f aca="false">sheet1!auy129</f>
        <v>#NAME?</v>
      </c>
    </row>
    <row r="129" customFormat="false" ht="13.5" hidden="false" customHeight="false" outlineLevel="0" collapsed="false">
      <c r="A129" s="0" t="s">
        <v>93</v>
      </c>
      <c r="B129" s="1" t="n">
        <v>43989</v>
      </c>
      <c r="C129" s="0" t="e">
        <f aca="false">sheet1!auo130</f>
        <v>#NAME?</v>
      </c>
      <c r="D129" s="0" t="e">
        <f aca="false">sheet1!aup130</f>
        <v>#NAME?</v>
      </c>
      <c r="E129" s="0" t="e">
        <f aca="false">sheet1!auq130</f>
        <v>#NAME?</v>
      </c>
      <c r="F129" s="0" t="e">
        <f aca="false">sheet1!aur130</f>
        <v>#NAME?</v>
      </c>
      <c r="G129" s="0" t="e">
        <f aca="false">sheet1!aus130</f>
        <v>#NAME?</v>
      </c>
      <c r="H129" s="0" t="e">
        <f aca="false">sheet1!aut130</f>
        <v>#NAME?</v>
      </c>
      <c r="I129" s="0" t="e">
        <f aca="false">sheet1!auu130</f>
        <v>#NAME?</v>
      </c>
      <c r="J129" s="0" t="e">
        <f aca="false">sheet1!auv130</f>
        <v>#NAME?</v>
      </c>
      <c r="K129" s="0" t="e">
        <f aca="false">sheet1!auw130</f>
        <v>#NAME?</v>
      </c>
      <c r="L129" s="0" t="e">
        <f aca="false">sheet1!aux130</f>
        <v>#NAME?</v>
      </c>
      <c r="M129" s="0" t="e">
        <f aca="false">sheet1!auy130</f>
        <v>#NAME?</v>
      </c>
    </row>
    <row r="130" customFormat="false" ht="13.5" hidden="false" customHeight="false" outlineLevel="0" collapsed="false">
      <c r="A130" s="0" t="s">
        <v>93</v>
      </c>
      <c r="B130" s="1" t="n">
        <v>43990</v>
      </c>
      <c r="C130" s="0" t="e">
        <f aca="false">sheet1!auo131</f>
        <v>#NAME?</v>
      </c>
      <c r="D130" s="0" t="e">
        <f aca="false">sheet1!aup131</f>
        <v>#NAME?</v>
      </c>
      <c r="E130" s="0" t="e">
        <f aca="false">sheet1!auq131</f>
        <v>#NAME?</v>
      </c>
      <c r="F130" s="0" t="e">
        <f aca="false">sheet1!aur131</f>
        <v>#NAME?</v>
      </c>
      <c r="G130" s="0" t="e">
        <f aca="false">sheet1!aus131</f>
        <v>#NAME?</v>
      </c>
      <c r="H130" s="0" t="e">
        <f aca="false">sheet1!aut131</f>
        <v>#NAME?</v>
      </c>
      <c r="I130" s="0" t="e">
        <f aca="false">sheet1!auu131</f>
        <v>#NAME?</v>
      </c>
      <c r="J130" s="0" t="e">
        <f aca="false">sheet1!auv131</f>
        <v>#NAME?</v>
      </c>
      <c r="K130" s="0" t="e">
        <f aca="false">sheet1!auw131</f>
        <v>#NAME?</v>
      </c>
      <c r="L130" s="0" t="e">
        <f aca="false">sheet1!aux131</f>
        <v>#NAME?</v>
      </c>
      <c r="M130" s="0" t="e">
        <f aca="false">sheet1!auy131</f>
        <v>#NAME?</v>
      </c>
    </row>
    <row r="131" customFormat="false" ht="13.5" hidden="false" customHeight="false" outlineLevel="0" collapsed="false">
      <c r="A131" s="0" t="s">
        <v>93</v>
      </c>
      <c r="B131" s="1" t="n">
        <v>43991</v>
      </c>
      <c r="C131" s="0" t="e">
        <f aca="false">sheet1!auo132</f>
        <v>#NAME?</v>
      </c>
      <c r="D131" s="0" t="e">
        <f aca="false">sheet1!aup132</f>
        <v>#NAME?</v>
      </c>
      <c r="E131" s="0" t="e">
        <f aca="false">sheet1!auq132</f>
        <v>#NAME?</v>
      </c>
      <c r="F131" s="0" t="e">
        <f aca="false">sheet1!aur132</f>
        <v>#NAME?</v>
      </c>
      <c r="G131" s="0" t="e">
        <f aca="false">sheet1!aus132</f>
        <v>#NAME?</v>
      </c>
      <c r="H131" s="0" t="e">
        <f aca="false">sheet1!aut132</f>
        <v>#NAME?</v>
      </c>
      <c r="I131" s="0" t="e">
        <f aca="false">sheet1!auu132</f>
        <v>#NAME?</v>
      </c>
      <c r="J131" s="0" t="e">
        <f aca="false">sheet1!auv132</f>
        <v>#NAME?</v>
      </c>
      <c r="K131" s="0" t="e">
        <f aca="false">sheet1!auw132</f>
        <v>#NAME?</v>
      </c>
      <c r="L131" s="0" t="e">
        <f aca="false">sheet1!aux132</f>
        <v>#NAME?</v>
      </c>
      <c r="M131" s="0" t="e">
        <f aca="false">sheet1!auy132</f>
        <v>#NAME?</v>
      </c>
    </row>
    <row r="132" customFormat="false" ht="13.5" hidden="false" customHeight="false" outlineLevel="0" collapsed="false">
      <c r="A132" s="0" t="s">
        <v>93</v>
      </c>
      <c r="B132" s="1" t="n">
        <v>43992</v>
      </c>
      <c r="C132" s="0" t="e">
        <f aca="false">sheet1!auo133</f>
        <v>#NAME?</v>
      </c>
      <c r="D132" s="0" t="e">
        <f aca="false">sheet1!aup133</f>
        <v>#NAME?</v>
      </c>
      <c r="E132" s="0" t="e">
        <f aca="false">sheet1!auq133</f>
        <v>#NAME?</v>
      </c>
      <c r="F132" s="0" t="e">
        <f aca="false">sheet1!aur133</f>
        <v>#NAME?</v>
      </c>
      <c r="G132" s="0" t="e">
        <f aca="false">sheet1!aus133</f>
        <v>#NAME?</v>
      </c>
      <c r="H132" s="0" t="e">
        <f aca="false">sheet1!aut133</f>
        <v>#NAME?</v>
      </c>
      <c r="I132" s="0" t="e">
        <f aca="false">sheet1!auu133</f>
        <v>#NAME?</v>
      </c>
      <c r="J132" s="0" t="e">
        <f aca="false">sheet1!auv133</f>
        <v>#NAME?</v>
      </c>
      <c r="K132" s="0" t="e">
        <f aca="false">sheet1!auw133</f>
        <v>#NAME?</v>
      </c>
      <c r="L132" s="0" t="e">
        <f aca="false">sheet1!aux133</f>
        <v>#NAME?</v>
      </c>
      <c r="M132" s="0" t="e">
        <f aca="false">sheet1!auy133</f>
        <v>#NAME?</v>
      </c>
    </row>
    <row r="133" customFormat="false" ht="13.5" hidden="false" customHeight="false" outlineLevel="0" collapsed="false">
      <c r="A133" s="0" t="s">
        <v>93</v>
      </c>
      <c r="B133" s="1" t="n">
        <v>43993</v>
      </c>
      <c r="C133" s="0" t="e">
        <f aca="false">sheet1!auo134</f>
        <v>#NAME?</v>
      </c>
      <c r="D133" s="0" t="e">
        <f aca="false">sheet1!aup134</f>
        <v>#NAME?</v>
      </c>
      <c r="E133" s="0" t="e">
        <f aca="false">sheet1!auq134</f>
        <v>#NAME?</v>
      </c>
      <c r="F133" s="0" t="e">
        <f aca="false">sheet1!aur134</f>
        <v>#NAME?</v>
      </c>
      <c r="G133" s="0" t="e">
        <f aca="false">sheet1!aus134</f>
        <v>#NAME?</v>
      </c>
      <c r="H133" s="0" t="e">
        <f aca="false">sheet1!aut134</f>
        <v>#NAME?</v>
      </c>
      <c r="I133" s="0" t="e">
        <f aca="false">sheet1!auu134</f>
        <v>#NAME?</v>
      </c>
      <c r="J133" s="0" t="e">
        <f aca="false">sheet1!auv134</f>
        <v>#NAME?</v>
      </c>
      <c r="K133" s="0" t="e">
        <f aca="false">sheet1!auw134</f>
        <v>#NAME?</v>
      </c>
      <c r="L133" s="0" t="e">
        <f aca="false">sheet1!aux134</f>
        <v>#NAME?</v>
      </c>
      <c r="M133" s="0" t="e">
        <f aca="false">sheet1!auy134</f>
        <v>#NAME?</v>
      </c>
    </row>
    <row r="134" customFormat="false" ht="13.5" hidden="false" customHeight="false" outlineLevel="0" collapsed="false">
      <c r="A134" s="0" t="s">
        <v>93</v>
      </c>
      <c r="B134" s="1" t="n">
        <v>43994</v>
      </c>
      <c r="C134" s="0" t="e">
        <f aca="false">sheet1!auo135</f>
        <v>#NAME?</v>
      </c>
      <c r="D134" s="0" t="e">
        <f aca="false">sheet1!aup135</f>
        <v>#NAME?</v>
      </c>
      <c r="E134" s="0" t="e">
        <f aca="false">sheet1!auq135</f>
        <v>#NAME?</v>
      </c>
      <c r="F134" s="0" t="e">
        <f aca="false">sheet1!aur135</f>
        <v>#NAME?</v>
      </c>
      <c r="G134" s="0" t="e">
        <f aca="false">sheet1!aus135</f>
        <v>#NAME?</v>
      </c>
      <c r="H134" s="0" t="e">
        <f aca="false">sheet1!aut135</f>
        <v>#NAME?</v>
      </c>
      <c r="I134" s="0" t="e">
        <f aca="false">sheet1!auu135</f>
        <v>#NAME?</v>
      </c>
      <c r="J134" s="0" t="e">
        <f aca="false">sheet1!auv135</f>
        <v>#NAME?</v>
      </c>
      <c r="K134" s="0" t="e">
        <f aca="false">sheet1!auw135</f>
        <v>#NAME?</v>
      </c>
      <c r="L134" s="0" t="e">
        <f aca="false">sheet1!aux135</f>
        <v>#NAME?</v>
      </c>
      <c r="M134" s="0" t="e">
        <f aca="false">sheet1!auy135</f>
        <v>#NAME?</v>
      </c>
    </row>
    <row r="135" customFormat="false" ht="13.5" hidden="false" customHeight="false" outlineLevel="0" collapsed="false">
      <c r="A135" s="0" t="s">
        <v>93</v>
      </c>
      <c r="B135" s="1" t="n">
        <v>43995</v>
      </c>
      <c r="C135" s="0" t="e">
        <f aca="false">sheet1!auo136</f>
        <v>#NAME?</v>
      </c>
      <c r="D135" s="0" t="e">
        <f aca="false">sheet1!aup136</f>
        <v>#NAME?</v>
      </c>
      <c r="E135" s="0" t="e">
        <f aca="false">sheet1!auq136</f>
        <v>#NAME?</v>
      </c>
      <c r="F135" s="0" t="e">
        <f aca="false">sheet1!aur136</f>
        <v>#NAME?</v>
      </c>
      <c r="G135" s="0" t="e">
        <f aca="false">sheet1!aus136</f>
        <v>#NAME?</v>
      </c>
      <c r="H135" s="0" t="e">
        <f aca="false">sheet1!aut136</f>
        <v>#NAME?</v>
      </c>
      <c r="I135" s="0" t="e">
        <f aca="false">sheet1!auu136</f>
        <v>#NAME?</v>
      </c>
      <c r="J135" s="0" t="e">
        <f aca="false">sheet1!auv136</f>
        <v>#NAME?</v>
      </c>
      <c r="K135" s="0" t="e">
        <f aca="false">sheet1!auw136</f>
        <v>#NAME?</v>
      </c>
      <c r="L135" s="0" t="e">
        <f aca="false">sheet1!aux136</f>
        <v>#NAME?</v>
      </c>
      <c r="M135" s="0" t="e">
        <f aca="false">sheet1!auy136</f>
        <v>#NAME?</v>
      </c>
    </row>
    <row r="136" customFormat="false" ht="13.5" hidden="false" customHeight="false" outlineLevel="0" collapsed="false">
      <c r="A136" s="0" t="s">
        <v>93</v>
      </c>
      <c r="B136" s="1" t="n">
        <v>43996</v>
      </c>
      <c r="C136" s="0" t="e">
        <f aca="false">sheet1!auo137</f>
        <v>#NAME?</v>
      </c>
      <c r="D136" s="0" t="e">
        <f aca="false">sheet1!aup137</f>
        <v>#NAME?</v>
      </c>
      <c r="E136" s="0" t="e">
        <f aca="false">sheet1!auq137</f>
        <v>#NAME?</v>
      </c>
      <c r="F136" s="0" t="e">
        <f aca="false">sheet1!aur137</f>
        <v>#NAME?</v>
      </c>
      <c r="G136" s="0" t="e">
        <f aca="false">sheet1!aus137</f>
        <v>#NAME?</v>
      </c>
      <c r="H136" s="0" t="e">
        <f aca="false">sheet1!aut137</f>
        <v>#NAME?</v>
      </c>
      <c r="I136" s="0" t="e">
        <f aca="false">sheet1!auu137</f>
        <v>#NAME?</v>
      </c>
      <c r="J136" s="0" t="e">
        <f aca="false">sheet1!auv137</f>
        <v>#NAME?</v>
      </c>
      <c r="K136" s="0" t="e">
        <f aca="false">sheet1!auw137</f>
        <v>#NAME?</v>
      </c>
      <c r="L136" s="0" t="e">
        <f aca="false">sheet1!aux137</f>
        <v>#NAME?</v>
      </c>
      <c r="M136" s="0" t="e">
        <f aca="false">sheet1!auy137</f>
        <v>#NAME?</v>
      </c>
    </row>
    <row r="137" customFormat="false" ht="13.5" hidden="false" customHeight="false" outlineLevel="0" collapsed="false">
      <c r="A137" s="0" t="s">
        <v>93</v>
      </c>
      <c r="B137" s="1" t="n">
        <v>43997</v>
      </c>
      <c r="C137" s="0" t="e">
        <f aca="false">sheet1!auo138</f>
        <v>#NAME?</v>
      </c>
      <c r="D137" s="0" t="e">
        <f aca="false">sheet1!aup138</f>
        <v>#NAME?</v>
      </c>
      <c r="E137" s="0" t="e">
        <f aca="false">sheet1!auq138</f>
        <v>#NAME?</v>
      </c>
      <c r="F137" s="0" t="e">
        <f aca="false">sheet1!aur138</f>
        <v>#NAME?</v>
      </c>
      <c r="G137" s="0" t="e">
        <f aca="false">sheet1!aus138</f>
        <v>#NAME?</v>
      </c>
      <c r="H137" s="0" t="e">
        <f aca="false">sheet1!aut138</f>
        <v>#NAME?</v>
      </c>
      <c r="I137" s="0" t="n">
        <v>0</v>
      </c>
      <c r="J137" s="0" t="e">
        <f aca="false">sheet1!auv138</f>
        <v>#NAME?</v>
      </c>
      <c r="K137" s="0" t="e">
        <f aca="false">sheet1!auw138</f>
        <v>#NAME?</v>
      </c>
      <c r="L137" s="0" t="e">
        <f aca="false">sheet1!aux138</f>
        <v>#NAME?</v>
      </c>
      <c r="M137" s="0" t="e">
        <f aca="false">sheet1!auy138</f>
        <v>#NAME?</v>
      </c>
    </row>
    <row r="138" customFormat="false" ht="13.5" hidden="false" customHeight="false" outlineLevel="0" collapsed="false">
      <c r="A138" s="0" t="s">
        <v>93</v>
      </c>
      <c r="B138" s="1" t="n">
        <v>43998</v>
      </c>
      <c r="C138" s="0" t="e">
        <f aca="false">sheet1!auo139</f>
        <v>#NAME?</v>
      </c>
      <c r="D138" s="0" t="e">
        <f aca="false">sheet1!aup139</f>
        <v>#NAME?</v>
      </c>
      <c r="E138" s="0" t="e">
        <f aca="false">sheet1!auq139</f>
        <v>#NAME?</v>
      </c>
      <c r="F138" s="0" t="e">
        <f aca="false">sheet1!aur139</f>
        <v>#NAME?</v>
      </c>
      <c r="G138" s="0" t="e">
        <f aca="false">sheet1!aus139</f>
        <v>#NAME?</v>
      </c>
      <c r="H138" s="0" t="e">
        <f aca="false">sheet1!aut139</f>
        <v>#NAME?</v>
      </c>
      <c r="I138" s="0" t="e">
        <f aca="false">sheet1!auu139</f>
        <v>#NAME?</v>
      </c>
      <c r="J138" s="0" t="e">
        <f aca="false">sheet1!auv139</f>
        <v>#NAME?</v>
      </c>
      <c r="K138" s="0" t="e">
        <f aca="false">sheet1!auw139</f>
        <v>#NAME?</v>
      </c>
      <c r="L138" s="0" t="e">
        <f aca="false">sheet1!aux139</f>
        <v>#NAME?</v>
      </c>
      <c r="M138" s="0" t="e">
        <f aca="false">sheet1!auy139</f>
        <v>#NAME?</v>
      </c>
    </row>
    <row r="139" customFormat="false" ht="13.5" hidden="false" customHeight="false" outlineLevel="0" collapsed="false">
      <c r="A139" s="0" t="s">
        <v>93</v>
      </c>
      <c r="B139" s="1" t="n">
        <v>43999</v>
      </c>
      <c r="C139" s="0" t="e">
        <f aca="false">sheet1!auo140</f>
        <v>#NAME?</v>
      </c>
      <c r="D139" s="0" t="e">
        <f aca="false">sheet1!aup140</f>
        <v>#NAME?</v>
      </c>
      <c r="E139" s="0" t="e">
        <f aca="false">sheet1!auq140</f>
        <v>#NAME?</v>
      </c>
      <c r="F139" s="0" t="e">
        <f aca="false">sheet1!aur140</f>
        <v>#NAME?</v>
      </c>
      <c r="G139" s="0" t="e">
        <f aca="false">sheet1!aus140</f>
        <v>#NAME?</v>
      </c>
      <c r="H139" s="0" t="e">
        <f aca="false">sheet1!aut140</f>
        <v>#NAME?</v>
      </c>
      <c r="I139" s="0" t="e">
        <f aca="false">sheet1!auu140</f>
        <v>#NAME?</v>
      </c>
      <c r="J139" s="0" t="e">
        <f aca="false">sheet1!auv140</f>
        <v>#NAME?</v>
      </c>
      <c r="K139" s="0" t="e">
        <f aca="false">sheet1!auw140</f>
        <v>#NAME?</v>
      </c>
      <c r="L139" s="0" t="e">
        <f aca="false">sheet1!aux140</f>
        <v>#NAME?</v>
      </c>
      <c r="M139" s="0" t="e">
        <f aca="false">sheet1!auy140</f>
        <v>#NAME?</v>
      </c>
    </row>
    <row r="140" customFormat="false" ht="13.5" hidden="false" customHeight="false" outlineLevel="0" collapsed="false">
      <c r="A140" s="0" t="s">
        <v>93</v>
      </c>
      <c r="B140" s="1" t="n">
        <v>44000</v>
      </c>
      <c r="C140" s="0" t="e">
        <f aca="false">sheet1!auo141</f>
        <v>#NAME?</v>
      </c>
      <c r="D140" s="0" t="e">
        <f aca="false">sheet1!aup141</f>
        <v>#NAME?</v>
      </c>
      <c r="E140" s="0" t="e">
        <f aca="false">sheet1!auq141</f>
        <v>#NAME?</v>
      </c>
      <c r="F140" s="0" t="e">
        <f aca="false">sheet1!aur141</f>
        <v>#NAME?</v>
      </c>
      <c r="G140" s="0" t="e">
        <f aca="false">sheet1!aus141</f>
        <v>#NAME?</v>
      </c>
      <c r="H140" s="0" t="e">
        <f aca="false">sheet1!aut141</f>
        <v>#NAME?</v>
      </c>
      <c r="I140" s="0" t="e">
        <f aca="false">sheet1!auu141</f>
        <v>#NAME?</v>
      </c>
      <c r="J140" s="0" t="e">
        <f aca="false">sheet1!auv141</f>
        <v>#NAME?</v>
      </c>
      <c r="K140" s="0" t="e">
        <f aca="false">sheet1!auw141</f>
        <v>#NAME?</v>
      </c>
      <c r="L140" s="0" t="e">
        <f aca="false">sheet1!aux141</f>
        <v>#NAME?</v>
      </c>
      <c r="M140" s="0" t="e">
        <f aca="false">sheet1!auy141</f>
        <v>#NAME?</v>
      </c>
    </row>
    <row r="141" customFormat="false" ht="13.5" hidden="false" customHeight="false" outlineLevel="0" collapsed="false">
      <c r="A141" s="0" t="s">
        <v>93</v>
      </c>
      <c r="B141" s="1" t="n">
        <v>44001</v>
      </c>
      <c r="C141" s="0" t="e">
        <f aca="false">sheet1!auo142</f>
        <v>#NAME?</v>
      </c>
      <c r="D141" s="0" t="e">
        <f aca="false">sheet1!aup142</f>
        <v>#NAME?</v>
      </c>
      <c r="E141" s="0" t="e">
        <f aca="false">sheet1!auq142</f>
        <v>#NAME?</v>
      </c>
      <c r="F141" s="0" t="e">
        <f aca="false">sheet1!aur142</f>
        <v>#NAME?</v>
      </c>
      <c r="G141" s="0" t="e">
        <f aca="false">sheet1!aus142</f>
        <v>#NAME?</v>
      </c>
      <c r="H141" s="0" t="e">
        <f aca="false">sheet1!aut142</f>
        <v>#NAME?</v>
      </c>
      <c r="I141" s="0" t="e">
        <f aca="false">sheet1!auu142</f>
        <v>#NAME?</v>
      </c>
      <c r="J141" s="0" t="e">
        <f aca="false">sheet1!auv142</f>
        <v>#NAME?</v>
      </c>
      <c r="K141" s="0" t="e">
        <f aca="false">sheet1!auw142</f>
        <v>#NAME?</v>
      </c>
      <c r="L141" s="0" t="e">
        <f aca="false">sheet1!aux142</f>
        <v>#NAME?</v>
      </c>
      <c r="M141" s="0" t="e">
        <f aca="false">sheet1!auy142</f>
        <v>#NAME?</v>
      </c>
    </row>
    <row r="142" customFormat="false" ht="13.5" hidden="false" customHeight="false" outlineLevel="0" collapsed="false">
      <c r="A142" s="0" t="s">
        <v>93</v>
      </c>
      <c r="B142" s="1" t="n">
        <v>44002</v>
      </c>
      <c r="C142" s="0" t="e">
        <f aca="false">sheet1!auo143</f>
        <v>#NAME?</v>
      </c>
      <c r="D142" s="0" t="e">
        <f aca="false">sheet1!aup143</f>
        <v>#NAME?</v>
      </c>
      <c r="E142" s="0" t="e">
        <f aca="false">sheet1!auq143</f>
        <v>#NAME?</v>
      </c>
      <c r="F142" s="0" t="e">
        <f aca="false">sheet1!aur143</f>
        <v>#NAME?</v>
      </c>
      <c r="G142" s="0" t="e">
        <f aca="false">sheet1!aus143</f>
        <v>#NAME?</v>
      </c>
      <c r="H142" s="0" t="e">
        <f aca="false">sheet1!aut143</f>
        <v>#NAME?</v>
      </c>
      <c r="I142" s="0" t="e">
        <f aca="false">sheet1!auu143</f>
        <v>#NAME?</v>
      </c>
      <c r="J142" s="0" t="e">
        <f aca="false">sheet1!auv143</f>
        <v>#NAME?</v>
      </c>
      <c r="K142" s="0" t="e">
        <f aca="false">sheet1!auw143</f>
        <v>#NAME?</v>
      </c>
      <c r="L142" s="0" t="e">
        <f aca="false">sheet1!aux143</f>
        <v>#NAME?</v>
      </c>
      <c r="M142" s="0" t="e">
        <f aca="false">sheet1!auy143</f>
        <v>#NAME?</v>
      </c>
    </row>
    <row r="143" customFormat="false" ht="13.5" hidden="false" customHeight="false" outlineLevel="0" collapsed="false">
      <c r="A143" s="0" t="s">
        <v>93</v>
      </c>
      <c r="B143" s="1" t="n">
        <v>44003</v>
      </c>
      <c r="C143" s="0" t="e">
        <f aca="false">sheet1!auo144</f>
        <v>#NAME?</v>
      </c>
      <c r="D143" s="0" t="e">
        <f aca="false">sheet1!aup144</f>
        <v>#NAME?</v>
      </c>
      <c r="E143" s="0" t="e">
        <f aca="false">sheet1!auq144</f>
        <v>#NAME?</v>
      </c>
      <c r="F143" s="0" t="e">
        <f aca="false">sheet1!aur144</f>
        <v>#NAME?</v>
      </c>
      <c r="G143" s="0" t="e">
        <f aca="false">sheet1!aus144</f>
        <v>#NAME?</v>
      </c>
      <c r="H143" s="0" t="e">
        <f aca="false">sheet1!aut144</f>
        <v>#NAME?</v>
      </c>
      <c r="I143" s="0" t="e">
        <f aca="false">sheet1!auu144</f>
        <v>#NAME?</v>
      </c>
      <c r="J143" s="0" t="e">
        <f aca="false">sheet1!auv144</f>
        <v>#NAME?</v>
      </c>
      <c r="K143" s="0" t="e">
        <f aca="false">sheet1!auw144</f>
        <v>#NAME?</v>
      </c>
      <c r="L143" s="0" t="e">
        <f aca="false">sheet1!aux144</f>
        <v>#NAME?</v>
      </c>
      <c r="M143" s="0" t="e">
        <f aca="false">sheet1!auy144</f>
        <v>#NAME?</v>
      </c>
    </row>
    <row r="144" customFormat="false" ht="13.5" hidden="false" customHeight="false" outlineLevel="0" collapsed="false">
      <c r="A144" s="0" t="s">
        <v>93</v>
      </c>
      <c r="B144" s="1" t="n">
        <v>44004</v>
      </c>
      <c r="C144" s="0" t="e">
        <f aca="false">sheet1!auo145</f>
        <v>#NAME?</v>
      </c>
      <c r="D144" s="0" t="e">
        <f aca="false">sheet1!aup145</f>
        <v>#NAME?</v>
      </c>
      <c r="E144" s="0" t="e">
        <f aca="false">sheet1!auq145</f>
        <v>#NAME?</v>
      </c>
      <c r="F144" s="0" t="e">
        <f aca="false">sheet1!aur145</f>
        <v>#NAME?</v>
      </c>
      <c r="G144" s="0" t="e">
        <f aca="false">sheet1!aus145</f>
        <v>#NAME?</v>
      </c>
      <c r="H144" s="0" t="e">
        <f aca="false">sheet1!aut145</f>
        <v>#NAME?</v>
      </c>
      <c r="I144" s="0" t="e">
        <f aca="false">sheet1!auu145</f>
        <v>#NAME?</v>
      </c>
      <c r="J144" s="0" t="e">
        <f aca="false">sheet1!auv145</f>
        <v>#NAME?</v>
      </c>
      <c r="K144" s="0" t="e">
        <f aca="false">sheet1!auw145</f>
        <v>#NAME?</v>
      </c>
      <c r="L144" s="0" t="e">
        <f aca="false">sheet1!aux145</f>
        <v>#NAME?</v>
      </c>
      <c r="M144" s="0" t="e">
        <f aca="false">sheet1!auy145</f>
        <v>#NAME?</v>
      </c>
    </row>
    <row r="145" customFormat="false" ht="13.5" hidden="false" customHeight="false" outlineLevel="0" collapsed="false">
      <c r="A145" s="0" t="s">
        <v>93</v>
      </c>
      <c r="B145" s="1" t="n">
        <v>44005</v>
      </c>
      <c r="C145" s="0" t="e">
        <f aca="false">sheet1!auo146</f>
        <v>#NAME?</v>
      </c>
      <c r="D145" s="0" t="e">
        <f aca="false">sheet1!aup146</f>
        <v>#NAME?</v>
      </c>
      <c r="E145" s="0" t="e">
        <f aca="false">sheet1!auq146</f>
        <v>#NAME?</v>
      </c>
      <c r="F145" s="0" t="e">
        <f aca="false">sheet1!aur146</f>
        <v>#NAME?</v>
      </c>
      <c r="G145" s="0" t="e">
        <f aca="false">sheet1!aus146</f>
        <v>#NAME?</v>
      </c>
      <c r="H145" s="0" t="e">
        <f aca="false">sheet1!aut146</f>
        <v>#NAME?</v>
      </c>
      <c r="I145" s="0" t="e">
        <f aca="false">sheet1!auu146</f>
        <v>#NAME?</v>
      </c>
      <c r="J145" s="0" t="e">
        <f aca="false">sheet1!auv146</f>
        <v>#NAME?</v>
      </c>
      <c r="K145" s="0" t="e">
        <f aca="false">sheet1!auw146</f>
        <v>#NAME?</v>
      </c>
      <c r="L145" s="0" t="e">
        <f aca="false">sheet1!aux146</f>
        <v>#NAME?</v>
      </c>
      <c r="M145" s="0" t="e">
        <f aca="false">sheet1!auy146</f>
        <v>#NAME?</v>
      </c>
    </row>
    <row r="146" customFormat="false" ht="13.5" hidden="false" customHeight="false" outlineLevel="0" collapsed="false">
      <c r="A146" s="0" t="s">
        <v>93</v>
      </c>
      <c r="B146" s="1" t="n">
        <v>44006</v>
      </c>
      <c r="C146" s="0" t="e">
        <f aca="false">sheet1!auo147</f>
        <v>#NAME?</v>
      </c>
      <c r="D146" s="0" t="e">
        <f aca="false">sheet1!aup147</f>
        <v>#NAME?</v>
      </c>
      <c r="E146" s="0" t="e">
        <f aca="false">sheet1!auq147</f>
        <v>#NAME?</v>
      </c>
      <c r="F146" s="0" t="e">
        <f aca="false">sheet1!aur147</f>
        <v>#NAME?</v>
      </c>
      <c r="G146" s="0" t="e">
        <f aca="false">sheet1!aus147</f>
        <v>#NAME?</v>
      </c>
      <c r="H146" s="0" t="e">
        <f aca="false">sheet1!aut147</f>
        <v>#NAME?</v>
      </c>
      <c r="I146" s="0" t="e">
        <f aca="false">sheet1!auu147</f>
        <v>#NAME?</v>
      </c>
      <c r="J146" s="0" t="e">
        <f aca="false">sheet1!auv147</f>
        <v>#NAME?</v>
      </c>
      <c r="K146" s="0" t="e">
        <f aca="false">sheet1!auw147</f>
        <v>#NAME?</v>
      </c>
      <c r="L146" s="0" t="e">
        <f aca="false">sheet1!aux147</f>
        <v>#NAME?</v>
      </c>
      <c r="M146" s="0" t="e">
        <f aca="false">sheet1!auy147</f>
        <v>#NAME?</v>
      </c>
    </row>
    <row r="147" customFormat="false" ht="13.5" hidden="false" customHeight="false" outlineLevel="0" collapsed="false">
      <c r="A147" s="0" t="s">
        <v>93</v>
      </c>
      <c r="B147" s="1" t="n">
        <v>44007</v>
      </c>
      <c r="C147" s="0" t="e">
        <f aca="false">sheet1!auo148</f>
        <v>#NAME?</v>
      </c>
      <c r="D147" s="0" t="e">
        <f aca="false">sheet1!aup148</f>
        <v>#NAME?</v>
      </c>
      <c r="E147" s="0" t="e">
        <f aca="false">sheet1!auq148</f>
        <v>#NAME?</v>
      </c>
      <c r="F147" s="0" t="e">
        <f aca="false">sheet1!aur148</f>
        <v>#NAME?</v>
      </c>
      <c r="G147" s="0" t="e">
        <f aca="false">sheet1!aus148</f>
        <v>#NAME?</v>
      </c>
      <c r="H147" s="0" t="e">
        <f aca="false">sheet1!aut148</f>
        <v>#NAME?</v>
      </c>
      <c r="I147" s="0" t="e">
        <f aca="false">sheet1!auu148</f>
        <v>#NAME?</v>
      </c>
      <c r="J147" s="0" t="e">
        <f aca="false">sheet1!auv148</f>
        <v>#NAME?</v>
      </c>
      <c r="K147" s="0" t="e">
        <f aca="false">sheet1!auw148</f>
        <v>#NAME?</v>
      </c>
      <c r="L147" s="0" t="e">
        <f aca="false">sheet1!aux148</f>
        <v>#NAME?</v>
      </c>
      <c r="M147" s="0" t="e">
        <f aca="false">sheet1!auy148</f>
        <v>#NAME?</v>
      </c>
    </row>
    <row r="148" customFormat="false" ht="13.5" hidden="false" customHeight="false" outlineLevel="0" collapsed="false">
      <c r="A148" s="0" t="s">
        <v>93</v>
      </c>
      <c r="B148" s="1" t="n">
        <v>44008</v>
      </c>
      <c r="C148" s="0" t="e">
        <f aca="false">sheet1!auo149</f>
        <v>#NAME?</v>
      </c>
      <c r="D148" s="0" t="e">
        <f aca="false">sheet1!aup149</f>
        <v>#NAME?</v>
      </c>
      <c r="E148" s="0" t="e">
        <f aca="false">sheet1!auq149</f>
        <v>#NAME?</v>
      </c>
      <c r="F148" s="0" t="e">
        <f aca="false">sheet1!aur149</f>
        <v>#NAME?</v>
      </c>
      <c r="G148" s="0" t="e">
        <f aca="false">sheet1!aus149</f>
        <v>#NAME?</v>
      </c>
      <c r="H148" s="0" t="e">
        <f aca="false">sheet1!aut149</f>
        <v>#NAME?</v>
      </c>
      <c r="I148" s="0" t="e">
        <f aca="false">sheet1!auu149</f>
        <v>#NAME?</v>
      </c>
      <c r="J148" s="0" t="e">
        <f aca="false">sheet1!auv149</f>
        <v>#NAME?</v>
      </c>
      <c r="K148" s="0" t="e">
        <f aca="false">sheet1!auw149</f>
        <v>#NAME?</v>
      </c>
      <c r="L148" s="0" t="e">
        <f aca="false">sheet1!aux149</f>
        <v>#NAME?</v>
      </c>
      <c r="M148" s="0" t="e">
        <f aca="false">sheet1!auy149</f>
        <v>#NAME?</v>
      </c>
    </row>
    <row r="149" customFormat="false" ht="13.5" hidden="false" customHeight="false" outlineLevel="0" collapsed="false">
      <c r="A149" s="0" t="s">
        <v>93</v>
      </c>
      <c r="B149" s="1" t="n">
        <v>44009</v>
      </c>
      <c r="C149" s="0" t="e">
        <f aca="false">sheet1!auo150</f>
        <v>#NAME?</v>
      </c>
      <c r="D149" s="0" t="e">
        <f aca="false">sheet1!aup150</f>
        <v>#NAME?</v>
      </c>
      <c r="E149" s="0" t="e">
        <f aca="false">sheet1!auq150</f>
        <v>#NAME?</v>
      </c>
      <c r="F149" s="0" t="e">
        <f aca="false">sheet1!aur150</f>
        <v>#NAME?</v>
      </c>
      <c r="G149" s="0" t="e">
        <f aca="false">sheet1!aus150</f>
        <v>#NAME?</v>
      </c>
      <c r="H149" s="0" t="e">
        <f aca="false">sheet1!aut150</f>
        <v>#NAME?</v>
      </c>
      <c r="I149" s="0" t="e">
        <f aca="false">sheet1!auu150</f>
        <v>#NAME?</v>
      </c>
      <c r="J149" s="0" t="e">
        <f aca="false">sheet1!auv150</f>
        <v>#NAME?</v>
      </c>
      <c r="K149" s="0" t="e">
        <f aca="false">sheet1!auw150</f>
        <v>#NAME?</v>
      </c>
      <c r="L149" s="0" t="e">
        <f aca="false">sheet1!aux150</f>
        <v>#NAME?</v>
      </c>
      <c r="M149" s="0" t="e">
        <f aca="false">sheet1!auy150</f>
        <v>#NAME?</v>
      </c>
    </row>
    <row r="150" customFormat="false" ht="13.5" hidden="false" customHeight="false" outlineLevel="0" collapsed="false">
      <c r="A150" s="0" t="s">
        <v>93</v>
      </c>
      <c r="B150" s="1" t="n">
        <v>44010</v>
      </c>
      <c r="C150" s="0" t="e">
        <f aca="false">sheet1!auo151</f>
        <v>#NAME?</v>
      </c>
      <c r="D150" s="0" t="e">
        <f aca="false">sheet1!aup151</f>
        <v>#NAME?</v>
      </c>
      <c r="E150" s="0" t="e">
        <f aca="false">sheet1!auq151</f>
        <v>#NAME?</v>
      </c>
      <c r="F150" s="0" t="e">
        <f aca="false">sheet1!aur151</f>
        <v>#NAME?</v>
      </c>
      <c r="G150" s="0" t="e">
        <f aca="false">sheet1!aus151</f>
        <v>#NAME?</v>
      </c>
      <c r="H150" s="0" t="e">
        <f aca="false">sheet1!aut151</f>
        <v>#NAME?</v>
      </c>
      <c r="I150" s="0" t="e">
        <f aca="false">sheet1!auu151</f>
        <v>#NAME?</v>
      </c>
      <c r="J150" s="0" t="e">
        <f aca="false">sheet1!auv151</f>
        <v>#NAME?</v>
      </c>
      <c r="K150" s="0" t="e">
        <f aca="false">sheet1!auw151</f>
        <v>#NAME?</v>
      </c>
      <c r="L150" s="0" t="e">
        <f aca="false">sheet1!aux151</f>
        <v>#NAME?</v>
      </c>
      <c r="M150" s="0" t="e">
        <f aca="false">sheet1!auy151</f>
        <v>#NAME?</v>
      </c>
    </row>
    <row r="151" customFormat="false" ht="13.5" hidden="false" customHeight="false" outlineLevel="0" collapsed="false">
      <c r="A151" s="0" t="s">
        <v>93</v>
      </c>
      <c r="B151" s="1" t="n">
        <v>44011</v>
      </c>
      <c r="C151" s="0" t="e">
        <f aca="false">sheet1!auo152</f>
        <v>#NAME?</v>
      </c>
      <c r="D151" s="0" t="e">
        <f aca="false">sheet1!aup152</f>
        <v>#NAME?</v>
      </c>
      <c r="E151" s="0" t="e">
        <f aca="false">sheet1!auq152</f>
        <v>#NAME?</v>
      </c>
      <c r="F151" s="0" t="e">
        <f aca="false">sheet1!aur152</f>
        <v>#NAME?</v>
      </c>
      <c r="G151" s="0" t="e">
        <f aca="false">sheet1!aus152</f>
        <v>#NAME?</v>
      </c>
      <c r="H151" s="0" t="e">
        <f aca="false">sheet1!aut152</f>
        <v>#NAME?</v>
      </c>
      <c r="I151" s="0" t="e">
        <f aca="false">sheet1!auu152</f>
        <v>#NAME?</v>
      </c>
      <c r="J151" s="0" t="e">
        <f aca="false">sheet1!auv152</f>
        <v>#NAME?</v>
      </c>
      <c r="K151" s="0" t="e">
        <f aca="false">sheet1!auw152</f>
        <v>#NAME?</v>
      </c>
      <c r="L151" s="0" t="e">
        <f aca="false">sheet1!aux152</f>
        <v>#NAME?</v>
      </c>
      <c r="M151" s="0" t="e">
        <f aca="false">sheet1!auy152</f>
        <v>#NAME?</v>
      </c>
    </row>
    <row r="152" customFormat="false" ht="13.5" hidden="false" customHeight="false" outlineLevel="0" collapsed="false">
      <c r="A152" s="0" t="s">
        <v>93</v>
      </c>
      <c r="B152" s="1" t="n">
        <v>44012</v>
      </c>
      <c r="C152" s="0" t="e">
        <f aca="false">sheet1!auo153</f>
        <v>#NAME?</v>
      </c>
      <c r="D152" s="0" t="e">
        <f aca="false">sheet1!aup153</f>
        <v>#NAME?</v>
      </c>
      <c r="E152" s="0" t="e">
        <f aca="false">sheet1!auq153</f>
        <v>#NAME?</v>
      </c>
      <c r="F152" s="0" t="e">
        <f aca="false">sheet1!aur153</f>
        <v>#NAME?</v>
      </c>
      <c r="G152" s="0" t="e">
        <f aca="false">sheet1!aus153</f>
        <v>#NAME?</v>
      </c>
      <c r="H152" s="0" t="e">
        <f aca="false">sheet1!aut153</f>
        <v>#NAME?</v>
      </c>
      <c r="I152" s="0" t="e">
        <f aca="false">sheet1!auu153</f>
        <v>#NAME?</v>
      </c>
      <c r="J152" s="0" t="e">
        <f aca="false">sheet1!auv153</f>
        <v>#NAME?</v>
      </c>
      <c r="K152" s="0" t="e">
        <f aca="false">sheet1!auw153</f>
        <v>#NAME?</v>
      </c>
      <c r="L152" s="0" t="e">
        <f aca="false">sheet1!aux153</f>
        <v>#NAME?</v>
      </c>
      <c r="M152" s="0" t="e">
        <f aca="false">sheet1!auy153</f>
        <v>#NAME?</v>
      </c>
    </row>
    <row r="153" customFormat="false" ht="13.5" hidden="false" customHeight="false" outlineLevel="0" collapsed="false">
      <c r="A153" s="0" t="s">
        <v>93</v>
      </c>
      <c r="B153" s="1" t="n">
        <v>44013</v>
      </c>
      <c r="C153" s="0" t="e">
        <f aca="false">sheet1!auo154</f>
        <v>#NAME?</v>
      </c>
      <c r="D153" s="0" t="e">
        <f aca="false">sheet1!aup154</f>
        <v>#NAME?</v>
      </c>
      <c r="E153" s="0" t="e">
        <f aca="false">sheet1!auq154</f>
        <v>#NAME?</v>
      </c>
      <c r="F153" s="0" t="e">
        <f aca="false">sheet1!aur154</f>
        <v>#NAME?</v>
      </c>
      <c r="G153" s="0" t="e">
        <f aca="false">sheet1!aus154</f>
        <v>#NAME?</v>
      </c>
      <c r="H153" s="0" t="e">
        <f aca="false">sheet1!aut154</f>
        <v>#NAME?</v>
      </c>
      <c r="I153" s="0" t="e">
        <f aca="false">sheet1!auu154</f>
        <v>#NAME?</v>
      </c>
      <c r="J153" s="0" t="e">
        <f aca="false">sheet1!auv154</f>
        <v>#NAME?</v>
      </c>
      <c r="K153" s="0" t="e">
        <f aca="false">sheet1!auw154</f>
        <v>#NAME?</v>
      </c>
      <c r="L153" s="0" t="e">
        <f aca="false">sheet1!aux154</f>
        <v>#NAME?</v>
      </c>
      <c r="M153" s="0" t="e">
        <f aca="false">sheet1!auy154</f>
        <v>#NAME?</v>
      </c>
    </row>
    <row r="154" customFormat="false" ht="13.5" hidden="false" customHeight="false" outlineLevel="0" collapsed="false">
      <c r="A154" s="0" t="s">
        <v>93</v>
      </c>
      <c r="B154" s="1" t="n">
        <v>44014</v>
      </c>
      <c r="C154" s="0" t="e">
        <f aca="false">sheet1!auo155</f>
        <v>#NAME?</v>
      </c>
      <c r="D154" s="0" t="e">
        <f aca="false">sheet1!aup155</f>
        <v>#NAME?</v>
      </c>
      <c r="E154" s="0" t="e">
        <f aca="false">sheet1!auq155</f>
        <v>#NAME?</v>
      </c>
      <c r="F154" s="0" t="e">
        <f aca="false">sheet1!aur155</f>
        <v>#NAME?</v>
      </c>
      <c r="G154" s="0" t="e">
        <f aca="false">sheet1!aus155</f>
        <v>#NAME?</v>
      </c>
      <c r="H154" s="0" t="e">
        <f aca="false">sheet1!aut155</f>
        <v>#NAME?</v>
      </c>
      <c r="I154" s="0" t="e">
        <f aca="false">sheet1!auu155</f>
        <v>#NAME?</v>
      </c>
      <c r="J154" s="0" t="e">
        <f aca="false">sheet1!auv155</f>
        <v>#NAME?</v>
      </c>
      <c r="K154" s="0" t="e">
        <f aca="false">sheet1!auw155</f>
        <v>#NAME?</v>
      </c>
      <c r="L154" s="0" t="e">
        <f aca="false">sheet1!aux155</f>
        <v>#NAME?</v>
      </c>
      <c r="M154" s="0" t="e">
        <f aca="false">sheet1!auy155</f>
        <v>#NAME?</v>
      </c>
    </row>
    <row r="155" customFormat="false" ht="13.5" hidden="false" customHeight="false" outlineLevel="0" collapsed="false">
      <c r="A155" s="0" t="s">
        <v>93</v>
      </c>
      <c r="B155" s="1" t="n">
        <v>44015</v>
      </c>
      <c r="C155" s="0" t="e">
        <f aca="false">sheet1!auo156</f>
        <v>#NAME?</v>
      </c>
      <c r="D155" s="0" t="e">
        <f aca="false">sheet1!aup156</f>
        <v>#NAME?</v>
      </c>
      <c r="E155" s="0" t="e">
        <f aca="false">sheet1!auq156</f>
        <v>#NAME?</v>
      </c>
      <c r="F155" s="0" t="e">
        <f aca="false">sheet1!aur156</f>
        <v>#NAME?</v>
      </c>
      <c r="G155" s="0" t="e">
        <f aca="false">sheet1!aus156</f>
        <v>#NAME?</v>
      </c>
      <c r="H155" s="0" t="e">
        <f aca="false">sheet1!aut156</f>
        <v>#NAME?</v>
      </c>
      <c r="I155" s="0" t="e">
        <f aca="false">sheet1!auu156</f>
        <v>#NAME?</v>
      </c>
      <c r="J155" s="0" t="e">
        <f aca="false">sheet1!auv156</f>
        <v>#NAME?</v>
      </c>
      <c r="K155" s="0" t="e">
        <f aca="false">sheet1!auw156</f>
        <v>#NAME?</v>
      </c>
      <c r="L155" s="0" t="e">
        <f aca="false">sheet1!aux156</f>
        <v>#NAME?</v>
      </c>
      <c r="M155" s="0" t="e">
        <f aca="false">sheet1!auy156</f>
        <v>#NAME?</v>
      </c>
    </row>
    <row r="156" customFormat="false" ht="13.5" hidden="false" customHeight="false" outlineLevel="0" collapsed="false">
      <c r="A156" s="0" t="s">
        <v>93</v>
      </c>
      <c r="B156" s="1" t="n">
        <v>44016</v>
      </c>
      <c r="C156" s="0" t="e">
        <f aca="false">sheet1!auo157</f>
        <v>#NAME?</v>
      </c>
      <c r="D156" s="0" t="e">
        <f aca="false">sheet1!aup157</f>
        <v>#NAME?</v>
      </c>
      <c r="E156" s="0" t="e">
        <f aca="false">sheet1!auq157</f>
        <v>#NAME?</v>
      </c>
      <c r="F156" s="0" t="e">
        <f aca="false">sheet1!aur157</f>
        <v>#NAME?</v>
      </c>
      <c r="G156" s="0" t="e">
        <f aca="false">sheet1!aus157</f>
        <v>#NAME?</v>
      </c>
      <c r="H156" s="0" t="e">
        <f aca="false">sheet1!aut157</f>
        <v>#NAME?</v>
      </c>
      <c r="I156" s="0" t="e">
        <f aca="false">sheet1!auu157</f>
        <v>#NAME?</v>
      </c>
      <c r="J156" s="0" t="e">
        <f aca="false">sheet1!auv157</f>
        <v>#NAME?</v>
      </c>
      <c r="K156" s="0" t="e">
        <f aca="false">sheet1!auw157</f>
        <v>#NAME?</v>
      </c>
      <c r="L156" s="0" t="e">
        <f aca="false">sheet1!aux157</f>
        <v>#NAME?</v>
      </c>
      <c r="M156" s="0" t="e">
        <f aca="false">sheet1!auy157</f>
        <v>#NAME?</v>
      </c>
    </row>
    <row r="157" customFormat="false" ht="13.5" hidden="false" customHeight="false" outlineLevel="0" collapsed="false">
      <c r="A157" s="0" t="s">
        <v>93</v>
      </c>
      <c r="B157" s="1" t="n">
        <v>44017</v>
      </c>
      <c r="C157" s="0" t="e">
        <f aca="false">sheet1!auo158</f>
        <v>#NAME?</v>
      </c>
      <c r="D157" s="0" t="e">
        <f aca="false">sheet1!aup158</f>
        <v>#NAME?</v>
      </c>
      <c r="E157" s="0" t="e">
        <f aca="false">sheet1!auq158</f>
        <v>#NAME?</v>
      </c>
      <c r="F157" s="0" t="e">
        <f aca="false">sheet1!aur158</f>
        <v>#NAME?</v>
      </c>
      <c r="G157" s="0" t="e">
        <f aca="false">sheet1!aus158</f>
        <v>#NAME?</v>
      </c>
      <c r="H157" s="0" t="e">
        <f aca="false">sheet1!aut158</f>
        <v>#NAME?</v>
      </c>
      <c r="I157" s="0" t="e">
        <f aca="false">sheet1!auu158</f>
        <v>#NAME?</v>
      </c>
      <c r="J157" s="0" t="e">
        <f aca="false">sheet1!auv158</f>
        <v>#NAME?</v>
      </c>
      <c r="K157" s="0" t="e">
        <f aca="false">sheet1!auw158</f>
        <v>#NAME?</v>
      </c>
      <c r="L157" s="0" t="e">
        <f aca="false">sheet1!aux158</f>
        <v>#NAME?</v>
      </c>
      <c r="M157" s="0" t="e">
        <f aca="false">sheet1!auy158</f>
        <v>#NAME?</v>
      </c>
    </row>
    <row r="158" customFormat="false" ht="13.5" hidden="false" customHeight="false" outlineLevel="0" collapsed="false">
      <c r="A158" s="0" t="s">
        <v>93</v>
      </c>
      <c r="B158" s="1" t="n">
        <v>44018</v>
      </c>
      <c r="C158" s="0" t="e">
        <f aca="false">sheet1!auo159</f>
        <v>#NAME?</v>
      </c>
      <c r="D158" s="0" t="e">
        <f aca="false">sheet1!aup159</f>
        <v>#NAME?</v>
      </c>
      <c r="E158" s="0" t="e">
        <f aca="false">sheet1!auq159</f>
        <v>#NAME?</v>
      </c>
      <c r="F158" s="0" t="e">
        <f aca="false">sheet1!aur159</f>
        <v>#NAME?</v>
      </c>
      <c r="G158" s="0" t="e">
        <f aca="false">sheet1!aus159</f>
        <v>#NAME?</v>
      </c>
      <c r="H158" s="0" t="e">
        <f aca="false">sheet1!aut159</f>
        <v>#NAME?</v>
      </c>
      <c r="I158" s="0" t="e">
        <f aca="false">sheet1!auu159</f>
        <v>#NAME?</v>
      </c>
      <c r="J158" s="0" t="e">
        <f aca="false">sheet1!auv159</f>
        <v>#NAME?</v>
      </c>
      <c r="K158" s="0" t="e">
        <f aca="false">sheet1!auw159</f>
        <v>#NAME?</v>
      </c>
      <c r="L158" s="0" t="e">
        <f aca="false">sheet1!aux159</f>
        <v>#NAME?</v>
      </c>
      <c r="M158" s="0" t="e">
        <f aca="false">sheet1!auy159</f>
        <v>#NAME?</v>
      </c>
    </row>
    <row r="159" customFormat="false" ht="13.5" hidden="false" customHeight="false" outlineLevel="0" collapsed="false">
      <c r="A159" s="0" t="s">
        <v>93</v>
      </c>
      <c r="B159" s="1" t="n">
        <v>44019</v>
      </c>
      <c r="C159" s="0" t="e">
        <f aca="false">sheet1!auo160</f>
        <v>#NAME?</v>
      </c>
      <c r="D159" s="0" t="e">
        <f aca="false">sheet1!aup160</f>
        <v>#NAME?</v>
      </c>
      <c r="E159" s="0" t="e">
        <f aca="false">sheet1!auq160</f>
        <v>#NAME?</v>
      </c>
      <c r="F159" s="0" t="e">
        <f aca="false">sheet1!aur160</f>
        <v>#NAME?</v>
      </c>
      <c r="G159" s="0" t="e">
        <f aca="false">sheet1!aus160</f>
        <v>#NAME?</v>
      </c>
      <c r="H159" s="0" t="e">
        <f aca="false">sheet1!aut160</f>
        <v>#NAME?</v>
      </c>
      <c r="I159" s="0" t="e">
        <f aca="false">sheet1!auu160</f>
        <v>#NAME?</v>
      </c>
      <c r="J159" s="0" t="e">
        <f aca="false">sheet1!auv160</f>
        <v>#NAME?</v>
      </c>
      <c r="K159" s="0" t="e">
        <f aca="false">sheet1!auw160</f>
        <v>#NAME?</v>
      </c>
      <c r="L159" s="0" t="e">
        <f aca="false">sheet1!aux160</f>
        <v>#NAME?</v>
      </c>
      <c r="M159" s="0" t="e">
        <f aca="false">sheet1!auy160</f>
        <v>#NAME?</v>
      </c>
    </row>
    <row r="160" customFormat="false" ht="13.5" hidden="false" customHeight="false" outlineLevel="0" collapsed="false">
      <c r="A160" s="0" t="s">
        <v>93</v>
      </c>
      <c r="B160" s="1" t="n">
        <v>44020</v>
      </c>
      <c r="C160" s="0" t="e">
        <f aca="false">sheet1!auo161</f>
        <v>#NAME?</v>
      </c>
      <c r="D160" s="0" t="e">
        <f aca="false">sheet1!aup161</f>
        <v>#NAME?</v>
      </c>
      <c r="E160" s="0" t="e">
        <f aca="false">sheet1!auq161</f>
        <v>#NAME?</v>
      </c>
      <c r="F160" s="0" t="e">
        <f aca="false">sheet1!aur161</f>
        <v>#NAME?</v>
      </c>
      <c r="G160" s="0" t="e">
        <f aca="false">sheet1!aus161</f>
        <v>#NAME?</v>
      </c>
      <c r="H160" s="0" t="e">
        <f aca="false">sheet1!aut161</f>
        <v>#NAME?</v>
      </c>
      <c r="I160" s="0" t="e">
        <f aca="false">sheet1!auu161</f>
        <v>#NAME?</v>
      </c>
      <c r="J160" s="0" t="e">
        <f aca="false">sheet1!auv161</f>
        <v>#NAME?</v>
      </c>
      <c r="K160" s="0" t="e">
        <f aca="false">sheet1!auw161</f>
        <v>#NAME?</v>
      </c>
      <c r="L160" s="0" t="e">
        <f aca="false">sheet1!aux161</f>
        <v>#NAME?</v>
      </c>
      <c r="M160" s="0" t="e">
        <f aca="false">sheet1!auy161</f>
        <v>#NAME?</v>
      </c>
    </row>
    <row r="161" customFormat="false" ht="13.5" hidden="false" customHeight="false" outlineLevel="0" collapsed="false">
      <c r="A161" s="0" t="s">
        <v>93</v>
      </c>
      <c r="B161" s="1" t="n">
        <v>44021</v>
      </c>
      <c r="C161" s="0" t="e">
        <f aca="false">sheet1!auo162</f>
        <v>#NAME?</v>
      </c>
      <c r="D161" s="0" t="e">
        <f aca="false">sheet1!aup162</f>
        <v>#NAME?</v>
      </c>
      <c r="E161" s="0" t="e">
        <f aca="false">sheet1!auq162</f>
        <v>#NAME?</v>
      </c>
      <c r="F161" s="0" t="e">
        <f aca="false">sheet1!aur162</f>
        <v>#NAME?</v>
      </c>
      <c r="G161" s="0" t="e">
        <f aca="false">sheet1!aus162</f>
        <v>#NAME?</v>
      </c>
      <c r="H161" s="0" t="e">
        <f aca="false">sheet1!aut162</f>
        <v>#NAME?</v>
      </c>
      <c r="I161" s="0" t="e">
        <f aca="false">sheet1!auu162</f>
        <v>#NAME?</v>
      </c>
      <c r="J161" s="0" t="e">
        <f aca="false">sheet1!auv162</f>
        <v>#NAME?</v>
      </c>
      <c r="K161" s="0" t="e">
        <f aca="false">sheet1!auw162</f>
        <v>#NAME?</v>
      </c>
      <c r="L161" s="0" t="e">
        <f aca="false">sheet1!aux162</f>
        <v>#NAME?</v>
      </c>
      <c r="M161" s="0" t="e">
        <f aca="false">sheet1!auy162</f>
        <v>#NAME?</v>
      </c>
    </row>
    <row r="162" customFormat="false" ht="13.5" hidden="false" customHeight="false" outlineLevel="0" collapsed="false">
      <c r="A162" s="0" t="s">
        <v>93</v>
      </c>
      <c r="B162" s="1" t="n">
        <v>44022</v>
      </c>
      <c r="C162" s="0" t="e">
        <f aca="false">sheet1!auo163</f>
        <v>#NAME?</v>
      </c>
      <c r="D162" s="0" t="e">
        <f aca="false">sheet1!aup163</f>
        <v>#NAME?</v>
      </c>
      <c r="E162" s="0" t="e">
        <f aca="false">sheet1!auq163</f>
        <v>#NAME?</v>
      </c>
      <c r="F162" s="0" t="e">
        <f aca="false">sheet1!aur163</f>
        <v>#NAME?</v>
      </c>
      <c r="G162" s="0" t="e">
        <f aca="false">sheet1!aus163</f>
        <v>#NAME?</v>
      </c>
      <c r="H162" s="0" t="e">
        <f aca="false">sheet1!aut163</f>
        <v>#NAME?</v>
      </c>
      <c r="I162" s="0" t="e">
        <f aca="false">sheet1!auu163</f>
        <v>#NAME?</v>
      </c>
      <c r="J162" s="0" t="e">
        <f aca="false">sheet1!auv163</f>
        <v>#NAME?</v>
      </c>
      <c r="K162" s="0" t="e">
        <f aca="false">sheet1!auw163</f>
        <v>#NAME?</v>
      </c>
      <c r="L162" s="0" t="e">
        <f aca="false">sheet1!aux163</f>
        <v>#NAME?</v>
      </c>
      <c r="M162" s="0" t="e">
        <f aca="false">sheet1!auy163</f>
        <v>#NAME?</v>
      </c>
    </row>
    <row r="163" customFormat="false" ht="13.5" hidden="false" customHeight="false" outlineLevel="0" collapsed="false">
      <c r="A163" s="0" t="s">
        <v>93</v>
      </c>
      <c r="B163" s="1" t="n">
        <v>44023</v>
      </c>
      <c r="C163" s="0" t="e">
        <f aca="false">sheet1!auo164</f>
        <v>#NAME?</v>
      </c>
      <c r="D163" s="0" t="e">
        <f aca="false">sheet1!aup164</f>
        <v>#NAME?</v>
      </c>
      <c r="E163" s="0" t="e">
        <f aca="false">sheet1!auq164</f>
        <v>#NAME?</v>
      </c>
      <c r="F163" s="0" t="e">
        <f aca="false">sheet1!aur164</f>
        <v>#NAME?</v>
      </c>
      <c r="G163" s="0" t="e">
        <f aca="false">sheet1!aus164</f>
        <v>#NAME?</v>
      </c>
      <c r="H163" s="0" t="e">
        <f aca="false">sheet1!aut164</f>
        <v>#NAME?</v>
      </c>
      <c r="I163" s="0" t="e">
        <f aca="false">sheet1!auu164</f>
        <v>#NAME?</v>
      </c>
      <c r="J163" s="0" t="e">
        <f aca="false">sheet1!auv164</f>
        <v>#NAME?</v>
      </c>
      <c r="K163" s="0" t="e">
        <f aca="false">sheet1!auw164</f>
        <v>#NAME?</v>
      </c>
      <c r="L163" s="0" t="e">
        <f aca="false">sheet1!aux164</f>
        <v>#NAME?</v>
      </c>
      <c r="M163" s="0" t="e">
        <f aca="false">sheet1!auy164</f>
        <v>#NAME?</v>
      </c>
    </row>
    <row r="164" customFormat="false" ht="13.5" hidden="false" customHeight="false" outlineLevel="0" collapsed="false">
      <c r="A164" s="0" t="s">
        <v>93</v>
      </c>
      <c r="B164" s="1" t="n">
        <v>44024</v>
      </c>
      <c r="C164" s="0" t="e">
        <f aca="false">sheet1!auo165</f>
        <v>#NAME?</v>
      </c>
      <c r="D164" s="0" t="e">
        <f aca="false">sheet1!aup165</f>
        <v>#NAME?</v>
      </c>
      <c r="E164" s="0" t="e">
        <f aca="false">sheet1!auq165</f>
        <v>#NAME?</v>
      </c>
      <c r="F164" s="0" t="e">
        <f aca="false">sheet1!aur165</f>
        <v>#NAME?</v>
      </c>
      <c r="G164" s="0" t="e">
        <f aca="false">sheet1!aus165</f>
        <v>#NAME?</v>
      </c>
      <c r="H164" s="0" t="e">
        <f aca="false">sheet1!aut165</f>
        <v>#NAME?</v>
      </c>
      <c r="I164" s="0" t="e">
        <f aca="false">sheet1!auu165</f>
        <v>#NAME?</v>
      </c>
      <c r="J164" s="0" t="e">
        <f aca="false">sheet1!auv165</f>
        <v>#NAME?</v>
      </c>
      <c r="K164" s="0" t="e">
        <f aca="false">sheet1!auw165</f>
        <v>#NAME?</v>
      </c>
      <c r="L164" s="0" t="e">
        <f aca="false">sheet1!aux165</f>
        <v>#NAME?</v>
      </c>
      <c r="M164" s="0" t="e">
        <f aca="false">sheet1!auy165</f>
        <v>#NAME?</v>
      </c>
    </row>
    <row r="165" customFormat="false" ht="13.5" hidden="false" customHeight="false" outlineLevel="0" collapsed="false">
      <c r="A165" s="0" t="s">
        <v>93</v>
      </c>
      <c r="B165" s="1" t="n">
        <v>44025</v>
      </c>
      <c r="C165" s="0" t="e">
        <f aca="false">sheet1!auo166</f>
        <v>#NAME?</v>
      </c>
      <c r="D165" s="0" t="e">
        <f aca="false">sheet1!aup166</f>
        <v>#NAME?</v>
      </c>
      <c r="E165" s="0" t="e">
        <f aca="false">sheet1!auq166</f>
        <v>#NAME?</v>
      </c>
      <c r="F165" s="0" t="e">
        <f aca="false">sheet1!aur166</f>
        <v>#NAME?</v>
      </c>
      <c r="G165" s="0" t="e">
        <f aca="false">sheet1!aus166</f>
        <v>#NAME?</v>
      </c>
      <c r="H165" s="0" t="e">
        <f aca="false">sheet1!aut166</f>
        <v>#NAME?</v>
      </c>
      <c r="I165" s="0" t="e">
        <f aca="false">sheet1!auu166</f>
        <v>#NAME?</v>
      </c>
      <c r="J165" s="0" t="e">
        <f aca="false">sheet1!auv166</f>
        <v>#NAME?</v>
      </c>
      <c r="K165" s="0" t="e">
        <f aca="false">sheet1!auw166</f>
        <v>#NAME?</v>
      </c>
      <c r="L165" s="0" t="e">
        <f aca="false">sheet1!aux166</f>
        <v>#NAME?</v>
      </c>
      <c r="M165" s="0" t="e">
        <f aca="false">sheet1!auy166</f>
        <v>#NAME?</v>
      </c>
    </row>
    <row r="166" customFormat="false" ht="13.5" hidden="false" customHeight="false" outlineLevel="0" collapsed="false">
      <c r="A166" s="0" t="s">
        <v>93</v>
      </c>
      <c r="B166" s="1" t="n">
        <v>44026</v>
      </c>
      <c r="C166" s="0" t="e">
        <f aca="false">sheet1!auo167</f>
        <v>#NAME?</v>
      </c>
      <c r="D166" s="0" t="e">
        <f aca="false">sheet1!aup167</f>
        <v>#NAME?</v>
      </c>
      <c r="E166" s="0" t="e">
        <f aca="false">sheet1!auq167</f>
        <v>#NAME?</v>
      </c>
      <c r="F166" s="0" t="e">
        <f aca="false">sheet1!aur167</f>
        <v>#NAME?</v>
      </c>
      <c r="G166" s="0" t="e">
        <f aca="false">sheet1!aus167</f>
        <v>#NAME?</v>
      </c>
      <c r="H166" s="0" t="e">
        <f aca="false">sheet1!aut167</f>
        <v>#NAME?</v>
      </c>
      <c r="I166" s="0" t="e">
        <f aca="false">sheet1!auu167</f>
        <v>#NAME?</v>
      </c>
      <c r="J166" s="0" t="e">
        <f aca="false">sheet1!auv167</f>
        <v>#NAME?</v>
      </c>
      <c r="K166" s="0" t="e">
        <f aca="false">sheet1!auw167</f>
        <v>#NAME?</v>
      </c>
      <c r="L166" s="0" t="e">
        <f aca="false">sheet1!aux167</f>
        <v>#NAME?</v>
      </c>
      <c r="M166" s="0" t="e">
        <f aca="false">sheet1!auy167</f>
        <v>#NAME?</v>
      </c>
    </row>
    <row r="167" customFormat="false" ht="13.5" hidden="false" customHeight="false" outlineLevel="0" collapsed="false">
      <c r="A167" s="0" t="s">
        <v>93</v>
      </c>
      <c r="B167" s="1" t="n">
        <v>44027</v>
      </c>
      <c r="C167" s="0" t="e">
        <f aca="false">sheet1!auo168</f>
        <v>#NAME?</v>
      </c>
      <c r="D167" s="0" t="e">
        <f aca="false">sheet1!aup168</f>
        <v>#NAME?</v>
      </c>
      <c r="E167" s="0" t="e">
        <f aca="false">sheet1!auq168</f>
        <v>#NAME?</v>
      </c>
      <c r="F167" s="0" t="e">
        <f aca="false">sheet1!aur168</f>
        <v>#NAME?</v>
      </c>
      <c r="G167" s="0" t="e">
        <f aca="false">sheet1!aus168</f>
        <v>#NAME?</v>
      </c>
      <c r="H167" s="0" t="e">
        <f aca="false">sheet1!aut168</f>
        <v>#NAME?</v>
      </c>
      <c r="I167" s="0" t="e">
        <f aca="false">sheet1!auu168</f>
        <v>#NAME?</v>
      </c>
      <c r="J167" s="0" t="e">
        <f aca="false">sheet1!auv168</f>
        <v>#NAME?</v>
      </c>
      <c r="K167" s="0" t="e">
        <f aca="false">sheet1!auw168</f>
        <v>#NAME?</v>
      </c>
      <c r="L167" s="0" t="e">
        <f aca="false">sheet1!aux168</f>
        <v>#NAME?</v>
      </c>
      <c r="M167" s="0" t="e">
        <f aca="false">sheet1!auy168</f>
        <v>#NAME?</v>
      </c>
    </row>
    <row r="168" customFormat="false" ht="13.5" hidden="false" customHeight="false" outlineLevel="0" collapsed="false">
      <c r="A168" s="0" t="s">
        <v>93</v>
      </c>
      <c r="B168" s="1" t="n">
        <v>44028</v>
      </c>
      <c r="C168" s="0" t="e">
        <f aca="false">sheet1!auo169</f>
        <v>#NAME?</v>
      </c>
      <c r="D168" s="0" t="e">
        <f aca="false">sheet1!aup169</f>
        <v>#NAME?</v>
      </c>
      <c r="E168" s="0" t="e">
        <f aca="false">sheet1!auq169</f>
        <v>#NAME?</v>
      </c>
      <c r="F168" s="0" t="e">
        <f aca="false">sheet1!aur169</f>
        <v>#NAME?</v>
      </c>
      <c r="G168" s="0" t="e">
        <f aca="false">sheet1!aus169</f>
        <v>#NAME?</v>
      </c>
      <c r="H168" s="0" t="e">
        <f aca="false">sheet1!aut169</f>
        <v>#NAME?</v>
      </c>
      <c r="I168" s="0" t="e">
        <f aca="false">sheet1!auu169</f>
        <v>#NAME?</v>
      </c>
      <c r="J168" s="0" t="e">
        <f aca="false">sheet1!auv169</f>
        <v>#NAME?</v>
      </c>
      <c r="K168" s="0" t="e">
        <f aca="false">sheet1!auw169</f>
        <v>#NAME?</v>
      </c>
      <c r="L168" s="0" t="e">
        <f aca="false">sheet1!aux169</f>
        <v>#NAME?</v>
      </c>
      <c r="M168" s="0" t="e">
        <f aca="false">sheet1!auy169</f>
        <v>#NAME?</v>
      </c>
    </row>
    <row r="169" customFormat="false" ht="13.5" hidden="false" customHeight="false" outlineLevel="0" collapsed="false">
      <c r="A169" s="0" t="s">
        <v>93</v>
      </c>
      <c r="B169" s="1" t="n">
        <v>44029</v>
      </c>
      <c r="C169" s="0" t="e">
        <f aca="false">sheet1!auo170</f>
        <v>#NAME?</v>
      </c>
      <c r="D169" s="0" t="e">
        <f aca="false">sheet1!aup170</f>
        <v>#NAME?</v>
      </c>
      <c r="E169" s="0" t="e">
        <f aca="false">sheet1!auq170</f>
        <v>#NAME?</v>
      </c>
      <c r="F169" s="0" t="e">
        <f aca="false">sheet1!aur170</f>
        <v>#NAME?</v>
      </c>
      <c r="G169" s="0" t="e">
        <f aca="false">sheet1!aus170</f>
        <v>#NAME?</v>
      </c>
      <c r="H169" s="0" t="e">
        <f aca="false">sheet1!aut170</f>
        <v>#NAME?</v>
      </c>
      <c r="I169" s="0" t="e">
        <f aca="false">sheet1!auu170</f>
        <v>#NAME?</v>
      </c>
      <c r="J169" s="0" t="e">
        <f aca="false">sheet1!auv170</f>
        <v>#NAME?</v>
      </c>
      <c r="K169" s="0" t="e">
        <f aca="false">sheet1!auw170</f>
        <v>#NAME?</v>
      </c>
      <c r="L169" s="0" t="e">
        <f aca="false">sheet1!aux170</f>
        <v>#NAME?</v>
      </c>
      <c r="M169" s="0" t="e">
        <f aca="false">sheet1!auy170</f>
        <v>#NAME?</v>
      </c>
    </row>
    <row r="170" customFormat="false" ht="13.5" hidden="false" customHeight="false" outlineLevel="0" collapsed="false">
      <c r="A170" s="0" t="s">
        <v>93</v>
      </c>
      <c r="B170" s="1" t="n">
        <v>44030</v>
      </c>
      <c r="C170" s="0" t="e">
        <f aca="false">sheet1!auo171</f>
        <v>#NAME?</v>
      </c>
      <c r="D170" s="0" t="e">
        <f aca="false">sheet1!aup171</f>
        <v>#NAME?</v>
      </c>
      <c r="E170" s="0" t="e">
        <f aca="false">sheet1!auq171</f>
        <v>#NAME?</v>
      </c>
      <c r="F170" s="0" t="e">
        <f aca="false">sheet1!aur171</f>
        <v>#NAME?</v>
      </c>
      <c r="G170" s="0" t="e">
        <f aca="false">sheet1!aus171</f>
        <v>#NAME?</v>
      </c>
      <c r="H170" s="0" t="e">
        <f aca="false">sheet1!aut171</f>
        <v>#NAME?</v>
      </c>
      <c r="I170" s="0" t="e">
        <f aca="false">sheet1!auu171</f>
        <v>#NAME?</v>
      </c>
      <c r="J170" s="0" t="e">
        <f aca="false">sheet1!auv171</f>
        <v>#NAME?</v>
      </c>
      <c r="K170" s="0" t="e">
        <f aca="false">sheet1!auw171</f>
        <v>#NAME?</v>
      </c>
      <c r="L170" s="0" t="e">
        <f aca="false">sheet1!aux171</f>
        <v>#NAME?</v>
      </c>
      <c r="M170" s="0" t="e">
        <f aca="false">sheet1!auy171</f>
        <v>#NAME?</v>
      </c>
    </row>
    <row r="171" customFormat="false" ht="13.5" hidden="false" customHeight="false" outlineLevel="0" collapsed="false">
      <c r="A171" s="0" t="s">
        <v>93</v>
      </c>
      <c r="B171" s="1" t="n">
        <v>44031</v>
      </c>
      <c r="C171" s="0" t="e">
        <f aca="false">sheet1!auo172</f>
        <v>#NAME?</v>
      </c>
      <c r="D171" s="0" t="e">
        <f aca="false">sheet1!aup172</f>
        <v>#NAME?</v>
      </c>
      <c r="E171" s="0" t="e">
        <f aca="false">sheet1!auq172</f>
        <v>#NAME?</v>
      </c>
      <c r="F171" s="0" t="e">
        <f aca="false">sheet1!aur172</f>
        <v>#NAME?</v>
      </c>
      <c r="G171" s="0" t="e">
        <f aca="false">sheet1!aus172</f>
        <v>#NAME?</v>
      </c>
      <c r="H171" s="0" t="e">
        <f aca="false">sheet1!aut172</f>
        <v>#NAME?</v>
      </c>
      <c r="I171" s="0" t="e">
        <f aca="false">sheet1!auu172</f>
        <v>#NAME?</v>
      </c>
      <c r="J171" s="0" t="e">
        <f aca="false">sheet1!auv172</f>
        <v>#NAME?</v>
      </c>
      <c r="K171" s="0" t="e">
        <f aca="false">sheet1!auw172</f>
        <v>#NAME?</v>
      </c>
      <c r="L171" s="0" t="e">
        <f aca="false">sheet1!aux172</f>
        <v>#NAME?</v>
      </c>
      <c r="M171" s="0" t="e">
        <f aca="false">sheet1!auy172</f>
        <v>#NAME?</v>
      </c>
    </row>
    <row r="172" customFormat="false" ht="13.5" hidden="false" customHeight="false" outlineLevel="0" collapsed="false">
      <c r="A172" s="0" t="s">
        <v>93</v>
      </c>
      <c r="B172" s="1" t="n">
        <v>44032</v>
      </c>
      <c r="C172" s="0" t="e">
        <f aca="false">sheet1!auo173</f>
        <v>#NAME?</v>
      </c>
      <c r="D172" s="0" t="e">
        <f aca="false">sheet1!aup173</f>
        <v>#NAME?</v>
      </c>
      <c r="E172" s="0" t="e">
        <f aca="false">sheet1!auq173</f>
        <v>#NAME?</v>
      </c>
      <c r="F172" s="0" t="e">
        <f aca="false">sheet1!aur173</f>
        <v>#NAME?</v>
      </c>
      <c r="G172" s="0" t="e">
        <f aca="false">sheet1!aus173</f>
        <v>#NAME?</v>
      </c>
      <c r="H172" s="0" t="e">
        <f aca="false">sheet1!aut173</f>
        <v>#NAME?</v>
      </c>
      <c r="I172" s="0" t="e">
        <f aca="false">sheet1!auu173</f>
        <v>#NAME?</v>
      </c>
      <c r="J172" s="0" t="e">
        <f aca="false">sheet1!auv173</f>
        <v>#NAME?</v>
      </c>
      <c r="K172" s="0" t="e">
        <f aca="false">sheet1!auw173</f>
        <v>#NAME?</v>
      </c>
      <c r="L172" s="0" t="e">
        <f aca="false">sheet1!aux173</f>
        <v>#NAME?</v>
      </c>
      <c r="M172" s="0" t="e">
        <f aca="false">sheet1!auy173</f>
        <v>#NAME?</v>
      </c>
    </row>
    <row r="173" customFormat="false" ht="13.5" hidden="false" customHeight="false" outlineLevel="0" collapsed="false">
      <c r="A173" s="0" t="s">
        <v>93</v>
      </c>
      <c r="B173" s="1" t="n">
        <v>44033</v>
      </c>
      <c r="C173" s="0" t="e">
        <f aca="false">sheet1!auo174</f>
        <v>#NAME?</v>
      </c>
      <c r="D173" s="0" t="e">
        <f aca="false">sheet1!aup174</f>
        <v>#NAME?</v>
      </c>
      <c r="E173" s="0" t="e">
        <f aca="false">sheet1!auq174</f>
        <v>#NAME?</v>
      </c>
      <c r="F173" s="0" t="e">
        <f aca="false">sheet1!aur174</f>
        <v>#NAME?</v>
      </c>
      <c r="G173" s="0" t="e">
        <f aca="false">sheet1!aus174</f>
        <v>#NAME?</v>
      </c>
      <c r="H173" s="0" t="e">
        <f aca="false">sheet1!aut174</f>
        <v>#NAME?</v>
      </c>
      <c r="I173" s="0" t="e">
        <f aca="false">sheet1!auu174</f>
        <v>#NAME?</v>
      </c>
      <c r="J173" s="0" t="e">
        <f aca="false">sheet1!auv174</f>
        <v>#NAME?</v>
      </c>
      <c r="K173" s="0" t="e">
        <f aca="false">sheet1!auw174</f>
        <v>#NAME?</v>
      </c>
      <c r="L173" s="0" t="e">
        <f aca="false">sheet1!aux174</f>
        <v>#NAME?</v>
      </c>
      <c r="M173" s="0" t="e">
        <f aca="false">sheet1!auy174</f>
        <v>#NAME?</v>
      </c>
    </row>
    <row r="174" customFormat="false" ht="13.5" hidden="false" customHeight="false" outlineLevel="0" collapsed="false">
      <c r="A174" s="0" t="s">
        <v>93</v>
      </c>
      <c r="B174" s="1" t="n">
        <v>44034</v>
      </c>
      <c r="C174" s="0" t="e">
        <f aca="false">sheet1!auo175</f>
        <v>#NAME?</v>
      </c>
      <c r="D174" s="0" t="e">
        <f aca="false">sheet1!aup175</f>
        <v>#NAME?</v>
      </c>
      <c r="E174" s="0" t="e">
        <f aca="false">sheet1!auq175</f>
        <v>#NAME?</v>
      </c>
      <c r="F174" s="0" t="e">
        <f aca="false">sheet1!aur175</f>
        <v>#NAME?</v>
      </c>
      <c r="G174" s="0" t="e">
        <f aca="false">sheet1!aus175</f>
        <v>#NAME?</v>
      </c>
      <c r="H174" s="0" t="e">
        <f aca="false">sheet1!aut175</f>
        <v>#NAME?</v>
      </c>
      <c r="I174" s="0" t="e">
        <f aca="false">sheet1!auu175</f>
        <v>#NAME?</v>
      </c>
      <c r="J174" s="0" t="e">
        <f aca="false">sheet1!auv175</f>
        <v>#NAME?</v>
      </c>
      <c r="K174" s="0" t="e">
        <f aca="false">sheet1!auw175</f>
        <v>#NAME?</v>
      </c>
      <c r="L174" s="0" t="e">
        <f aca="false">sheet1!aux175</f>
        <v>#NAME?</v>
      </c>
      <c r="M174" s="0" t="e">
        <f aca="false">sheet1!auy175</f>
        <v>#NAME?</v>
      </c>
    </row>
    <row r="175" customFormat="false" ht="13.5" hidden="false" customHeight="false" outlineLevel="0" collapsed="false">
      <c r="A175" s="0" t="s">
        <v>93</v>
      </c>
      <c r="B175" s="1" t="n">
        <v>44035</v>
      </c>
      <c r="C175" s="0" t="e">
        <f aca="false">sheet1!auo176</f>
        <v>#NAME?</v>
      </c>
      <c r="D175" s="0" t="e">
        <f aca="false">sheet1!aup176</f>
        <v>#NAME?</v>
      </c>
      <c r="E175" s="0" t="e">
        <f aca="false">sheet1!auq176</f>
        <v>#NAME?</v>
      </c>
      <c r="F175" s="0" t="e">
        <f aca="false">sheet1!aur176</f>
        <v>#NAME?</v>
      </c>
      <c r="G175" s="0" t="e">
        <f aca="false">sheet1!aus176</f>
        <v>#NAME?</v>
      </c>
      <c r="H175" s="0" t="e">
        <f aca="false">sheet1!aut176</f>
        <v>#NAME?</v>
      </c>
      <c r="I175" s="0" t="e">
        <f aca="false">sheet1!auu176</f>
        <v>#NAME?</v>
      </c>
      <c r="J175" s="0" t="e">
        <f aca="false">sheet1!auv176</f>
        <v>#NAME?</v>
      </c>
      <c r="K175" s="0" t="e">
        <f aca="false">sheet1!auw176</f>
        <v>#NAME?</v>
      </c>
      <c r="L175" s="0" t="e">
        <f aca="false">sheet1!aux176</f>
        <v>#NAME?</v>
      </c>
      <c r="M175" s="0" t="e">
        <f aca="false">sheet1!auy176</f>
        <v>#NAME?</v>
      </c>
    </row>
    <row r="176" customFormat="false" ht="13.5" hidden="false" customHeight="false" outlineLevel="0" collapsed="false">
      <c r="A176" s="0" t="s">
        <v>93</v>
      </c>
      <c r="B176" s="1" t="n">
        <v>44036</v>
      </c>
      <c r="C176" s="0" t="e">
        <f aca="false">sheet1!auo177</f>
        <v>#NAME?</v>
      </c>
      <c r="D176" s="0" t="e">
        <f aca="false">sheet1!aup177</f>
        <v>#NAME?</v>
      </c>
      <c r="E176" s="0" t="e">
        <f aca="false">sheet1!auq177</f>
        <v>#NAME?</v>
      </c>
      <c r="F176" s="0" t="e">
        <f aca="false">sheet1!aur177</f>
        <v>#NAME?</v>
      </c>
      <c r="G176" s="0" t="e">
        <f aca="false">sheet1!aus177</f>
        <v>#NAME?</v>
      </c>
      <c r="H176" s="0" t="e">
        <f aca="false">sheet1!aut177</f>
        <v>#NAME?</v>
      </c>
      <c r="I176" s="0" t="e">
        <f aca="false">sheet1!auu177</f>
        <v>#NAME?</v>
      </c>
      <c r="J176" s="0" t="e">
        <f aca="false">sheet1!auv177</f>
        <v>#NAME?</v>
      </c>
      <c r="K176" s="0" t="e">
        <f aca="false">sheet1!auw177</f>
        <v>#NAME?</v>
      </c>
      <c r="L176" s="0" t="e">
        <f aca="false">sheet1!aux177</f>
        <v>#NAME?</v>
      </c>
      <c r="M176" s="0" t="e">
        <f aca="false">sheet1!auy177</f>
        <v>#NAME?</v>
      </c>
    </row>
    <row r="177" customFormat="false" ht="13.5" hidden="false" customHeight="false" outlineLevel="0" collapsed="false">
      <c r="A177" s="0" t="s">
        <v>93</v>
      </c>
      <c r="B177" s="1" t="n">
        <v>44037</v>
      </c>
      <c r="C177" s="0" t="e">
        <f aca="false">sheet1!auo178</f>
        <v>#NAME?</v>
      </c>
      <c r="D177" s="0" t="e">
        <f aca="false">sheet1!aup178</f>
        <v>#NAME?</v>
      </c>
      <c r="E177" s="0" t="e">
        <f aca="false">sheet1!auq178</f>
        <v>#NAME?</v>
      </c>
      <c r="F177" s="0" t="e">
        <f aca="false">sheet1!aur178</f>
        <v>#NAME?</v>
      </c>
      <c r="G177" s="0" t="e">
        <f aca="false">sheet1!aus178</f>
        <v>#NAME?</v>
      </c>
      <c r="H177" s="0" t="e">
        <f aca="false">sheet1!aut178</f>
        <v>#NAME?</v>
      </c>
      <c r="I177" s="0" t="e">
        <f aca="false">sheet1!auu178</f>
        <v>#NAME?</v>
      </c>
      <c r="J177" s="0" t="e">
        <f aca="false">sheet1!auv178</f>
        <v>#NAME?</v>
      </c>
      <c r="K177" s="0" t="e">
        <f aca="false">sheet1!auw178</f>
        <v>#NAME?</v>
      </c>
      <c r="L177" s="0" t="e">
        <f aca="false">sheet1!aux178</f>
        <v>#NAME?</v>
      </c>
      <c r="M177" s="0" t="e">
        <f aca="false">sheet1!auy178</f>
        <v>#NAME?</v>
      </c>
    </row>
    <row r="178" customFormat="false" ht="13.5" hidden="false" customHeight="false" outlineLevel="0" collapsed="false">
      <c r="A178" s="0" t="s">
        <v>93</v>
      </c>
      <c r="B178" s="1" t="n">
        <v>44038</v>
      </c>
      <c r="C178" s="0" t="e">
        <f aca="false">sheet1!auo179</f>
        <v>#NAME?</v>
      </c>
      <c r="D178" s="0" t="e">
        <f aca="false">sheet1!aup179</f>
        <v>#NAME?</v>
      </c>
      <c r="E178" s="0" t="e">
        <f aca="false">sheet1!auq179</f>
        <v>#NAME?</v>
      </c>
      <c r="F178" s="0" t="e">
        <f aca="false">sheet1!aur179</f>
        <v>#NAME?</v>
      </c>
      <c r="G178" s="0" t="e">
        <f aca="false">sheet1!aus179</f>
        <v>#NAME?</v>
      </c>
      <c r="H178" s="0" t="e">
        <f aca="false">sheet1!aut179</f>
        <v>#NAME?</v>
      </c>
      <c r="I178" s="0" t="e">
        <f aca="false">sheet1!auu179</f>
        <v>#NAME?</v>
      </c>
      <c r="J178" s="0" t="e">
        <f aca="false">sheet1!auv179</f>
        <v>#NAME?</v>
      </c>
      <c r="K178" s="0" t="e">
        <f aca="false">sheet1!auw179</f>
        <v>#NAME?</v>
      </c>
      <c r="L178" s="0" t="e">
        <f aca="false">sheet1!aux179</f>
        <v>#NAME?</v>
      </c>
      <c r="M178" s="0" t="e">
        <f aca="false">sheet1!auy179</f>
        <v>#NAME?</v>
      </c>
    </row>
    <row r="179" customFormat="false" ht="13.5" hidden="false" customHeight="false" outlineLevel="0" collapsed="false">
      <c r="A179" s="0" t="s">
        <v>93</v>
      </c>
      <c r="B179" s="1" t="n">
        <v>44039</v>
      </c>
      <c r="C179" s="0" t="e">
        <f aca="false">sheet1!auo180</f>
        <v>#NAME?</v>
      </c>
      <c r="D179" s="0" t="e">
        <f aca="false">sheet1!aup180</f>
        <v>#NAME?</v>
      </c>
      <c r="E179" s="0" t="e">
        <f aca="false">sheet1!auq180</f>
        <v>#NAME?</v>
      </c>
      <c r="F179" s="0" t="e">
        <f aca="false">sheet1!aur180</f>
        <v>#NAME?</v>
      </c>
      <c r="G179" s="0" t="e">
        <f aca="false">sheet1!aus180</f>
        <v>#NAME?</v>
      </c>
      <c r="H179" s="0" t="e">
        <f aca="false">sheet1!aut180</f>
        <v>#NAME?</v>
      </c>
      <c r="I179" s="0" t="e">
        <f aca="false">sheet1!auu180</f>
        <v>#NAME?</v>
      </c>
      <c r="J179" s="0" t="e">
        <f aca="false">sheet1!auv180</f>
        <v>#NAME?</v>
      </c>
      <c r="K179" s="0" t="e">
        <f aca="false">sheet1!auw180</f>
        <v>#NAME?</v>
      </c>
      <c r="L179" s="0" t="e">
        <f aca="false">sheet1!aux180</f>
        <v>#NAME?</v>
      </c>
      <c r="M179" s="0" t="e">
        <f aca="false">sheet1!auy180</f>
        <v>#NAME?</v>
      </c>
    </row>
    <row r="180" customFormat="false" ht="13.5" hidden="false" customHeight="false" outlineLevel="0" collapsed="false">
      <c r="A180" s="0" t="s">
        <v>93</v>
      </c>
      <c r="B180" s="1" t="n">
        <v>44040</v>
      </c>
      <c r="C180" s="0" t="e">
        <f aca="false">sheet1!auo181</f>
        <v>#NAME?</v>
      </c>
      <c r="D180" s="0" t="e">
        <f aca="false">sheet1!aup181</f>
        <v>#NAME?</v>
      </c>
      <c r="E180" s="0" t="e">
        <f aca="false">sheet1!auq181</f>
        <v>#NAME?</v>
      </c>
      <c r="F180" s="0" t="e">
        <f aca="false">sheet1!aur181</f>
        <v>#NAME?</v>
      </c>
      <c r="G180" s="0" t="e">
        <f aca="false">sheet1!aus181</f>
        <v>#NAME?</v>
      </c>
      <c r="H180" s="0" t="e">
        <f aca="false">sheet1!aut181</f>
        <v>#NAME?</v>
      </c>
      <c r="I180" s="0" t="e">
        <f aca="false">sheet1!auu181</f>
        <v>#NAME?</v>
      </c>
      <c r="J180" s="0" t="e">
        <f aca="false">sheet1!auv181</f>
        <v>#NAME?</v>
      </c>
      <c r="K180" s="0" t="e">
        <f aca="false">sheet1!auw181</f>
        <v>#NAME?</v>
      </c>
      <c r="L180" s="0" t="e">
        <f aca="false">sheet1!aux181</f>
        <v>#NAME?</v>
      </c>
      <c r="M180" s="0" t="e">
        <f aca="false">sheet1!auy181</f>
        <v>#NAME?</v>
      </c>
    </row>
    <row r="181" customFormat="false" ht="13.5" hidden="false" customHeight="false" outlineLevel="0" collapsed="false">
      <c r="A181" s="0" t="s">
        <v>93</v>
      </c>
      <c r="B181" s="1" t="n">
        <v>44041</v>
      </c>
      <c r="C181" s="0" t="e">
        <f aca="false">sheet1!auo182</f>
        <v>#NAME?</v>
      </c>
      <c r="D181" s="0" t="e">
        <f aca="false">sheet1!aup182</f>
        <v>#NAME?</v>
      </c>
      <c r="E181" s="0" t="e">
        <f aca="false">sheet1!auq182</f>
        <v>#NAME?</v>
      </c>
      <c r="F181" s="0" t="e">
        <f aca="false">sheet1!aur182</f>
        <v>#NAME?</v>
      </c>
      <c r="G181" s="0" t="e">
        <f aca="false">sheet1!aus182</f>
        <v>#NAME?</v>
      </c>
      <c r="H181" s="0" t="e">
        <f aca="false">sheet1!aut182</f>
        <v>#NAME?</v>
      </c>
      <c r="I181" s="0" t="e">
        <f aca="false">sheet1!auu182</f>
        <v>#NAME?</v>
      </c>
      <c r="J181" s="0" t="e">
        <f aca="false">sheet1!auv182</f>
        <v>#NAME?</v>
      </c>
      <c r="K181" s="0" t="e">
        <f aca="false">sheet1!auw182</f>
        <v>#NAME?</v>
      </c>
      <c r="L181" s="0" t="e">
        <f aca="false">sheet1!aux182</f>
        <v>#NAME?</v>
      </c>
      <c r="M181" s="0" t="e">
        <f aca="false">sheet1!auy182</f>
        <v>#NAME?</v>
      </c>
    </row>
    <row r="182" customFormat="false" ht="13.5" hidden="false" customHeight="false" outlineLevel="0" collapsed="false">
      <c r="A182" s="0" t="s">
        <v>93</v>
      </c>
      <c r="B182" s="1" t="n">
        <v>44042</v>
      </c>
      <c r="C182" s="0" t="e">
        <f aca="false">sheet1!auo183</f>
        <v>#NAME?</v>
      </c>
      <c r="D182" s="0" t="e">
        <f aca="false">sheet1!aup183</f>
        <v>#NAME?</v>
      </c>
      <c r="E182" s="0" t="e">
        <f aca="false">sheet1!auq183</f>
        <v>#NAME?</v>
      </c>
      <c r="F182" s="0" t="e">
        <f aca="false">sheet1!aur183</f>
        <v>#NAME?</v>
      </c>
      <c r="G182" s="0" t="e">
        <f aca="false">sheet1!aus183</f>
        <v>#NAME?</v>
      </c>
      <c r="H182" s="0" t="e">
        <f aca="false">sheet1!aut183</f>
        <v>#NAME?</v>
      </c>
      <c r="I182" s="0" t="e">
        <f aca="false">sheet1!auu183</f>
        <v>#NAME?</v>
      </c>
      <c r="J182" s="0" t="e">
        <f aca="false">sheet1!auv183</f>
        <v>#NAME?</v>
      </c>
      <c r="K182" s="0" t="e">
        <f aca="false">sheet1!auw183</f>
        <v>#NAME?</v>
      </c>
      <c r="L182" s="0" t="e">
        <f aca="false">sheet1!aux183</f>
        <v>#NAME?</v>
      </c>
      <c r="M182" s="0" t="e">
        <f aca="false">sheet1!auy183</f>
        <v>#NAME?</v>
      </c>
    </row>
    <row r="183" customFormat="false" ht="13.5" hidden="false" customHeight="false" outlineLevel="0" collapsed="false">
      <c r="A183" s="0" t="s">
        <v>93</v>
      </c>
      <c r="B183" s="1" t="n">
        <v>44043</v>
      </c>
      <c r="C183" s="0" t="e">
        <f aca="false">sheet1!auo184</f>
        <v>#NAME?</v>
      </c>
      <c r="D183" s="0" t="e">
        <f aca="false">sheet1!aup184</f>
        <v>#NAME?</v>
      </c>
      <c r="E183" s="0" t="e">
        <f aca="false">sheet1!auq184</f>
        <v>#NAME?</v>
      </c>
      <c r="F183" s="0" t="e">
        <f aca="false">sheet1!aur184</f>
        <v>#NAME?</v>
      </c>
      <c r="G183" s="0" t="e">
        <f aca="false">sheet1!aus184</f>
        <v>#NAME?</v>
      </c>
      <c r="H183" s="0" t="e">
        <f aca="false">sheet1!aut184</f>
        <v>#NAME?</v>
      </c>
      <c r="I183" s="0" t="e">
        <f aca="false">sheet1!auu184</f>
        <v>#NAME?</v>
      </c>
      <c r="J183" s="0" t="e">
        <f aca="false">sheet1!auv184</f>
        <v>#NAME?</v>
      </c>
      <c r="K183" s="0" t="e">
        <f aca="false">sheet1!auw184</f>
        <v>#NAME?</v>
      </c>
      <c r="L183" s="0" t="e">
        <f aca="false">sheet1!aux184</f>
        <v>#NAME?</v>
      </c>
      <c r="M183" s="0" t="e">
        <f aca="false">sheet1!auy184</f>
        <v>#NAME?</v>
      </c>
    </row>
    <row r="184" customFormat="false" ht="13.5" hidden="false" customHeight="false" outlineLevel="0" collapsed="false">
      <c r="A184" s="0" t="s">
        <v>93</v>
      </c>
      <c r="B184" s="1" t="n">
        <v>44044</v>
      </c>
      <c r="C184" s="0" t="e">
        <f aca="false">sheet1!auo185</f>
        <v>#NAME?</v>
      </c>
      <c r="D184" s="0" t="e">
        <f aca="false">sheet1!aup185</f>
        <v>#NAME?</v>
      </c>
      <c r="E184" s="0" t="e">
        <f aca="false">sheet1!auq185</f>
        <v>#NAME?</v>
      </c>
      <c r="F184" s="0" t="e">
        <f aca="false">sheet1!aur185</f>
        <v>#NAME?</v>
      </c>
      <c r="G184" s="0" t="e">
        <f aca="false">sheet1!aus185</f>
        <v>#NAME?</v>
      </c>
      <c r="H184" s="0" t="e">
        <f aca="false">sheet1!aut185</f>
        <v>#NAME?</v>
      </c>
      <c r="I184" s="0" t="e">
        <f aca="false">sheet1!auu185</f>
        <v>#NAME?</v>
      </c>
      <c r="J184" s="0" t="e">
        <f aca="false">sheet1!auv185</f>
        <v>#NAME?</v>
      </c>
      <c r="K184" s="0" t="e">
        <f aca="false">sheet1!auw185</f>
        <v>#NAME?</v>
      </c>
      <c r="L184" s="0" t="e">
        <f aca="false">sheet1!aux185</f>
        <v>#NAME?</v>
      </c>
      <c r="M184" s="0" t="e">
        <f aca="false">sheet1!auy185</f>
        <v>#NAME?</v>
      </c>
    </row>
    <row r="185" customFormat="false" ht="13.5" hidden="false" customHeight="false" outlineLevel="0" collapsed="false">
      <c r="A185" s="0" t="s">
        <v>93</v>
      </c>
      <c r="B185" s="1" t="n">
        <v>44045</v>
      </c>
      <c r="C185" s="0" t="e">
        <f aca="false">sheet1!auo186</f>
        <v>#NAME?</v>
      </c>
      <c r="D185" s="0" t="e">
        <f aca="false">sheet1!aup186</f>
        <v>#NAME?</v>
      </c>
      <c r="E185" s="0" t="e">
        <f aca="false">sheet1!auq186</f>
        <v>#NAME?</v>
      </c>
      <c r="F185" s="0" t="e">
        <f aca="false">sheet1!aur186</f>
        <v>#NAME?</v>
      </c>
      <c r="G185" s="0" t="e">
        <f aca="false">sheet1!aus186</f>
        <v>#NAME?</v>
      </c>
      <c r="H185" s="0" t="e">
        <f aca="false">sheet1!aut186</f>
        <v>#NAME?</v>
      </c>
      <c r="I185" s="0" t="e">
        <f aca="false">sheet1!auu186</f>
        <v>#NAME?</v>
      </c>
      <c r="J185" s="0" t="e">
        <f aca="false">sheet1!auv186</f>
        <v>#NAME?</v>
      </c>
      <c r="K185" s="0" t="e">
        <f aca="false">sheet1!auw186</f>
        <v>#NAME?</v>
      </c>
      <c r="L185" s="0" t="e">
        <f aca="false">sheet1!aux186</f>
        <v>#NAME?</v>
      </c>
      <c r="M185" s="0" t="e">
        <f aca="false">sheet1!auy186</f>
        <v>#NAME?</v>
      </c>
    </row>
    <row r="186" customFormat="false" ht="13.5" hidden="false" customHeight="false" outlineLevel="0" collapsed="false">
      <c r="A186" s="0" t="s">
        <v>93</v>
      </c>
      <c r="B186" s="1" t="n">
        <v>44046</v>
      </c>
      <c r="C186" s="0" t="e">
        <f aca="false">sheet1!auo187</f>
        <v>#NAME?</v>
      </c>
      <c r="D186" s="0" t="e">
        <f aca="false">sheet1!aup187</f>
        <v>#NAME?</v>
      </c>
      <c r="E186" s="0" t="e">
        <f aca="false">sheet1!auq187</f>
        <v>#NAME?</v>
      </c>
      <c r="F186" s="0" t="e">
        <f aca="false">sheet1!aur187</f>
        <v>#NAME?</v>
      </c>
      <c r="G186" s="0" t="e">
        <f aca="false">sheet1!aus187</f>
        <v>#NAME?</v>
      </c>
      <c r="H186" s="0" t="e">
        <f aca="false">sheet1!aut187</f>
        <v>#NAME?</v>
      </c>
      <c r="I186" s="0" t="e">
        <f aca="false">sheet1!auu187</f>
        <v>#NAME?</v>
      </c>
      <c r="J186" s="0" t="e">
        <f aca="false">sheet1!auv187</f>
        <v>#NAME?</v>
      </c>
      <c r="K186" s="0" t="e">
        <f aca="false">sheet1!auw187</f>
        <v>#NAME?</v>
      </c>
      <c r="L186" s="0" t="e">
        <f aca="false">sheet1!aux187</f>
        <v>#NAME?</v>
      </c>
      <c r="M186" s="0" t="e">
        <f aca="false">sheet1!auy187</f>
        <v>#NAME?</v>
      </c>
    </row>
    <row r="187" customFormat="false" ht="13.5" hidden="false" customHeight="false" outlineLevel="0" collapsed="false">
      <c r="A187" s="0" t="s">
        <v>93</v>
      </c>
      <c r="B187" s="1" t="n">
        <v>44047</v>
      </c>
      <c r="C187" s="0" t="e">
        <f aca="false">sheet1!auo188</f>
        <v>#NAME?</v>
      </c>
      <c r="D187" s="0" t="e">
        <f aca="false">sheet1!aup188</f>
        <v>#NAME?</v>
      </c>
      <c r="E187" s="0" t="e">
        <f aca="false">sheet1!auq188</f>
        <v>#NAME?</v>
      </c>
      <c r="F187" s="0" t="e">
        <f aca="false">sheet1!aur188</f>
        <v>#NAME?</v>
      </c>
      <c r="G187" s="0" t="e">
        <f aca="false">sheet1!aus188</f>
        <v>#NAME?</v>
      </c>
      <c r="H187" s="0" t="e">
        <f aca="false">sheet1!aut188</f>
        <v>#NAME?</v>
      </c>
      <c r="I187" s="0" t="e">
        <f aca="false">sheet1!auu188</f>
        <v>#NAME?</v>
      </c>
      <c r="J187" s="0" t="e">
        <f aca="false">sheet1!auv188</f>
        <v>#NAME?</v>
      </c>
      <c r="K187" s="0" t="e">
        <f aca="false">sheet1!auw188</f>
        <v>#NAME?</v>
      </c>
      <c r="L187" s="0" t="e">
        <f aca="false">sheet1!aux188</f>
        <v>#NAME?</v>
      </c>
      <c r="M187" s="0" t="e">
        <f aca="false">sheet1!auy188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I154" activeCellId="0" sqref="I154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94</v>
      </c>
      <c r="B2" s="1" t="n">
        <v>43862</v>
      </c>
    </row>
    <row r="3" customFormat="false" ht="13.5" hidden="false" customHeight="false" outlineLevel="0" collapsed="false">
      <c r="A3" s="0" t="s">
        <v>94</v>
      </c>
      <c r="B3" s="1" t="n">
        <v>43863</v>
      </c>
    </row>
    <row r="4" customFormat="false" ht="13.5" hidden="false" customHeight="false" outlineLevel="0" collapsed="false">
      <c r="A4" s="0" t="s">
        <v>94</v>
      </c>
      <c r="B4" s="1" t="n">
        <v>43864</v>
      </c>
    </row>
    <row r="5" customFormat="false" ht="13.5" hidden="false" customHeight="false" outlineLevel="0" collapsed="false">
      <c r="A5" s="0" t="s">
        <v>94</v>
      </c>
      <c r="B5" s="1" t="n">
        <v>43865</v>
      </c>
    </row>
    <row r="6" customFormat="false" ht="13.5" hidden="false" customHeight="false" outlineLevel="0" collapsed="false">
      <c r="A6" s="0" t="s">
        <v>94</v>
      </c>
      <c r="B6" s="1" t="n">
        <v>43866</v>
      </c>
    </row>
    <row r="7" customFormat="false" ht="13.5" hidden="false" customHeight="false" outlineLevel="0" collapsed="false">
      <c r="A7" s="0" t="s">
        <v>94</v>
      </c>
      <c r="B7" s="1" t="n">
        <v>43867</v>
      </c>
    </row>
    <row r="8" customFormat="false" ht="13.5" hidden="false" customHeight="false" outlineLevel="0" collapsed="false">
      <c r="A8" s="0" t="s">
        <v>94</v>
      </c>
      <c r="B8" s="1" t="n">
        <v>43868</v>
      </c>
    </row>
    <row r="9" customFormat="false" ht="13.5" hidden="false" customHeight="false" outlineLevel="0" collapsed="false">
      <c r="A9" s="0" t="s">
        <v>94</v>
      </c>
      <c r="B9" s="1" t="n">
        <v>43869</v>
      </c>
    </row>
    <row r="10" customFormat="false" ht="13.5" hidden="false" customHeight="false" outlineLevel="0" collapsed="false">
      <c r="A10" s="0" t="s">
        <v>94</v>
      </c>
      <c r="B10" s="1" t="n">
        <v>43870</v>
      </c>
    </row>
    <row r="11" customFormat="false" ht="13.5" hidden="false" customHeight="false" outlineLevel="0" collapsed="false">
      <c r="A11" s="0" t="s">
        <v>94</v>
      </c>
      <c r="B11" s="1" t="n">
        <v>43871</v>
      </c>
    </row>
    <row r="12" customFormat="false" ht="13.5" hidden="false" customHeight="false" outlineLevel="0" collapsed="false">
      <c r="A12" s="0" t="s">
        <v>94</v>
      </c>
      <c r="B12" s="1" t="n">
        <v>43872</v>
      </c>
    </row>
    <row r="13" customFormat="false" ht="13.5" hidden="false" customHeight="false" outlineLevel="0" collapsed="false">
      <c r="A13" s="0" t="s">
        <v>94</v>
      </c>
      <c r="B13" s="1" t="n">
        <v>43873</v>
      </c>
    </row>
    <row r="14" customFormat="false" ht="13.5" hidden="false" customHeight="false" outlineLevel="0" collapsed="false">
      <c r="A14" s="0" t="s">
        <v>94</v>
      </c>
      <c r="B14" s="1" t="n">
        <v>43874</v>
      </c>
    </row>
    <row r="15" customFormat="false" ht="13.5" hidden="false" customHeight="false" outlineLevel="0" collapsed="false">
      <c r="A15" s="0" t="s">
        <v>94</v>
      </c>
      <c r="B15" s="1" t="n">
        <v>43875</v>
      </c>
    </row>
    <row r="16" customFormat="false" ht="13.5" hidden="false" customHeight="false" outlineLevel="0" collapsed="false">
      <c r="A16" s="0" t="s">
        <v>94</v>
      </c>
      <c r="B16" s="1" t="n">
        <v>43876</v>
      </c>
    </row>
    <row r="17" customFormat="false" ht="13.5" hidden="false" customHeight="false" outlineLevel="0" collapsed="false">
      <c r="A17" s="0" t="s">
        <v>94</v>
      </c>
      <c r="B17" s="1" t="n">
        <v>43877</v>
      </c>
    </row>
    <row r="18" customFormat="false" ht="13.5" hidden="false" customHeight="false" outlineLevel="0" collapsed="false">
      <c r="A18" s="0" t="s">
        <v>94</v>
      </c>
      <c r="B18" s="1" t="n">
        <v>43878</v>
      </c>
    </row>
    <row r="19" customFormat="false" ht="13.5" hidden="false" customHeight="false" outlineLevel="0" collapsed="false">
      <c r="A19" s="0" t="s">
        <v>94</v>
      </c>
      <c r="B19" s="1" t="n">
        <v>43879</v>
      </c>
    </row>
    <row r="20" customFormat="false" ht="13.5" hidden="false" customHeight="false" outlineLevel="0" collapsed="false">
      <c r="A20" s="0" t="s">
        <v>94</v>
      </c>
      <c r="B20" s="1" t="n">
        <v>43880</v>
      </c>
    </row>
    <row r="21" customFormat="false" ht="13.5" hidden="false" customHeight="false" outlineLevel="0" collapsed="false">
      <c r="A21" s="0" t="s">
        <v>94</v>
      </c>
      <c r="B21" s="1" t="n">
        <v>43881</v>
      </c>
    </row>
    <row r="22" customFormat="false" ht="13.5" hidden="false" customHeight="false" outlineLevel="0" collapsed="false">
      <c r="A22" s="0" t="s">
        <v>94</v>
      </c>
      <c r="B22" s="1" t="n">
        <v>43882</v>
      </c>
    </row>
    <row r="23" customFormat="false" ht="13.5" hidden="false" customHeight="false" outlineLevel="0" collapsed="false">
      <c r="A23" s="0" t="s">
        <v>94</v>
      </c>
      <c r="B23" s="1" t="n">
        <v>43883</v>
      </c>
    </row>
    <row r="24" customFormat="false" ht="13.5" hidden="false" customHeight="false" outlineLevel="0" collapsed="false">
      <c r="A24" s="0" t="s">
        <v>94</v>
      </c>
      <c r="B24" s="1" t="n">
        <v>43884</v>
      </c>
    </row>
    <row r="25" customFormat="false" ht="13.5" hidden="false" customHeight="false" outlineLevel="0" collapsed="false">
      <c r="A25" s="0" t="s">
        <v>94</v>
      </c>
      <c r="B25" s="1" t="n">
        <v>43885</v>
      </c>
    </row>
    <row r="26" customFormat="false" ht="13.5" hidden="false" customHeight="false" outlineLevel="0" collapsed="false">
      <c r="A26" s="0" t="s">
        <v>94</v>
      </c>
      <c r="B26" s="1" t="n">
        <v>43886</v>
      </c>
    </row>
    <row r="27" customFormat="false" ht="13.5" hidden="false" customHeight="false" outlineLevel="0" collapsed="false">
      <c r="A27" s="0" t="s">
        <v>94</v>
      </c>
      <c r="B27" s="1" t="n">
        <v>43887</v>
      </c>
    </row>
    <row r="28" customFormat="false" ht="13.5" hidden="false" customHeight="false" outlineLevel="0" collapsed="false">
      <c r="A28" s="0" t="s">
        <v>94</v>
      </c>
      <c r="B28" s="1" t="n">
        <v>43888</v>
      </c>
    </row>
    <row r="29" customFormat="false" ht="13.5" hidden="false" customHeight="false" outlineLevel="0" collapsed="false">
      <c r="A29" s="0" t="s">
        <v>94</v>
      </c>
      <c r="B29" s="1" t="n">
        <v>43889</v>
      </c>
    </row>
    <row r="30" customFormat="false" ht="13.5" hidden="false" customHeight="false" outlineLevel="0" collapsed="false">
      <c r="A30" s="0" t="s">
        <v>94</v>
      </c>
      <c r="B30" s="1" t="n">
        <v>43890</v>
      </c>
    </row>
    <row r="31" customFormat="false" ht="13.5" hidden="false" customHeight="false" outlineLevel="0" collapsed="false">
      <c r="A31" s="0" t="s">
        <v>94</v>
      </c>
      <c r="B31" s="1" t="n">
        <v>43891</v>
      </c>
    </row>
    <row r="32" customFormat="false" ht="13.5" hidden="false" customHeight="false" outlineLevel="0" collapsed="false">
      <c r="A32" s="0" t="s">
        <v>94</v>
      </c>
      <c r="B32" s="1" t="n">
        <v>43892</v>
      </c>
    </row>
    <row r="33" customFormat="false" ht="13.5" hidden="false" customHeight="false" outlineLevel="0" collapsed="false">
      <c r="A33" s="0" t="s">
        <v>94</v>
      </c>
      <c r="B33" s="1" t="n">
        <v>43893</v>
      </c>
    </row>
    <row r="34" customFormat="false" ht="13.5" hidden="false" customHeight="false" outlineLevel="0" collapsed="false">
      <c r="A34" s="0" t="s">
        <v>94</v>
      </c>
      <c r="B34" s="1" t="n">
        <v>43894</v>
      </c>
    </row>
    <row r="35" customFormat="false" ht="13.5" hidden="false" customHeight="false" outlineLevel="0" collapsed="false">
      <c r="A35" s="0" t="s">
        <v>94</v>
      </c>
      <c r="B35" s="1" t="n">
        <v>43895</v>
      </c>
    </row>
    <row r="36" customFormat="false" ht="13.5" hidden="false" customHeight="false" outlineLevel="0" collapsed="false">
      <c r="A36" s="0" t="s">
        <v>94</v>
      </c>
      <c r="B36" s="1" t="n">
        <v>43896</v>
      </c>
    </row>
    <row r="37" customFormat="false" ht="13.5" hidden="false" customHeight="false" outlineLevel="0" collapsed="false">
      <c r="A37" s="0" t="s">
        <v>94</v>
      </c>
      <c r="B37" s="1" t="n">
        <v>43897</v>
      </c>
    </row>
    <row r="38" customFormat="false" ht="13.5" hidden="false" customHeight="false" outlineLevel="0" collapsed="false">
      <c r="A38" s="0" t="s">
        <v>94</v>
      </c>
      <c r="B38" s="1" t="n">
        <v>43898</v>
      </c>
    </row>
    <row r="39" customFormat="false" ht="13.5" hidden="false" customHeight="false" outlineLevel="0" collapsed="false">
      <c r="A39" s="0" t="s">
        <v>94</v>
      </c>
      <c r="B39" s="1" t="n">
        <v>43899</v>
      </c>
    </row>
    <row r="40" customFormat="false" ht="13.5" hidden="false" customHeight="false" outlineLevel="0" collapsed="false">
      <c r="A40" s="0" t="s">
        <v>94</v>
      </c>
      <c r="B40" s="1" t="n">
        <v>43900</v>
      </c>
    </row>
    <row r="41" customFormat="false" ht="13.5" hidden="false" customHeight="false" outlineLevel="0" collapsed="false">
      <c r="A41" s="0" t="s">
        <v>94</v>
      </c>
      <c r="B41" s="1" t="n">
        <v>43901</v>
      </c>
    </row>
    <row r="42" customFormat="false" ht="13.5" hidden="false" customHeight="false" outlineLevel="0" collapsed="false">
      <c r="A42" s="0" t="s">
        <v>94</v>
      </c>
      <c r="B42" s="1" t="n">
        <v>43902</v>
      </c>
    </row>
    <row r="43" customFormat="false" ht="13.5" hidden="false" customHeight="false" outlineLevel="0" collapsed="false">
      <c r="A43" s="0" t="s">
        <v>94</v>
      </c>
      <c r="B43" s="1" t="n">
        <v>43903</v>
      </c>
    </row>
    <row r="44" customFormat="false" ht="13.5" hidden="false" customHeight="false" outlineLevel="0" collapsed="false">
      <c r="A44" s="0" t="s">
        <v>94</v>
      </c>
      <c r="B44" s="1" t="n">
        <v>43904</v>
      </c>
      <c r="C44" s="0" t="n">
        <v>1</v>
      </c>
      <c r="D44" s="0" t="n">
        <v>1</v>
      </c>
      <c r="E44" s="0" t="n">
        <v>1</v>
      </c>
      <c r="F44" s="0" t="n">
        <v>1</v>
      </c>
      <c r="H44" s="0" t="n">
        <v>0</v>
      </c>
    </row>
    <row r="45" customFormat="false" ht="13.5" hidden="false" customHeight="false" outlineLevel="0" collapsed="false">
      <c r="A45" s="0" t="s">
        <v>94</v>
      </c>
      <c r="B45" s="1" t="n">
        <v>43905</v>
      </c>
      <c r="C45" s="0" t="n">
        <v>1</v>
      </c>
      <c r="D45" s="0" t="n">
        <v>0</v>
      </c>
      <c r="E45" s="0" t="n">
        <v>1</v>
      </c>
      <c r="F45" s="0" t="n">
        <v>0</v>
      </c>
      <c r="H45" s="0" t="n">
        <v>0</v>
      </c>
    </row>
    <row r="46" customFormat="false" ht="13.5" hidden="false" customHeight="false" outlineLevel="0" collapsed="false">
      <c r="A46" s="0" t="s">
        <v>94</v>
      </c>
      <c r="B46" s="1" t="n">
        <v>43906</v>
      </c>
      <c r="C46" s="0" t="n">
        <v>1</v>
      </c>
      <c r="D46" s="0" t="n">
        <v>0</v>
      </c>
      <c r="E46" s="0" t="n">
        <v>1</v>
      </c>
      <c r="F46" s="0" t="n">
        <v>0</v>
      </c>
      <c r="H46" s="0" t="n">
        <v>0</v>
      </c>
    </row>
    <row r="47" customFormat="false" ht="13.5" hidden="false" customHeight="false" outlineLevel="0" collapsed="false">
      <c r="A47" s="0" t="s">
        <v>94</v>
      </c>
      <c r="B47" s="1" t="n">
        <v>43907</v>
      </c>
      <c r="C47" s="0" t="n">
        <v>1</v>
      </c>
      <c r="D47" s="0" t="n">
        <v>0</v>
      </c>
      <c r="E47" s="0" t="n">
        <v>1</v>
      </c>
      <c r="F47" s="0" t="n">
        <v>0</v>
      </c>
      <c r="H47" s="0" t="n">
        <v>0</v>
      </c>
    </row>
    <row r="48" customFormat="false" ht="13.5" hidden="false" customHeight="false" outlineLevel="0" collapsed="false">
      <c r="A48" s="0" t="s">
        <v>94</v>
      </c>
      <c r="B48" s="1" t="n">
        <v>43908</v>
      </c>
      <c r="C48" s="0" t="n">
        <v>1</v>
      </c>
      <c r="D48" s="0" t="n">
        <v>0</v>
      </c>
      <c r="E48" s="0" t="n">
        <v>1</v>
      </c>
      <c r="F48" s="0" t="n">
        <v>0</v>
      </c>
      <c r="H48" s="0" t="n">
        <v>0</v>
      </c>
    </row>
    <row r="49" customFormat="false" ht="13.5" hidden="false" customHeight="false" outlineLevel="0" collapsed="false">
      <c r="A49" s="0" t="s">
        <v>94</v>
      </c>
      <c r="B49" s="1" t="n">
        <v>43909</v>
      </c>
      <c r="C49" s="0" t="n">
        <v>2</v>
      </c>
      <c r="D49" s="0" t="n">
        <v>1</v>
      </c>
      <c r="E49" s="0" t="n">
        <v>1</v>
      </c>
      <c r="F49" s="0" t="n">
        <v>0</v>
      </c>
      <c r="H49" s="0" t="n">
        <v>1</v>
      </c>
      <c r="J49" s="0" t="n">
        <v>0.05</v>
      </c>
    </row>
    <row r="50" customFormat="false" ht="13.5" hidden="false" customHeight="false" outlineLevel="0" collapsed="false">
      <c r="A50" s="0" t="s">
        <v>94</v>
      </c>
      <c r="B50" s="1" t="n">
        <v>43910</v>
      </c>
      <c r="C50" s="0" t="n">
        <v>2</v>
      </c>
      <c r="D50" s="0" t="n">
        <v>0</v>
      </c>
      <c r="E50" s="0" t="n">
        <v>1</v>
      </c>
      <c r="F50" s="0" t="n">
        <v>0</v>
      </c>
      <c r="H50" s="0" t="n">
        <v>1</v>
      </c>
      <c r="J50" s="0" t="n">
        <v>0.05</v>
      </c>
    </row>
    <row r="51" customFormat="false" ht="13.5" hidden="false" customHeight="false" outlineLevel="0" collapsed="false">
      <c r="A51" s="0" t="s">
        <v>94</v>
      </c>
      <c r="B51" s="1" t="n">
        <v>43911</v>
      </c>
      <c r="C51" s="0" t="n">
        <v>2</v>
      </c>
      <c r="D51" s="0" t="n">
        <v>0</v>
      </c>
      <c r="E51" s="0" t="n">
        <v>1</v>
      </c>
      <c r="F51" s="0" t="n">
        <v>0</v>
      </c>
      <c r="H51" s="0" t="n">
        <v>1</v>
      </c>
      <c r="J51" s="0" t="n">
        <v>0.05</v>
      </c>
    </row>
    <row r="52" customFormat="false" ht="13.5" hidden="false" customHeight="false" outlineLevel="0" collapsed="false">
      <c r="A52" s="0" t="s">
        <v>94</v>
      </c>
      <c r="B52" s="1" t="n">
        <v>43912</v>
      </c>
      <c r="C52" s="0" t="n">
        <v>2</v>
      </c>
      <c r="D52" s="0" t="n">
        <v>0</v>
      </c>
      <c r="E52" s="0" t="n">
        <v>1</v>
      </c>
      <c r="F52" s="0" t="n">
        <v>0</v>
      </c>
      <c r="H52" s="0" t="n">
        <v>1</v>
      </c>
      <c r="J52" s="0" t="n">
        <v>0.05</v>
      </c>
    </row>
    <row r="53" customFormat="false" ht="13.5" hidden="false" customHeight="false" outlineLevel="0" collapsed="false">
      <c r="A53" s="0" t="s">
        <v>94</v>
      </c>
      <c r="B53" s="1" t="n">
        <v>43913</v>
      </c>
      <c r="C53" s="0" t="n">
        <v>2</v>
      </c>
      <c r="D53" s="0" t="n">
        <v>0</v>
      </c>
      <c r="E53" s="0" t="n">
        <v>1</v>
      </c>
      <c r="F53" s="0" t="n">
        <v>0</v>
      </c>
      <c r="H53" s="0" t="n">
        <v>1</v>
      </c>
      <c r="J53" s="0" t="n">
        <v>0.05</v>
      </c>
    </row>
    <row r="54" customFormat="false" ht="13.5" hidden="false" customHeight="false" outlineLevel="0" collapsed="false">
      <c r="A54" s="0" t="s">
        <v>94</v>
      </c>
      <c r="B54" s="1" t="n">
        <v>43914</v>
      </c>
      <c r="C54" s="0" t="n">
        <v>2</v>
      </c>
      <c r="D54" s="0" t="n">
        <v>0</v>
      </c>
      <c r="E54" s="0" t="n">
        <v>1</v>
      </c>
      <c r="F54" s="0" t="n">
        <v>0</v>
      </c>
      <c r="H54" s="0" t="n">
        <v>1</v>
      </c>
      <c r="J54" s="0" t="n">
        <v>0.05</v>
      </c>
    </row>
    <row r="55" customFormat="false" ht="13.5" hidden="false" customHeight="false" outlineLevel="0" collapsed="false">
      <c r="A55" s="0" t="s">
        <v>94</v>
      </c>
      <c r="B55" s="1" t="n">
        <v>43915</v>
      </c>
      <c r="C55" s="0" t="n">
        <v>3</v>
      </c>
      <c r="D55" s="0" t="n">
        <v>1</v>
      </c>
      <c r="E55" s="0" t="n">
        <v>1</v>
      </c>
      <c r="F55" s="0" t="n">
        <v>0</v>
      </c>
      <c r="H55" s="0" t="n">
        <v>2</v>
      </c>
      <c r="J55" s="0" t="n">
        <v>0.07</v>
      </c>
      <c r="K55" s="0" t="n">
        <v>0.02</v>
      </c>
    </row>
    <row r="56" customFormat="false" ht="13.5" hidden="false" customHeight="false" outlineLevel="0" collapsed="false">
      <c r="A56" s="0" t="s">
        <v>94</v>
      </c>
      <c r="B56" s="1" t="n">
        <v>43916</v>
      </c>
      <c r="C56" s="0" t="n">
        <v>3</v>
      </c>
      <c r="D56" s="0" t="n">
        <v>0</v>
      </c>
      <c r="E56" s="0" t="n">
        <v>1</v>
      </c>
      <c r="F56" s="0" t="n">
        <v>0</v>
      </c>
      <c r="H56" s="0" t="n">
        <v>2</v>
      </c>
      <c r="J56" s="0" t="n">
        <v>0.07</v>
      </c>
      <c r="K56" s="0" t="n">
        <v>0.02</v>
      </c>
    </row>
    <row r="57" customFormat="false" ht="13.5" hidden="false" customHeight="false" outlineLevel="0" collapsed="false">
      <c r="A57" s="0" t="s">
        <v>94</v>
      </c>
      <c r="B57" s="1" t="n">
        <v>43917</v>
      </c>
      <c r="C57" s="0" t="n">
        <v>3</v>
      </c>
      <c r="D57" s="0" t="n">
        <v>0</v>
      </c>
      <c r="E57" s="0" t="n">
        <v>1</v>
      </c>
      <c r="F57" s="0" t="n">
        <v>0</v>
      </c>
      <c r="H57" s="0" t="n">
        <v>2</v>
      </c>
      <c r="J57" s="0" t="n">
        <v>0.07</v>
      </c>
      <c r="K57" s="0" t="n">
        <v>0.02</v>
      </c>
    </row>
    <row r="58" customFormat="false" ht="13.5" hidden="false" customHeight="false" outlineLevel="0" collapsed="false">
      <c r="A58" s="0" t="s">
        <v>94</v>
      </c>
      <c r="B58" s="1" t="n">
        <v>43918</v>
      </c>
      <c r="C58" s="0" t="n">
        <v>3</v>
      </c>
      <c r="D58" s="0" t="n">
        <v>0</v>
      </c>
      <c r="E58" s="0" t="n">
        <v>1</v>
      </c>
      <c r="F58" s="0" t="n">
        <v>0</v>
      </c>
      <c r="H58" s="0" t="n">
        <v>2</v>
      </c>
      <c r="J58" s="0" t="n">
        <v>0.07</v>
      </c>
      <c r="K58" s="0" t="n">
        <v>0.02</v>
      </c>
    </row>
    <row r="59" customFormat="false" ht="13.5" hidden="false" customHeight="false" outlineLevel="0" collapsed="false">
      <c r="A59" s="0" t="s">
        <v>94</v>
      </c>
      <c r="B59" s="1" t="n">
        <v>43919</v>
      </c>
      <c r="C59" s="0" t="n">
        <v>5</v>
      </c>
      <c r="D59" s="0" t="n">
        <v>2</v>
      </c>
      <c r="E59" s="0" t="n">
        <v>1</v>
      </c>
      <c r="F59" s="0" t="n">
        <v>0</v>
      </c>
      <c r="H59" s="0" t="n">
        <v>4</v>
      </c>
      <c r="J59" s="0" t="n">
        <v>0.1</v>
      </c>
      <c r="K59" s="0" t="n">
        <v>0.02</v>
      </c>
    </row>
    <row r="60" customFormat="false" ht="13.5" hidden="false" customHeight="false" outlineLevel="0" collapsed="false">
      <c r="A60" s="0" t="s">
        <v>94</v>
      </c>
      <c r="B60" s="1" t="n">
        <v>43920</v>
      </c>
      <c r="C60" s="0" t="n">
        <v>6</v>
      </c>
      <c r="D60" s="0" t="n">
        <v>1</v>
      </c>
      <c r="E60" s="0" t="n">
        <v>1</v>
      </c>
      <c r="F60" s="0" t="n">
        <v>0</v>
      </c>
      <c r="H60" s="0" t="n">
        <v>5</v>
      </c>
      <c r="J60" s="0" t="n">
        <v>0.1</v>
      </c>
      <c r="K60" s="0" t="n">
        <v>0.02</v>
      </c>
    </row>
    <row r="61" customFormat="false" ht="13.5" hidden="false" customHeight="false" outlineLevel="0" collapsed="false">
      <c r="A61" s="0" t="s">
        <v>94</v>
      </c>
      <c r="B61" s="1" t="n">
        <v>43921</v>
      </c>
      <c r="C61" s="0" t="n">
        <v>6</v>
      </c>
      <c r="D61" s="0" t="n">
        <v>0</v>
      </c>
      <c r="E61" s="0" t="n">
        <v>2</v>
      </c>
      <c r="F61" s="0" t="n">
        <v>1</v>
      </c>
      <c r="H61" s="0" t="n">
        <v>4</v>
      </c>
      <c r="J61" s="0" t="n">
        <v>0.1</v>
      </c>
      <c r="K61" s="0" t="n">
        <v>0.05</v>
      </c>
    </row>
    <row r="62" customFormat="false" ht="13.5" hidden="false" customHeight="false" outlineLevel="0" collapsed="false">
      <c r="A62" s="0" t="s">
        <v>94</v>
      </c>
      <c r="B62" s="1" t="n">
        <v>43922</v>
      </c>
      <c r="C62" s="0" t="n">
        <v>7</v>
      </c>
      <c r="D62" s="0" t="n">
        <v>1</v>
      </c>
      <c r="E62" s="0" t="n">
        <v>2</v>
      </c>
      <c r="F62" s="0" t="n">
        <v>0</v>
      </c>
      <c r="G62" s="0" t="n">
        <v>1</v>
      </c>
      <c r="H62" s="0" t="n">
        <v>4</v>
      </c>
      <c r="J62" s="0" t="n">
        <v>0.2</v>
      </c>
      <c r="K62" s="0" t="n">
        <v>0.05</v>
      </c>
    </row>
    <row r="63" customFormat="false" ht="13.5" hidden="false" customHeight="false" outlineLevel="0" collapsed="false">
      <c r="A63" s="0" t="s">
        <v>94</v>
      </c>
      <c r="B63" s="1" t="n">
        <v>43923</v>
      </c>
      <c r="C63" s="0" t="n">
        <v>7</v>
      </c>
      <c r="D63" s="0" t="n">
        <v>0</v>
      </c>
      <c r="E63" s="0" t="n">
        <v>2</v>
      </c>
      <c r="F63" s="0" t="n">
        <v>0</v>
      </c>
      <c r="G63" s="0" t="n">
        <v>2</v>
      </c>
      <c r="H63" s="0" t="n">
        <v>3</v>
      </c>
      <c r="J63" s="0" t="n">
        <v>0.2</v>
      </c>
      <c r="K63" s="0" t="n">
        <v>0.05</v>
      </c>
    </row>
    <row r="64" customFormat="false" ht="13.5" hidden="false" customHeight="false" outlineLevel="0" collapsed="false">
      <c r="A64" s="0" t="s">
        <v>94</v>
      </c>
      <c r="B64" s="1" t="n">
        <v>43924</v>
      </c>
      <c r="C64" s="0" t="n">
        <v>8</v>
      </c>
      <c r="D64" s="0" t="n">
        <v>1</v>
      </c>
      <c r="E64" s="0" t="n">
        <v>2</v>
      </c>
      <c r="F64" s="0" t="n">
        <v>0</v>
      </c>
      <c r="G64" s="0" t="n">
        <v>2</v>
      </c>
      <c r="H64" s="0" t="n">
        <v>4</v>
      </c>
      <c r="J64" s="0" t="n">
        <v>0.2</v>
      </c>
      <c r="K64" s="0" t="n">
        <v>0.05</v>
      </c>
    </row>
    <row r="65" customFormat="false" ht="13.5" hidden="false" customHeight="false" outlineLevel="0" collapsed="false">
      <c r="A65" s="0" t="s">
        <v>94</v>
      </c>
      <c r="B65" s="1" t="n">
        <v>43925</v>
      </c>
      <c r="C65" s="0" t="n">
        <v>10</v>
      </c>
      <c r="D65" s="0" t="n">
        <v>2</v>
      </c>
      <c r="E65" s="0" t="n">
        <v>2</v>
      </c>
      <c r="F65" s="0" t="n">
        <v>0</v>
      </c>
      <c r="G65" s="0" t="n">
        <v>2</v>
      </c>
      <c r="H65" s="0" t="n">
        <v>6</v>
      </c>
      <c r="J65" s="0" t="n">
        <v>0.2</v>
      </c>
      <c r="K65" s="0" t="n">
        <v>0.05</v>
      </c>
    </row>
    <row r="66" customFormat="false" ht="13.5" hidden="false" customHeight="false" outlineLevel="0" collapsed="false">
      <c r="A66" s="0" t="s">
        <v>94</v>
      </c>
      <c r="B66" s="1" t="n">
        <v>43926</v>
      </c>
      <c r="C66" s="0" t="n">
        <v>10</v>
      </c>
      <c r="D66" s="0" t="n">
        <v>0</v>
      </c>
      <c r="E66" s="0" t="n">
        <v>2</v>
      </c>
      <c r="F66" s="0" t="n">
        <v>0</v>
      </c>
      <c r="G66" s="0" t="n">
        <v>2</v>
      </c>
      <c r="H66" s="0" t="n">
        <v>6</v>
      </c>
      <c r="J66" s="0" t="n">
        <v>0.2</v>
      </c>
      <c r="K66" s="0" t="n">
        <v>0.05</v>
      </c>
    </row>
    <row r="67" customFormat="false" ht="13.5" hidden="false" customHeight="false" outlineLevel="0" collapsed="false">
      <c r="A67" s="0" t="s">
        <v>94</v>
      </c>
      <c r="B67" s="1" t="n">
        <v>43927</v>
      </c>
      <c r="C67" s="0" t="n">
        <v>12</v>
      </c>
      <c r="D67" s="0" t="n">
        <v>2</v>
      </c>
      <c r="E67" s="0" t="n">
        <v>2</v>
      </c>
      <c r="F67" s="0" t="n">
        <v>0</v>
      </c>
      <c r="G67" s="0" t="n">
        <v>2</v>
      </c>
      <c r="H67" s="0" t="n">
        <v>8</v>
      </c>
      <c r="J67" s="0" t="n">
        <v>0.3</v>
      </c>
      <c r="K67" s="0" t="n">
        <v>0.05</v>
      </c>
    </row>
    <row r="68" customFormat="false" ht="13.5" hidden="false" customHeight="false" outlineLevel="0" collapsed="false">
      <c r="A68" s="0" t="s">
        <v>94</v>
      </c>
      <c r="B68" s="1" t="n">
        <v>43928</v>
      </c>
      <c r="C68" s="0" t="n">
        <v>12</v>
      </c>
      <c r="D68" s="0" t="n">
        <v>0</v>
      </c>
      <c r="E68" s="0" t="n">
        <v>2</v>
      </c>
      <c r="F68" s="0" t="n">
        <v>0</v>
      </c>
      <c r="G68" s="0" t="n">
        <v>2</v>
      </c>
      <c r="H68" s="0" t="n">
        <v>8</v>
      </c>
      <c r="J68" s="0" t="n">
        <v>0.3</v>
      </c>
      <c r="K68" s="0" t="n">
        <v>0.05</v>
      </c>
    </row>
    <row r="69" customFormat="false" ht="13.5" hidden="false" customHeight="false" outlineLevel="0" collapsed="false">
      <c r="A69" s="0" t="s">
        <v>94</v>
      </c>
      <c r="B69" s="1" t="n">
        <v>43929</v>
      </c>
      <c r="C69" s="0" t="n">
        <v>14</v>
      </c>
      <c r="D69" s="0" t="n">
        <v>2</v>
      </c>
      <c r="E69" s="0" t="n">
        <v>2</v>
      </c>
      <c r="F69" s="0" t="n">
        <v>0</v>
      </c>
      <c r="G69" s="0" t="n">
        <v>2</v>
      </c>
      <c r="H69" s="0" t="n">
        <v>10</v>
      </c>
      <c r="J69" s="0" t="n">
        <v>0.3</v>
      </c>
      <c r="K69" s="0" t="n">
        <v>0.05</v>
      </c>
    </row>
    <row r="70" customFormat="false" ht="13.5" hidden="false" customHeight="false" outlineLevel="0" collapsed="false">
      <c r="A70" s="0" t="s">
        <v>94</v>
      </c>
      <c r="B70" s="1" t="n">
        <v>43930</v>
      </c>
      <c r="C70" s="0" t="n">
        <v>14</v>
      </c>
      <c r="D70" s="0" t="n">
        <v>0</v>
      </c>
      <c r="E70" s="0" t="n">
        <v>2</v>
      </c>
      <c r="F70" s="0" t="n">
        <v>0</v>
      </c>
      <c r="G70" s="0" t="n">
        <v>2</v>
      </c>
      <c r="H70" s="0" t="n">
        <v>10</v>
      </c>
      <c r="J70" s="0" t="n">
        <v>0.3</v>
      </c>
      <c r="K70" s="0" t="n">
        <v>0.05</v>
      </c>
    </row>
    <row r="71" customFormat="false" ht="13.5" hidden="false" customHeight="false" outlineLevel="0" collapsed="false">
      <c r="A71" s="0" t="s">
        <v>94</v>
      </c>
      <c r="B71" s="1" t="n">
        <v>43931</v>
      </c>
      <c r="C71" s="0" t="n">
        <v>15</v>
      </c>
      <c r="D71" s="0" t="n">
        <v>1</v>
      </c>
      <c r="E71" s="0" t="n">
        <v>2</v>
      </c>
      <c r="F71" s="0" t="n">
        <v>0</v>
      </c>
      <c r="G71" s="0" t="n">
        <v>2</v>
      </c>
      <c r="H71" s="0" t="n">
        <v>11</v>
      </c>
      <c r="J71" s="0" t="n">
        <v>0.3</v>
      </c>
      <c r="K71" s="0" t="n">
        <v>0.05</v>
      </c>
    </row>
    <row r="72" customFormat="false" ht="13.5" hidden="false" customHeight="false" outlineLevel="0" collapsed="false">
      <c r="A72" s="0" t="s">
        <v>94</v>
      </c>
      <c r="B72" s="1" t="n">
        <v>43932</v>
      </c>
      <c r="C72" s="0" t="n">
        <v>17</v>
      </c>
      <c r="D72" s="0" t="n">
        <v>2</v>
      </c>
      <c r="E72" s="0" t="n">
        <v>2</v>
      </c>
      <c r="F72" s="0" t="n">
        <v>0</v>
      </c>
      <c r="G72" s="0" t="n">
        <v>2</v>
      </c>
      <c r="H72" s="0" t="n">
        <v>13</v>
      </c>
      <c r="J72" s="0" t="n">
        <v>0.4</v>
      </c>
      <c r="K72" s="0" t="n">
        <v>0.05</v>
      </c>
    </row>
    <row r="73" customFormat="false" ht="13.5" hidden="false" customHeight="false" outlineLevel="0" collapsed="false">
      <c r="A73" s="0" t="s">
        <v>94</v>
      </c>
      <c r="B73" s="1" t="n">
        <v>43933</v>
      </c>
      <c r="C73" s="0" t="n">
        <v>19</v>
      </c>
      <c r="D73" s="0" t="n">
        <v>2</v>
      </c>
      <c r="E73" s="0" t="n">
        <v>2</v>
      </c>
      <c r="F73" s="0" t="n">
        <v>0</v>
      </c>
      <c r="G73" s="0" t="n">
        <v>2</v>
      </c>
      <c r="H73" s="0" t="n">
        <v>15</v>
      </c>
      <c r="J73" s="0" t="n">
        <v>0.4</v>
      </c>
      <c r="K73" s="0" t="n">
        <v>0.05</v>
      </c>
    </row>
    <row r="74" customFormat="false" ht="13.5" hidden="false" customHeight="false" outlineLevel="0" collapsed="false">
      <c r="A74" s="0" t="s">
        <v>94</v>
      </c>
      <c r="B74" s="1" t="n">
        <v>43934</v>
      </c>
      <c r="C74" s="0" t="n">
        <v>19</v>
      </c>
      <c r="D74" s="0" t="n">
        <v>0</v>
      </c>
      <c r="E74" s="0" t="n">
        <v>2</v>
      </c>
      <c r="F74" s="0" t="n">
        <v>0</v>
      </c>
      <c r="G74" s="0" t="n">
        <v>2</v>
      </c>
      <c r="H74" s="0" t="n">
        <v>15</v>
      </c>
      <c r="J74" s="0" t="n">
        <v>0.4</v>
      </c>
      <c r="K74" s="0" t="n">
        <v>0.05</v>
      </c>
    </row>
    <row r="75" customFormat="false" ht="13.5" hidden="false" customHeight="false" outlineLevel="0" collapsed="false">
      <c r="A75" s="0" t="s">
        <v>94</v>
      </c>
      <c r="B75" s="1" t="n">
        <v>43935</v>
      </c>
      <c r="C75" s="0" t="n">
        <v>29</v>
      </c>
      <c r="D75" s="0" t="n">
        <v>10</v>
      </c>
      <c r="E75" s="0" t="n">
        <v>4</v>
      </c>
      <c r="F75" s="0" t="n">
        <v>2</v>
      </c>
      <c r="G75" s="0" t="n">
        <v>4</v>
      </c>
      <c r="H75" s="0" t="n">
        <v>21</v>
      </c>
      <c r="I75" s="0" t="n">
        <v>0</v>
      </c>
      <c r="J75" s="0" t="n">
        <v>0.7</v>
      </c>
      <c r="K75" s="0" t="n">
        <v>0.09</v>
      </c>
    </row>
    <row r="76" customFormat="false" ht="13.5" hidden="false" customHeight="false" outlineLevel="0" collapsed="false">
      <c r="A76" s="0" t="s">
        <v>94</v>
      </c>
      <c r="B76" s="1" t="n">
        <v>43936</v>
      </c>
      <c r="C76" s="0" t="n">
        <v>32</v>
      </c>
      <c r="D76" s="0" t="n">
        <v>3</v>
      </c>
      <c r="E76" s="0" t="n">
        <v>5</v>
      </c>
      <c r="F76" s="0" t="n">
        <v>1</v>
      </c>
      <c r="G76" s="0" t="n">
        <v>4</v>
      </c>
      <c r="H76" s="0" t="n">
        <v>23</v>
      </c>
      <c r="I76" s="0" t="n">
        <v>0</v>
      </c>
      <c r="J76" s="0" t="n">
        <v>0.7</v>
      </c>
      <c r="K76" s="0" t="n">
        <v>0.1</v>
      </c>
    </row>
    <row r="77" customFormat="false" ht="13.5" hidden="false" customHeight="false" outlineLevel="0" collapsed="false">
      <c r="A77" s="0" t="s">
        <v>94</v>
      </c>
      <c r="B77" s="1" t="n">
        <v>43937</v>
      </c>
      <c r="C77" s="0" t="n">
        <v>32</v>
      </c>
      <c r="D77" s="0" t="n">
        <v>0</v>
      </c>
      <c r="E77" s="0" t="n">
        <v>5</v>
      </c>
      <c r="F77" s="0" t="n">
        <v>0</v>
      </c>
      <c r="G77" s="0" t="n">
        <v>4</v>
      </c>
      <c r="H77" s="0" t="n">
        <v>23</v>
      </c>
      <c r="I77" s="0" t="n">
        <v>0</v>
      </c>
      <c r="J77" s="0" t="n">
        <v>0.7</v>
      </c>
      <c r="K77" s="0" t="n">
        <v>0.1</v>
      </c>
    </row>
    <row r="78" customFormat="false" ht="13.5" hidden="false" customHeight="false" outlineLevel="0" collapsed="false">
      <c r="A78" s="0" t="s">
        <v>94</v>
      </c>
      <c r="B78" s="1" t="n">
        <v>43938</v>
      </c>
      <c r="C78" s="0" t="n">
        <v>32</v>
      </c>
      <c r="D78" s="0" t="n">
        <v>0</v>
      </c>
      <c r="E78" s="0" t="n">
        <v>5</v>
      </c>
      <c r="F78" s="0" t="n">
        <v>0</v>
      </c>
      <c r="G78" s="0" t="n">
        <v>4</v>
      </c>
      <c r="H78" s="0" t="n">
        <v>23</v>
      </c>
      <c r="I78" s="0" t="n">
        <v>0</v>
      </c>
      <c r="J78" s="0" t="n">
        <v>0.7</v>
      </c>
      <c r="K78" s="0" t="n">
        <v>0.1</v>
      </c>
    </row>
    <row r="79" customFormat="false" ht="13.5" hidden="false" customHeight="false" outlineLevel="0" collapsed="false">
      <c r="A79" s="0" t="s">
        <v>94</v>
      </c>
      <c r="B79" s="1" t="n">
        <v>43939</v>
      </c>
      <c r="C79" s="0" t="n">
        <v>33</v>
      </c>
      <c r="D79" s="0" t="n">
        <v>1</v>
      </c>
      <c r="E79" s="0" t="n">
        <v>6</v>
      </c>
      <c r="F79" s="0" t="n">
        <v>1</v>
      </c>
      <c r="G79" s="0" t="n">
        <v>4</v>
      </c>
      <c r="H79" s="0" t="n">
        <v>23</v>
      </c>
      <c r="I79" s="0" t="n">
        <v>0</v>
      </c>
      <c r="J79" s="0" t="n">
        <v>0.8</v>
      </c>
      <c r="K79" s="0" t="n">
        <v>0.1</v>
      </c>
    </row>
    <row r="80" customFormat="false" ht="13.5" hidden="false" customHeight="false" outlineLevel="0" collapsed="false">
      <c r="A80" s="0" t="s">
        <v>94</v>
      </c>
      <c r="B80" s="1" t="n">
        <v>43940</v>
      </c>
      <c r="C80" s="0" t="n">
        <v>66</v>
      </c>
      <c r="D80" s="0" t="n">
        <v>33</v>
      </c>
      <c r="E80" s="0" t="n">
        <v>10</v>
      </c>
      <c r="F80" s="0" t="n">
        <v>4</v>
      </c>
      <c r="G80" s="0" t="n">
        <v>6</v>
      </c>
      <c r="H80" s="0" t="n">
        <v>50</v>
      </c>
      <c r="I80" s="0" t="n">
        <v>0</v>
      </c>
      <c r="J80" s="0" t="n">
        <v>2</v>
      </c>
      <c r="K80" s="0" t="n">
        <v>0.2</v>
      </c>
    </row>
    <row r="81" customFormat="false" ht="13.5" hidden="false" customHeight="false" outlineLevel="0" collapsed="false">
      <c r="A81" s="0" t="s">
        <v>94</v>
      </c>
      <c r="B81" s="1" t="n">
        <v>43941</v>
      </c>
      <c r="C81" s="0" t="n">
        <v>66</v>
      </c>
      <c r="D81" s="0" t="n">
        <v>0</v>
      </c>
      <c r="E81" s="0" t="n">
        <v>10</v>
      </c>
      <c r="F81" s="0" t="n">
        <v>0</v>
      </c>
      <c r="G81" s="0" t="n">
        <v>6</v>
      </c>
      <c r="H81" s="0" t="n">
        <v>50</v>
      </c>
      <c r="I81" s="0" t="n">
        <v>0</v>
      </c>
      <c r="J81" s="0" t="n">
        <v>2</v>
      </c>
      <c r="K81" s="0" t="n">
        <v>0.2</v>
      </c>
    </row>
    <row r="82" customFormat="false" ht="13.5" hidden="false" customHeight="false" outlineLevel="0" collapsed="false">
      <c r="A82" s="0" t="s">
        <v>94</v>
      </c>
      <c r="B82" s="1" t="n">
        <v>43942</v>
      </c>
      <c r="C82" s="0" t="n">
        <v>92</v>
      </c>
      <c r="D82" s="0" t="n">
        <v>26</v>
      </c>
      <c r="E82" s="0" t="n">
        <v>12</v>
      </c>
      <c r="F82" s="0" t="n">
        <v>2</v>
      </c>
      <c r="G82" s="0" t="n">
        <v>8</v>
      </c>
      <c r="H82" s="0" t="n">
        <v>72</v>
      </c>
      <c r="I82" s="0" t="n">
        <v>0</v>
      </c>
      <c r="J82" s="0" t="n">
        <v>2</v>
      </c>
      <c r="K82" s="0" t="n">
        <v>0.3</v>
      </c>
    </row>
    <row r="83" customFormat="false" ht="13.5" hidden="false" customHeight="false" outlineLevel="0" collapsed="false">
      <c r="A83" s="0" t="s">
        <v>94</v>
      </c>
      <c r="B83" s="1" t="n">
        <v>43943</v>
      </c>
      <c r="C83" s="0" t="n">
        <v>107</v>
      </c>
      <c r="D83" s="0" t="n">
        <v>15</v>
      </c>
      <c r="E83" s="0" t="n">
        <v>12</v>
      </c>
      <c r="F83" s="0" t="n">
        <v>0</v>
      </c>
      <c r="G83" s="0" t="n">
        <v>8</v>
      </c>
      <c r="H83" s="0" t="n">
        <v>87</v>
      </c>
      <c r="I83" s="0" t="n">
        <v>0</v>
      </c>
      <c r="J83" s="0" t="n">
        <v>2</v>
      </c>
      <c r="K83" s="0" t="n">
        <v>0.3</v>
      </c>
    </row>
    <row r="84" customFormat="false" ht="13.5" hidden="false" customHeight="false" outlineLevel="0" collapsed="false">
      <c r="A84" s="0" t="s">
        <v>94</v>
      </c>
      <c r="B84" s="1" t="n">
        <v>43944</v>
      </c>
      <c r="C84" s="0" t="n">
        <v>140</v>
      </c>
      <c r="D84" s="0" t="n">
        <v>33</v>
      </c>
      <c r="E84" s="0" t="n">
        <v>13</v>
      </c>
      <c r="F84" s="0" t="n">
        <v>1</v>
      </c>
      <c r="G84" s="0" t="n">
        <v>12</v>
      </c>
      <c r="H84" s="0" t="n">
        <v>115</v>
      </c>
      <c r="I84" s="0" t="n">
        <v>0</v>
      </c>
      <c r="J84" s="0" t="n">
        <v>3</v>
      </c>
      <c r="K84" s="0" t="n">
        <v>0.3</v>
      </c>
    </row>
    <row r="85" customFormat="false" ht="13.5" hidden="false" customHeight="false" outlineLevel="0" collapsed="false">
      <c r="A85" s="0" t="s">
        <v>94</v>
      </c>
      <c r="B85" s="1" t="n">
        <v>43945</v>
      </c>
      <c r="C85" s="0" t="n">
        <v>162</v>
      </c>
      <c r="D85" s="0" t="n">
        <v>22</v>
      </c>
      <c r="E85" s="0" t="n">
        <v>13</v>
      </c>
      <c r="F85" s="0" t="n">
        <v>0</v>
      </c>
      <c r="G85" s="0" t="n">
        <v>14</v>
      </c>
      <c r="H85" s="0" t="n">
        <v>135</v>
      </c>
      <c r="I85" s="0" t="n">
        <v>0</v>
      </c>
      <c r="J85" s="0" t="n">
        <v>4</v>
      </c>
      <c r="K85" s="0" t="n">
        <v>0.3</v>
      </c>
    </row>
    <row r="86" customFormat="false" ht="13.5" hidden="false" customHeight="false" outlineLevel="0" collapsed="false">
      <c r="A86" s="0" t="s">
        <v>94</v>
      </c>
      <c r="B86" s="1" t="n">
        <v>43946</v>
      </c>
      <c r="C86" s="0" t="n">
        <v>174</v>
      </c>
      <c r="D86" s="0" t="n">
        <v>12</v>
      </c>
      <c r="E86" s="0" t="n">
        <v>16</v>
      </c>
      <c r="F86" s="0" t="n">
        <v>3</v>
      </c>
      <c r="G86" s="0" t="n">
        <v>14</v>
      </c>
      <c r="H86" s="0" t="n">
        <v>144</v>
      </c>
      <c r="I86" s="0" t="n">
        <v>0</v>
      </c>
      <c r="J86" s="0" t="n">
        <v>4</v>
      </c>
      <c r="K86" s="0" t="n">
        <v>0.4</v>
      </c>
    </row>
    <row r="87" customFormat="false" ht="13.5" hidden="false" customHeight="false" outlineLevel="0" collapsed="false">
      <c r="A87" s="0" t="s">
        <v>94</v>
      </c>
      <c r="B87" s="1" t="n">
        <v>43947</v>
      </c>
      <c r="C87" s="0" t="n">
        <v>213</v>
      </c>
      <c r="D87" s="0" t="n">
        <v>39</v>
      </c>
      <c r="E87" s="0" t="n">
        <v>17</v>
      </c>
      <c r="F87" s="0" t="n">
        <v>1</v>
      </c>
      <c r="G87" s="0" t="n">
        <v>19</v>
      </c>
      <c r="H87" s="0" t="n">
        <v>177</v>
      </c>
      <c r="I87" s="0" t="n">
        <v>0</v>
      </c>
      <c r="J87" s="0" t="n">
        <v>5</v>
      </c>
      <c r="K87" s="0" t="n">
        <v>0.4</v>
      </c>
    </row>
    <row r="88" customFormat="false" ht="13.5" hidden="false" customHeight="false" outlineLevel="0" collapsed="false">
      <c r="A88" s="0" t="s">
        <v>94</v>
      </c>
      <c r="B88" s="1" t="n">
        <v>43948</v>
      </c>
      <c r="C88" s="0" t="n">
        <v>237</v>
      </c>
      <c r="D88" s="0" t="n">
        <v>24</v>
      </c>
      <c r="E88" s="0" t="n">
        <v>21</v>
      </c>
      <c r="F88" s="0" t="n">
        <v>4</v>
      </c>
      <c r="G88" s="0" t="n">
        <v>20</v>
      </c>
      <c r="H88" s="0" t="n">
        <v>196</v>
      </c>
      <c r="I88" s="0" t="n">
        <v>0</v>
      </c>
      <c r="J88" s="0" t="n">
        <v>5</v>
      </c>
      <c r="K88" s="0" t="n">
        <v>0.5</v>
      </c>
    </row>
    <row r="89" customFormat="false" ht="13.5" hidden="false" customHeight="false" outlineLevel="0" collapsed="false">
      <c r="A89" s="0" t="s">
        <v>94</v>
      </c>
      <c r="B89" s="1" t="n">
        <v>43949</v>
      </c>
      <c r="C89" s="0" t="n">
        <v>275</v>
      </c>
      <c r="D89" s="0" t="n">
        <v>38</v>
      </c>
      <c r="E89" s="0" t="n">
        <v>22</v>
      </c>
      <c r="F89" s="0" t="n">
        <v>1</v>
      </c>
      <c r="G89" s="0" t="n">
        <v>21</v>
      </c>
      <c r="H89" s="0" t="n">
        <v>232</v>
      </c>
      <c r="I89" s="0" t="n">
        <v>0</v>
      </c>
      <c r="J89" s="0" t="n">
        <v>6</v>
      </c>
      <c r="K89" s="0" t="n">
        <v>0.5</v>
      </c>
    </row>
    <row r="90" customFormat="false" ht="13.5" hidden="false" customHeight="false" outlineLevel="0" collapsed="false">
      <c r="A90" s="0" t="s">
        <v>94</v>
      </c>
      <c r="B90" s="1" t="n">
        <v>43950</v>
      </c>
      <c r="C90" s="0" t="n">
        <v>318</v>
      </c>
      <c r="D90" s="0" t="n">
        <v>43</v>
      </c>
      <c r="E90" s="0" t="n">
        <v>25</v>
      </c>
      <c r="F90" s="0" t="n">
        <v>3</v>
      </c>
      <c r="G90" s="0" t="n">
        <v>31</v>
      </c>
      <c r="H90" s="0" t="n">
        <v>262</v>
      </c>
      <c r="I90" s="0" t="n">
        <v>0</v>
      </c>
      <c r="J90" s="0" t="n">
        <v>7</v>
      </c>
      <c r="K90" s="0" t="n">
        <v>0.6</v>
      </c>
    </row>
    <row r="91" customFormat="false" ht="13.5" hidden="false" customHeight="false" outlineLevel="0" collapsed="false">
      <c r="A91" s="0" t="s">
        <v>94</v>
      </c>
      <c r="B91" s="1" t="n">
        <v>43951</v>
      </c>
      <c r="C91" s="0" t="n">
        <v>375</v>
      </c>
      <c r="D91" s="0" t="n">
        <v>57</v>
      </c>
      <c r="E91" s="0" t="n">
        <v>28</v>
      </c>
      <c r="F91" s="0" t="n">
        <v>3</v>
      </c>
      <c r="G91" s="0" t="n">
        <v>32</v>
      </c>
      <c r="H91" s="0" t="n">
        <v>315</v>
      </c>
      <c r="I91" s="0" t="n">
        <v>0</v>
      </c>
      <c r="J91" s="0" t="n">
        <v>9</v>
      </c>
      <c r="K91" s="0" t="n">
        <v>0.6</v>
      </c>
    </row>
    <row r="92" customFormat="false" ht="13.5" hidden="false" customHeight="false" outlineLevel="0" collapsed="false">
      <c r="A92" s="0" t="s">
        <v>94</v>
      </c>
      <c r="B92" s="1" t="n">
        <v>43952</v>
      </c>
      <c r="C92" s="0" t="n">
        <v>442</v>
      </c>
      <c r="D92" s="0" t="n">
        <v>67</v>
      </c>
      <c r="E92" s="0" t="n">
        <v>31</v>
      </c>
      <c r="F92" s="0" t="n">
        <v>3</v>
      </c>
      <c r="G92" s="0" t="n">
        <v>39</v>
      </c>
      <c r="H92" s="0" t="n">
        <v>372</v>
      </c>
      <c r="I92" s="0" t="n">
        <v>0</v>
      </c>
      <c r="J92" s="0" t="n">
        <v>10</v>
      </c>
      <c r="K92" s="0" t="n">
        <v>0.7</v>
      </c>
    </row>
    <row r="93" customFormat="false" ht="13.5" hidden="false" customHeight="false" outlineLevel="0" collapsed="false">
      <c r="A93" s="0" t="s">
        <v>94</v>
      </c>
      <c r="B93" s="1" t="n">
        <v>43953</v>
      </c>
      <c r="C93" s="0" t="n">
        <v>534</v>
      </c>
      <c r="D93" s="0" t="n">
        <v>92</v>
      </c>
      <c r="E93" s="0" t="n">
        <v>33</v>
      </c>
      <c r="F93" s="0" t="n">
        <v>2</v>
      </c>
      <c r="G93" s="0" t="n">
        <v>38</v>
      </c>
      <c r="H93" s="0" t="n">
        <v>463</v>
      </c>
      <c r="I93" s="0" t="n">
        <v>0</v>
      </c>
      <c r="J93" s="0" t="n">
        <v>12</v>
      </c>
      <c r="K93" s="0" t="n">
        <v>0.8</v>
      </c>
    </row>
    <row r="94" customFormat="false" ht="13.5" hidden="false" customHeight="false" outlineLevel="0" collapsed="false">
      <c r="A94" s="0" t="s">
        <v>94</v>
      </c>
      <c r="B94" s="1" t="n">
        <v>43954</v>
      </c>
      <c r="C94" s="0" t="n">
        <v>592</v>
      </c>
      <c r="D94" s="0" t="n">
        <v>58</v>
      </c>
      <c r="E94" s="0" t="n">
        <v>41</v>
      </c>
      <c r="F94" s="0" t="n">
        <v>8</v>
      </c>
      <c r="G94" s="0" t="n">
        <v>52</v>
      </c>
      <c r="H94" s="0" t="n">
        <v>499</v>
      </c>
      <c r="I94" s="0" t="n">
        <v>0</v>
      </c>
      <c r="J94" s="0" t="n">
        <v>14</v>
      </c>
      <c r="K94" s="0" t="n">
        <v>0.9</v>
      </c>
    </row>
    <row r="95" customFormat="false" ht="13.5" hidden="false" customHeight="false" outlineLevel="0" collapsed="false">
      <c r="A95" s="0" t="s">
        <v>94</v>
      </c>
      <c r="B95" s="1" t="n">
        <v>43955</v>
      </c>
      <c r="C95" s="0" t="n">
        <v>592</v>
      </c>
      <c r="D95" s="0" t="n">
        <v>0</v>
      </c>
      <c r="E95" s="0" t="n">
        <v>41</v>
      </c>
      <c r="F95" s="0" t="n">
        <v>0</v>
      </c>
      <c r="G95" s="0" t="n">
        <v>52</v>
      </c>
      <c r="H95" s="0" t="n">
        <v>499</v>
      </c>
      <c r="I95" s="0" t="n">
        <v>0</v>
      </c>
      <c r="J95" s="0" t="n">
        <v>14</v>
      </c>
      <c r="K95" s="0" t="n">
        <v>0.9</v>
      </c>
    </row>
    <row r="96" customFormat="false" ht="13.5" hidden="false" customHeight="false" outlineLevel="0" collapsed="false">
      <c r="A96" s="0" t="s">
        <v>94</v>
      </c>
      <c r="B96" s="1" t="n">
        <v>43956</v>
      </c>
      <c r="C96" s="0" t="n">
        <v>678</v>
      </c>
      <c r="D96" s="0" t="n">
        <v>86</v>
      </c>
      <c r="E96" s="0" t="n">
        <v>41</v>
      </c>
      <c r="F96" s="0" t="n">
        <v>0</v>
      </c>
      <c r="G96" s="0" t="n">
        <v>61</v>
      </c>
      <c r="H96" s="0" t="n">
        <v>576</v>
      </c>
      <c r="I96" s="0" t="n">
        <v>0</v>
      </c>
      <c r="J96" s="0" t="n">
        <v>15</v>
      </c>
      <c r="K96" s="0" t="n">
        <v>0.9</v>
      </c>
    </row>
    <row r="97" customFormat="false" ht="13.5" hidden="false" customHeight="false" outlineLevel="0" collapsed="false">
      <c r="A97" s="0" t="s">
        <v>94</v>
      </c>
      <c r="B97" s="1" t="n">
        <v>43957</v>
      </c>
      <c r="C97" s="0" t="n">
        <v>778</v>
      </c>
      <c r="D97" s="0" t="n">
        <v>100</v>
      </c>
      <c r="E97" s="0" t="n">
        <v>45</v>
      </c>
      <c r="F97" s="0" t="n">
        <v>4</v>
      </c>
      <c r="G97" s="0" t="n">
        <v>70</v>
      </c>
      <c r="H97" s="0" t="n">
        <v>663</v>
      </c>
      <c r="I97" s="0" t="n">
        <v>0</v>
      </c>
      <c r="J97" s="0" t="n">
        <v>18</v>
      </c>
      <c r="K97" s="0" t="n">
        <v>1</v>
      </c>
    </row>
    <row r="98" customFormat="false" ht="13.5" hidden="false" customHeight="false" outlineLevel="0" collapsed="false">
      <c r="A98" s="0" t="s">
        <v>94</v>
      </c>
      <c r="B98" s="1" t="n">
        <v>43958</v>
      </c>
      <c r="C98" s="0" t="n">
        <v>852</v>
      </c>
      <c r="D98" s="0" t="n">
        <v>74</v>
      </c>
      <c r="E98" s="0" t="n">
        <v>49</v>
      </c>
      <c r="F98" s="0" t="n">
        <v>4</v>
      </c>
      <c r="G98" s="0" t="n">
        <v>80</v>
      </c>
      <c r="H98" s="0" t="n">
        <v>723</v>
      </c>
      <c r="I98" s="0" t="n">
        <v>0</v>
      </c>
      <c r="J98" s="0" t="n">
        <v>19</v>
      </c>
      <c r="K98" s="0" t="n">
        <v>1</v>
      </c>
    </row>
    <row r="99" customFormat="false" ht="13.5" hidden="false" customHeight="false" outlineLevel="0" collapsed="false">
      <c r="A99" s="0" t="s">
        <v>94</v>
      </c>
      <c r="B99" s="1" t="n">
        <v>43959</v>
      </c>
      <c r="C99" s="0" t="n">
        <v>930</v>
      </c>
      <c r="D99" s="0" t="n">
        <v>78</v>
      </c>
      <c r="E99" s="0" t="n">
        <v>52</v>
      </c>
      <c r="F99" s="0" t="n">
        <v>3</v>
      </c>
      <c r="G99" s="0" t="n">
        <v>92</v>
      </c>
      <c r="H99" s="0" t="n">
        <v>786</v>
      </c>
      <c r="I99" s="0" t="n">
        <v>0</v>
      </c>
      <c r="J99" s="0" t="n">
        <v>21</v>
      </c>
      <c r="K99" s="0" t="n">
        <v>1</v>
      </c>
    </row>
    <row r="100" customFormat="false" ht="13.5" hidden="false" customHeight="false" outlineLevel="0" collapsed="false">
      <c r="A100" s="0" t="s">
        <v>94</v>
      </c>
      <c r="B100" s="1" t="n">
        <v>43960</v>
      </c>
      <c r="C100" s="0" t="n">
        <v>1111</v>
      </c>
      <c r="D100" s="0" t="n">
        <v>181</v>
      </c>
      <c r="E100" s="0" t="n">
        <v>59</v>
      </c>
      <c r="F100" s="0" t="n">
        <v>7</v>
      </c>
      <c r="G100" s="0" t="n">
        <v>102</v>
      </c>
      <c r="H100" s="0" t="n">
        <v>950</v>
      </c>
      <c r="I100" s="0" t="n">
        <v>0</v>
      </c>
      <c r="J100" s="0" t="n">
        <v>25</v>
      </c>
      <c r="K100" s="0" t="n">
        <v>1</v>
      </c>
    </row>
    <row r="101" customFormat="false" ht="13.5" hidden="false" customHeight="false" outlineLevel="0" collapsed="false">
      <c r="A101" s="0" t="s">
        <v>94</v>
      </c>
      <c r="B101" s="1" t="n">
        <v>43961</v>
      </c>
      <c r="C101" s="0" t="n">
        <v>1111</v>
      </c>
      <c r="D101" s="0" t="n">
        <v>0</v>
      </c>
      <c r="E101" s="0" t="n">
        <v>59</v>
      </c>
      <c r="F101" s="0" t="n">
        <v>0</v>
      </c>
      <c r="G101" s="0" t="n">
        <v>102</v>
      </c>
      <c r="H101" s="0" t="n">
        <v>950</v>
      </c>
      <c r="I101" s="0" t="n">
        <v>0</v>
      </c>
      <c r="J101" s="0" t="n">
        <v>25</v>
      </c>
      <c r="K101" s="0" t="n">
        <v>1</v>
      </c>
    </row>
    <row r="102" customFormat="false" ht="13.5" hidden="false" customHeight="false" outlineLevel="0" collapsed="false">
      <c r="A102" s="0" t="s">
        <v>94</v>
      </c>
      <c r="B102" s="1" t="n">
        <v>43962</v>
      </c>
      <c r="C102" s="0" t="n">
        <v>1164</v>
      </c>
      <c r="D102" s="0" t="n">
        <v>53</v>
      </c>
      <c r="E102" s="0" t="n">
        <v>64</v>
      </c>
      <c r="F102" s="0" t="n">
        <v>5</v>
      </c>
      <c r="G102" s="0" t="n">
        <v>119</v>
      </c>
      <c r="H102" s="0" t="n">
        <v>981</v>
      </c>
      <c r="I102" s="0" t="n">
        <v>0</v>
      </c>
      <c r="J102" s="0" t="n">
        <v>27</v>
      </c>
      <c r="K102" s="0" t="n">
        <v>1</v>
      </c>
    </row>
    <row r="103" customFormat="false" ht="13.5" hidden="false" customHeight="false" outlineLevel="0" collapsed="false">
      <c r="A103" s="0" t="s">
        <v>94</v>
      </c>
      <c r="B103" s="1" t="n">
        <v>43963</v>
      </c>
      <c r="C103" s="0" t="n">
        <v>1365</v>
      </c>
      <c r="D103" s="0" t="n">
        <v>201</v>
      </c>
      <c r="E103" s="0" t="n">
        <v>70</v>
      </c>
      <c r="F103" s="0" t="n">
        <v>6</v>
      </c>
      <c r="G103" s="0" t="n">
        <v>149</v>
      </c>
      <c r="H103" s="0" t="n">
        <v>1146</v>
      </c>
      <c r="I103" s="0" t="n">
        <v>0</v>
      </c>
      <c r="J103" s="0" t="n">
        <v>31</v>
      </c>
      <c r="K103" s="0" t="n">
        <v>2</v>
      </c>
    </row>
    <row r="104" customFormat="false" ht="13.5" hidden="false" customHeight="false" outlineLevel="0" collapsed="false">
      <c r="A104" s="0" t="s">
        <v>94</v>
      </c>
      <c r="B104" s="1" t="n">
        <v>43964</v>
      </c>
      <c r="C104" s="0" t="n">
        <v>1661</v>
      </c>
      <c r="D104" s="0" t="n">
        <v>296</v>
      </c>
      <c r="E104" s="0" t="n">
        <v>80</v>
      </c>
      <c r="F104" s="0" t="n">
        <v>10</v>
      </c>
      <c r="G104" s="0" t="n">
        <v>173</v>
      </c>
      <c r="H104" s="0" t="n">
        <v>1408</v>
      </c>
      <c r="I104" s="0" t="n">
        <v>0</v>
      </c>
      <c r="J104" s="0" t="n">
        <v>38</v>
      </c>
      <c r="K104" s="0" t="n">
        <v>2</v>
      </c>
    </row>
    <row r="105" customFormat="false" ht="13.5" hidden="false" customHeight="false" outlineLevel="0" collapsed="false">
      <c r="A105" s="0" t="s">
        <v>94</v>
      </c>
      <c r="B105" s="1" t="n">
        <v>43965</v>
      </c>
      <c r="C105" s="0" t="n">
        <v>1661</v>
      </c>
      <c r="D105" s="0" t="n">
        <v>0</v>
      </c>
      <c r="E105" s="0" t="n">
        <v>80</v>
      </c>
      <c r="F105" s="0" t="n">
        <v>0</v>
      </c>
      <c r="G105" s="0" t="n">
        <v>173</v>
      </c>
      <c r="H105" s="0" t="n">
        <v>1408</v>
      </c>
      <c r="I105" s="0" t="n">
        <v>0</v>
      </c>
      <c r="J105" s="0" t="n">
        <v>38</v>
      </c>
      <c r="K105" s="0" t="n">
        <v>2</v>
      </c>
    </row>
    <row r="106" customFormat="false" ht="13.5" hidden="false" customHeight="false" outlineLevel="0" collapsed="false">
      <c r="A106" s="0" t="s">
        <v>94</v>
      </c>
      <c r="B106" s="1" t="n">
        <v>43966</v>
      </c>
      <c r="C106" s="0" t="n">
        <v>1818</v>
      </c>
      <c r="D106" s="0" t="n">
        <v>157</v>
      </c>
      <c r="E106" s="0" t="n">
        <v>90</v>
      </c>
      <c r="F106" s="0" t="n">
        <v>10</v>
      </c>
      <c r="G106" s="0" t="n">
        <v>198</v>
      </c>
      <c r="H106" s="0" t="n">
        <v>1530</v>
      </c>
      <c r="I106" s="0" t="n">
        <v>0</v>
      </c>
      <c r="J106" s="0" t="n">
        <v>41</v>
      </c>
      <c r="K106" s="0" t="n">
        <v>2</v>
      </c>
    </row>
    <row r="107" customFormat="false" ht="13.5" hidden="false" customHeight="false" outlineLevel="0" collapsed="false">
      <c r="A107" s="0" t="s">
        <v>94</v>
      </c>
      <c r="B107" s="1" t="n">
        <v>43967</v>
      </c>
      <c r="C107" s="0" t="n">
        <v>1964</v>
      </c>
      <c r="D107" s="0" t="n">
        <v>146</v>
      </c>
      <c r="E107" s="0" t="n">
        <v>91</v>
      </c>
      <c r="F107" s="0" t="n">
        <v>1</v>
      </c>
      <c r="G107" s="0" t="n">
        <v>205</v>
      </c>
      <c r="H107" s="0" t="n">
        <v>1668</v>
      </c>
      <c r="I107" s="0" t="n">
        <v>0</v>
      </c>
      <c r="J107" s="0" t="n">
        <v>45</v>
      </c>
      <c r="K107" s="0" t="n">
        <v>2</v>
      </c>
    </row>
    <row r="108" customFormat="false" ht="13.5" hidden="false" customHeight="false" outlineLevel="0" collapsed="false">
      <c r="A108" s="0" t="s">
        <v>94</v>
      </c>
      <c r="B108" s="1" t="n">
        <v>43968</v>
      </c>
      <c r="C108" s="0" t="n">
        <v>2289</v>
      </c>
      <c r="D108" s="0" t="n">
        <v>325</v>
      </c>
      <c r="E108" s="0" t="n">
        <v>97</v>
      </c>
      <c r="F108" s="0" t="n">
        <v>6</v>
      </c>
      <c r="G108" s="0" t="n">
        <v>222</v>
      </c>
      <c r="H108" s="0" t="n">
        <v>1970</v>
      </c>
      <c r="I108" s="0" t="n">
        <v>0</v>
      </c>
      <c r="J108" s="0" t="n">
        <v>52</v>
      </c>
      <c r="K108" s="0" t="n">
        <v>2</v>
      </c>
    </row>
    <row r="109" customFormat="false" ht="13.5" hidden="false" customHeight="false" outlineLevel="0" collapsed="false">
      <c r="A109" s="0" t="s">
        <v>94</v>
      </c>
      <c r="B109" s="1" t="n">
        <v>43969</v>
      </c>
      <c r="C109" s="0" t="n">
        <v>2289</v>
      </c>
      <c r="D109" s="0" t="n">
        <v>0</v>
      </c>
      <c r="E109" s="0" t="n">
        <v>97</v>
      </c>
      <c r="F109" s="0" t="n">
        <v>0</v>
      </c>
      <c r="G109" s="0" t="n">
        <v>222</v>
      </c>
      <c r="H109" s="0" t="n">
        <v>1970</v>
      </c>
      <c r="I109" s="0" t="n">
        <v>0</v>
      </c>
      <c r="J109" s="0" t="n">
        <v>52</v>
      </c>
      <c r="K109" s="0" t="n">
        <v>2</v>
      </c>
    </row>
    <row r="110" customFormat="false" ht="13.5" hidden="false" customHeight="false" outlineLevel="0" collapsed="false">
      <c r="A110" s="0" t="s">
        <v>94</v>
      </c>
      <c r="B110" s="1" t="n">
        <v>43970</v>
      </c>
      <c r="C110" s="0" t="n">
        <v>2591</v>
      </c>
      <c r="D110" s="0" t="n">
        <v>302</v>
      </c>
      <c r="E110" s="0" t="n">
        <v>105</v>
      </c>
      <c r="F110" s="0" t="n">
        <v>8</v>
      </c>
      <c r="G110" s="0" t="n">
        <v>247</v>
      </c>
      <c r="H110" s="0" t="n">
        <v>2239</v>
      </c>
      <c r="I110" s="0" t="n">
        <v>0</v>
      </c>
      <c r="J110" s="0" t="n">
        <v>59</v>
      </c>
      <c r="K110" s="0" t="n">
        <v>2</v>
      </c>
    </row>
    <row r="111" customFormat="false" ht="13.5" hidden="false" customHeight="false" outlineLevel="0" collapsed="false">
      <c r="A111" s="0" t="s">
        <v>94</v>
      </c>
      <c r="B111" s="1" t="n">
        <v>43971</v>
      </c>
      <c r="C111" s="0" t="n">
        <v>2591</v>
      </c>
      <c r="D111" s="0" t="n">
        <v>0</v>
      </c>
      <c r="E111" s="0" t="n">
        <v>105</v>
      </c>
      <c r="F111" s="0" t="n">
        <v>0</v>
      </c>
      <c r="G111" s="0" t="n">
        <v>247</v>
      </c>
      <c r="H111" s="0" t="n">
        <v>2239</v>
      </c>
      <c r="I111" s="0" t="n">
        <v>0</v>
      </c>
      <c r="J111" s="0" t="n">
        <v>59</v>
      </c>
      <c r="K111" s="0" t="n">
        <v>2</v>
      </c>
    </row>
    <row r="112" customFormat="false" ht="13.5" hidden="false" customHeight="false" outlineLevel="0" collapsed="false">
      <c r="A112" s="0" t="s">
        <v>94</v>
      </c>
      <c r="B112" s="1" t="n">
        <v>43972</v>
      </c>
      <c r="C112" s="0" t="n">
        <v>2728</v>
      </c>
      <c r="D112" s="0" t="n">
        <v>137</v>
      </c>
      <c r="E112" s="0" t="n">
        <v>111</v>
      </c>
      <c r="F112" s="0" t="n">
        <v>6</v>
      </c>
      <c r="G112" s="0" t="n">
        <v>286</v>
      </c>
      <c r="H112" s="0" t="n">
        <v>2331</v>
      </c>
      <c r="I112" s="0" t="n">
        <v>0</v>
      </c>
      <c r="J112" s="0" t="n">
        <v>62</v>
      </c>
      <c r="K112" s="0" t="n">
        <v>3</v>
      </c>
      <c r="L112" s="0" t="n">
        <v>281</v>
      </c>
      <c r="M112" s="0" t="n">
        <v>6</v>
      </c>
    </row>
    <row r="113" customFormat="false" ht="13.5" hidden="false" customHeight="false" outlineLevel="0" collapsed="false">
      <c r="A113" s="0" t="s">
        <v>94</v>
      </c>
      <c r="B113" s="1" t="n">
        <v>43973</v>
      </c>
      <c r="C113" s="0" t="n">
        <v>3138</v>
      </c>
      <c r="D113" s="0" t="n">
        <v>410</v>
      </c>
      <c r="E113" s="0" t="n">
        <v>121</v>
      </c>
      <c r="F113" s="0" t="n">
        <v>10</v>
      </c>
      <c r="G113" s="0" t="n">
        <v>309</v>
      </c>
      <c r="H113" s="0" t="n">
        <v>2708</v>
      </c>
      <c r="I113" s="0" t="n">
        <v>0</v>
      </c>
      <c r="J113" s="0" t="n">
        <v>72</v>
      </c>
      <c r="K113" s="0" t="n">
        <v>3</v>
      </c>
      <c r="L113" s="0" t="n">
        <v>281</v>
      </c>
      <c r="M113" s="0" t="n">
        <v>6</v>
      </c>
    </row>
    <row r="114" customFormat="false" ht="13.5" hidden="false" customHeight="false" outlineLevel="0" collapsed="false">
      <c r="A114" s="0" t="s">
        <v>94</v>
      </c>
      <c r="B114" s="1" t="n">
        <v>43974</v>
      </c>
      <c r="C114" s="0" t="n">
        <v>3378</v>
      </c>
      <c r="D114" s="0" t="n">
        <v>240</v>
      </c>
      <c r="E114" s="0" t="n">
        <v>137</v>
      </c>
      <c r="F114" s="0" t="n">
        <v>16</v>
      </c>
      <c r="G114" s="0" t="n">
        <v>372</v>
      </c>
      <c r="H114" s="0" t="n">
        <v>2869</v>
      </c>
      <c r="I114" s="0" t="n">
        <v>0</v>
      </c>
      <c r="J114" s="0" t="n">
        <v>77</v>
      </c>
      <c r="K114" s="0" t="n">
        <v>3</v>
      </c>
      <c r="L114" s="0" t="n">
        <v>394</v>
      </c>
      <c r="M114" s="0" t="n">
        <v>9</v>
      </c>
    </row>
    <row r="115" customFormat="false" ht="13.5" hidden="false" customHeight="false" outlineLevel="0" collapsed="false">
      <c r="A115" s="0" t="s">
        <v>94</v>
      </c>
      <c r="B115" s="1" t="n">
        <v>43975</v>
      </c>
      <c r="C115" s="0" t="n">
        <v>3378</v>
      </c>
      <c r="D115" s="0" t="n">
        <v>0</v>
      </c>
      <c r="E115" s="0" t="n">
        <v>137</v>
      </c>
      <c r="F115" s="0" t="n">
        <v>0</v>
      </c>
      <c r="G115" s="0" t="n">
        <v>372</v>
      </c>
      <c r="H115" s="0" t="n">
        <v>2869</v>
      </c>
      <c r="I115" s="0" t="n">
        <v>0</v>
      </c>
      <c r="J115" s="0" t="n">
        <v>77</v>
      </c>
      <c r="K115" s="0" t="n">
        <v>3</v>
      </c>
      <c r="L115" s="0" t="n">
        <v>394</v>
      </c>
      <c r="M115" s="0" t="n">
        <v>9</v>
      </c>
    </row>
    <row r="116" customFormat="false" ht="13.5" hidden="false" customHeight="false" outlineLevel="0" collapsed="false">
      <c r="A116" s="0" t="s">
        <v>94</v>
      </c>
      <c r="B116" s="1" t="n">
        <v>43976</v>
      </c>
      <c r="C116" s="0" t="n">
        <v>3628</v>
      </c>
      <c r="D116" s="0" t="n">
        <v>250</v>
      </c>
      <c r="E116" s="0" t="n">
        <v>146</v>
      </c>
      <c r="F116" s="0" t="n">
        <v>9</v>
      </c>
      <c r="G116" s="0" t="n">
        <v>424</v>
      </c>
      <c r="H116" s="0" t="n">
        <v>3058</v>
      </c>
      <c r="I116" s="0" t="n">
        <v>0</v>
      </c>
      <c r="J116" s="0" t="n">
        <v>83</v>
      </c>
      <c r="K116" s="0" t="n">
        <v>3</v>
      </c>
      <c r="L116" s="0" t="n">
        <v>401</v>
      </c>
      <c r="M116" s="0" t="n">
        <v>9</v>
      </c>
    </row>
    <row r="117" customFormat="false" ht="13.5" hidden="false" customHeight="false" outlineLevel="0" collapsed="false">
      <c r="A117" s="0" t="s">
        <v>94</v>
      </c>
      <c r="B117" s="1" t="n">
        <v>43977</v>
      </c>
      <c r="C117" s="0" t="n">
        <v>3820</v>
      </c>
      <c r="D117" s="0" t="n">
        <v>192</v>
      </c>
      <c r="E117" s="0" t="n">
        <v>165</v>
      </c>
      <c r="F117" s="0" t="n">
        <v>19</v>
      </c>
      <c r="G117" s="0" t="n">
        <v>458</v>
      </c>
      <c r="H117" s="0" t="n">
        <v>3197</v>
      </c>
      <c r="I117" s="0" t="n">
        <v>0</v>
      </c>
      <c r="J117" s="0" t="n">
        <v>87</v>
      </c>
      <c r="K117" s="0" t="n">
        <v>4</v>
      </c>
      <c r="L117" s="0" t="n">
        <v>401</v>
      </c>
      <c r="M117" s="0" t="n">
        <v>9</v>
      </c>
    </row>
    <row r="118" customFormat="false" ht="13.5" hidden="false" customHeight="false" outlineLevel="0" collapsed="false">
      <c r="A118" s="0" t="s">
        <v>94</v>
      </c>
      <c r="B118" s="1" t="n">
        <v>43978</v>
      </c>
      <c r="C118" s="0" t="n">
        <v>3976</v>
      </c>
      <c r="D118" s="0" t="n">
        <v>156</v>
      </c>
      <c r="E118" s="0" t="n">
        <v>170</v>
      </c>
      <c r="F118" s="0" t="n">
        <v>5</v>
      </c>
      <c r="G118" s="0" t="n">
        <v>503</v>
      </c>
      <c r="H118" s="0" t="n">
        <v>3303</v>
      </c>
      <c r="I118" s="0" t="n">
        <v>0</v>
      </c>
      <c r="J118" s="0" t="n">
        <v>91</v>
      </c>
      <c r="K118" s="0" t="n">
        <v>4</v>
      </c>
      <c r="L118" s="0" t="n">
        <v>401</v>
      </c>
      <c r="M118" s="0" t="n">
        <v>9</v>
      </c>
    </row>
    <row r="119" customFormat="false" ht="13.5" hidden="false" customHeight="false" outlineLevel="0" collapsed="false">
      <c r="A119" s="0" t="s">
        <v>94</v>
      </c>
      <c r="B119" s="1" t="n">
        <v>43979</v>
      </c>
      <c r="C119" s="0" t="n">
        <v>4146</v>
      </c>
      <c r="D119" s="0" t="n">
        <v>170</v>
      </c>
      <c r="E119" s="0" t="n">
        <v>184</v>
      </c>
      <c r="F119" s="0" t="n">
        <v>14</v>
      </c>
      <c r="G119" s="0" t="n">
        <v>588</v>
      </c>
      <c r="H119" s="0" t="n">
        <v>3374</v>
      </c>
      <c r="I119" s="0" t="n">
        <v>0</v>
      </c>
      <c r="J119" s="0" t="n">
        <v>95</v>
      </c>
      <c r="K119" s="0" t="n">
        <v>4</v>
      </c>
      <c r="L119" s="0" t="n">
        <v>401</v>
      </c>
      <c r="M119" s="0" t="n">
        <v>9</v>
      </c>
    </row>
    <row r="120" customFormat="false" ht="13.5" hidden="false" customHeight="false" outlineLevel="0" collapsed="false">
      <c r="A120" s="0" t="s">
        <v>94</v>
      </c>
      <c r="B120" s="1" t="n">
        <v>43980</v>
      </c>
      <c r="C120" s="0" t="n">
        <v>4346</v>
      </c>
      <c r="D120" s="0" t="n">
        <v>200</v>
      </c>
      <c r="E120" s="0" t="n">
        <v>195</v>
      </c>
      <c r="F120" s="0" t="n">
        <v>11</v>
      </c>
      <c r="G120" s="0" t="n">
        <v>749</v>
      </c>
      <c r="H120" s="0" t="n">
        <v>3402</v>
      </c>
      <c r="I120" s="0" t="n">
        <v>0</v>
      </c>
      <c r="J120" s="0" t="n">
        <v>99</v>
      </c>
      <c r="K120" s="0" t="n">
        <v>4</v>
      </c>
      <c r="L120" s="0" t="n">
        <v>401</v>
      </c>
      <c r="M120" s="0" t="n">
        <v>9</v>
      </c>
    </row>
    <row r="121" customFormat="false" ht="13.5" hidden="false" customHeight="false" outlineLevel="0" collapsed="false">
      <c r="A121" s="0" t="s">
        <v>94</v>
      </c>
      <c r="B121" s="1" t="n">
        <v>43981</v>
      </c>
      <c r="C121" s="0" t="n">
        <v>4521</v>
      </c>
      <c r="D121" s="0" t="n">
        <v>175</v>
      </c>
      <c r="E121" s="0" t="n">
        <v>233</v>
      </c>
      <c r="F121" s="0" t="n">
        <v>38</v>
      </c>
      <c r="G121" s="0" t="n">
        <v>816</v>
      </c>
      <c r="H121" s="0" t="n">
        <v>3472</v>
      </c>
      <c r="I121" s="0" t="n">
        <v>0</v>
      </c>
      <c r="J121" s="0" t="n">
        <v>103</v>
      </c>
      <c r="K121" s="0" t="n">
        <v>5</v>
      </c>
      <c r="L121" s="0" t="n">
        <v>401</v>
      </c>
      <c r="M121" s="0" t="n">
        <v>9</v>
      </c>
    </row>
    <row r="122" customFormat="false" ht="13.5" hidden="false" customHeight="false" outlineLevel="0" collapsed="false">
      <c r="A122" s="0" t="s">
        <v>94</v>
      </c>
      <c r="B122" s="1" t="n">
        <v>43982</v>
      </c>
      <c r="C122" s="0" t="e">
        <f aca="false">sheet1!ats123</f>
        <v>#NAME?</v>
      </c>
      <c r="D122" s="0" t="e">
        <f aca="false">sheet1!att123</f>
        <v>#NAME?</v>
      </c>
      <c r="E122" s="0" t="e">
        <f aca="false">sheet1!atu123</f>
        <v>#NAME?</v>
      </c>
      <c r="F122" s="0" t="e">
        <f aca="false">sheet1!atv123</f>
        <v>#NAME?</v>
      </c>
      <c r="G122" s="0" t="e">
        <f aca="false">sheet1!atw123</f>
        <v>#NAME?</v>
      </c>
      <c r="H122" s="0" t="e">
        <f aca="false">sheet1!atx123</f>
        <v>#NAME?</v>
      </c>
      <c r="I122" s="0" t="e">
        <f aca="false">sheet1!aty123</f>
        <v>#NAME?</v>
      </c>
      <c r="J122" s="0" t="e">
        <f aca="false">sheet1!atz123</f>
        <v>#NAME?</v>
      </c>
      <c r="K122" s="0" t="e">
        <f aca="false">sheet1!aua123</f>
        <v>#NAME?</v>
      </c>
      <c r="L122" s="0" t="e">
        <f aca="false">sheet1!aub123</f>
        <v>#NAME?</v>
      </c>
      <c r="M122" s="0" t="e">
        <f aca="false">sheet1!auc123</f>
        <v>#NAME?</v>
      </c>
    </row>
    <row r="123" customFormat="false" ht="13.5" hidden="false" customHeight="false" outlineLevel="0" collapsed="false">
      <c r="A123" s="0" t="s">
        <v>94</v>
      </c>
      <c r="B123" s="1" t="n">
        <v>43983</v>
      </c>
      <c r="C123" s="0" t="e">
        <f aca="false">sheet1!ats124</f>
        <v>#NAME?</v>
      </c>
      <c r="D123" s="0" t="e">
        <f aca="false">sheet1!att124</f>
        <v>#NAME?</v>
      </c>
      <c r="E123" s="0" t="e">
        <f aca="false">sheet1!atu124</f>
        <v>#NAME?</v>
      </c>
      <c r="F123" s="0" t="e">
        <f aca="false">sheet1!atv124</f>
        <v>#NAME?</v>
      </c>
      <c r="G123" s="0" t="e">
        <f aca="false">sheet1!atw124</f>
        <v>#NAME?</v>
      </c>
      <c r="H123" s="0" t="e">
        <f aca="false">sheet1!atx124</f>
        <v>#NAME?</v>
      </c>
      <c r="I123" s="0" t="e">
        <f aca="false">sheet1!aty124</f>
        <v>#NAME?</v>
      </c>
      <c r="J123" s="0" t="e">
        <f aca="false">sheet1!atz124</f>
        <v>#NAME?</v>
      </c>
      <c r="K123" s="0" t="e">
        <f aca="false">sheet1!aua124</f>
        <v>#NAME?</v>
      </c>
      <c r="L123" s="0" t="e">
        <f aca="false">sheet1!aub124</f>
        <v>#NAME?</v>
      </c>
      <c r="M123" s="0" t="e">
        <f aca="false">sheet1!auc124</f>
        <v>#NAME?</v>
      </c>
    </row>
    <row r="124" customFormat="false" ht="13.5" hidden="false" customHeight="false" outlineLevel="0" collapsed="false">
      <c r="A124" s="0" t="s">
        <v>94</v>
      </c>
      <c r="B124" s="1" t="n">
        <v>43984</v>
      </c>
      <c r="C124" s="0" t="e">
        <f aca="false">sheet1!ats125</f>
        <v>#NAME?</v>
      </c>
      <c r="D124" s="0" t="e">
        <f aca="false">sheet1!att125</f>
        <v>#NAME?</v>
      </c>
      <c r="E124" s="0" t="e">
        <f aca="false">sheet1!atu125</f>
        <v>#NAME?</v>
      </c>
      <c r="F124" s="0" t="e">
        <f aca="false">sheet1!atv125</f>
        <v>#NAME?</v>
      </c>
      <c r="G124" s="0" t="e">
        <f aca="false">sheet1!atw125</f>
        <v>#NAME?</v>
      </c>
      <c r="H124" s="0" t="e">
        <f aca="false">sheet1!atx125</f>
        <v>#NAME?</v>
      </c>
      <c r="I124" s="0" t="e">
        <f aca="false">sheet1!aty125</f>
        <v>#NAME?</v>
      </c>
      <c r="J124" s="0" t="e">
        <f aca="false">sheet1!atz125</f>
        <v>#NAME?</v>
      </c>
      <c r="K124" s="0" t="e">
        <f aca="false">sheet1!aua125</f>
        <v>#NAME?</v>
      </c>
      <c r="L124" s="0" t="e">
        <f aca="false">sheet1!aub125</f>
        <v>#NAME?</v>
      </c>
      <c r="M124" s="0" t="e">
        <f aca="false">sheet1!auc125</f>
        <v>#NAME?</v>
      </c>
    </row>
    <row r="125" customFormat="false" ht="13.5" hidden="false" customHeight="false" outlineLevel="0" collapsed="false">
      <c r="A125" s="0" t="s">
        <v>94</v>
      </c>
      <c r="B125" s="1" t="n">
        <v>43985</v>
      </c>
      <c r="C125" s="0" t="e">
        <f aca="false">sheet1!ats126</f>
        <v>#NAME?</v>
      </c>
      <c r="D125" s="0" t="e">
        <f aca="false">sheet1!att126</f>
        <v>#NAME?</v>
      </c>
      <c r="E125" s="0" t="e">
        <f aca="false">sheet1!atu126</f>
        <v>#NAME?</v>
      </c>
      <c r="F125" s="0" t="e">
        <f aca="false">sheet1!atv126</f>
        <v>#NAME?</v>
      </c>
      <c r="G125" s="0" t="e">
        <f aca="false">sheet1!atw126</f>
        <v>#NAME?</v>
      </c>
      <c r="H125" s="0" t="e">
        <f aca="false">sheet1!atx126</f>
        <v>#NAME?</v>
      </c>
      <c r="I125" s="0" t="e">
        <f aca="false">sheet1!aty126</f>
        <v>#NAME?</v>
      </c>
      <c r="J125" s="0" t="e">
        <f aca="false">sheet1!atz126</f>
        <v>#NAME?</v>
      </c>
      <c r="K125" s="0" t="e">
        <f aca="false">sheet1!aua126</f>
        <v>#NAME?</v>
      </c>
      <c r="L125" s="0" t="e">
        <f aca="false">sheet1!aub126</f>
        <v>#NAME?</v>
      </c>
      <c r="M125" s="0" t="e">
        <f aca="false">sheet1!auc126</f>
        <v>#NAME?</v>
      </c>
    </row>
    <row r="126" customFormat="false" ht="13.5" hidden="false" customHeight="false" outlineLevel="0" collapsed="false">
      <c r="A126" s="0" t="s">
        <v>94</v>
      </c>
      <c r="B126" s="1" t="n">
        <v>43986</v>
      </c>
      <c r="C126" s="0" t="e">
        <f aca="false">sheet1!ats127</f>
        <v>#NAME?</v>
      </c>
      <c r="D126" s="0" t="e">
        <f aca="false">sheet1!att127</f>
        <v>#NAME?</v>
      </c>
      <c r="E126" s="0" t="e">
        <f aca="false">sheet1!atu127</f>
        <v>#NAME?</v>
      </c>
      <c r="F126" s="0" t="e">
        <f aca="false">sheet1!atv127</f>
        <v>#NAME?</v>
      </c>
      <c r="G126" s="0" t="e">
        <f aca="false">sheet1!atw127</f>
        <v>#NAME?</v>
      </c>
      <c r="H126" s="0" t="e">
        <f aca="false">sheet1!atx127</f>
        <v>#NAME?</v>
      </c>
      <c r="I126" s="0" t="e">
        <f aca="false">sheet1!aty127</f>
        <v>#NAME?</v>
      </c>
      <c r="J126" s="0" t="e">
        <f aca="false">sheet1!atz127</f>
        <v>#NAME?</v>
      </c>
      <c r="K126" s="0" t="e">
        <f aca="false">sheet1!aua127</f>
        <v>#NAME?</v>
      </c>
      <c r="L126" s="0" t="e">
        <f aca="false">sheet1!aub127</f>
        <v>#NAME?</v>
      </c>
      <c r="M126" s="0" t="e">
        <f aca="false">sheet1!auc127</f>
        <v>#NAME?</v>
      </c>
    </row>
    <row r="127" customFormat="false" ht="13.5" hidden="false" customHeight="false" outlineLevel="0" collapsed="false">
      <c r="A127" s="0" t="s">
        <v>94</v>
      </c>
      <c r="B127" s="1" t="n">
        <v>43987</v>
      </c>
      <c r="C127" s="0" t="e">
        <f aca="false">sheet1!ats128</f>
        <v>#NAME?</v>
      </c>
      <c r="D127" s="0" t="e">
        <f aca="false">sheet1!att128</f>
        <v>#NAME?</v>
      </c>
      <c r="E127" s="0" t="e">
        <f aca="false">sheet1!atu128</f>
        <v>#NAME?</v>
      </c>
      <c r="F127" s="0" t="e">
        <f aca="false">sheet1!atv128</f>
        <v>#NAME?</v>
      </c>
      <c r="G127" s="0" t="e">
        <f aca="false">sheet1!atw128</f>
        <v>#NAME?</v>
      </c>
      <c r="H127" s="0" t="e">
        <f aca="false">sheet1!atx128</f>
        <v>#NAME?</v>
      </c>
      <c r="I127" s="0" t="e">
        <f aca="false">sheet1!aty128</f>
        <v>#NAME?</v>
      </c>
      <c r="J127" s="0" t="e">
        <f aca="false">sheet1!atz128</f>
        <v>#NAME?</v>
      </c>
      <c r="K127" s="0" t="e">
        <f aca="false">sheet1!aua128</f>
        <v>#NAME?</v>
      </c>
      <c r="L127" s="0" t="e">
        <f aca="false">sheet1!aub128</f>
        <v>#NAME?</v>
      </c>
      <c r="M127" s="0" t="e">
        <f aca="false">sheet1!auc128</f>
        <v>#NAME?</v>
      </c>
    </row>
    <row r="128" customFormat="false" ht="13.5" hidden="false" customHeight="false" outlineLevel="0" collapsed="false">
      <c r="A128" s="0" t="s">
        <v>94</v>
      </c>
      <c r="B128" s="1" t="n">
        <v>43988</v>
      </c>
      <c r="C128" s="0" t="e">
        <f aca="false">sheet1!ats129</f>
        <v>#NAME?</v>
      </c>
      <c r="D128" s="0" t="e">
        <f aca="false">sheet1!att129</f>
        <v>#NAME?</v>
      </c>
      <c r="E128" s="0" t="e">
        <f aca="false">sheet1!atu129</f>
        <v>#NAME?</v>
      </c>
      <c r="F128" s="0" t="e">
        <f aca="false">sheet1!atv129</f>
        <v>#NAME?</v>
      </c>
      <c r="G128" s="0" t="e">
        <f aca="false">sheet1!atw129</f>
        <v>#NAME?</v>
      </c>
      <c r="H128" s="0" t="e">
        <f aca="false">sheet1!atx129</f>
        <v>#NAME?</v>
      </c>
      <c r="I128" s="0" t="e">
        <f aca="false">sheet1!aty129</f>
        <v>#NAME?</v>
      </c>
      <c r="J128" s="0" t="e">
        <f aca="false">sheet1!atz129</f>
        <v>#NAME?</v>
      </c>
      <c r="K128" s="0" t="e">
        <f aca="false">sheet1!aua129</f>
        <v>#NAME?</v>
      </c>
      <c r="L128" s="0" t="e">
        <f aca="false">sheet1!aub129</f>
        <v>#NAME?</v>
      </c>
      <c r="M128" s="0" t="e">
        <f aca="false">sheet1!auc129</f>
        <v>#NAME?</v>
      </c>
    </row>
    <row r="129" customFormat="false" ht="13.5" hidden="false" customHeight="false" outlineLevel="0" collapsed="false">
      <c r="A129" s="0" t="s">
        <v>94</v>
      </c>
      <c r="B129" s="1" t="n">
        <v>43989</v>
      </c>
      <c r="C129" s="0" t="e">
        <f aca="false">sheet1!ats130</f>
        <v>#NAME?</v>
      </c>
      <c r="D129" s="0" t="e">
        <f aca="false">sheet1!att130</f>
        <v>#NAME?</v>
      </c>
      <c r="E129" s="0" t="e">
        <f aca="false">sheet1!atu130</f>
        <v>#NAME?</v>
      </c>
      <c r="F129" s="0" t="e">
        <f aca="false">sheet1!atv130</f>
        <v>#NAME?</v>
      </c>
      <c r="G129" s="0" t="e">
        <f aca="false">sheet1!atw130</f>
        <v>#NAME?</v>
      </c>
      <c r="H129" s="0" t="e">
        <f aca="false">sheet1!atx130</f>
        <v>#NAME?</v>
      </c>
      <c r="I129" s="0" t="e">
        <f aca="false">sheet1!aty130</f>
        <v>#NAME?</v>
      </c>
      <c r="J129" s="0" t="e">
        <f aca="false">sheet1!atz130</f>
        <v>#NAME?</v>
      </c>
      <c r="K129" s="0" t="e">
        <f aca="false">sheet1!aua130</f>
        <v>#NAME?</v>
      </c>
      <c r="L129" s="0" t="e">
        <f aca="false">sheet1!aub130</f>
        <v>#NAME?</v>
      </c>
      <c r="M129" s="0" t="e">
        <f aca="false">sheet1!auc130</f>
        <v>#NAME?</v>
      </c>
    </row>
    <row r="130" customFormat="false" ht="13.5" hidden="false" customHeight="false" outlineLevel="0" collapsed="false">
      <c r="A130" s="0" t="s">
        <v>94</v>
      </c>
      <c r="B130" s="1" t="n">
        <v>43990</v>
      </c>
      <c r="C130" s="0" t="e">
        <f aca="false">sheet1!ats131</f>
        <v>#NAME?</v>
      </c>
      <c r="D130" s="0" t="e">
        <f aca="false">sheet1!att131</f>
        <v>#NAME?</v>
      </c>
      <c r="E130" s="0" t="e">
        <f aca="false">sheet1!atu131</f>
        <v>#NAME?</v>
      </c>
      <c r="F130" s="0" t="e">
        <f aca="false">sheet1!atv131</f>
        <v>#NAME?</v>
      </c>
      <c r="G130" s="0" t="e">
        <f aca="false">sheet1!atw131</f>
        <v>#NAME?</v>
      </c>
      <c r="H130" s="0" t="e">
        <f aca="false">sheet1!atx131</f>
        <v>#NAME?</v>
      </c>
      <c r="I130" s="0" t="e">
        <f aca="false">sheet1!aty131</f>
        <v>#NAME?</v>
      </c>
      <c r="J130" s="0" t="e">
        <f aca="false">sheet1!atz131</f>
        <v>#NAME?</v>
      </c>
      <c r="K130" s="0" t="e">
        <f aca="false">sheet1!aua131</f>
        <v>#NAME?</v>
      </c>
      <c r="L130" s="0" t="e">
        <f aca="false">sheet1!aub131</f>
        <v>#NAME?</v>
      </c>
      <c r="M130" s="0" t="e">
        <f aca="false">sheet1!auc131</f>
        <v>#NAME?</v>
      </c>
    </row>
    <row r="131" customFormat="false" ht="13.5" hidden="false" customHeight="false" outlineLevel="0" collapsed="false">
      <c r="A131" s="0" t="s">
        <v>94</v>
      </c>
      <c r="B131" s="1" t="n">
        <v>43991</v>
      </c>
      <c r="C131" s="0" t="e">
        <f aca="false">sheet1!ats132</f>
        <v>#NAME?</v>
      </c>
      <c r="D131" s="0" t="e">
        <f aca="false">sheet1!att132</f>
        <v>#NAME?</v>
      </c>
      <c r="E131" s="0" t="e">
        <f aca="false">sheet1!atu132</f>
        <v>#NAME?</v>
      </c>
      <c r="F131" s="0" t="e">
        <f aca="false">sheet1!atv132</f>
        <v>#NAME?</v>
      </c>
      <c r="G131" s="0" t="e">
        <f aca="false">sheet1!atw132</f>
        <v>#NAME?</v>
      </c>
      <c r="H131" s="0" t="e">
        <f aca="false">sheet1!atx132</f>
        <v>#NAME?</v>
      </c>
      <c r="I131" s="0" t="e">
        <f aca="false">sheet1!aty132</f>
        <v>#NAME?</v>
      </c>
      <c r="J131" s="0" t="e">
        <f aca="false">sheet1!atz132</f>
        <v>#NAME?</v>
      </c>
      <c r="K131" s="0" t="e">
        <f aca="false">sheet1!aua132</f>
        <v>#NAME?</v>
      </c>
      <c r="L131" s="0" t="e">
        <f aca="false">sheet1!aub132</f>
        <v>#NAME?</v>
      </c>
      <c r="M131" s="0" t="e">
        <f aca="false">sheet1!auc132</f>
        <v>#NAME?</v>
      </c>
    </row>
    <row r="132" customFormat="false" ht="13.5" hidden="false" customHeight="false" outlineLevel="0" collapsed="false">
      <c r="A132" s="0" t="s">
        <v>94</v>
      </c>
      <c r="B132" s="1" t="n">
        <v>43992</v>
      </c>
      <c r="C132" s="0" t="e">
        <f aca="false">sheet1!ats133</f>
        <v>#NAME?</v>
      </c>
      <c r="D132" s="0" t="e">
        <f aca="false">sheet1!att133</f>
        <v>#NAME?</v>
      </c>
      <c r="E132" s="0" t="e">
        <f aca="false">sheet1!atu133</f>
        <v>#NAME?</v>
      </c>
      <c r="F132" s="0" t="e">
        <f aca="false">sheet1!atv133</f>
        <v>#NAME?</v>
      </c>
      <c r="G132" s="0" t="e">
        <f aca="false">sheet1!atw133</f>
        <v>#NAME?</v>
      </c>
      <c r="H132" s="0" t="e">
        <f aca="false">sheet1!atx133</f>
        <v>#NAME?</v>
      </c>
      <c r="I132" s="0" t="e">
        <f aca="false">sheet1!aty133</f>
        <v>#NAME?</v>
      </c>
      <c r="J132" s="0" t="e">
        <f aca="false">sheet1!atz133</f>
        <v>#NAME?</v>
      </c>
      <c r="K132" s="0" t="e">
        <f aca="false">sheet1!aua133</f>
        <v>#NAME?</v>
      </c>
      <c r="L132" s="0" t="e">
        <f aca="false">sheet1!aub133</f>
        <v>#NAME?</v>
      </c>
      <c r="M132" s="0" t="e">
        <f aca="false">sheet1!auc133</f>
        <v>#NAME?</v>
      </c>
    </row>
    <row r="133" customFormat="false" ht="13.5" hidden="false" customHeight="false" outlineLevel="0" collapsed="false">
      <c r="A133" s="0" t="s">
        <v>94</v>
      </c>
      <c r="B133" s="1" t="n">
        <v>43993</v>
      </c>
      <c r="C133" s="0" t="e">
        <f aca="false">sheet1!ats134</f>
        <v>#NAME?</v>
      </c>
      <c r="D133" s="0" t="e">
        <f aca="false">sheet1!att134</f>
        <v>#NAME?</v>
      </c>
      <c r="E133" s="0" t="e">
        <f aca="false">sheet1!atu134</f>
        <v>#NAME?</v>
      </c>
      <c r="F133" s="0" t="e">
        <f aca="false">sheet1!atv134</f>
        <v>#NAME?</v>
      </c>
      <c r="G133" s="0" t="e">
        <f aca="false">sheet1!atw134</f>
        <v>#NAME?</v>
      </c>
      <c r="H133" s="0" t="e">
        <f aca="false">sheet1!atx134</f>
        <v>#NAME?</v>
      </c>
      <c r="I133" s="0" t="e">
        <f aca="false">sheet1!aty134</f>
        <v>#NAME?</v>
      </c>
      <c r="J133" s="0" t="e">
        <f aca="false">sheet1!atz134</f>
        <v>#NAME?</v>
      </c>
      <c r="K133" s="0" t="e">
        <f aca="false">sheet1!aua134</f>
        <v>#NAME?</v>
      </c>
      <c r="L133" s="0" t="e">
        <f aca="false">sheet1!aub134</f>
        <v>#NAME?</v>
      </c>
      <c r="M133" s="0" t="e">
        <f aca="false">sheet1!auc134</f>
        <v>#NAME?</v>
      </c>
    </row>
    <row r="134" customFormat="false" ht="13.5" hidden="false" customHeight="false" outlineLevel="0" collapsed="false">
      <c r="A134" s="0" t="s">
        <v>94</v>
      </c>
      <c r="B134" s="1" t="n">
        <v>43994</v>
      </c>
      <c r="C134" s="0" t="e">
        <f aca="false">sheet1!ats135</f>
        <v>#NAME?</v>
      </c>
      <c r="D134" s="0" t="e">
        <f aca="false">sheet1!att135</f>
        <v>#NAME?</v>
      </c>
      <c r="E134" s="0" t="e">
        <f aca="false">sheet1!atu135</f>
        <v>#NAME?</v>
      </c>
      <c r="F134" s="0" t="e">
        <f aca="false">sheet1!atv135</f>
        <v>#NAME?</v>
      </c>
      <c r="G134" s="0" t="e">
        <f aca="false">sheet1!atw135</f>
        <v>#NAME?</v>
      </c>
      <c r="H134" s="0" t="e">
        <f aca="false">sheet1!atx135</f>
        <v>#NAME?</v>
      </c>
      <c r="I134" s="0" t="e">
        <f aca="false">sheet1!aty135</f>
        <v>#NAME?</v>
      </c>
      <c r="J134" s="0" t="e">
        <f aca="false">sheet1!atz135</f>
        <v>#NAME?</v>
      </c>
      <c r="K134" s="0" t="e">
        <f aca="false">sheet1!aua135</f>
        <v>#NAME?</v>
      </c>
      <c r="L134" s="0" t="e">
        <f aca="false">sheet1!aub135</f>
        <v>#NAME?</v>
      </c>
      <c r="M134" s="0" t="e">
        <f aca="false">sheet1!auc135</f>
        <v>#NAME?</v>
      </c>
    </row>
    <row r="135" customFormat="false" ht="13.5" hidden="false" customHeight="false" outlineLevel="0" collapsed="false">
      <c r="A135" s="0" t="s">
        <v>94</v>
      </c>
      <c r="B135" s="1" t="n">
        <v>43995</v>
      </c>
      <c r="C135" s="0" t="e">
        <f aca="false">sheet1!ats136</f>
        <v>#NAME?</v>
      </c>
      <c r="D135" s="0" t="e">
        <f aca="false">sheet1!att136</f>
        <v>#NAME?</v>
      </c>
      <c r="E135" s="0" t="e">
        <f aca="false">sheet1!atu136</f>
        <v>#NAME?</v>
      </c>
      <c r="F135" s="0" t="e">
        <f aca="false">sheet1!atv136</f>
        <v>#NAME?</v>
      </c>
      <c r="G135" s="0" t="e">
        <f aca="false">sheet1!atw136</f>
        <v>#NAME?</v>
      </c>
      <c r="H135" s="0" t="e">
        <f aca="false">sheet1!atx136</f>
        <v>#NAME?</v>
      </c>
      <c r="I135" s="0" t="e">
        <f aca="false">sheet1!aty136</f>
        <v>#NAME?</v>
      </c>
      <c r="J135" s="0" t="e">
        <f aca="false">sheet1!atz136</f>
        <v>#NAME?</v>
      </c>
      <c r="K135" s="0" t="e">
        <f aca="false">sheet1!aua136</f>
        <v>#NAME?</v>
      </c>
      <c r="L135" s="0" t="e">
        <f aca="false">sheet1!aub136</f>
        <v>#NAME?</v>
      </c>
      <c r="M135" s="0" t="e">
        <f aca="false">sheet1!auc136</f>
        <v>#NAME?</v>
      </c>
    </row>
    <row r="136" customFormat="false" ht="13.5" hidden="false" customHeight="false" outlineLevel="0" collapsed="false">
      <c r="A136" s="0" t="s">
        <v>94</v>
      </c>
      <c r="B136" s="1" t="n">
        <v>43996</v>
      </c>
      <c r="C136" s="0" t="e">
        <f aca="false">sheet1!ats137</f>
        <v>#NAME?</v>
      </c>
      <c r="D136" s="0" t="e">
        <f aca="false">sheet1!att137</f>
        <v>#NAME?</v>
      </c>
      <c r="E136" s="0" t="e">
        <f aca="false">sheet1!atu137</f>
        <v>#NAME?</v>
      </c>
      <c r="F136" s="0" t="e">
        <f aca="false">sheet1!atv137</f>
        <v>#NAME?</v>
      </c>
      <c r="G136" s="0" t="e">
        <f aca="false">sheet1!atw137</f>
        <v>#NAME?</v>
      </c>
      <c r="H136" s="0" t="e">
        <f aca="false">sheet1!atx137</f>
        <v>#NAME?</v>
      </c>
      <c r="I136" s="0" t="e">
        <f aca="false">sheet1!aty137</f>
        <v>#NAME?</v>
      </c>
      <c r="J136" s="0" t="e">
        <f aca="false">sheet1!atz137</f>
        <v>#NAME?</v>
      </c>
      <c r="K136" s="0" t="e">
        <f aca="false">sheet1!aua137</f>
        <v>#NAME?</v>
      </c>
      <c r="L136" s="0" t="e">
        <f aca="false">sheet1!aub137</f>
        <v>#NAME?</v>
      </c>
      <c r="M136" s="0" t="e">
        <f aca="false">sheet1!auc137</f>
        <v>#NAME?</v>
      </c>
    </row>
    <row r="137" customFormat="false" ht="13.5" hidden="false" customHeight="false" outlineLevel="0" collapsed="false">
      <c r="A137" s="0" t="s">
        <v>94</v>
      </c>
      <c r="B137" s="1" t="n">
        <v>43997</v>
      </c>
      <c r="C137" s="0" t="e">
        <f aca="false">sheet1!ats138</f>
        <v>#NAME?</v>
      </c>
      <c r="D137" s="0" t="e">
        <f aca="false">sheet1!att138</f>
        <v>#NAME?</v>
      </c>
      <c r="E137" s="0" t="e">
        <f aca="false">sheet1!atu138</f>
        <v>#NAME?</v>
      </c>
      <c r="F137" s="0" t="e">
        <f aca="false">sheet1!atv138</f>
        <v>#NAME?</v>
      </c>
      <c r="G137" s="0" t="e">
        <f aca="false">sheet1!atw138</f>
        <v>#NAME?</v>
      </c>
      <c r="H137" s="0" t="e">
        <f aca="false">sheet1!atx138</f>
        <v>#NAME?</v>
      </c>
      <c r="I137" s="0" t="n">
        <v>0</v>
      </c>
      <c r="J137" s="0" t="e">
        <f aca="false">sheet1!atz138</f>
        <v>#NAME?</v>
      </c>
      <c r="K137" s="0" t="e">
        <f aca="false">sheet1!aua138</f>
        <v>#NAME?</v>
      </c>
      <c r="L137" s="0" t="e">
        <f aca="false">sheet1!aub138</f>
        <v>#NAME?</v>
      </c>
      <c r="M137" s="0" t="e">
        <f aca="false">sheet1!auc138</f>
        <v>#NAME?</v>
      </c>
    </row>
    <row r="138" customFormat="false" ht="13.5" hidden="false" customHeight="false" outlineLevel="0" collapsed="false">
      <c r="A138" s="0" t="s">
        <v>94</v>
      </c>
      <c r="B138" s="1" t="n">
        <v>43998</v>
      </c>
      <c r="C138" s="0" t="e">
        <f aca="false">sheet1!ats139</f>
        <v>#NAME?</v>
      </c>
      <c r="D138" s="0" t="e">
        <f aca="false">sheet1!att139</f>
        <v>#NAME?</v>
      </c>
      <c r="E138" s="0" t="e">
        <f aca="false">sheet1!atu139</f>
        <v>#NAME?</v>
      </c>
      <c r="F138" s="0" t="e">
        <f aca="false">sheet1!atv139</f>
        <v>#NAME?</v>
      </c>
      <c r="G138" s="0" t="e">
        <f aca="false">sheet1!atw139</f>
        <v>#NAME?</v>
      </c>
      <c r="H138" s="0" t="e">
        <f aca="false">sheet1!atx139</f>
        <v>#NAME?</v>
      </c>
      <c r="I138" s="0" t="e">
        <f aca="false">sheet1!aty139</f>
        <v>#NAME?</v>
      </c>
      <c r="J138" s="0" t="e">
        <f aca="false">sheet1!atz139</f>
        <v>#NAME?</v>
      </c>
      <c r="K138" s="0" t="e">
        <f aca="false">sheet1!aua139</f>
        <v>#NAME?</v>
      </c>
      <c r="L138" s="0" t="e">
        <f aca="false">sheet1!aub139</f>
        <v>#NAME?</v>
      </c>
      <c r="M138" s="0" t="e">
        <f aca="false">sheet1!auc139</f>
        <v>#NAME?</v>
      </c>
    </row>
    <row r="139" customFormat="false" ht="13.5" hidden="false" customHeight="false" outlineLevel="0" collapsed="false">
      <c r="A139" s="0" t="s">
        <v>94</v>
      </c>
      <c r="B139" s="1" t="n">
        <v>43999</v>
      </c>
      <c r="C139" s="0" t="e">
        <f aca="false">sheet1!ats140</f>
        <v>#NAME?</v>
      </c>
      <c r="D139" s="0" t="e">
        <f aca="false">sheet1!att140</f>
        <v>#NAME?</v>
      </c>
      <c r="E139" s="0" t="e">
        <f aca="false">sheet1!atu140</f>
        <v>#NAME?</v>
      </c>
      <c r="F139" s="0" t="e">
        <f aca="false">sheet1!atv140</f>
        <v>#NAME?</v>
      </c>
      <c r="G139" s="0" t="e">
        <f aca="false">sheet1!atw140</f>
        <v>#NAME?</v>
      </c>
      <c r="H139" s="0" t="e">
        <f aca="false">sheet1!atx140</f>
        <v>#NAME?</v>
      </c>
      <c r="I139" s="0" t="e">
        <f aca="false">sheet1!aty140</f>
        <v>#NAME?</v>
      </c>
      <c r="J139" s="0" t="e">
        <f aca="false">sheet1!atz140</f>
        <v>#NAME?</v>
      </c>
      <c r="K139" s="0" t="e">
        <f aca="false">sheet1!aua140</f>
        <v>#NAME?</v>
      </c>
      <c r="L139" s="0" t="e">
        <f aca="false">sheet1!aub140</f>
        <v>#NAME?</v>
      </c>
      <c r="M139" s="0" t="e">
        <f aca="false">sheet1!auc140</f>
        <v>#NAME?</v>
      </c>
    </row>
    <row r="140" customFormat="false" ht="13.5" hidden="false" customHeight="false" outlineLevel="0" collapsed="false">
      <c r="A140" s="0" t="s">
        <v>94</v>
      </c>
      <c r="B140" s="1" t="n">
        <v>44000</v>
      </c>
      <c r="C140" s="0" t="e">
        <f aca="false">sheet1!ats141</f>
        <v>#NAME?</v>
      </c>
      <c r="D140" s="0" t="e">
        <f aca="false">sheet1!att141</f>
        <v>#NAME?</v>
      </c>
      <c r="E140" s="0" t="e">
        <f aca="false">sheet1!atu141</f>
        <v>#NAME?</v>
      </c>
      <c r="F140" s="0" t="e">
        <f aca="false">sheet1!atv141</f>
        <v>#NAME?</v>
      </c>
      <c r="G140" s="0" t="e">
        <f aca="false">sheet1!atw141</f>
        <v>#NAME?</v>
      </c>
      <c r="H140" s="0" t="e">
        <f aca="false">sheet1!atx141</f>
        <v>#NAME?</v>
      </c>
      <c r="I140" s="0" t="e">
        <f aca="false">sheet1!aty141</f>
        <v>#NAME?</v>
      </c>
      <c r="J140" s="0" t="e">
        <f aca="false">sheet1!atz141</f>
        <v>#NAME?</v>
      </c>
      <c r="K140" s="0" t="e">
        <f aca="false">sheet1!aua141</f>
        <v>#NAME?</v>
      </c>
      <c r="L140" s="0" t="e">
        <f aca="false">sheet1!aub141</f>
        <v>#NAME?</v>
      </c>
      <c r="M140" s="0" t="e">
        <f aca="false">sheet1!auc141</f>
        <v>#NAME?</v>
      </c>
    </row>
    <row r="141" customFormat="false" ht="13.5" hidden="false" customHeight="false" outlineLevel="0" collapsed="false">
      <c r="A141" s="0" t="s">
        <v>94</v>
      </c>
      <c r="B141" s="1" t="n">
        <v>44001</v>
      </c>
      <c r="C141" s="0" t="e">
        <f aca="false">sheet1!ats142</f>
        <v>#NAME?</v>
      </c>
      <c r="D141" s="0" t="e">
        <f aca="false">sheet1!att142</f>
        <v>#NAME?</v>
      </c>
      <c r="E141" s="0" t="e">
        <f aca="false">sheet1!atu142</f>
        <v>#NAME?</v>
      </c>
      <c r="F141" s="0" t="e">
        <f aca="false">sheet1!atv142</f>
        <v>#NAME?</v>
      </c>
      <c r="G141" s="0" t="e">
        <f aca="false">sheet1!atw142</f>
        <v>#NAME?</v>
      </c>
      <c r="H141" s="0" t="e">
        <f aca="false">sheet1!atx142</f>
        <v>#NAME?</v>
      </c>
      <c r="I141" s="0" t="e">
        <f aca="false">sheet1!aty142</f>
        <v>#NAME?</v>
      </c>
      <c r="J141" s="0" t="e">
        <f aca="false">sheet1!atz142</f>
        <v>#NAME?</v>
      </c>
      <c r="K141" s="0" t="e">
        <f aca="false">sheet1!aua142</f>
        <v>#NAME?</v>
      </c>
      <c r="L141" s="0" t="e">
        <f aca="false">sheet1!aub142</f>
        <v>#NAME?</v>
      </c>
      <c r="M141" s="0" t="e">
        <f aca="false">sheet1!auc142</f>
        <v>#NAME?</v>
      </c>
    </row>
    <row r="142" customFormat="false" ht="13.5" hidden="false" customHeight="false" outlineLevel="0" collapsed="false">
      <c r="A142" s="0" t="s">
        <v>94</v>
      </c>
      <c r="B142" s="1" t="n">
        <v>44002</v>
      </c>
      <c r="C142" s="0" t="e">
        <f aca="false">sheet1!ats143</f>
        <v>#NAME?</v>
      </c>
      <c r="D142" s="0" t="e">
        <f aca="false">sheet1!att143</f>
        <v>#NAME?</v>
      </c>
      <c r="E142" s="0" t="e">
        <f aca="false">sheet1!atu143</f>
        <v>#NAME?</v>
      </c>
      <c r="F142" s="0" t="e">
        <f aca="false">sheet1!atv143</f>
        <v>#NAME?</v>
      </c>
      <c r="G142" s="0" t="e">
        <f aca="false">sheet1!atw143</f>
        <v>#NAME?</v>
      </c>
      <c r="H142" s="0" t="e">
        <f aca="false">sheet1!atx143</f>
        <v>#NAME?</v>
      </c>
      <c r="I142" s="0" t="e">
        <f aca="false">sheet1!aty143</f>
        <v>#NAME?</v>
      </c>
      <c r="J142" s="0" t="e">
        <f aca="false">sheet1!atz143</f>
        <v>#NAME?</v>
      </c>
      <c r="K142" s="0" t="e">
        <f aca="false">sheet1!aua143</f>
        <v>#NAME?</v>
      </c>
      <c r="L142" s="0" t="e">
        <f aca="false">sheet1!aub143</f>
        <v>#NAME?</v>
      </c>
      <c r="M142" s="0" t="e">
        <f aca="false">sheet1!auc143</f>
        <v>#NAME?</v>
      </c>
    </row>
    <row r="143" customFormat="false" ht="13.5" hidden="false" customHeight="false" outlineLevel="0" collapsed="false">
      <c r="A143" s="0" t="s">
        <v>94</v>
      </c>
      <c r="B143" s="1" t="n">
        <v>44003</v>
      </c>
      <c r="C143" s="0" t="e">
        <f aca="false">sheet1!ats144</f>
        <v>#NAME?</v>
      </c>
      <c r="D143" s="0" t="e">
        <f aca="false">sheet1!att144</f>
        <v>#NAME?</v>
      </c>
      <c r="E143" s="0" t="e">
        <f aca="false">sheet1!atu144</f>
        <v>#NAME?</v>
      </c>
      <c r="F143" s="0" t="e">
        <f aca="false">sheet1!atv144</f>
        <v>#NAME?</v>
      </c>
      <c r="G143" s="0" t="e">
        <f aca="false">sheet1!atw144</f>
        <v>#NAME?</v>
      </c>
      <c r="H143" s="0" t="e">
        <f aca="false">sheet1!atx144</f>
        <v>#NAME?</v>
      </c>
      <c r="I143" s="0" t="e">
        <f aca="false">sheet1!aty144</f>
        <v>#NAME?</v>
      </c>
      <c r="J143" s="0" t="e">
        <f aca="false">sheet1!atz144</f>
        <v>#NAME?</v>
      </c>
      <c r="K143" s="0" t="e">
        <f aca="false">sheet1!aua144</f>
        <v>#NAME?</v>
      </c>
      <c r="L143" s="0" t="e">
        <f aca="false">sheet1!aub144</f>
        <v>#NAME?</v>
      </c>
      <c r="M143" s="0" t="e">
        <f aca="false">sheet1!auc144</f>
        <v>#NAME?</v>
      </c>
    </row>
    <row r="144" customFormat="false" ht="13.5" hidden="false" customHeight="false" outlineLevel="0" collapsed="false">
      <c r="A144" s="0" t="s">
        <v>94</v>
      </c>
      <c r="B144" s="1" t="n">
        <v>44004</v>
      </c>
      <c r="C144" s="0" t="e">
        <f aca="false">sheet1!ats145</f>
        <v>#NAME?</v>
      </c>
      <c r="D144" s="0" t="e">
        <f aca="false">sheet1!att145</f>
        <v>#NAME?</v>
      </c>
      <c r="E144" s="0" t="e">
        <f aca="false">sheet1!atu145</f>
        <v>#NAME?</v>
      </c>
      <c r="F144" s="0" t="e">
        <f aca="false">sheet1!atv145</f>
        <v>#NAME?</v>
      </c>
      <c r="G144" s="0" t="e">
        <f aca="false">sheet1!atw145</f>
        <v>#NAME?</v>
      </c>
      <c r="H144" s="0" t="e">
        <f aca="false">sheet1!atx145</f>
        <v>#NAME?</v>
      </c>
      <c r="I144" s="0" t="e">
        <f aca="false">sheet1!aty145</f>
        <v>#NAME?</v>
      </c>
      <c r="J144" s="0" t="e">
        <f aca="false">sheet1!atz145</f>
        <v>#NAME?</v>
      </c>
      <c r="K144" s="0" t="e">
        <f aca="false">sheet1!aua145</f>
        <v>#NAME?</v>
      </c>
      <c r="L144" s="0" t="e">
        <f aca="false">sheet1!aub145</f>
        <v>#NAME?</v>
      </c>
      <c r="M144" s="0" t="e">
        <f aca="false">sheet1!auc145</f>
        <v>#NAME?</v>
      </c>
    </row>
    <row r="145" customFormat="false" ht="13.5" hidden="false" customHeight="false" outlineLevel="0" collapsed="false">
      <c r="A145" s="0" t="s">
        <v>94</v>
      </c>
      <c r="B145" s="1" t="n">
        <v>44005</v>
      </c>
      <c r="C145" s="0" t="e">
        <f aca="false">sheet1!ats146</f>
        <v>#NAME?</v>
      </c>
      <c r="D145" s="0" t="e">
        <f aca="false">sheet1!att146</f>
        <v>#NAME?</v>
      </c>
      <c r="E145" s="0" t="e">
        <f aca="false">sheet1!atu146</f>
        <v>#NAME?</v>
      </c>
      <c r="F145" s="0" t="e">
        <f aca="false">sheet1!atv146</f>
        <v>#NAME?</v>
      </c>
      <c r="G145" s="0" t="e">
        <f aca="false">sheet1!atw146</f>
        <v>#NAME?</v>
      </c>
      <c r="H145" s="0" t="e">
        <f aca="false">sheet1!atx146</f>
        <v>#NAME?</v>
      </c>
      <c r="I145" s="0" t="e">
        <f aca="false">sheet1!aty146</f>
        <v>#NAME?</v>
      </c>
      <c r="J145" s="0" t="e">
        <f aca="false">sheet1!atz146</f>
        <v>#NAME?</v>
      </c>
      <c r="K145" s="0" t="e">
        <f aca="false">sheet1!aua146</f>
        <v>#NAME?</v>
      </c>
      <c r="L145" s="0" t="e">
        <f aca="false">sheet1!aub146</f>
        <v>#NAME?</v>
      </c>
      <c r="M145" s="0" t="e">
        <f aca="false">sheet1!auc146</f>
        <v>#NAME?</v>
      </c>
    </row>
    <row r="146" customFormat="false" ht="13.5" hidden="false" customHeight="false" outlineLevel="0" collapsed="false">
      <c r="A146" s="0" t="s">
        <v>94</v>
      </c>
      <c r="B146" s="1" t="n">
        <v>44006</v>
      </c>
      <c r="C146" s="0" t="e">
        <f aca="false">sheet1!ats147</f>
        <v>#NAME?</v>
      </c>
      <c r="D146" s="0" t="e">
        <f aca="false">sheet1!att147</f>
        <v>#NAME?</v>
      </c>
      <c r="E146" s="0" t="e">
        <f aca="false">sheet1!atu147</f>
        <v>#NAME?</v>
      </c>
      <c r="F146" s="0" t="e">
        <f aca="false">sheet1!atv147</f>
        <v>#NAME?</v>
      </c>
      <c r="G146" s="0" t="e">
        <f aca="false">sheet1!atw147</f>
        <v>#NAME?</v>
      </c>
      <c r="H146" s="0" t="e">
        <f aca="false">sheet1!atx147</f>
        <v>#NAME?</v>
      </c>
      <c r="I146" s="0" t="e">
        <f aca="false">sheet1!aty147</f>
        <v>#NAME?</v>
      </c>
      <c r="J146" s="0" t="e">
        <f aca="false">sheet1!atz147</f>
        <v>#NAME?</v>
      </c>
      <c r="K146" s="0" t="e">
        <f aca="false">sheet1!aua147</f>
        <v>#NAME?</v>
      </c>
      <c r="L146" s="0" t="e">
        <f aca="false">sheet1!aub147</f>
        <v>#NAME?</v>
      </c>
      <c r="M146" s="0" t="e">
        <f aca="false">sheet1!auc147</f>
        <v>#NAME?</v>
      </c>
    </row>
    <row r="147" customFormat="false" ht="13.5" hidden="false" customHeight="false" outlineLevel="0" collapsed="false">
      <c r="A147" s="0" t="s">
        <v>94</v>
      </c>
      <c r="B147" s="1" t="n">
        <v>44007</v>
      </c>
      <c r="C147" s="0" t="e">
        <f aca="false">sheet1!ats148</f>
        <v>#NAME?</v>
      </c>
      <c r="D147" s="0" t="e">
        <f aca="false">sheet1!att148</f>
        <v>#NAME?</v>
      </c>
      <c r="E147" s="0" t="e">
        <f aca="false">sheet1!atu148</f>
        <v>#NAME?</v>
      </c>
      <c r="F147" s="0" t="e">
        <f aca="false">sheet1!atv148</f>
        <v>#NAME?</v>
      </c>
      <c r="G147" s="0" t="e">
        <f aca="false">sheet1!atw148</f>
        <v>#NAME?</v>
      </c>
      <c r="H147" s="0" t="e">
        <f aca="false">sheet1!atx148</f>
        <v>#NAME?</v>
      </c>
      <c r="I147" s="0" t="e">
        <f aca="false">sheet1!aty148</f>
        <v>#NAME?</v>
      </c>
      <c r="J147" s="0" t="e">
        <f aca="false">sheet1!atz148</f>
        <v>#NAME?</v>
      </c>
      <c r="K147" s="0" t="e">
        <f aca="false">sheet1!aua148</f>
        <v>#NAME?</v>
      </c>
      <c r="L147" s="0" t="e">
        <f aca="false">sheet1!aub148</f>
        <v>#NAME?</v>
      </c>
      <c r="M147" s="0" t="e">
        <f aca="false">sheet1!auc148</f>
        <v>#NAME?</v>
      </c>
    </row>
    <row r="148" customFormat="false" ht="13.5" hidden="false" customHeight="false" outlineLevel="0" collapsed="false">
      <c r="A148" s="0" t="s">
        <v>94</v>
      </c>
      <c r="B148" s="1" t="n">
        <v>44008</v>
      </c>
      <c r="C148" s="0" t="e">
        <f aca="false">sheet1!ats149</f>
        <v>#NAME?</v>
      </c>
      <c r="D148" s="0" t="e">
        <f aca="false">sheet1!att149</f>
        <v>#NAME?</v>
      </c>
      <c r="E148" s="0" t="e">
        <f aca="false">sheet1!atu149</f>
        <v>#NAME?</v>
      </c>
      <c r="F148" s="0" t="e">
        <f aca="false">sheet1!atv149</f>
        <v>#NAME?</v>
      </c>
      <c r="G148" s="0" t="e">
        <f aca="false">sheet1!atw149</f>
        <v>#NAME?</v>
      </c>
      <c r="H148" s="0" t="e">
        <f aca="false">sheet1!atx149</f>
        <v>#NAME?</v>
      </c>
      <c r="I148" s="0" t="e">
        <f aca="false">sheet1!aty149</f>
        <v>#NAME?</v>
      </c>
      <c r="J148" s="0" t="e">
        <f aca="false">sheet1!atz149</f>
        <v>#NAME?</v>
      </c>
      <c r="K148" s="0" t="e">
        <f aca="false">sheet1!aua149</f>
        <v>#NAME?</v>
      </c>
      <c r="L148" s="0" t="e">
        <f aca="false">sheet1!aub149</f>
        <v>#NAME?</v>
      </c>
      <c r="M148" s="0" t="e">
        <f aca="false">sheet1!auc149</f>
        <v>#NAME?</v>
      </c>
    </row>
    <row r="149" customFormat="false" ht="13.5" hidden="false" customHeight="false" outlineLevel="0" collapsed="false">
      <c r="A149" s="0" t="s">
        <v>94</v>
      </c>
      <c r="B149" s="1" t="n">
        <v>44009</v>
      </c>
      <c r="C149" s="0" t="e">
        <f aca="false">sheet1!ats150</f>
        <v>#NAME?</v>
      </c>
      <c r="D149" s="0" t="e">
        <f aca="false">sheet1!att150</f>
        <v>#NAME?</v>
      </c>
      <c r="E149" s="0" t="e">
        <f aca="false">sheet1!atu150</f>
        <v>#NAME?</v>
      </c>
      <c r="F149" s="0" t="e">
        <f aca="false">sheet1!atv150</f>
        <v>#NAME?</v>
      </c>
      <c r="G149" s="0" t="e">
        <f aca="false">sheet1!atw150</f>
        <v>#NAME?</v>
      </c>
      <c r="H149" s="0" t="e">
        <f aca="false">sheet1!atx150</f>
        <v>#NAME?</v>
      </c>
      <c r="I149" s="0" t="e">
        <f aca="false">sheet1!aty150</f>
        <v>#NAME?</v>
      </c>
      <c r="J149" s="0" t="e">
        <f aca="false">sheet1!atz150</f>
        <v>#NAME?</v>
      </c>
      <c r="K149" s="0" t="e">
        <f aca="false">sheet1!aua150</f>
        <v>#NAME?</v>
      </c>
      <c r="L149" s="0" t="e">
        <f aca="false">sheet1!aub150</f>
        <v>#NAME?</v>
      </c>
      <c r="M149" s="0" t="e">
        <f aca="false">sheet1!auc150</f>
        <v>#NAME?</v>
      </c>
    </row>
    <row r="150" customFormat="false" ht="13.5" hidden="false" customHeight="false" outlineLevel="0" collapsed="false">
      <c r="A150" s="0" t="s">
        <v>94</v>
      </c>
      <c r="B150" s="1" t="n">
        <v>44010</v>
      </c>
      <c r="C150" s="0" t="e">
        <f aca="false">sheet1!ats151</f>
        <v>#NAME?</v>
      </c>
      <c r="D150" s="0" t="e">
        <f aca="false">sheet1!att151</f>
        <v>#NAME?</v>
      </c>
      <c r="E150" s="0" t="e">
        <f aca="false">sheet1!atu151</f>
        <v>#NAME?</v>
      </c>
      <c r="F150" s="0" t="e">
        <f aca="false">sheet1!atv151</f>
        <v>#NAME?</v>
      </c>
      <c r="G150" s="0" t="e">
        <f aca="false">sheet1!atw151</f>
        <v>#NAME?</v>
      </c>
      <c r="H150" s="0" t="e">
        <f aca="false">sheet1!atx151</f>
        <v>#NAME?</v>
      </c>
      <c r="I150" s="0" t="e">
        <f aca="false">sheet1!aty151</f>
        <v>#NAME?</v>
      </c>
      <c r="J150" s="0" t="e">
        <f aca="false">sheet1!atz151</f>
        <v>#NAME?</v>
      </c>
      <c r="K150" s="0" t="e">
        <f aca="false">sheet1!aua151</f>
        <v>#NAME?</v>
      </c>
      <c r="L150" s="0" t="e">
        <f aca="false">sheet1!aub151</f>
        <v>#NAME?</v>
      </c>
      <c r="M150" s="0" t="e">
        <f aca="false">sheet1!auc151</f>
        <v>#NAME?</v>
      </c>
    </row>
    <row r="151" customFormat="false" ht="13.5" hidden="false" customHeight="false" outlineLevel="0" collapsed="false">
      <c r="A151" s="0" t="s">
        <v>94</v>
      </c>
      <c r="B151" s="1" t="n">
        <v>44011</v>
      </c>
      <c r="C151" s="0" t="e">
        <f aca="false">sheet1!ats152</f>
        <v>#NAME?</v>
      </c>
      <c r="D151" s="0" t="e">
        <f aca="false">sheet1!att152</f>
        <v>#NAME?</v>
      </c>
      <c r="E151" s="0" t="e">
        <f aca="false">sheet1!atu152</f>
        <v>#NAME?</v>
      </c>
      <c r="F151" s="0" t="e">
        <f aca="false">sheet1!atv152</f>
        <v>#NAME?</v>
      </c>
      <c r="G151" s="0" t="e">
        <f aca="false">sheet1!atw152</f>
        <v>#NAME?</v>
      </c>
      <c r="H151" s="0" t="e">
        <f aca="false">sheet1!atx152</f>
        <v>#NAME?</v>
      </c>
      <c r="I151" s="0" t="e">
        <f aca="false">sheet1!aty152</f>
        <v>#NAME?</v>
      </c>
      <c r="J151" s="0" t="e">
        <f aca="false">sheet1!atz152</f>
        <v>#NAME?</v>
      </c>
      <c r="K151" s="0" t="e">
        <f aca="false">sheet1!aua152</f>
        <v>#NAME?</v>
      </c>
      <c r="L151" s="0" t="e">
        <f aca="false">sheet1!aub152</f>
        <v>#NAME?</v>
      </c>
      <c r="M151" s="0" t="e">
        <f aca="false">sheet1!auc152</f>
        <v>#NAME?</v>
      </c>
    </row>
    <row r="152" customFormat="false" ht="13.5" hidden="false" customHeight="false" outlineLevel="0" collapsed="false">
      <c r="A152" s="0" t="s">
        <v>94</v>
      </c>
      <c r="B152" s="1" t="n">
        <v>44012</v>
      </c>
      <c r="C152" s="0" t="e">
        <f aca="false">sheet1!ats153</f>
        <v>#NAME?</v>
      </c>
      <c r="D152" s="0" t="e">
        <f aca="false">sheet1!att153</f>
        <v>#NAME?</v>
      </c>
      <c r="E152" s="0" t="e">
        <f aca="false">sheet1!atu153</f>
        <v>#NAME?</v>
      </c>
      <c r="F152" s="0" t="e">
        <f aca="false">sheet1!atv153</f>
        <v>#NAME?</v>
      </c>
      <c r="G152" s="0" t="e">
        <f aca="false">sheet1!atw153</f>
        <v>#NAME?</v>
      </c>
      <c r="H152" s="0" t="e">
        <f aca="false">sheet1!atx153</f>
        <v>#NAME?</v>
      </c>
      <c r="I152" s="0" t="e">
        <f aca="false">sheet1!aty153</f>
        <v>#NAME?</v>
      </c>
      <c r="J152" s="0" t="e">
        <f aca="false">sheet1!atz153</f>
        <v>#NAME?</v>
      </c>
      <c r="K152" s="0" t="e">
        <f aca="false">sheet1!aua153</f>
        <v>#NAME?</v>
      </c>
      <c r="L152" s="0" t="e">
        <f aca="false">sheet1!aub153</f>
        <v>#NAME?</v>
      </c>
      <c r="M152" s="0" t="e">
        <f aca="false">sheet1!auc153</f>
        <v>#NAME?</v>
      </c>
    </row>
    <row r="153" customFormat="false" ht="13.5" hidden="false" customHeight="false" outlineLevel="0" collapsed="false">
      <c r="A153" s="0" t="s">
        <v>94</v>
      </c>
      <c r="B153" s="1" t="n">
        <v>44013</v>
      </c>
      <c r="C153" s="0" t="e">
        <f aca="false">sheet1!ats154</f>
        <v>#NAME?</v>
      </c>
      <c r="D153" s="0" t="e">
        <f aca="false">sheet1!att154</f>
        <v>#NAME?</v>
      </c>
      <c r="E153" s="0" t="e">
        <f aca="false">sheet1!atu154</f>
        <v>#NAME?</v>
      </c>
      <c r="F153" s="0" t="e">
        <f aca="false">sheet1!atv154</f>
        <v>#NAME?</v>
      </c>
      <c r="G153" s="0" t="e">
        <f aca="false">sheet1!atw154</f>
        <v>#NAME?</v>
      </c>
      <c r="H153" s="0" t="e">
        <f aca="false">sheet1!atx154</f>
        <v>#NAME?</v>
      </c>
      <c r="I153" s="0" t="e">
        <f aca="false">sheet1!aty154</f>
        <v>#NAME?</v>
      </c>
      <c r="J153" s="0" t="e">
        <f aca="false">sheet1!atz154</f>
        <v>#NAME?</v>
      </c>
      <c r="K153" s="0" t="e">
        <f aca="false">sheet1!aua154</f>
        <v>#NAME?</v>
      </c>
      <c r="L153" s="0" t="e">
        <f aca="false">sheet1!aub154</f>
        <v>#NAME?</v>
      </c>
      <c r="M153" s="0" t="e">
        <f aca="false">sheet1!auc154</f>
        <v>#NAME?</v>
      </c>
    </row>
    <row r="154" customFormat="false" ht="13.5" hidden="false" customHeight="false" outlineLevel="0" collapsed="false">
      <c r="A154" s="0" t="s">
        <v>94</v>
      </c>
      <c r="B154" s="1" t="n">
        <v>44014</v>
      </c>
      <c r="C154" s="0" t="e">
        <f aca="false">sheet1!ats155</f>
        <v>#NAME?</v>
      </c>
      <c r="D154" s="0" t="e">
        <f aca="false">sheet1!att155</f>
        <v>#NAME?</v>
      </c>
      <c r="E154" s="0" t="e">
        <f aca="false">sheet1!atu155</f>
        <v>#NAME?</v>
      </c>
      <c r="F154" s="0" t="e">
        <f aca="false">sheet1!atv155</f>
        <v>#NAME?</v>
      </c>
      <c r="G154" s="0" t="e">
        <f aca="false">sheet1!atw155</f>
        <v>#NAME?</v>
      </c>
      <c r="H154" s="0" t="e">
        <f aca="false">sheet1!atx155</f>
        <v>#NAME?</v>
      </c>
      <c r="I154" s="0" t="e">
        <f aca="false">sheet1!aty155</f>
        <v>#NAME?</v>
      </c>
      <c r="J154" s="0" t="e">
        <f aca="false">sheet1!atz155</f>
        <v>#NAME?</v>
      </c>
      <c r="K154" s="0" t="e">
        <f aca="false">sheet1!aua155</f>
        <v>#NAME?</v>
      </c>
      <c r="L154" s="0" t="e">
        <f aca="false">sheet1!aub155</f>
        <v>#NAME?</v>
      </c>
      <c r="M154" s="0" t="e">
        <f aca="false">sheet1!auc155</f>
        <v>#NAME?</v>
      </c>
    </row>
    <row r="155" customFormat="false" ht="13.5" hidden="false" customHeight="false" outlineLevel="0" collapsed="false">
      <c r="A155" s="0" t="s">
        <v>94</v>
      </c>
      <c r="B155" s="1" t="n">
        <v>44015</v>
      </c>
      <c r="C155" s="0" t="e">
        <f aca="false">sheet1!ats156</f>
        <v>#NAME?</v>
      </c>
      <c r="D155" s="0" t="e">
        <f aca="false">sheet1!att156</f>
        <v>#NAME?</v>
      </c>
      <c r="E155" s="0" t="e">
        <f aca="false">sheet1!atu156</f>
        <v>#NAME?</v>
      </c>
      <c r="F155" s="0" t="e">
        <f aca="false">sheet1!atv156</f>
        <v>#NAME?</v>
      </c>
      <c r="G155" s="0" t="e">
        <f aca="false">sheet1!atw156</f>
        <v>#NAME?</v>
      </c>
      <c r="H155" s="0" t="e">
        <f aca="false">sheet1!atx156</f>
        <v>#NAME?</v>
      </c>
      <c r="I155" s="0" t="e">
        <f aca="false">sheet1!aty156</f>
        <v>#NAME?</v>
      </c>
      <c r="J155" s="0" t="e">
        <f aca="false">sheet1!atz156</f>
        <v>#NAME?</v>
      </c>
      <c r="K155" s="0" t="e">
        <f aca="false">sheet1!aua156</f>
        <v>#NAME?</v>
      </c>
      <c r="L155" s="0" t="e">
        <f aca="false">sheet1!aub156</f>
        <v>#NAME?</v>
      </c>
      <c r="M155" s="0" t="e">
        <f aca="false">sheet1!auc156</f>
        <v>#NAME?</v>
      </c>
    </row>
    <row r="156" customFormat="false" ht="13.5" hidden="false" customHeight="false" outlineLevel="0" collapsed="false">
      <c r="A156" s="0" t="s">
        <v>94</v>
      </c>
      <c r="B156" s="1" t="n">
        <v>44016</v>
      </c>
      <c r="C156" s="0" t="e">
        <f aca="false">sheet1!ats157</f>
        <v>#NAME?</v>
      </c>
      <c r="D156" s="0" t="e">
        <f aca="false">sheet1!att157</f>
        <v>#NAME?</v>
      </c>
      <c r="E156" s="0" t="e">
        <f aca="false">sheet1!atu157</f>
        <v>#NAME?</v>
      </c>
      <c r="F156" s="0" t="e">
        <f aca="false">sheet1!atv157</f>
        <v>#NAME?</v>
      </c>
      <c r="G156" s="0" t="e">
        <f aca="false">sheet1!atw157</f>
        <v>#NAME?</v>
      </c>
      <c r="H156" s="0" t="e">
        <f aca="false">sheet1!atx157</f>
        <v>#NAME?</v>
      </c>
      <c r="I156" s="0" t="e">
        <f aca="false">sheet1!aty157</f>
        <v>#NAME?</v>
      </c>
      <c r="J156" s="0" t="e">
        <f aca="false">sheet1!atz157</f>
        <v>#NAME?</v>
      </c>
      <c r="K156" s="0" t="e">
        <f aca="false">sheet1!aua157</f>
        <v>#NAME?</v>
      </c>
      <c r="L156" s="0" t="e">
        <f aca="false">sheet1!aub157</f>
        <v>#NAME?</v>
      </c>
      <c r="M156" s="0" t="e">
        <f aca="false">sheet1!auc157</f>
        <v>#NAME?</v>
      </c>
    </row>
    <row r="157" customFormat="false" ht="13.5" hidden="false" customHeight="false" outlineLevel="0" collapsed="false">
      <c r="A157" s="0" t="s">
        <v>94</v>
      </c>
      <c r="B157" s="1" t="n">
        <v>44017</v>
      </c>
      <c r="C157" s="0" t="e">
        <f aca="false">sheet1!ats158</f>
        <v>#NAME?</v>
      </c>
      <c r="D157" s="0" t="e">
        <f aca="false">sheet1!att158</f>
        <v>#NAME?</v>
      </c>
      <c r="E157" s="0" t="e">
        <f aca="false">sheet1!atu158</f>
        <v>#NAME?</v>
      </c>
      <c r="F157" s="0" t="e">
        <f aca="false">sheet1!atv158</f>
        <v>#NAME?</v>
      </c>
      <c r="G157" s="0" t="e">
        <f aca="false">sheet1!atw158</f>
        <v>#NAME?</v>
      </c>
      <c r="H157" s="0" t="e">
        <f aca="false">sheet1!atx158</f>
        <v>#NAME?</v>
      </c>
      <c r="I157" s="0" t="e">
        <f aca="false">sheet1!aty158</f>
        <v>#NAME?</v>
      </c>
      <c r="J157" s="0" t="e">
        <f aca="false">sheet1!atz158</f>
        <v>#NAME?</v>
      </c>
      <c r="K157" s="0" t="e">
        <f aca="false">sheet1!aua158</f>
        <v>#NAME?</v>
      </c>
      <c r="L157" s="0" t="e">
        <f aca="false">sheet1!aub158</f>
        <v>#NAME?</v>
      </c>
      <c r="M157" s="0" t="e">
        <f aca="false">sheet1!auc158</f>
        <v>#NAME?</v>
      </c>
    </row>
    <row r="158" customFormat="false" ht="13.5" hidden="false" customHeight="false" outlineLevel="0" collapsed="false">
      <c r="A158" s="0" t="s">
        <v>94</v>
      </c>
      <c r="B158" s="1" t="n">
        <v>44018</v>
      </c>
      <c r="C158" s="0" t="e">
        <f aca="false">sheet1!ats159</f>
        <v>#NAME?</v>
      </c>
      <c r="D158" s="0" t="e">
        <f aca="false">sheet1!att159</f>
        <v>#NAME?</v>
      </c>
      <c r="E158" s="0" t="e">
        <f aca="false">sheet1!atu159</f>
        <v>#NAME?</v>
      </c>
      <c r="F158" s="0" t="e">
        <f aca="false">sheet1!atv159</f>
        <v>#NAME?</v>
      </c>
      <c r="G158" s="0" t="e">
        <f aca="false">sheet1!atw159</f>
        <v>#NAME?</v>
      </c>
      <c r="H158" s="0" t="e">
        <f aca="false">sheet1!atx159</f>
        <v>#NAME?</v>
      </c>
      <c r="I158" s="0" t="e">
        <f aca="false">sheet1!aty159</f>
        <v>#NAME?</v>
      </c>
      <c r="J158" s="0" t="e">
        <f aca="false">sheet1!atz159</f>
        <v>#NAME?</v>
      </c>
      <c r="K158" s="0" t="e">
        <f aca="false">sheet1!aua159</f>
        <v>#NAME?</v>
      </c>
      <c r="L158" s="0" t="e">
        <f aca="false">sheet1!aub159</f>
        <v>#NAME?</v>
      </c>
      <c r="M158" s="0" t="e">
        <f aca="false">sheet1!auc159</f>
        <v>#NAME?</v>
      </c>
    </row>
    <row r="159" customFormat="false" ht="13.5" hidden="false" customHeight="false" outlineLevel="0" collapsed="false">
      <c r="A159" s="0" t="s">
        <v>94</v>
      </c>
      <c r="B159" s="1" t="n">
        <v>44019</v>
      </c>
      <c r="C159" s="0" t="e">
        <f aca="false">sheet1!ats160</f>
        <v>#NAME?</v>
      </c>
      <c r="D159" s="0" t="e">
        <f aca="false">sheet1!att160</f>
        <v>#NAME?</v>
      </c>
      <c r="E159" s="0" t="e">
        <f aca="false">sheet1!atu160</f>
        <v>#NAME?</v>
      </c>
      <c r="F159" s="0" t="e">
        <f aca="false">sheet1!atv160</f>
        <v>#NAME?</v>
      </c>
      <c r="G159" s="0" t="e">
        <f aca="false">sheet1!atw160</f>
        <v>#NAME?</v>
      </c>
      <c r="H159" s="0" t="e">
        <f aca="false">sheet1!atx160</f>
        <v>#NAME?</v>
      </c>
      <c r="I159" s="0" t="e">
        <f aca="false">sheet1!aty160</f>
        <v>#NAME?</v>
      </c>
      <c r="J159" s="0" t="e">
        <f aca="false">sheet1!atz160</f>
        <v>#NAME?</v>
      </c>
      <c r="K159" s="0" t="e">
        <f aca="false">sheet1!aua160</f>
        <v>#NAME?</v>
      </c>
      <c r="L159" s="0" t="e">
        <f aca="false">sheet1!aub160</f>
        <v>#NAME?</v>
      </c>
      <c r="M159" s="0" t="e">
        <f aca="false">sheet1!auc160</f>
        <v>#NAME?</v>
      </c>
    </row>
    <row r="160" customFormat="false" ht="13.5" hidden="false" customHeight="false" outlineLevel="0" collapsed="false">
      <c r="A160" s="0" t="s">
        <v>94</v>
      </c>
      <c r="B160" s="1" t="n">
        <v>44020</v>
      </c>
      <c r="C160" s="0" t="e">
        <f aca="false">sheet1!ats161</f>
        <v>#NAME?</v>
      </c>
      <c r="D160" s="0" t="e">
        <f aca="false">sheet1!att161</f>
        <v>#NAME?</v>
      </c>
      <c r="E160" s="0" t="e">
        <f aca="false">sheet1!atu161</f>
        <v>#NAME?</v>
      </c>
      <c r="F160" s="0" t="e">
        <f aca="false">sheet1!atv161</f>
        <v>#NAME?</v>
      </c>
      <c r="G160" s="0" t="e">
        <f aca="false">sheet1!atw161</f>
        <v>#NAME?</v>
      </c>
      <c r="H160" s="0" t="e">
        <f aca="false">sheet1!atx161</f>
        <v>#NAME?</v>
      </c>
      <c r="I160" s="0" t="e">
        <f aca="false">sheet1!aty161</f>
        <v>#NAME?</v>
      </c>
      <c r="J160" s="0" t="e">
        <f aca="false">sheet1!atz161</f>
        <v>#NAME?</v>
      </c>
      <c r="K160" s="0" t="e">
        <f aca="false">sheet1!aua161</f>
        <v>#NAME?</v>
      </c>
      <c r="L160" s="0" t="e">
        <f aca="false">sheet1!aub161</f>
        <v>#NAME?</v>
      </c>
      <c r="M160" s="0" t="e">
        <f aca="false">sheet1!auc161</f>
        <v>#NAME?</v>
      </c>
    </row>
    <row r="161" customFormat="false" ht="13.5" hidden="false" customHeight="false" outlineLevel="0" collapsed="false">
      <c r="A161" s="0" t="s">
        <v>94</v>
      </c>
      <c r="B161" s="1" t="n">
        <v>44021</v>
      </c>
      <c r="C161" s="0" t="e">
        <f aca="false">sheet1!ats162</f>
        <v>#NAME?</v>
      </c>
      <c r="D161" s="0" t="e">
        <f aca="false">sheet1!att162</f>
        <v>#NAME?</v>
      </c>
      <c r="E161" s="0" t="e">
        <f aca="false">sheet1!atu162</f>
        <v>#NAME?</v>
      </c>
      <c r="F161" s="0" t="e">
        <f aca="false">sheet1!atv162</f>
        <v>#NAME?</v>
      </c>
      <c r="G161" s="0" t="e">
        <f aca="false">sheet1!atw162</f>
        <v>#NAME?</v>
      </c>
      <c r="H161" s="0" t="e">
        <f aca="false">sheet1!atx162</f>
        <v>#NAME?</v>
      </c>
      <c r="I161" s="0" t="e">
        <f aca="false">sheet1!aty162</f>
        <v>#NAME?</v>
      </c>
      <c r="J161" s="0" t="e">
        <f aca="false">sheet1!atz162</f>
        <v>#NAME?</v>
      </c>
      <c r="K161" s="0" t="e">
        <f aca="false">sheet1!aua162</f>
        <v>#NAME?</v>
      </c>
      <c r="L161" s="0" t="e">
        <f aca="false">sheet1!aub162</f>
        <v>#NAME?</v>
      </c>
      <c r="M161" s="0" t="e">
        <f aca="false">sheet1!auc162</f>
        <v>#NAME?</v>
      </c>
    </row>
    <row r="162" customFormat="false" ht="13.5" hidden="false" customHeight="false" outlineLevel="0" collapsed="false">
      <c r="A162" s="0" t="s">
        <v>94</v>
      </c>
      <c r="B162" s="1" t="n">
        <v>44022</v>
      </c>
      <c r="C162" s="0" t="e">
        <f aca="false">sheet1!ats163</f>
        <v>#NAME?</v>
      </c>
      <c r="D162" s="0" t="e">
        <f aca="false">sheet1!att163</f>
        <v>#NAME?</v>
      </c>
      <c r="E162" s="0" t="e">
        <f aca="false">sheet1!atu163</f>
        <v>#NAME?</v>
      </c>
      <c r="F162" s="0" t="e">
        <f aca="false">sheet1!atv163</f>
        <v>#NAME?</v>
      </c>
      <c r="G162" s="0" t="e">
        <f aca="false">sheet1!atw163</f>
        <v>#NAME?</v>
      </c>
      <c r="H162" s="0" t="e">
        <f aca="false">sheet1!atx163</f>
        <v>#NAME?</v>
      </c>
      <c r="I162" s="0" t="e">
        <f aca="false">sheet1!aty163</f>
        <v>#NAME?</v>
      </c>
      <c r="J162" s="0" t="e">
        <f aca="false">sheet1!atz163</f>
        <v>#NAME?</v>
      </c>
      <c r="K162" s="0" t="e">
        <f aca="false">sheet1!aua163</f>
        <v>#NAME?</v>
      </c>
      <c r="L162" s="0" t="e">
        <f aca="false">sheet1!aub163</f>
        <v>#NAME?</v>
      </c>
      <c r="M162" s="0" t="e">
        <f aca="false">sheet1!auc163</f>
        <v>#NAME?</v>
      </c>
    </row>
    <row r="163" customFormat="false" ht="13.5" hidden="false" customHeight="false" outlineLevel="0" collapsed="false">
      <c r="A163" s="0" t="s">
        <v>94</v>
      </c>
      <c r="B163" s="1" t="n">
        <v>44023</v>
      </c>
      <c r="C163" s="0" t="e">
        <f aca="false">sheet1!ats164</f>
        <v>#NAME?</v>
      </c>
      <c r="D163" s="0" t="e">
        <f aca="false">sheet1!att164</f>
        <v>#NAME?</v>
      </c>
      <c r="E163" s="0" t="e">
        <f aca="false">sheet1!atu164</f>
        <v>#NAME?</v>
      </c>
      <c r="F163" s="0" t="e">
        <f aca="false">sheet1!atv164</f>
        <v>#NAME?</v>
      </c>
      <c r="G163" s="0" t="e">
        <f aca="false">sheet1!atw164</f>
        <v>#NAME?</v>
      </c>
      <c r="H163" s="0" t="e">
        <f aca="false">sheet1!atx164</f>
        <v>#NAME?</v>
      </c>
      <c r="I163" s="0" t="e">
        <f aca="false">sheet1!aty164</f>
        <v>#NAME?</v>
      </c>
      <c r="J163" s="0" t="e">
        <f aca="false">sheet1!atz164</f>
        <v>#NAME?</v>
      </c>
      <c r="K163" s="0" t="e">
        <f aca="false">sheet1!aua164</f>
        <v>#NAME?</v>
      </c>
      <c r="L163" s="0" t="e">
        <f aca="false">sheet1!aub164</f>
        <v>#NAME?</v>
      </c>
      <c r="M163" s="0" t="e">
        <f aca="false">sheet1!auc164</f>
        <v>#NAME?</v>
      </c>
    </row>
    <row r="164" customFormat="false" ht="13.5" hidden="false" customHeight="false" outlineLevel="0" collapsed="false">
      <c r="A164" s="0" t="s">
        <v>94</v>
      </c>
      <c r="B164" s="1" t="n">
        <v>44024</v>
      </c>
      <c r="C164" s="0" t="e">
        <f aca="false">sheet1!ats165</f>
        <v>#NAME?</v>
      </c>
      <c r="D164" s="0" t="e">
        <f aca="false">sheet1!att165</f>
        <v>#NAME?</v>
      </c>
      <c r="E164" s="0" t="e">
        <f aca="false">sheet1!atu165</f>
        <v>#NAME?</v>
      </c>
      <c r="F164" s="0" t="e">
        <f aca="false">sheet1!atv165</f>
        <v>#NAME?</v>
      </c>
      <c r="G164" s="0" t="e">
        <f aca="false">sheet1!atw165</f>
        <v>#NAME?</v>
      </c>
      <c r="H164" s="0" t="e">
        <f aca="false">sheet1!atx165</f>
        <v>#NAME?</v>
      </c>
      <c r="I164" s="0" t="e">
        <f aca="false">sheet1!aty165</f>
        <v>#NAME?</v>
      </c>
      <c r="J164" s="0" t="e">
        <f aca="false">sheet1!atz165</f>
        <v>#NAME?</v>
      </c>
      <c r="K164" s="0" t="e">
        <f aca="false">sheet1!aua165</f>
        <v>#NAME?</v>
      </c>
      <c r="L164" s="0" t="e">
        <f aca="false">sheet1!aub165</f>
        <v>#NAME?</v>
      </c>
      <c r="M164" s="0" t="e">
        <f aca="false">sheet1!auc165</f>
        <v>#NAME?</v>
      </c>
    </row>
    <row r="165" customFormat="false" ht="13.5" hidden="false" customHeight="false" outlineLevel="0" collapsed="false">
      <c r="A165" s="0" t="s">
        <v>94</v>
      </c>
      <c r="B165" s="1" t="n">
        <v>44025</v>
      </c>
      <c r="C165" s="0" t="e">
        <f aca="false">sheet1!ats166</f>
        <v>#NAME?</v>
      </c>
      <c r="D165" s="0" t="e">
        <f aca="false">sheet1!att166</f>
        <v>#NAME?</v>
      </c>
      <c r="E165" s="0" t="e">
        <f aca="false">sheet1!atu166</f>
        <v>#NAME?</v>
      </c>
      <c r="F165" s="0" t="e">
        <f aca="false">sheet1!atv166</f>
        <v>#NAME?</v>
      </c>
      <c r="G165" s="0" t="e">
        <f aca="false">sheet1!atw166</f>
        <v>#NAME?</v>
      </c>
      <c r="H165" s="0" t="e">
        <f aca="false">sheet1!atx166</f>
        <v>#NAME?</v>
      </c>
      <c r="I165" s="0" t="e">
        <f aca="false">sheet1!aty166</f>
        <v>#NAME?</v>
      </c>
      <c r="J165" s="0" t="e">
        <f aca="false">sheet1!atz166</f>
        <v>#NAME?</v>
      </c>
      <c r="K165" s="0" t="e">
        <f aca="false">sheet1!aua166</f>
        <v>#NAME?</v>
      </c>
      <c r="L165" s="0" t="e">
        <f aca="false">sheet1!aub166</f>
        <v>#NAME?</v>
      </c>
      <c r="M165" s="0" t="e">
        <f aca="false">sheet1!auc166</f>
        <v>#NAME?</v>
      </c>
    </row>
    <row r="166" customFormat="false" ht="13.5" hidden="false" customHeight="false" outlineLevel="0" collapsed="false">
      <c r="A166" s="0" t="s">
        <v>94</v>
      </c>
      <c r="B166" s="1" t="n">
        <v>44026</v>
      </c>
      <c r="C166" s="0" t="e">
        <f aca="false">sheet1!ats167</f>
        <v>#NAME?</v>
      </c>
      <c r="D166" s="0" t="e">
        <f aca="false">sheet1!att167</f>
        <v>#NAME?</v>
      </c>
      <c r="E166" s="0" t="e">
        <f aca="false">sheet1!atu167</f>
        <v>#NAME?</v>
      </c>
      <c r="F166" s="0" t="e">
        <f aca="false">sheet1!atv167</f>
        <v>#NAME?</v>
      </c>
      <c r="G166" s="0" t="e">
        <f aca="false">sheet1!atw167</f>
        <v>#NAME?</v>
      </c>
      <c r="H166" s="0" t="e">
        <f aca="false">sheet1!atx167</f>
        <v>#NAME?</v>
      </c>
      <c r="I166" s="0" t="e">
        <f aca="false">sheet1!aty167</f>
        <v>#NAME?</v>
      </c>
      <c r="J166" s="0" t="e">
        <f aca="false">sheet1!atz167</f>
        <v>#NAME?</v>
      </c>
      <c r="K166" s="0" t="e">
        <f aca="false">sheet1!aua167</f>
        <v>#NAME?</v>
      </c>
      <c r="L166" s="0" t="e">
        <f aca="false">sheet1!aub167</f>
        <v>#NAME?</v>
      </c>
      <c r="M166" s="0" t="e">
        <f aca="false">sheet1!auc167</f>
        <v>#NAME?</v>
      </c>
    </row>
    <row r="167" customFormat="false" ht="13.5" hidden="false" customHeight="false" outlineLevel="0" collapsed="false">
      <c r="A167" s="0" t="s">
        <v>94</v>
      </c>
      <c r="B167" s="1" t="n">
        <v>44027</v>
      </c>
      <c r="C167" s="0" t="e">
        <f aca="false">sheet1!ats168</f>
        <v>#NAME?</v>
      </c>
      <c r="D167" s="0" t="e">
        <f aca="false">sheet1!att168</f>
        <v>#NAME?</v>
      </c>
      <c r="E167" s="0" t="e">
        <f aca="false">sheet1!atu168</f>
        <v>#NAME?</v>
      </c>
      <c r="F167" s="0" t="e">
        <f aca="false">sheet1!atv168</f>
        <v>#NAME?</v>
      </c>
      <c r="G167" s="0" t="e">
        <f aca="false">sheet1!atw168</f>
        <v>#NAME?</v>
      </c>
      <c r="H167" s="0" t="e">
        <f aca="false">sheet1!atx168</f>
        <v>#NAME?</v>
      </c>
      <c r="I167" s="0" t="e">
        <f aca="false">sheet1!aty168</f>
        <v>#NAME?</v>
      </c>
      <c r="J167" s="0" t="e">
        <f aca="false">sheet1!atz168</f>
        <v>#NAME?</v>
      </c>
      <c r="K167" s="0" t="e">
        <f aca="false">sheet1!aua168</f>
        <v>#NAME?</v>
      </c>
      <c r="L167" s="0" t="e">
        <f aca="false">sheet1!aub168</f>
        <v>#NAME?</v>
      </c>
      <c r="M167" s="0" t="e">
        <f aca="false">sheet1!auc168</f>
        <v>#NAME?</v>
      </c>
    </row>
    <row r="168" customFormat="false" ht="13.5" hidden="false" customHeight="false" outlineLevel="0" collapsed="false">
      <c r="A168" s="0" t="s">
        <v>94</v>
      </c>
      <c r="B168" s="1" t="n">
        <v>44028</v>
      </c>
      <c r="C168" s="0" t="e">
        <f aca="false">sheet1!ats169</f>
        <v>#NAME?</v>
      </c>
      <c r="D168" s="0" t="e">
        <f aca="false">sheet1!att169</f>
        <v>#NAME?</v>
      </c>
      <c r="E168" s="0" t="e">
        <f aca="false">sheet1!atu169</f>
        <v>#NAME?</v>
      </c>
      <c r="F168" s="0" t="e">
        <f aca="false">sheet1!atv169</f>
        <v>#NAME?</v>
      </c>
      <c r="G168" s="0" t="e">
        <f aca="false">sheet1!atw169</f>
        <v>#NAME?</v>
      </c>
      <c r="H168" s="0" t="e">
        <f aca="false">sheet1!atx169</f>
        <v>#NAME?</v>
      </c>
      <c r="I168" s="0" t="e">
        <f aca="false">sheet1!aty169</f>
        <v>#NAME?</v>
      </c>
      <c r="J168" s="0" t="e">
        <f aca="false">sheet1!atz169</f>
        <v>#NAME?</v>
      </c>
      <c r="K168" s="0" t="e">
        <f aca="false">sheet1!aua169</f>
        <v>#NAME?</v>
      </c>
      <c r="L168" s="0" t="e">
        <f aca="false">sheet1!aub169</f>
        <v>#NAME?</v>
      </c>
      <c r="M168" s="0" t="e">
        <f aca="false">sheet1!auc169</f>
        <v>#NAME?</v>
      </c>
    </row>
    <row r="169" customFormat="false" ht="13.5" hidden="false" customHeight="false" outlineLevel="0" collapsed="false">
      <c r="A169" s="0" t="s">
        <v>94</v>
      </c>
      <c r="B169" s="1" t="n">
        <v>44029</v>
      </c>
      <c r="C169" s="0" t="e">
        <f aca="false">sheet1!ats170</f>
        <v>#NAME?</v>
      </c>
      <c r="D169" s="0" t="e">
        <f aca="false">sheet1!att170</f>
        <v>#NAME?</v>
      </c>
      <c r="E169" s="0" t="e">
        <f aca="false">sheet1!atu170</f>
        <v>#NAME?</v>
      </c>
      <c r="F169" s="0" t="e">
        <f aca="false">sheet1!atv170</f>
        <v>#NAME?</v>
      </c>
      <c r="G169" s="0" t="e">
        <f aca="false">sheet1!atw170</f>
        <v>#NAME?</v>
      </c>
      <c r="H169" s="0" t="e">
        <f aca="false">sheet1!atx170</f>
        <v>#NAME?</v>
      </c>
      <c r="I169" s="0" t="e">
        <f aca="false">sheet1!aty170</f>
        <v>#NAME?</v>
      </c>
      <c r="J169" s="0" t="e">
        <f aca="false">sheet1!atz170</f>
        <v>#NAME?</v>
      </c>
      <c r="K169" s="0" t="e">
        <f aca="false">sheet1!aua170</f>
        <v>#NAME?</v>
      </c>
      <c r="L169" s="0" t="e">
        <f aca="false">sheet1!aub170</f>
        <v>#NAME?</v>
      </c>
      <c r="M169" s="0" t="e">
        <f aca="false">sheet1!auc170</f>
        <v>#NAME?</v>
      </c>
    </row>
    <row r="170" customFormat="false" ht="13.5" hidden="false" customHeight="false" outlineLevel="0" collapsed="false">
      <c r="A170" s="0" t="s">
        <v>94</v>
      </c>
      <c r="B170" s="1" t="n">
        <v>44030</v>
      </c>
      <c r="C170" s="0" t="e">
        <f aca="false">sheet1!ats171</f>
        <v>#NAME?</v>
      </c>
      <c r="D170" s="0" t="e">
        <f aca="false">sheet1!att171</f>
        <v>#NAME?</v>
      </c>
      <c r="E170" s="0" t="e">
        <f aca="false">sheet1!atu171</f>
        <v>#NAME?</v>
      </c>
      <c r="F170" s="0" t="e">
        <f aca="false">sheet1!atv171</f>
        <v>#NAME?</v>
      </c>
      <c r="G170" s="0" t="e">
        <f aca="false">sheet1!atw171</f>
        <v>#NAME?</v>
      </c>
      <c r="H170" s="0" t="e">
        <f aca="false">sheet1!atx171</f>
        <v>#NAME?</v>
      </c>
      <c r="I170" s="0" t="e">
        <f aca="false">sheet1!aty171</f>
        <v>#NAME?</v>
      </c>
      <c r="J170" s="0" t="e">
        <f aca="false">sheet1!atz171</f>
        <v>#NAME?</v>
      </c>
      <c r="K170" s="0" t="e">
        <f aca="false">sheet1!aua171</f>
        <v>#NAME?</v>
      </c>
      <c r="L170" s="0" t="e">
        <f aca="false">sheet1!aub171</f>
        <v>#NAME?</v>
      </c>
      <c r="M170" s="0" t="e">
        <f aca="false">sheet1!auc171</f>
        <v>#NAME?</v>
      </c>
    </row>
    <row r="171" customFormat="false" ht="13.5" hidden="false" customHeight="false" outlineLevel="0" collapsed="false">
      <c r="A171" s="0" t="s">
        <v>94</v>
      </c>
      <c r="B171" s="1" t="n">
        <v>44031</v>
      </c>
      <c r="C171" s="0" t="e">
        <f aca="false">sheet1!ats172</f>
        <v>#NAME?</v>
      </c>
      <c r="D171" s="0" t="e">
        <f aca="false">sheet1!att172</f>
        <v>#NAME?</v>
      </c>
      <c r="E171" s="0" t="e">
        <f aca="false">sheet1!atu172</f>
        <v>#NAME?</v>
      </c>
      <c r="F171" s="0" t="e">
        <f aca="false">sheet1!atv172</f>
        <v>#NAME?</v>
      </c>
      <c r="G171" s="0" t="e">
        <f aca="false">sheet1!atw172</f>
        <v>#NAME?</v>
      </c>
      <c r="H171" s="0" t="e">
        <f aca="false">sheet1!atx172</f>
        <v>#NAME?</v>
      </c>
      <c r="I171" s="0" t="e">
        <f aca="false">sheet1!aty172</f>
        <v>#NAME?</v>
      </c>
      <c r="J171" s="0" t="e">
        <f aca="false">sheet1!atz172</f>
        <v>#NAME?</v>
      </c>
      <c r="K171" s="0" t="e">
        <f aca="false">sheet1!aua172</f>
        <v>#NAME?</v>
      </c>
      <c r="L171" s="0" t="e">
        <f aca="false">sheet1!aub172</f>
        <v>#NAME?</v>
      </c>
      <c r="M171" s="0" t="e">
        <f aca="false">sheet1!auc172</f>
        <v>#NAME?</v>
      </c>
    </row>
    <row r="172" customFormat="false" ht="13.5" hidden="false" customHeight="false" outlineLevel="0" collapsed="false">
      <c r="A172" s="0" t="s">
        <v>94</v>
      </c>
      <c r="B172" s="1" t="n">
        <v>44032</v>
      </c>
      <c r="C172" s="0" t="e">
        <f aca="false">sheet1!ats173</f>
        <v>#NAME?</v>
      </c>
      <c r="D172" s="0" t="e">
        <f aca="false">sheet1!att173</f>
        <v>#NAME?</v>
      </c>
      <c r="E172" s="0" t="e">
        <f aca="false">sheet1!atu173</f>
        <v>#NAME?</v>
      </c>
      <c r="F172" s="0" t="e">
        <f aca="false">sheet1!atv173</f>
        <v>#NAME?</v>
      </c>
      <c r="G172" s="0" t="e">
        <f aca="false">sheet1!atw173</f>
        <v>#NAME?</v>
      </c>
      <c r="H172" s="0" t="e">
        <f aca="false">sheet1!atx173</f>
        <v>#NAME?</v>
      </c>
      <c r="I172" s="0" t="e">
        <f aca="false">sheet1!aty173</f>
        <v>#NAME?</v>
      </c>
      <c r="J172" s="0" t="e">
        <f aca="false">sheet1!atz173</f>
        <v>#NAME?</v>
      </c>
      <c r="K172" s="0" t="e">
        <f aca="false">sheet1!aua173</f>
        <v>#NAME?</v>
      </c>
      <c r="L172" s="0" t="e">
        <f aca="false">sheet1!aub173</f>
        <v>#NAME?</v>
      </c>
      <c r="M172" s="0" t="e">
        <f aca="false">sheet1!auc173</f>
        <v>#NAME?</v>
      </c>
    </row>
    <row r="173" customFormat="false" ht="13.5" hidden="false" customHeight="false" outlineLevel="0" collapsed="false">
      <c r="A173" s="0" t="s">
        <v>94</v>
      </c>
      <c r="B173" s="1" t="n">
        <v>44033</v>
      </c>
      <c r="C173" s="0" t="e">
        <f aca="false">sheet1!ats174</f>
        <v>#NAME?</v>
      </c>
      <c r="D173" s="0" t="e">
        <f aca="false">sheet1!att174</f>
        <v>#NAME?</v>
      </c>
      <c r="E173" s="0" t="e">
        <f aca="false">sheet1!atu174</f>
        <v>#NAME?</v>
      </c>
      <c r="F173" s="0" t="e">
        <f aca="false">sheet1!atv174</f>
        <v>#NAME?</v>
      </c>
      <c r="G173" s="0" t="e">
        <f aca="false">sheet1!atw174</f>
        <v>#NAME?</v>
      </c>
      <c r="H173" s="0" t="e">
        <f aca="false">sheet1!atx174</f>
        <v>#NAME?</v>
      </c>
      <c r="I173" s="0" t="e">
        <f aca="false">sheet1!aty174</f>
        <v>#NAME?</v>
      </c>
      <c r="J173" s="0" t="e">
        <f aca="false">sheet1!atz174</f>
        <v>#NAME?</v>
      </c>
      <c r="K173" s="0" t="e">
        <f aca="false">sheet1!aua174</f>
        <v>#NAME?</v>
      </c>
      <c r="L173" s="0" t="e">
        <f aca="false">sheet1!aub174</f>
        <v>#NAME?</v>
      </c>
      <c r="M173" s="0" t="e">
        <f aca="false">sheet1!auc174</f>
        <v>#NAME?</v>
      </c>
    </row>
    <row r="174" customFormat="false" ht="13.5" hidden="false" customHeight="false" outlineLevel="0" collapsed="false">
      <c r="A174" s="0" t="s">
        <v>94</v>
      </c>
      <c r="B174" s="1" t="n">
        <v>44034</v>
      </c>
      <c r="C174" s="0" t="e">
        <f aca="false">sheet1!ats175</f>
        <v>#NAME?</v>
      </c>
      <c r="D174" s="0" t="e">
        <f aca="false">sheet1!att175</f>
        <v>#NAME?</v>
      </c>
      <c r="E174" s="0" t="e">
        <f aca="false">sheet1!atu175</f>
        <v>#NAME?</v>
      </c>
      <c r="F174" s="0" t="e">
        <f aca="false">sheet1!atv175</f>
        <v>#NAME?</v>
      </c>
      <c r="G174" s="0" t="e">
        <f aca="false">sheet1!atw175</f>
        <v>#NAME?</v>
      </c>
      <c r="H174" s="0" t="e">
        <f aca="false">sheet1!atx175</f>
        <v>#NAME?</v>
      </c>
      <c r="I174" s="0" t="e">
        <f aca="false">sheet1!aty175</f>
        <v>#NAME?</v>
      </c>
      <c r="J174" s="0" t="e">
        <f aca="false">sheet1!atz175</f>
        <v>#NAME?</v>
      </c>
      <c r="K174" s="0" t="e">
        <f aca="false">sheet1!aua175</f>
        <v>#NAME?</v>
      </c>
      <c r="L174" s="0" t="e">
        <f aca="false">sheet1!aub175</f>
        <v>#NAME?</v>
      </c>
      <c r="M174" s="0" t="e">
        <f aca="false">sheet1!auc175</f>
        <v>#NAME?</v>
      </c>
    </row>
    <row r="175" customFormat="false" ht="13.5" hidden="false" customHeight="false" outlineLevel="0" collapsed="false">
      <c r="A175" s="0" t="s">
        <v>94</v>
      </c>
      <c r="B175" s="1" t="n">
        <v>44035</v>
      </c>
      <c r="C175" s="0" t="e">
        <f aca="false">sheet1!ats176</f>
        <v>#NAME?</v>
      </c>
      <c r="D175" s="0" t="e">
        <f aca="false">sheet1!att176</f>
        <v>#NAME?</v>
      </c>
      <c r="E175" s="0" t="e">
        <f aca="false">sheet1!atu176</f>
        <v>#NAME?</v>
      </c>
      <c r="F175" s="0" t="e">
        <f aca="false">sheet1!atv176</f>
        <v>#NAME?</v>
      </c>
      <c r="G175" s="0" t="e">
        <f aca="false">sheet1!atw176</f>
        <v>#NAME?</v>
      </c>
      <c r="H175" s="0" t="e">
        <f aca="false">sheet1!atx176</f>
        <v>#NAME?</v>
      </c>
      <c r="I175" s="0" t="e">
        <f aca="false">sheet1!aty176</f>
        <v>#NAME?</v>
      </c>
      <c r="J175" s="0" t="e">
        <f aca="false">sheet1!atz176</f>
        <v>#NAME?</v>
      </c>
      <c r="K175" s="0" t="e">
        <f aca="false">sheet1!aua176</f>
        <v>#NAME?</v>
      </c>
      <c r="L175" s="0" t="e">
        <f aca="false">sheet1!aub176</f>
        <v>#NAME?</v>
      </c>
      <c r="M175" s="0" t="e">
        <f aca="false">sheet1!auc176</f>
        <v>#NAME?</v>
      </c>
    </row>
    <row r="176" customFormat="false" ht="13.5" hidden="false" customHeight="false" outlineLevel="0" collapsed="false">
      <c r="A176" s="0" t="s">
        <v>94</v>
      </c>
      <c r="B176" s="1" t="n">
        <v>44036</v>
      </c>
      <c r="C176" s="0" t="e">
        <f aca="false">sheet1!ats177</f>
        <v>#NAME?</v>
      </c>
      <c r="D176" s="0" t="e">
        <f aca="false">sheet1!att177</f>
        <v>#NAME?</v>
      </c>
      <c r="E176" s="0" t="e">
        <f aca="false">sheet1!atu177</f>
        <v>#NAME?</v>
      </c>
      <c r="F176" s="0" t="e">
        <f aca="false">sheet1!atv177</f>
        <v>#NAME?</v>
      </c>
      <c r="G176" s="0" t="e">
        <f aca="false">sheet1!atw177</f>
        <v>#NAME?</v>
      </c>
      <c r="H176" s="0" t="e">
        <f aca="false">sheet1!atx177</f>
        <v>#NAME?</v>
      </c>
      <c r="I176" s="0" t="e">
        <f aca="false">sheet1!aty177</f>
        <v>#NAME?</v>
      </c>
      <c r="J176" s="0" t="e">
        <f aca="false">sheet1!atz177</f>
        <v>#NAME?</v>
      </c>
      <c r="K176" s="0" t="e">
        <f aca="false">sheet1!aua177</f>
        <v>#NAME?</v>
      </c>
      <c r="L176" s="0" t="e">
        <f aca="false">sheet1!aub177</f>
        <v>#NAME?</v>
      </c>
      <c r="M176" s="0" t="e">
        <f aca="false">sheet1!auc177</f>
        <v>#NAME?</v>
      </c>
    </row>
    <row r="177" customFormat="false" ht="13.5" hidden="false" customHeight="false" outlineLevel="0" collapsed="false">
      <c r="A177" s="0" t="s">
        <v>94</v>
      </c>
      <c r="B177" s="1" t="n">
        <v>44037</v>
      </c>
      <c r="C177" s="0" t="e">
        <f aca="false">sheet1!ats178</f>
        <v>#NAME?</v>
      </c>
      <c r="D177" s="0" t="e">
        <f aca="false">sheet1!att178</f>
        <v>#NAME?</v>
      </c>
      <c r="E177" s="0" t="e">
        <f aca="false">sheet1!atu178</f>
        <v>#NAME?</v>
      </c>
      <c r="F177" s="0" t="e">
        <f aca="false">sheet1!atv178</f>
        <v>#NAME?</v>
      </c>
      <c r="G177" s="0" t="e">
        <f aca="false">sheet1!atw178</f>
        <v>#NAME?</v>
      </c>
      <c r="H177" s="0" t="e">
        <f aca="false">sheet1!atx178</f>
        <v>#NAME?</v>
      </c>
      <c r="I177" s="0" t="e">
        <f aca="false">sheet1!aty178</f>
        <v>#NAME?</v>
      </c>
      <c r="J177" s="0" t="e">
        <f aca="false">sheet1!atz178</f>
        <v>#NAME?</v>
      </c>
      <c r="K177" s="0" t="e">
        <f aca="false">sheet1!aua178</f>
        <v>#NAME?</v>
      </c>
      <c r="L177" s="0" t="e">
        <f aca="false">sheet1!aub178</f>
        <v>#NAME?</v>
      </c>
      <c r="M177" s="0" t="e">
        <f aca="false">sheet1!auc178</f>
        <v>#NAME?</v>
      </c>
    </row>
    <row r="178" customFormat="false" ht="13.5" hidden="false" customHeight="false" outlineLevel="0" collapsed="false">
      <c r="A178" s="0" t="s">
        <v>94</v>
      </c>
      <c r="B178" s="1" t="n">
        <v>44038</v>
      </c>
      <c r="C178" s="0" t="e">
        <f aca="false">sheet1!ats179</f>
        <v>#NAME?</v>
      </c>
      <c r="D178" s="0" t="e">
        <f aca="false">sheet1!att179</f>
        <v>#NAME?</v>
      </c>
      <c r="E178" s="0" t="e">
        <f aca="false">sheet1!atu179</f>
        <v>#NAME?</v>
      </c>
      <c r="F178" s="0" t="e">
        <f aca="false">sheet1!atv179</f>
        <v>#NAME?</v>
      </c>
      <c r="G178" s="0" t="e">
        <f aca="false">sheet1!atw179</f>
        <v>#NAME?</v>
      </c>
      <c r="H178" s="0" t="e">
        <f aca="false">sheet1!atx179</f>
        <v>#NAME?</v>
      </c>
      <c r="I178" s="0" t="e">
        <f aca="false">sheet1!aty179</f>
        <v>#NAME?</v>
      </c>
      <c r="J178" s="0" t="e">
        <f aca="false">sheet1!atz179</f>
        <v>#NAME?</v>
      </c>
      <c r="K178" s="0" t="e">
        <f aca="false">sheet1!aua179</f>
        <v>#NAME?</v>
      </c>
      <c r="L178" s="0" t="e">
        <f aca="false">sheet1!aub179</f>
        <v>#NAME?</v>
      </c>
      <c r="M178" s="0" t="e">
        <f aca="false">sheet1!auc179</f>
        <v>#NAME?</v>
      </c>
    </row>
    <row r="179" customFormat="false" ht="13.5" hidden="false" customHeight="false" outlineLevel="0" collapsed="false">
      <c r="A179" s="0" t="s">
        <v>94</v>
      </c>
      <c r="B179" s="1" t="n">
        <v>44039</v>
      </c>
      <c r="C179" s="0" t="e">
        <f aca="false">sheet1!ats180</f>
        <v>#NAME?</v>
      </c>
      <c r="D179" s="0" t="e">
        <f aca="false">sheet1!att180</f>
        <v>#NAME?</v>
      </c>
      <c r="E179" s="0" t="e">
        <f aca="false">sheet1!atu180</f>
        <v>#NAME?</v>
      </c>
      <c r="F179" s="0" t="e">
        <f aca="false">sheet1!atv180</f>
        <v>#NAME?</v>
      </c>
      <c r="G179" s="0" t="e">
        <f aca="false">sheet1!atw180</f>
        <v>#NAME?</v>
      </c>
      <c r="H179" s="0" t="e">
        <f aca="false">sheet1!atx180</f>
        <v>#NAME?</v>
      </c>
      <c r="I179" s="0" t="e">
        <f aca="false">sheet1!aty180</f>
        <v>#NAME?</v>
      </c>
      <c r="J179" s="0" t="e">
        <f aca="false">sheet1!atz180</f>
        <v>#NAME?</v>
      </c>
      <c r="K179" s="0" t="e">
        <f aca="false">sheet1!aua180</f>
        <v>#NAME?</v>
      </c>
      <c r="L179" s="0" t="e">
        <f aca="false">sheet1!aub180</f>
        <v>#NAME?</v>
      </c>
      <c r="M179" s="0" t="e">
        <f aca="false">sheet1!auc180</f>
        <v>#NAME?</v>
      </c>
    </row>
    <row r="180" customFormat="false" ht="13.5" hidden="false" customHeight="false" outlineLevel="0" collapsed="false">
      <c r="A180" s="0" t="s">
        <v>94</v>
      </c>
      <c r="B180" s="1" t="n">
        <v>44040</v>
      </c>
      <c r="C180" s="0" t="e">
        <f aca="false">sheet1!ats181</f>
        <v>#NAME?</v>
      </c>
      <c r="D180" s="0" t="e">
        <f aca="false">sheet1!att181</f>
        <v>#NAME?</v>
      </c>
      <c r="E180" s="0" t="e">
        <f aca="false">sheet1!atu181</f>
        <v>#NAME?</v>
      </c>
      <c r="F180" s="0" t="e">
        <f aca="false">sheet1!atv181</f>
        <v>#NAME?</v>
      </c>
      <c r="G180" s="0" t="e">
        <f aca="false">sheet1!atw181</f>
        <v>#NAME?</v>
      </c>
      <c r="H180" s="0" t="e">
        <f aca="false">sheet1!atx181</f>
        <v>#NAME?</v>
      </c>
      <c r="I180" s="0" t="e">
        <f aca="false">sheet1!aty181</f>
        <v>#NAME?</v>
      </c>
      <c r="J180" s="0" t="e">
        <f aca="false">sheet1!atz181</f>
        <v>#NAME?</v>
      </c>
      <c r="K180" s="0" t="e">
        <f aca="false">sheet1!aua181</f>
        <v>#NAME?</v>
      </c>
      <c r="L180" s="0" t="e">
        <f aca="false">sheet1!aub181</f>
        <v>#NAME?</v>
      </c>
      <c r="M180" s="0" t="e">
        <f aca="false">sheet1!auc181</f>
        <v>#NAME?</v>
      </c>
    </row>
    <row r="181" customFormat="false" ht="13.5" hidden="false" customHeight="false" outlineLevel="0" collapsed="false">
      <c r="A181" s="0" t="s">
        <v>94</v>
      </c>
      <c r="B181" s="1" t="n">
        <v>44041</v>
      </c>
      <c r="C181" s="0" t="e">
        <f aca="false">sheet1!ats182</f>
        <v>#NAME?</v>
      </c>
      <c r="D181" s="0" t="e">
        <f aca="false">sheet1!att182</f>
        <v>#NAME?</v>
      </c>
      <c r="E181" s="0" t="e">
        <f aca="false">sheet1!atu182</f>
        <v>#NAME?</v>
      </c>
      <c r="F181" s="0" t="e">
        <f aca="false">sheet1!atv182</f>
        <v>#NAME?</v>
      </c>
      <c r="G181" s="0" t="e">
        <f aca="false">sheet1!atw182</f>
        <v>#NAME?</v>
      </c>
      <c r="H181" s="0" t="e">
        <f aca="false">sheet1!atx182</f>
        <v>#NAME?</v>
      </c>
      <c r="I181" s="0" t="e">
        <f aca="false">sheet1!aty182</f>
        <v>#NAME?</v>
      </c>
      <c r="J181" s="0" t="e">
        <f aca="false">sheet1!atz182</f>
        <v>#NAME?</v>
      </c>
      <c r="K181" s="0" t="e">
        <f aca="false">sheet1!aua182</f>
        <v>#NAME?</v>
      </c>
      <c r="L181" s="0" t="e">
        <f aca="false">sheet1!aub182</f>
        <v>#NAME?</v>
      </c>
      <c r="M181" s="0" t="e">
        <f aca="false">sheet1!auc182</f>
        <v>#NAME?</v>
      </c>
    </row>
    <row r="182" customFormat="false" ht="13.5" hidden="false" customHeight="false" outlineLevel="0" collapsed="false">
      <c r="A182" s="0" t="s">
        <v>94</v>
      </c>
      <c r="B182" s="1" t="n">
        <v>44042</v>
      </c>
      <c r="C182" s="0" t="e">
        <f aca="false">sheet1!ats183</f>
        <v>#NAME?</v>
      </c>
      <c r="D182" s="0" t="e">
        <f aca="false">sheet1!att183</f>
        <v>#NAME?</v>
      </c>
      <c r="E182" s="0" t="e">
        <f aca="false">sheet1!atu183</f>
        <v>#NAME?</v>
      </c>
      <c r="F182" s="0" t="e">
        <f aca="false">sheet1!atv183</f>
        <v>#NAME?</v>
      </c>
      <c r="G182" s="0" t="e">
        <f aca="false">sheet1!atw183</f>
        <v>#NAME?</v>
      </c>
      <c r="H182" s="0" t="e">
        <f aca="false">sheet1!atx183</f>
        <v>#NAME?</v>
      </c>
      <c r="I182" s="0" t="e">
        <f aca="false">sheet1!aty183</f>
        <v>#NAME?</v>
      </c>
      <c r="J182" s="0" t="e">
        <f aca="false">sheet1!atz183</f>
        <v>#NAME?</v>
      </c>
      <c r="K182" s="0" t="e">
        <f aca="false">sheet1!aua183</f>
        <v>#NAME?</v>
      </c>
      <c r="L182" s="0" t="e">
        <f aca="false">sheet1!aub183</f>
        <v>#NAME?</v>
      </c>
      <c r="M182" s="0" t="e">
        <f aca="false">sheet1!auc183</f>
        <v>#NAME?</v>
      </c>
    </row>
    <row r="183" customFormat="false" ht="13.5" hidden="false" customHeight="false" outlineLevel="0" collapsed="false">
      <c r="A183" s="0" t="s">
        <v>94</v>
      </c>
      <c r="B183" s="1" t="n">
        <v>44043</v>
      </c>
      <c r="C183" s="0" t="e">
        <f aca="false">sheet1!ats184</f>
        <v>#NAME?</v>
      </c>
      <c r="D183" s="0" t="e">
        <f aca="false">sheet1!att184</f>
        <v>#NAME?</v>
      </c>
      <c r="E183" s="0" t="e">
        <f aca="false">sheet1!atu184</f>
        <v>#NAME?</v>
      </c>
      <c r="F183" s="0" t="e">
        <f aca="false">sheet1!atv184</f>
        <v>#NAME?</v>
      </c>
      <c r="G183" s="0" t="e">
        <f aca="false">sheet1!atw184</f>
        <v>#NAME?</v>
      </c>
      <c r="H183" s="0" t="e">
        <f aca="false">sheet1!atx184</f>
        <v>#NAME?</v>
      </c>
      <c r="I183" s="0" t="e">
        <f aca="false">sheet1!aty184</f>
        <v>#NAME?</v>
      </c>
      <c r="J183" s="0" t="e">
        <f aca="false">sheet1!atz184</f>
        <v>#NAME?</v>
      </c>
      <c r="K183" s="0" t="e">
        <f aca="false">sheet1!aua184</f>
        <v>#NAME?</v>
      </c>
      <c r="L183" s="0" t="e">
        <f aca="false">sheet1!aub184</f>
        <v>#NAME?</v>
      </c>
      <c r="M183" s="0" t="e">
        <f aca="false">sheet1!auc184</f>
        <v>#NAME?</v>
      </c>
    </row>
    <row r="184" customFormat="false" ht="13.5" hidden="false" customHeight="false" outlineLevel="0" collapsed="false">
      <c r="A184" s="0" t="s">
        <v>94</v>
      </c>
      <c r="B184" s="1" t="n">
        <v>44044</v>
      </c>
      <c r="C184" s="0" t="e">
        <f aca="false">sheet1!ats185</f>
        <v>#NAME?</v>
      </c>
      <c r="D184" s="0" t="e">
        <f aca="false">sheet1!att185</f>
        <v>#NAME?</v>
      </c>
      <c r="E184" s="0" t="e">
        <f aca="false">sheet1!atu185</f>
        <v>#NAME?</v>
      </c>
      <c r="F184" s="0" t="e">
        <f aca="false">sheet1!atv185</f>
        <v>#NAME?</v>
      </c>
      <c r="G184" s="0" t="e">
        <f aca="false">sheet1!atw185</f>
        <v>#NAME?</v>
      </c>
      <c r="H184" s="0" t="e">
        <f aca="false">sheet1!atx185</f>
        <v>#NAME?</v>
      </c>
      <c r="I184" s="0" t="e">
        <f aca="false">sheet1!aty185</f>
        <v>#NAME?</v>
      </c>
      <c r="J184" s="0" t="e">
        <f aca="false">sheet1!atz185</f>
        <v>#NAME?</v>
      </c>
      <c r="K184" s="0" t="e">
        <f aca="false">sheet1!aua185</f>
        <v>#NAME?</v>
      </c>
      <c r="L184" s="0" t="e">
        <f aca="false">sheet1!aub185</f>
        <v>#NAME?</v>
      </c>
      <c r="M184" s="0" t="e">
        <f aca="false">sheet1!auc185</f>
        <v>#NAME?</v>
      </c>
    </row>
    <row r="185" customFormat="false" ht="13.5" hidden="false" customHeight="false" outlineLevel="0" collapsed="false">
      <c r="A185" s="0" t="s">
        <v>94</v>
      </c>
      <c r="B185" s="1" t="n">
        <v>44045</v>
      </c>
      <c r="C185" s="0" t="e">
        <f aca="false">sheet1!ats186</f>
        <v>#NAME?</v>
      </c>
      <c r="D185" s="0" t="e">
        <f aca="false">sheet1!att186</f>
        <v>#NAME?</v>
      </c>
      <c r="E185" s="0" t="e">
        <f aca="false">sheet1!atu186</f>
        <v>#NAME?</v>
      </c>
      <c r="F185" s="0" t="e">
        <f aca="false">sheet1!atv186</f>
        <v>#NAME?</v>
      </c>
      <c r="G185" s="0" t="e">
        <f aca="false">sheet1!atw186</f>
        <v>#NAME?</v>
      </c>
      <c r="H185" s="0" t="e">
        <f aca="false">sheet1!atx186</f>
        <v>#NAME?</v>
      </c>
      <c r="I185" s="0" t="e">
        <f aca="false">sheet1!aty186</f>
        <v>#NAME?</v>
      </c>
      <c r="J185" s="0" t="e">
        <f aca="false">sheet1!atz186</f>
        <v>#NAME?</v>
      </c>
      <c r="K185" s="0" t="e">
        <f aca="false">sheet1!aua186</f>
        <v>#NAME?</v>
      </c>
      <c r="L185" s="0" t="e">
        <f aca="false">sheet1!aub186</f>
        <v>#NAME?</v>
      </c>
      <c r="M185" s="0" t="e">
        <f aca="false">sheet1!auc186</f>
        <v>#NAME?</v>
      </c>
    </row>
    <row r="186" customFormat="false" ht="13.5" hidden="false" customHeight="false" outlineLevel="0" collapsed="false">
      <c r="A186" s="0" t="s">
        <v>94</v>
      </c>
      <c r="B186" s="1" t="n">
        <v>44046</v>
      </c>
      <c r="C186" s="0" t="e">
        <f aca="false">sheet1!ats187</f>
        <v>#NAME?</v>
      </c>
      <c r="D186" s="0" t="e">
        <f aca="false">sheet1!att187</f>
        <v>#NAME?</v>
      </c>
      <c r="E186" s="0" t="e">
        <f aca="false">sheet1!atu187</f>
        <v>#NAME?</v>
      </c>
      <c r="F186" s="0" t="e">
        <f aca="false">sheet1!atv187</f>
        <v>#NAME?</v>
      </c>
      <c r="G186" s="0" t="e">
        <f aca="false">sheet1!atw187</f>
        <v>#NAME?</v>
      </c>
      <c r="H186" s="0" t="e">
        <f aca="false">sheet1!atx187</f>
        <v>#NAME?</v>
      </c>
      <c r="I186" s="0" t="e">
        <f aca="false">sheet1!aty187</f>
        <v>#NAME?</v>
      </c>
      <c r="J186" s="0" t="e">
        <f aca="false">sheet1!atz187</f>
        <v>#NAME?</v>
      </c>
      <c r="K186" s="0" t="e">
        <f aca="false">sheet1!aua187</f>
        <v>#NAME?</v>
      </c>
      <c r="L186" s="0" t="e">
        <f aca="false">sheet1!aub187</f>
        <v>#NAME?</v>
      </c>
      <c r="M186" s="0" t="e">
        <f aca="false">sheet1!auc187</f>
        <v>#NAME?</v>
      </c>
    </row>
    <row r="187" customFormat="false" ht="13.5" hidden="false" customHeight="false" outlineLevel="0" collapsed="false">
      <c r="A187" s="0" t="s">
        <v>94</v>
      </c>
      <c r="B187" s="1" t="n">
        <v>44047</v>
      </c>
      <c r="C187" s="0" t="e">
        <f aca="false">sheet1!ats188</f>
        <v>#NAME?</v>
      </c>
      <c r="D187" s="0" t="e">
        <f aca="false">sheet1!att188</f>
        <v>#NAME?</v>
      </c>
      <c r="E187" s="0" t="e">
        <f aca="false">sheet1!atu188</f>
        <v>#NAME?</v>
      </c>
      <c r="F187" s="0" t="e">
        <f aca="false">sheet1!atv188</f>
        <v>#NAME?</v>
      </c>
      <c r="G187" s="0" t="e">
        <f aca="false">sheet1!atw188</f>
        <v>#NAME?</v>
      </c>
      <c r="H187" s="0" t="e">
        <f aca="false">sheet1!atx188</f>
        <v>#NAME?</v>
      </c>
      <c r="I187" s="0" t="e">
        <f aca="false">sheet1!aty188</f>
        <v>#NAME?</v>
      </c>
      <c r="J187" s="0" t="e">
        <f aca="false">sheet1!atz188</f>
        <v>#NAME?</v>
      </c>
      <c r="K187" s="0" t="e">
        <f aca="false">sheet1!aua188</f>
        <v>#NAME?</v>
      </c>
      <c r="L187" s="0" t="e">
        <f aca="false">sheet1!aub188</f>
        <v>#NAME?</v>
      </c>
      <c r="M187" s="0" t="e">
        <f aca="false">sheet1!auc188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95</v>
      </c>
      <c r="B2" s="1" t="n">
        <v>43862</v>
      </c>
    </row>
    <row r="3" customFormat="false" ht="13.5" hidden="false" customHeight="false" outlineLevel="0" collapsed="false">
      <c r="A3" s="0" t="s">
        <v>95</v>
      </c>
      <c r="B3" s="1" t="n">
        <v>43863</v>
      </c>
    </row>
    <row r="4" customFormat="false" ht="13.5" hidden="false" customHeight="false" outlineLevel="0" collapsed="false">
      <c r="A4" s="0" t="s">
        <v>95</v>
      </c>
      <c r="B4" s="1" t="n">
        <v>43864</v>
      </c>
    </row>
    <row r="5" customFormat="false" ht="13.5" hidden="false" customHeight="false" outlineLevel="0" collapsed="false">
      <c r="A5" s="0" t="s">
        <v>95</v>
      </c>
      <c r="B5" s="1" t="n">
        <v>43865</v>
      </c>
    </row>
    <row r="6" customFormat="false" ht="13.5" hidden="false" customHeight="false" outlineLevel="0" collapsed="false">
      <c r="A6" s="0" t="s">
        <v>95</v>
      </c>
      <c r="B6" s="1" t="n">
        <v>43866</v>
      </c>
    </row>
    <row r="7" customFormat="false" ht="13.5" hidden="false" customHeight="false" outlineLevel="0" collapsed="false">
      <c r="A7" s="0" t="s">
        <v>95</v>
      </c>
      <c r="B7" s="1" t="n">
        <v>43867</v>
      </c>
    </row>
    <row r="8" customFormat="false" ht="13.5" hidden="false" customHeight="false" outlineLevel="0" collapsed="false">
      <c r="A8" s="0" t="s">
        <v>95</v>
      </c>
      <c r="B8" s="1" t="n">
        <v>43868</v>
      </c>
    </row>
    <row r="9" customFormat="false" ht="13.5" hidden="false" customHeight="false" outlineLevel="0" collapsed="false">
      <c r="A9" s="0" t="s">
        <v>95</v>
      </c>
      <c r="B9" s="1" t="n">
        <v>43869</v>
      </c>
    </row>
    <row r="10" customFormat="false" ht="13.5" hidden="false" customHeight="false" outlineLevel="0" collapsed="false">
      <c r="A10" s="0" t="s">
        <v>95</v>
      </c>
      <c r="B10" s="1" t="n">
        <v>43870</v>
      </c>
    </row>
    <row r="11" customFormat="false" ht="13.5" hidden="false" customHeight="false" outlineLevel="0" collapsed="false">
      <c r="A11" s="0" t="s">
        <v>95</v>
      </c>
      <c r="B11" s="1" t="n">
        <v>43871</v>
      </c>
    </row>
    <row r="12" customFormat="false" ht="13.5" hidden="false" customHeight="false" outlineLevel="0" collapsed="false">
      <c r="A12" s="0" t="s">
        <v>95</v>
      </c>
      <c r="B12" s="1" t="n">
        <v>43872</v>
      </c>
    </row>
    <row r="13" customFormat="false" ht="13.5" hidden="false" customHeight="false" outlineLevel="0" collapsed="false">
      <c r="A13" s="0" t="s">
        <v>95</v>
      </c>
      <c r="B13" s="1" t="n">
        <v>43873</v>
      </c>
    </row>
    <row r="14" customFormat="false" ht="13.5" hidden="false" customHeight="false" outlineLevel="0" collapsed="false">
      <c r="A14" s="0" t="s">
        <v>95</v>
      </c>
      <c r="B14" s="1" t="n">
        <v>43874</v>
      </c>
    </row>
    <row r="15" customFormat="false" ht="13.5" hidden="false" customHeight="false" outlineLevel="0" collapsed="false">
      <c r="A15" s="0" t="s">
        <v>95</v>
      </c>
      <c r="B15" s="1" t="n">
        <v>43875</v>
      </c>
    </row>
    <row r="16" customFormat="false" ht="13.5" hidden="false" customHeight="false" outlineLevel="0" collapsed="false">
      <c r="A16" s="0" t="s">
        <v>95</v>
      </c>
      <c r="B16" s="1" t="n">
        <v>43876</v>
      </c>
    </row>
    <row r="17" customFormat="false" ht="13.5" hidden="false" customHeight="false" outlineLevel="0" collapsed="false">
      <c r="A17" s="0" t="s">
        <v>95</v>
      </c>
      <c r="B17" s="1" t="n">
        <v>43877</v>
      </c>
    </row>
    <row r="18" customFormat="false" ht="13.5" hidden="false" customHeight="false" outlineLevel="0" collapsed="false">
      <c r="A18" s="0" t="s">
        <v>95</v>
      </c>
      <c r="B18" s="1" t="n">
        <v>43878</v>
      </c>
    </row>
    <row r="19" customFormat="false" ht="13.5" hidden="false" customHeight="false" outlineLevel="0" collapsed="false">
      <c r="A19" s="0" t="s">
        <v>95</v>
      </c>
      <c r="B19" s="1" t="n">
        <v>43879</v>
      </c>
    </row>
    <row r="20" customFormat="false" ht="13.5" hidden="false" customHeight="false" outlineLevel="0" collapsed="false">
      <c r="A20" s="0" t="s">
        <v>95</v>
      </c>
      <c r="B20" s="1" t="n">
        <v>43880</v>
      </c>
    </row>
    <row r="21" customFormat="false" ht="13.5" hidden="false" customHeight="false" outlineLevel="0" collapsed="false">
      <c r="A21" s="0" t="s">
        <v>95</v>
      </c>
      <c r="B21" s="1" t="n">
        <v>43881</v>
      </c>
    </row>
    <row r="22" customFormat="false" ht="13.5" hidden="false" customHeight="false" outlineLevel="0" collapsed="false">
      <c r="A22" s="0" t="s">
        <v>95</v>
      </c>
      <c r="B22" s="1" t="n">
        <v>43882</v>
      </c>
    </row>
    <row r="23" customFormat="false" ht="13.5" hidden="false" customHeight="false" outlineLevel="0" collapsed="false">
      <c r="A23" s="0" t="s">
        <v>95</v>
      </c>
      <c r="B23" s="1" t="n">
        <v>43883</v>
      </c>
    </row>
    <row r="24" customFormat="false" ht="13.5" hidden="false" customHeight="false" outlineLevel="0" collapsed="false">
      <c r="A24" s="0" t="s">
        <v>95</v>
      </c>
      <c r="B24" s="1" t="n">
        <v>43884</v>
      </c>
    </row>
    <row r="25" customFormat="false" ht="13.5" hidden="false" customHeight="false" outlineLevel="0" collapsed="false">
      <c r="A25" s="0" t="s">
        <v>95</v>
      </c>
      <c r="B25" s="1" t="n">
        <v>43885</v>
      </c>
    </row>
    <row r="26" customFormat="false" ht="13.5" hidden="false" customHeight="false" outlineLevel="0" collapsed="false">
      <c r="A26" s="0" t="s">
        <v>95</v>
      </c>
      <c r="B26" s="1" t="n">
        <v>43886</v>
      </c>
    </row>
    <row r="27" customFormat="false" ht="13.5" hidden="false" customHeight="false" outlineLevel="0" collapsed="false">
      <c r="A27" s="0" t="s">
        <v>95</v>
      </c>
      <c r="B27" s="1" t="n">
        <v>43887</v>
      </c>
    </row>
    <row r="28" customFormat="false" ht="13.5" hidden="false" customHeight="false" outlineLevel="0" collapsed="false">
      <c r="A28" s="0" t="s">
        <v>95</v>
      </c>
      <c r="B28" s="1" t="n">
        <v>43888</v>
      </c>
    </row>
    <row r="29" customFormat="false" ht="13.5" hidden="false" customHeight="false" outlineLevel="0" collapsed="false">
      <c r="A29" s="0" t="s">
        <v>95</v>
      </c>
      <c r="B29" s="1" t="n">
        <v>43889</v>
      </c>
    </row>
    <row r="30" customFormat="false" ht="13.5" hidden="false" customHeight="false" outlineLevel="0" collapsed="false">
      <c r="A30" s="0" t="s">
        <v>95</v>
      </c>
      <c r="B30" s="1" t="n">
        <v>43890</v>
      </c>
    </row>
    <row r="31" customFormat="false" ht="13.5" hidden="false" customHeight="false" outlineLevel="0" collapsed="false">
      <c r="A31" s="0" t="s">
        <v>95</v>
      </c>
      <c r="B31" s="1" t="n">
        <v>43891</v>
      </c>
    </row>
    <row r="32" customFormat="false" ht="13.5" hidden="false" customHeight="false" outlineLevel="0" collapsed="false">
      <c r="A32" s="0" t="s">
        <v>95</v>
      </c>
      <c r="B32" s="1" t="n">
        <v>43892</v>
      </c>
    </row>
    <row r="33" customFormat="false" ht="13.5" hidden="false" customHeight="false" outlineLevel="0" collapsed="false">
      <c r="A33" s="0" t="s">
        <v>95</v>
      </c>
      <c r="B33" s="1" t="n">
        <v>43893</v>
      </c>
    </row>
    <row r="34" customFormat="false" ht="13.5" hidden="false" customHeight="false" outlineLevel="0" collapsed="false">
      <c r="A34" s="0" t="s">
        <v>95</v>
      </c>
      <c r="B34" s="1" t="n">
        <v>43894</v>
      </c>
    </row>
    <row r="35" customFormat="false" ht="13.5" hidden="false" customHeight="false" outlineLevel="0" collapsed="false">
      <c r="A35" s="0" t="s">
        <v>95</v>
      </c>
      <c r="B35" s="1" t="n">
        <v>43895</v>
      </c>
    </row>
    <row r="36" customFormat="false" ht="13.5" hidden="false" customHeight="false" outlineLevel="0" collapsed="false">
      <c r="A36" s="0" t="s">
        <v>95</v>
      </c>
      <c r="B36" s="1" t="n">
        <v>43896</v>
      </c>
    </row>
    <row r="37" customFormat="false" ht="13.5" hidden="false" customHeight="false" outlineLevel="0" collapsed="false">
      <c r="A37" s="0" t="s">
        <v>95</v>
      </c>
      <c r="B37" s="1" t="n">
        <v>43897</v>
      </c>
    </row>
    <row r="38" customFormat="false" ht="13.5" hidden="false" customHeight="false" outlineLevel="0" collapsed="false">
      <c r="A38" s="0" t="s">
        <v>95</v>
      </c>
      <c r="B38" s="1" t="n">
        <v>43898</v>
      </c>
    </row>
    <row r="39" customFormat="false" ht="13.5" hidden="false" customHeight="false" outlineLevel="0" collapsed="false">
      <c r="A39" s="0" t="s">
        <v>95</v>
      </c>
      <c r="B39" s="1" t="n">
        <v>43899</v>
      </c>
    </row>
    <row r="40" customFormat="false" ht="13.5" hidden="false" customHeight="false" outlineLevel="0" collapsed="false">
      <c r="A40" s="0" t="s">
        <v>95</v>
      </c>
      <c r="B40" s="1" t="n">
        <v>43900</v>
      </c>
    </row>
    <row r="41" customFormat="false" ht="13.5" hidden="false" customHeight="false" outlineLevel="0" collapsed="false">
      <c r="A41" s="0" t="s">
        <v>95</v>
      </c>
      <c r="B41" s="1" t="n">
        <v>43901</v>
      </c>
    </row>
    <row r="42" customFormat="false" ht="13.5" hidden="false" customHeight="false" outlineLevel="0" collapsed="false">
      <c r="A42" s="0" t="s">
        <v>95</v>
      </c>
      <c r="B42" s="1" t="n">
        <v>43902</v>
      </c>
    </row>
    <row r="43" customFormat="false" ht="13.5" hidden="false" customHeight="false" outlineLevel="0" collapsed="false">
      <c r="A43" s="0" t="s">
        <v>95</v>
      </c>
      <c r="B43" s="1" t="n">
        <v>43903</v>
      </c>
    </row>
    <row r="44" customFormat="false" ht="13.5" hidden="false" customHeight="false" outlineLevel="0" collapsed="false">
      <c r="A44" s="0" t="s">
        <v>95</v>
      </c>
      <c r="B44" s="1" t="n">
        <v>43904</v>
      </c>
    </row>
    <row r="45" customFormat="false" ht="13.5" hidden="false" customHeight="false" outlineLevel="0" collapsed="false">
      <c r="A45" s="0" t="s">
        <v>95</v>
      </c>
      <c r="B45" s="1" t="n">
        <v>43905</v>
      </c>
      <c r="C45" s="0" t="n">
        <v>1</v>
      </c>
      <c r="D45" s="0" t="n">
        <v>1</v>
      </c>
      <c r="H45" s="0" t="n">
        <v>1</v>
      </c>
      <c r="J45" s="0" t="n">
        <v>0.1</v>
      </c>
    </row>
    <row r="46" customFormat="false" ht="13.5" hidden="false" customHeight="false" outlineLevel="0" collapsed="false">
      <c r="A46" s="0" t="s">
        <v>95</v>
      </c>
      <c r="B46" s="1" t="n">
        <v>43906</v>
      </c>
      <c r="C46" s="0" t="n">
        <v>1</v>
      </c>
      <c r="D46" s="0" t="n">
        <v>0</v>
      </c>
      <c r="E46" s="0" t="n">
        <v>1</v>
      </c>
      <c r="F46" s="0" t="n">
        <v>1</v>
      </c>
      <c r="H46" s="0" t="n">
        <v>0</v>
      </c>
      <c r="J46" s="0" t="n">
        <v>0.1</v>
      </c>
    </row>
    <row r="47" customFormat="false" ht="13.5" hidden="false" customHeight="false" outlineLevel="0" collapsed="false">
      <c r="A47" s="0" t="s">
        <v>95</v>
      </c>
      <c r="B47" s="1" t="n">
        <v>43907</v>
      </c>
      <c r="C47" s="0" t="n">
        <v>8</v>
      </c>
      <c r="D47" s="0" t="n">
        <v>7</v>
      </c>
      <c r="E47" s="0" t="n">
        <v>1</v>
      </c>
      <c r="F47" s="0" t="n">
        <v>0</v>
      </c>
      <c r="H47" s="0" t="n">
        <v>7</v>
      </c>
      <c r="J47" s="0" t="n">
        <v>0.4</v>
      </c>
    </row>
    <row r="48" customFormat="false" ht="13.5" hidden="false" customHeight="false" outlineLevel="0" collapsed="false">
      <c r="A48" s="0" t="s">
        <v>95</v>
      </c>
      <c r="B48" s="1" t="n">
        <v>43908</v>
      </c>
      <c r="C48" s="0" t="n">
        <v>8</v>
      </c>
      <c r="D48" s="0" t="n">
        <v>0</v>
      </c>
      <c r="E48" s="0" t="n">
        <v>1</v>
      </c>
      <c r="F48" s="0" t="n">
        <v>0</v>
      </c>
      <c r="H48" s="0" t="n">
        <v>7</v>
      </c>
      <c r="J48" s="0" t="n">
        <v>0.4</v>
      </c>
    </row>
    <row r="49" customFormat="false" ht="13.5" hidden="false" customHeight="false" outlineLevel="0" collapsed="false">
      <c r="A49" s="0" t="s">
        <v>95</v>
      </c>
      <c r="B49" s="1" t="n">
        <v>43909</v>
      </c>
      <c r="C49" s="0" t="n">
        <v>8</v>
      </c>
      <c r="D49" s="0" t="n">
        <v>0</v>
      </c>
      <c r="E49" s="0" t="n">
        <v>1</v>
      </c>
      <c r="F49" s="0" t="n">
        <v>0</v>
      </c>
      <c r="H49" s="0" t="n">
        <v>7</v>
      </c>
      <c r="J49" s="0" t="n">
        <v>0.4</v>
      </c>
    </row>
    <row r="50" customFormat="false" ht="13.5" hidden="false" customHeight="false" outlineLevel="0" collapsed="false">
      <c r="A50" s="0" t="s">
        <v>95</v>
      </c>
      <c r="B50" s="1" t="n">
        <v>43910</v>
      </c>
      <c r="C50" s="0" t="n">
        <v>9</v>
      </c>
      <c r="D50" s="0" t="n">
        <v>1</v>
      </c>
      <c r="E50" s="0" t="n">
        <v>1</v>
      </c>
      <c r="F50" s="0" t="n">
        <v>0</v>
      </c>
      <c r="H50" s="0" t="n">
        <v>8</v>
      </c>
      <c r="J50" s="0" t="n">
        <v>0.5</v>
      </c>
    </row>
    <row r="51" customFormat="false" ht="13.5" hidden="false" customHeight="false" outlineLevel="0" collapsed="false">
      <c r="A51" s="0" t="s">
        <v>95</v>
      </c>
      <c r="B51" s="1" t="n">
        <v>43911</v>
      </c>
      <c r="C51" s="0" t="n">
        <v>13</v>
      </c>
      <c r="D51" s="0" t="n">
        <v>4</v>
      </c>
      <c r="E51" s="0" t="n">
        <v>1</v>
      </c>
      <c r="F51" s="0" t="n">
        <v>0</v>
      </c>
      <c r="H51" s="0" t="n">
        <v>12</v>
      </c>
      <c r="J51" s="0" t="n">
        <v>0.7</v>
      </c>
    </row>
    <row r="52" customFormat="false" ht="13.5" hidden="false" customHeight="false" outlineLevel="0" collapsed="false">
      <c r="A52" s="0" t="s">
        <v>95</v>
      </c>
      <c r="B52" s="1" t="n">
        <v>43912</v>
      </c>
      <c r="C52" s="0" t="n">
        <v>17</v>
      </c>
      <c r="D52" s="0" t="n">
        <v>4</v>
      </c>
      <c r="E52" s="0" t="n">
        <v>1</v>
      </c>
      <c r="F52" s="0" t="n">
        <v>0</v>
      </c>
      <c r="H52" s="0" t="n">
        <v>16</v>
      </c>
      <c r="J52" s="0" t="n">
        <v>0.9</v>
      </c>
    </row>
    <row r="53" customFormat="false" ht="13.5" hidden="false" customHeight="false" outlineLevel="0" collapsed="false">
      <c r="A53" s="0" t="s">
        <v>95</v>
      </c>
      <c r="B53" s="1" t="n">
        <v>43913</v>
      </c>
      <c r="C53" s="0" t="n">
        <v>19</v>
      </c>
      <c r="D53" s="0" t="n">
        <v>2</v>
      </c>
      <c r="E53" s="0" t="n">
        <v>1</v>
      </c>
      <c r="F53" s="0" t="n">
        <v>0</v>
      </c>
      <c r="H53" s="0" t="n">
        <v>18</v>
      </c>
      <c r="J53" s="0" t="n">
        <v>1</v>
      </c>
    </row>
    <row r="54" customFormat="false" ht="13.5" hidden="false" customHeight="false" outlineLevel="0" collapsed="false">
      <c r="A54" s="0" t="s">
        <v>95</v>
      </c>
      <c r="B54" s="1" t="n">
        <v>43914</v>
      </c>
      <c r="C54" s="0" t="n">
        <v>20</v>
      </c>
      <c r="D54" s="0" t="n">
        <v>1</v>
      </c>
      <c r="E54" s="0" t="n">
        <v>1</v>
      </c>
      <c r="F54" s="0" t="n">
        <v>0</v>
      </c>
      <c r="H54" s="0" t="n">
        <v>19</v>
      </c>
      <c r="J54" s="0" t="n">
        <v>1</v>
      </c>
    </row>
    <row r="55" customFormat="false" ht="13.5" hidden="false" customHeight="false" outlineLevel="0" collapsed="false">
      <c r="A55" s="0" t="s">
        <v>95</v>
      </c>
      <c r="B55" s="1" t="n">
        <v>43915</v>
      </c>
      <c r="C55" s="0" t="n">
        <v>21</v>
      </c>
      <c r="D55" s="0" t="n">
        <v>1</v>
      </c>
      <c r="E55" s="0" t="n">
        <v>1</v>
      </c>
      <c r="F55" s="0" t="n">
        <v>0</v>
      </c>
      <c r="H55" s="0" t="n">
        <v>20</v>
      </c>
      <c r="J55" s="0" t="n">
        <v>1</v>
      </c>
      <c r="K55" s="0" t="n">
        <v>0.06</v>
      </c>
    </row>
    <row r="56" customFormat="false" ht="13.5" hidden="false" customHeight="false" outlineLevel="0" collapsed="false">
      <c r="A56" s="0" t="s">
        <v>95</v>
      </c>
      <c r="B56" s="1" t="n">
        <v>43916</v>
      </c>
      <c r="C56" s="0" t="n">
        <v>24</v>
      </c>
      <c r="D56" s="0" t="n">
        <v>3</v>
      </c>
      <c r="E56" s="0" t="n">
        <v>1</v>
      </c>
      <c r="F56" s="0" t="n">
        <v>0</v>
      </c>
      <c r="G56" s="0" t="n">
        <v>4</v>
      </c>
      <c r="H56" s="0" t="n">
        <v>19</v>
      </c>
      <c r="J56" s="0" t="n">
        <v>1</v>
      </c>
      <c r="K56" s="0" t="n">
        <v>0.06</v>
      </c>
    </row>
    <row r="57" customFormat="false" ht="13.5" hidden="false" customHeight="false" outlineLevel="0" collapsed="false">
      <c r="A57" s="0" t="s">
        <v>95</v>
      </c>
      <c r="B57" s="1" t="n">
        <v>43917</v>
      </c>
      <c r="C57" s="0" t="n">
        <v>24</v>
      </c>
      <c r="D57" s="0" t="n">
        <v>0</v>
      </c>
      <c r="E57" s="0" t="n">
        <v>1</v>
      </c>
      <c r="F57" s="0" t="n">
        <v>0</v>
      </c>
      <c r="G57" s="0" t="n">
        <v>4</v>
      </c>
      <c r="H57" s="0" t="n">
        <v>19</v>
      </c>
      <c r="J57" s="0" t="n">
        <v>1</v>
      </c>
      <c r="K57" s="0" t="n">
        <v>0.06</v>
      </c>
    </row>
    <row r="58" customFormat="false" ht="13.5" hidden="false" customHeight="false" outlineLevel="0" collapsed="false">
      <c r="A58" s="0" t="s">
        <v>95</v>
      </c>
      <c r="B58" s="1" t="n">
        <v>43918</v>
      </c>
      <c r="C58" s="0" t="n">
        <v>28</v>
      </c>
      <c r="D58" s="0" t="n">
        <v>4</v>
      </c>
      <c r="E58" s="0" t="n">
        <v>1</v>
      </c>
      <c r="F58" s="0" t="n">
        <v>0</v>
      </c>
      <c r="G58" s="0" t="n">
        <v>4</v>
      </c>
      <c r="H58" s="0" t="n">
        <v>23</v>
      </c>
      <c r="I58" s="0" t="n">
        <v>1</v>
      </c>
      <c r="J58" s="0" t="n">
        <v>2</v>
      </c>
      <c r="K58" s="0" t="n">
        <v>0.06</v>
      </c>
    </row>
    <row r="59" customFormat="false" ht="13.5" hidden="false" customHeight="false" outlineLevel="0" collapsed="false">
      <c r="A59" s="0" t="s">
        <v>95</v>
      </c>
      <c r="B59" s="1" t="n">
        <v>43919</v>
      </c>
      <c r="C59" s="0" t="n">
        <v>34</v>
      </c>
      <c r="D59" s="0" t="n">
        <v>6</v>
      </c>
      <c r="E59" s="0" t="n">
        <v>1</v>
      </c>
      <c r="F59" s="0" t="n">
        <v>0</v>
      </c>
      <c r="G59" s="0" t="n">
        <v>10</v>
      </c>
      <c r="H59" s="0" t="n">
        <v>23</v>
      </c>
      <c r="I59" s="0" t="n">
        <v>1</v>
      </c>
      <c r="J59" s="0" t="n">
        <v>2</v>
      </c>
      <c r="K59" s="0" t="n">
        <v>0.06</v>
      </c>
    </row>
    <row r="60" customFormat="false" ht="13.5" hidden="false" customHeight="false" outlineLevel="0" collapsed="false">
      <c r="A60" s="0" t="s">
        <v>95</v>
      </c>
      <c r="B60" s="1" t="n">
        <v>43920</v>
      </c>
      <c r="C60" s="0" t="n">
        <v>34</v>
      </c>
      <c r="D60" s="0" t="n">
        <v>0</v>
      </c>
      <c r="E60" s="0" t="n">
        <v>1</v>
      </c>
      <c r="F60" s="0" t="n">
        <v>0</v>
      </c>
      <c r="G60" s="0" t="n">
        <v>10</v>
      </c>
      <c r="H60" s="0" t="n">
        <v>23</v>
      </c>
      <c r="I60" s="0" t="n">
        <v>1</v>
      </c>
      <c r="J60" s="0" t="n">
        <v>2</v>
      </c>
      <c r="K60" s="0" t="n">
        <v>0.06</v>
      </c>
    </row>
    <row r="61" customFormat="false" ht="13.5" hidden="false" customHeight="false" outlineLevel="0" collapsed="false">
      <c r="A61" s="0" t="s">
        <v>95</v>
      </c>
      <c r="B61" s="1" t="n">
        <v>43921</v>
      </c>
      <c r="C61" s="0" t="n">
        <v>36</v>
      </c>
      <c r="D61" s="0" t="n">
        <v>2</v>
      </c>
      <c r="E61" s="0" t="n">
        <v>1</v>
      </c>
      <c r="F61" s="0" t="n">
        <v>0</v>
      </c>
      <c r="G61" s="0" t="n">
        <v>10</v>
      </c>
      <c r="H61" s="0" t="n">
        <v>25</v>
      </c>
      <c r="I61" s="0" t="n">
        <v>1</v>
      </c>
      <c r="J61" s="0" t="n">
        <v>2</v>
      </c>
      <c r="K61" s="0" t="n">
        <v>0.06</v>
      </c>
    </row>
    <row r="62" customFormat="false" ht="13.5" hidden="false" customHeight="false" outlineLevel="0" collapsed="false">
      <c r="A62" s="0" t="s">
        <v>95</v>
      </c>
      <c r="B62" s="1" t="n">
        <v>43922</v>
      </c>
      <c r="C62" s="0" t="n">
        <v>38</v>
      </c>
      <c r="D62" s="0" t="n">
        <v>2</v>
      </c>
      <c r="E62" s="0" t="n">
        <v>1</v>
      </c>
      <c r="F62" s="0" t="n">
        <v>0</v>
      </c>
      <c r="G62" s="0" t="n">
        <v>10</v>
      </c>
      <c r="H62" s="0" t="n">
        <v>27</v>
      </c>
      <c r="I62" s="0" t="n">
        <v>1</v>
      </c>
      <c r="J62" s="0" t="n">
        <v>2</v>
      </c>
      <c r="K62" s="0" t="n">
        <v>0.06</v>
      </c>
    </row>
    <row r="63" customFormat="false" ht="13.5" hidden="false" customHeight="false" outlineLevel="0" collapsed="false">
      <c r="A63" s="0" t="s">
        <v>95</v>
      </c>
      <c r="B63" s="1" t="n">
        <v>43923</v>
      </c>
      <c r="C63" s="0" t="n">
        <v>39</v>
      </c>
      <c r="D63" s="0" t="n">
        <v>1</v>
      </c>
      <c r="E63" s="0" t="n">
        <v>1</v>
      </c>
      <c r="F63" s="0" t="n">
        <v>0</v>
      </c>
      <c r="G63" s="0" t="n">
        <v>12</v>
      </c>
      <c r="H63" s="0" t="n">
        <v>26</v>
      </c>
      <c r="I63" s="0" t="n">
        <v>1</v>
      </c>
      <c r="J63" s="0" t="n">
        <v>2</v>
      </c>
      <c r="K63" s="0" t="n">
        <v>0.06</v>
      </c>
    </row>
    <row r="64" customFormat="false" ht="13.5" hidden="false" customHeight="false" outlineLevel="0" collapsed="false">
      <c r="A64" s="0" t="s">
        <v>95</v>
      </c>
      <c r="B64" s="1" t="n">
        <v>43924</v>
      </c>
      <c r="C64" s="0" t="n">
        <v>47</v>
      </c>
      <c r="D64" s="0" t="n">
        <v>8</v>
      </c>
      <c r="E64" s="0" t="n">
        <v>1</v>
      </c>
      <c r="F64" s="0" t="n">
        <v>0</v>
      </c>
      <c r="G64" s="0" t="n">
        <v>12</v>
      </c>
      <c r="H64" s="0" t="n">
        <v>34</v>
      </c>
      <c r="I64" s="0" t="n">
        <v>1</v>
      </c>
      <c r="J64" s="0" t="n">
        <v>3</v>
      </c>
      <c r="K64" s="0" t="n">
        <v>0.06</v>
      </c>
    </row>
    <row r="65" customFormat="false" ht="13.5" hidden="false" customHeight="false" outlineLevel="0" collapsed="false">
      <c r="A65" s="0" t="s">
        <v>95</v>
      </c>
      <c r="B65" s="1" t="n">
        <v>43925</v>
      </c>
      <c r="C65" s="0" t="n">
        <v>50</v>
      </c>
      <c r="D65" s="0" t="n">
        <v>3</v>
      </c>
      <c r="E65" s="0" t="n">
        <v>1</v>
      </c>
      <c r="F65" s="0" t="n">
        <v>0</v>
      </c>
      <c r="G65" s="0" t="n">
        <v>12</v>
      </c>
      <c r="H65" s="0" t="n">
        <v>37</v>
      </c>
      <c r="I65" s="0" t="n">
        <v>1</v>
      </c>
      <c r="J65" s="0" t="n">
        <v>3</v>
      </c>
      <c r="K65" s="0" t="n">
        <v>0.06</v>
      </c>
    </row>
    <row r="66" customFormat="false" ht="13.5" hidden="false" customHeight="false" outlineLevel="0" collapsed="false">
      <c r="A66" s="0" t="s">
        <v>95</v>
      </c>
      <c r="B66" s="1" t="n">
        <v>43926</v>
      </c>
      <c r="C66" s="0" t="n">
        <v>57</v>
      </c>
      <c r="D66" s="0" t="n">
        <v>7</v>
      </c>
      <c r="E66" s="0" t="n">
        <v>2</v>
      </c>
      <c r="F66" s="0" t="n">
        <v>1</v>
      </c>
      <c r="G66" s="0" t="n">
        <v>15</v>
      </c>
      <c r="H66" s="0" t="n">
        <v>40</v>
      </c>
      <c r="I66" s="0" t="n">
        <v>1</v>
      </c>
      <c r="J66" s="0" t="n">
        <v>3</v>
      </c>
      <c r="K66" s="0" t="n">
        <v>0.1</v>
      </c>
    </row>
    <row r="67" customFormat="false" ht="13.5" hidden="false" customHeight="false" outlineLevel="0" collapsed="false">
      <c r="A67" s="0" t="s">
        <v>95</v>
      </c>
      <c r="B67" s="1" t="n">
        <v>43927</v>
      </c>
      <c r="C67" s="0" t="n">
        <v>61</v>
      </c>
      <c r="D67" s="0" t="n">
        <v>4</v>
      </c>
      <c r="E67" s="0" t="n">
        <v>2</v>
      </c>
      <c r="F67" s="0" t="n">
        <v>0</v>
      </c>
      <c r="G67" s="0" t="n">
        <v>15</v>
      </c>
      <c r="H67" s="0" t="n">
        <v>44</v>
      </c>
      <c r="I67" s="0" t="n">
        <v>1</v>
      </c>
      <c r="J67" s="0" t="n">
        <v>3</v>
      </c>
      <c r="K67" s="0" t="n">
        <v>0.1</v>
      </c>
      <c r="L67" s="0" t="n">
        <v>1134</v>
      </c>
      <c r="M67" s="0" t="n">
        <v>63</v>
      </c>
    </row>
    <row r="68" customFormat="false" ht="13.5" hidden="false" customHeight="false" outlineLevel="0" collapsed="false">
      <c r="A68" s="0" t="s">
        <v>95</v>
      </c>
      <c r="B68" s="1" t="n">
        <v>43928</v>
      </c>
      <c r="C68" s="0" t="n">
        <v>70</v>
      </c>
      <c r="D68" s="0" t="n">
        <v>9</v>
      </c>
      <c r="E68" s="0" t="n">
        <v>3</v>
      </c>
      <c r="F68" s="0" t="n">
        <v>1</v>
      </c>
      <c r="G68" s="0" t="n">
        <v>15</v>
      </c>
      <c r="H68" s="0" t="n">
        <v>52</v>
      </c>
      <c r="I68" s="0" t="n">
        <v>3</v>
      </c>
      <c r="J68" s="0" t="n">
        <v>4</v>
      </c>
      <c r="K68" s="0" t="n">
        <v>0.2</v>
      </c>
      <c r="L68" s="0" t="n">
        <v>1134</v>
      </c>
      <c r="M68" s="0" t="n">
        <v>63</v>
      </c>
    </row>
    <row r="69" customFormat="false" ht="13.5" hidden="false" customHeight="false" outlineLevel="0" collapsed="false">
      <c r="A69" s="0" t="s">
        <v>95</v>
      </c>
      <c r="B69" s="1" t="n">
        <v>43929</v>
      </c>
      <c r="C69" s="0" t="n">
        <v>77</v>
      </c>
      <c r="D69" s="0" t="n">
        <v>7</v>
      </c>
      <c r="E69" s="0" t="n">
        <v>3</v>
      </c>
      <c r="F69" s="0" t="n">
        <v>0</v>
      </c>
      <c r="G69" s="0" t="n">
        <v>17</v>
      </c>
      <c r="H69" s="0" t="n">
        <v>57</v>
      </c>
      <c r="I69" s="0" t="n">
        <v>3</v>
      </c>
      <c r="J69" s="0" t="n">
        <v>4</v>
      </c>
      <c r="K69" s="0" t="n">
        <v>0.2</v>
      </c>
      <c r="L69" s="0" t="n">
        <v>1134</v>
      </c>
      <c r="M69" s="0" t="n">
        <v>63</v>
      </c>
    </row>
    <row r="70" customFormat="false" ht="13.5" hidden="false" customHeight="false" outlineLevel="0" collapsed="false">
      <c r="A70" s="0" t="s">
        <v>95</v>
      </c>
      <c r="B70" s="1" t="n">
        <v>43930</v>
      </c>
      <c r="C70" s="0" t="n">
        <v>87</v>
      </c>
      <c r="D70" s="0" t="n">
        <v>10</v>
      </c>
      <c r="E70" s="0" t="n">
        <v>3</v>
      </c>
      <c r="F70" s="0" t="n">
        <v>0</v>
      </c>
      <c r="G70" s="0" t="n">
        <v>17</v>
      </c>
      <c r="H70" s="0" t="n">
        <v>67</v>
      </c>
      <c r="I70" s="0" t="n">
        <v>3</v>
      </c>
      <c r="J70" s="0" t="n">
        <v>5</v>
      </c>
      <c r="K70" s="0" t="n">
        <v>0.2</v>
      </c>
      <c r="L70" s="0" t="n">
        <v>1134</v>
      </c>
      <c r="M70" s="0" t="n">
        <v>63</v>
      </c>
    </row>
    <row r="71" customFormat="false" ht="13.5" hidden="false" customHeight="false" outlineLevel="0" collapsed="false">
      <c r="A71" s="0" t="s">
        <v>95</v>
      </c>
      <c r="B71" s="1" t="n">
        <v>43931</v>
      </c>
      <c r="C71" s="0" t="n">
        <v>95</v>
      </c>
      <c r="D71" s="0" t="n">
        <v>8</v>
      </c>
      <c r="E71" s="0" t="n">
        <v>3</v>
      </c>
      <c r="F71" s="0" t="n">
        <v>0</v>
      </c>
      <c r="G71" s="0" t="n">
        <v>17</v>
      </c>
      <c r="H71" s="0" t="n">
        <v>75</v>
      </c>
      <c r="I71" s="0" t="n">
        <v>3</v>
      </c>
      <c r="J71" s="0" t="n">
        <v>5</v>
      </c>
      <c r="K71" s="0" t="n">
        <v>0.2</v>
      </c>
      <c r="L71" s="0" t="n">
        <v>1134</v>
      </c>
      <c r="M71" s="0" t="n">
        <v>63</v>
      </c>
    </row>
    <row r="72" customFormat="false" ht="13.5" hidden="false" customHeight="false" outlineLevel="0" collapsed="false">
      <c r="A72" s="0" t="s">
        <v>95</v>
      </c>
      <c r="B72" s="1" t="n">
        <v>43932</v>
      </c>
      <c r="C72" s="0" t="n">
        <v>126</v>
      </c>
      <c r="D72" s="0" t="n">
        <v>31</v>
      </c>
      <c r="E72" s="0" t="n">
        <v>3</v>
      </c>
      <c r="F72" s="0" t="n">
        <v>0</v>
      </c>
      <c r="G72" s="0" t="n">
        <v>17</v>
      </c>
      <c r="H72" s="0" t="n">
        <v>106</v>
      </c>
      <c r="I72" s="0" t="n">
        <v>3</v>
      </c>
      <c r="J72" s="0" t="n">
        <v>7</v>
      </c>
      <c r="K72" s="0" t="n">
        <v>0.2</v>
      </c>
      <c r="L72" s="0" t="n">
        <v>1134</v>
      </c>
      <c r="M72" s="0" t="n">
        <v>63</v>
      </c>
    </row>
    <row r="73" customFormat="false" ht="13.5" hidden="false" customHeight="false" outlineLevel="0" collapsed="false">
      <c r="A73" s="0" t="s">
        <v>95</v>
      </c>
      <c r="B73" s="1" t="n">
        <v>43933</v>
      </c>
      <c r="C73" s="0" t="n">
        <v>137</v>
      </c>
      <c r="D73" s="0" t="n">
        <v>11</v>
      </c>
      <c r="E73" s="0" t="n">
        <v>3</v>
      </c>
      <c r="F73" s="0" t="n">
        <v>0</v>
      </c>
      <c r="G73" s="0" t="n">
        <v>19</v>
      </c>
      <c r="H73" s="0" t="n">
        <v>115</v>
      </c>
      <c r="I73" s="0" t="n">
        <v>3</v>
      </c>
      <c r="J73" s="0" t="n">
        <v>8</v>
      </c>
      <c r="K73" s="0" t="n">
        <v>0.2</v>
      </c>
      <c r="L73" s="0" t="n">
        <v>1134</v>
      </c>
      <c r="M73" s="0" t="n">
        <v>63</v>
      </c>
    </row>
    <row r="74" customFormat="false" ht="13.5" hidden="false" customHeight="false" outlineLevel="0" collapsed="false">
      <c r="A74" s="0" t="s">
        <v>95</v>
      </c>
      <c r="B74" s="1" t="n">
        <v>43934</v>
      </c>
      <c r="C74" s="0" t="n">
        <v>155</v>
      </c>
      <c r="D74" s="0" t="n">
        <v>18</v>
      </c>
      <c r="E74" s="0" t="n">
        <v>5</v>
      </c>
      <c r="F74" s="0" t="n">
        <v>2</v>
      </c>
      <c r="G74" s="0" t="n">
        <v>19</v>
      </c>
      <c r="H74" s="0" t="n">
        <v>131</v>
      </c>
      <c r="I74" s="0" t="n">
        <v>3</v>
      </c>
      <c r="J74" s="0" t="n">
        <v>9</v>
      </c>
      <c r="K74" s="0" t="n">
        <v>0.3</v>
      </c>
      <c r="L74" s="0" t="n">
        <v>1134</v>
      </c>
      <c r="M74" s="0" t="n">
        <v>63</v>
      </c>
    </row>
    <row r="75" customFormat="false" ht="13.5" hidden="false" customHeight="false" outlineLevel="0" collapsed="false">
      <c r="A75" s="0" t="s">
        <v>95</v>
      </c>
      <c r="B75" s="1" t="n">
        <v>43935</v>
      </c>
      <c r="C75" s="0" t="n">
        <v>156</v>
      </c>
      <c r="D75" s="0" t="n">
        <v>1</v>
      </c>
      <c r="E75" s="0" t="n">
        <v>5</v>
      </c>
      <c r="F75" s="0" t="n">
        <v>0</v>
      </c>
      <c r="G75" s="0" t="n">
        <v>19</v>
      </c>
      <c r="H75" s="0" t="n">
        <v>132</v>
      </c>
      <c r="I75" s="0" t="n">
        <v>3</v>
      </c>
      <c r="J75" s="0" t="n">
        <v>9</v>
      </c>
      <c r="K75" s="0" t="n">
        <v>0.3</v>
      </c>
      <c r="L75" s="0" t="n">
        <v>1134</v>
      </c>
      <c r="M75" s="0" t="n">
        <v>63</v>
      </c>
    </row>
    <row r="76" customFormat="false" ht="13.5" hidden="false" customHeight="false" outlineLevel="0" collapsed="false">
      <c r="A76" s="0" t="s">
        <v>95</v>
      </c>
      <c r="B76" s="1" t="n">
        <v>43936</v>
      </c>
      <c r="C76" s="0" t="n">
        <v>167</v>
      </c>
      <c r="D76" s="0" t="n">
        <v>11</v>
      </c>
      <c r="E76" s="0" t="n">
        <v>5</v>
      </c>
      <c r="F76" s="0" t="n">
        <v>0</v>
      </c>
      <c r="G76" s="0" t="n">
        <v>19</v>
      </c>
      <c r="H76" s="0" t="n">
        <v>143</v>
      </c>
      <c r="I76" s="0" t="n">
        <v>3</v>
      </c>
      <c r="J76" s="0" t="n">
        <v>9</v>
      </c>
      <c r="K76" s="0" t="n">
        <v>0.3</v>
      </c>
      <c r="L76" s="0" t="n">
        <v>1134</v>
      </c>
      <c r="M76" s="0" t="n">
        <v>63</v>
      </c>
    </row>
    <row r="77" customFormat="false" ht="13.5" hidden="false" customHeight="false" outlineLevel="0" collapsed="false">
      <c r="A77" s="0" t="s">
        <v>95</v>
      </c>
      <c r="B77" s="1" t="n">
        <v>43937</v>
      </c>
      <c r="C77" s="0" t="n">
        <v>180</v>
      </c>
      <c r="D77" s="0" t="n">
        <v>13</v>
      </c>
      <c r="E77" s="0" t="n">
        <v>5</v>
      </c>
      <c r="F77" s="0" t="n">
        <v>0</v>
      </c>
      <c r="G77" s="0" t="n">
        <v>19</v>
      </c>
      <c r="H77" s="0" t="n">
        <v>156</v>
      </c>
      <c r="I77" s="0" t="n">
        <v>3</v>
      </c>
      <c r="J77" s="0" t="n">
        <v>10</v>
      </c>
      <c r="K77" s="0" t="n">
        <v>0.3</v>
      </c>
      <c r="L77" s="0" t="n">
        <v>1134</v>
      </c>
      <c r="M77" s="0" t="n">
        <v>63</v>
      </c>
    </row>
    <row r="78" customFormat="false" ht="13.5" hidden="false" customHeight="false" outlineLevel="0" collapsed="false">
      <c r="A78" s="0" t="s">
        <v>95</v>
      </c>
      <c r="B78" s="1" t="n">
        <v>43938</v>
      </c>
      <c r="C78" s="0" t="n">
        <v>196</v>
      </c>
      <c r="D78" s="0" t="n">
        <v>16</v>
      </c>
      <c r="E78" s="0" t="n">
        <v>5</v>
      </c>
      <c r="F78" s="0" t="n">
        <v>0</v>
      </c>
      <c r="G78" s="0" t="n">
        <v>19</v>
      </c>
      <c r="H78" s="0" t="n">
        <v>172</v>
      </c>
      <c r="I78" s="0" t="n">
        <v>3</v>
      </c>
      <c r="J78" s="0" t="n">
        <v>11</v>
      </c>
      <c r="K78" s="0" t="n">
        <v>0.3</v>
      </c>
      <c r="L78" s="0" t="n">
        <v>7200</v>
      </c>
      <c r="M78" s="0" t="n">
        <v>402</v>
      </c>
    </row>
    <row r="79" customFormat="false" ht="13.5" hidden="false" customHeight="false" outlineLevel="0" collapsed="false">
      <c r="A79" s="0" t="s">
        <v>95</v>
      </c>
      <c r="B79" s="1" t="n">
        <v>43939</v>
      </c>
      <c r="C79" s="0" t="n">
        <v>214</v>
      </c>
      <c r="D79" s="0" t="n">
        <v>18</v>
      </c>
      <c r="E79" s="0" t="n">
        <v>7</v>
      </c>
      <c r="F79" s="0" t="n">
        <v>2</v>
      </c>
      <c r="G79" s="0" t="n">
        <v>21</v>
      </c>
      <c r="H79" s="0" t="n">
        <v>186</v>
      </c>
      <c r="I79" s="0" t="n">
        <v>3</v>
      </c>
      <c r="J79" s="0" t="n">
        <v>12</v>
      </c>
      <c r="K79" s="0" t="n">
        <v>0.4</v>
      </c>
      <c r="L79" s="0" t="n">
        <v>7200</v>
      </c>
      <c r="M79" s="0" t="n">
        <v>402</v>
      </c>
    </row>
    <row r="80" customFormat="false" ht="13.5" hidden="false" customHeight="false" outlineLevel="0" collapsed="false">
      <c r="A80" s="0" t="s">
        <v>95</v>
      </c>
      <c r="B80" s="1" t="n">
        <v>43940</v>
      </c>
      <c r="C80" s="0" t="n">
        <v>235</v>
      </c>
      <c r="D80" s="0" t="n">
        <v>21</v>
      </c>
      <c r="E80" s="0" t="n">
        <v>7</v>
      </c>
      <c r="F80" s="0" t="n">
        <v>0</v>
      </c>
      <c r="G80" s="0" t="n">
        <v>21</v>
      </c>
      <c r="H80" s="0" t="n">
        <v>207</v>
      </c>
      <c r="I80" s="0" t="n">
        <v>3</v>
      </c>
      <c r="J80" s="0" t="n">
        <v>13</v>
      </c>
      <c r="K80" s="0" t="n">
        <v>0.4</v>
      </c>
      <c r="L80" s="0" t="n">
        <v>7200</v>
      </c>
      <c r="M80" s="0" t="n">
        <v>402</v>
      </c>
    </row>
    <row r="81" customFormat="false" ht="13.5" hidden="false" customHeight="false" outlineLevel="0" collapsed="false">
      <c r="A81" s="0" t="s">
        <v>95</v>
      </c>
      <c r="B81" s="1" t="n">
        <v>43941</v>
      </c>
      <c r="C81" s="0" t="n">
        <v>257</v>
      </c>
      <c r="D81" s="0" t="n">
        <v>22</v>
      </c>
      <c r="E81" s="0" t="n">
        <v>7</v>
      </c>
      <c r="F81" s="0" t="n">
        <v>0</v>
      </c>
      <c r="G81" s="0" t="n">
        <v>21</v>
      </c>
      <c r="H81" s="0" t="n">
        <v>229</v>
      </c>
      <c r="I81" s="0" t="n">
        <v>3</v>
      </c>
      <c r="J81" s="0" t="n">
        <v>14</v>
      </c>
      <c r="K81" s="0" t="n">
        <v>0.4</v>
      </c>
      <c r="L81" s="0" t="n">
        <v>7200</v>
      </c>
      <c r="M81" s="0" t="n">
        <v>402</v>
      </c>
    </row>
    <row r="82" customFormat="false" ht="13.5" hidden="false" customHeight="false" outlineLevel="0" collapsed="false">
      <c r="A82" s="0" t="s">
        <v>95</v>
      </c>
      <c r="B82" s="1" t="n">
        <v>43942</v>
      </c>
      <c r="C82" s="0" t="n">
        <v>289</v>
      </c>
      <c r="D82" s="0" t="n">
        <v>32</v>
      </c>
      <c r="E82" s="0" t="n">
        <v>7</v>
      </c>
      <c r="F82" s="0" t="n">
        <v>0</v>
      </c>
      <c r="G82" s="0" t="n">
        <v>21</v>
      </c>
      <c r="H82" s="0" t="n">
        <v>261</v>
      </c>
      <c r="I82" s="0" t="n">
        <v>3</v>
      </c>
      <c r="J82" s="0" t="n">
        <v>16</v>
      </c>
      <c r="K82" s="0" t="n">
        <v>0.4</v>
      </c>
      <c r="L82" s="0" t="n">
        <v>7200</v>
      </c>
      <c r="M82" s="0" t="n">
        <v>402</v>
      </c>
    </row>
    <row r="83" customFormat="false" ht="13.5" hidden="false" customHeight="false" outlineLevel="0" collapsed="false">
      <c r="A83" s="0" t="s">
        <v>95</v>
      </c>
      <c r="B83" s="1" t="n">
        <v>43943</v>
      </c>
      <c r="C83" s="0" t="n">
        <v>294</v>
      </c>
      <c r="D83" s="0" t="n">
        <v>5</v>
      </c>
      <c r="E83" s="0" t="n">
        <v>7</v>
      </c>
      <c r="F83" s="0" t="n">
        <v>0</v>
      </c>
      <c r="G83" s="0" t="n">
        <v>24</v>
      </c>
      <c r="H83" s="0" t="n">
        <v>263</v>
      </c>
      <c r="I83" s="0" t="n">
        <v>3</v>
      </c>
      <c r="J83" s="0" t="n">
        <v>16</v>
      </c>
      <c r="K83" s="0" t="n">
        <v>0.4</v>
      </c>
      <c r="L83" s="0" t="n">
        <v>7200</v>
      </c>
      <c r="M83" s="0" t="n">
        <v>402</v>
      </c>
    </row>
    <row r="84" customFormat="false" ht="13.5" hidden="false" customHeight="false" outlineLevel="0" collapsed="false">
      <c r="A84" s="0" t="s">
        <v>95</v>
      </c>
      <c r="B84" s="1" t="n">
        <v>43944</v>
      </c>
      <c r="C84" s="0" t="n">
        <v>316</v>
      </c>
      <c r="D84" s="0" t="n">
        <v>22</v>
      </c>
      <c r="E84" s="0" t="n">
        <v>8</v>
      </c>
      <c r="F84" s="0" t="n">
        <v>1</v>
      </c>
      <c r="G84" s="0" t="n">
        <v>24</v>
      </c>
      <c r="H84" s="0" t="n">
        <v>284</v>
      </c>
      <c r="I84" s="0" t="n">
        <v>3</v>
      </c>
      <c r="J84" s="0" t="n">
        <v>18</v>
      </c>
      <c r="K84" s="0" t="n">
        <v>0.4</v>
      </c>
      <c r="L84" s="0" t="n">
        <v>7200</v>
      </c>
      <c r="M84" s="0" t="n">
        <v>402</v>
      </c>
    </row>
    <row r="85" customFormat="false" ht="13.5" hidden="false" customHeight="false" outlineLevel="0" collapsed="false">
      <c r="A85" s="0" t="s">
        <v>95</v>
      </c>
      <c r="B85" s="1" t="n">
        <v>43945</v>
      </c>
      <c r="C85" s="0" t="n">
        <v>342</v>
      </c>
      <c r="D85" s="0" t="n">
        <v>26</v>
      </c>
      <c r="E85" s="0" t="n">
        <v>10</v>
      </c>
      <c r="F85" s="0" t="n">
        <v>2</v>
      </c>
      <c r="G85" s="0" t="n">
        <v>25</v>
      </c>
      <c r="H85" s="0" t="n">
        <v>307</v>
      </c>
      <c r="I85" s="0" t="n">
        <v>3</v>
      </c>
      <c r="J85" s="0" t="n">
        <v>19</v>
      </c>
      <c r="K85" s="0" t="n">
        <v>0.6</v>
      </c>
      <c r="L85" s="0" t="n">
        <v>7200</v>
      </c>
      <c r="M85" s="0" t="n">
        <v>402</v>
      </c>
    </row>
    <row r="86" customFormat="false" ht="13.5" hidden="false" customHeight="false" outlineLevel="0" collapsed="false">
      <c r="A86" s="0" t="s">
        <v>95</v>
      </c>
      <c r="B86" s="1" t="n">
        <v>43946</v>
      </c>
      <c r="C86" s="0" t="n">
        <v>384</v>
      </c>
      <c r="D86" s="0" t="n">
        <v>42</v>
      </c>
      <c r="E86" s="0" t="n">
        <v>11</v>
      </c>
      <c r="F86" s="0" t="n">
        <v>1</v>
      </c>
      <c r="G86" s="0" t="n">
        <v>30</v>
      </c>
      <c r="H86" s="0" t="n">
        <v>343</v>
      </c>
      <c r="I86" s="0" t="n">
        <v>5</v>
      </c>
      <c r="J86" s="0" t="n">
        <v>21</v>
      </c>
      <c r="K86" s="0" t="n">
        <v>0.6</v>
      </c>
      <c r="L86" s="0" t="n">
        <v>7200</v>
      </c>
      <c r="M86" s="0" t="n">
        <v>402</v>
      </c>
    </row>
    <row r="87" customFormat="false" ht="13.5" hidden="false" customHeight="false" outlineLevel="0" collapsed="false">
      <c r="A87" s="0" t="s">
        <v>95</v>
      </c>
      <c r="B87" s="1" t="n">
        <v>43947</v>
      </c>
      <c r="C87" s="0" t="n">
        <v>430</v>
      </c>
      <c r="D87" s="0" t="n">
        <v>46</v>
      </c>
      <c r="E87" s="0" t="n">
        <v>11</v>
      </c>
      <c r="F87" s="0" t="n">
        <v>0</v>
      </c>
      <c r="G87" s="0" t="n">
        <v>30</v>
      </c>
      <c r="H87" s="0" t="n">
        <v>389</v>
      </c>
      <c r="I87" s="0" t="n">
        <v>5</v>
      </c>
      <c r="J87" s="0" t="n">
        <v>24</v>
      </c>
      <c r="K87" s="0" t="n">
        <v>0.6</v>
      </c>
      <c r="L87" s="0" t="n">
        <v>7200</v>
      </c>
      <c r="M87" s="0" t="n">
        <v>402</v>
      </c>
    </row>
    <row r="88" customFormat="false" ht="13.5" hidden="false" customHeight="false" outlineLevel="0" collapsed="false">
      <c r="A88" s="0" t="s">
        <v>95</v>
      </c>
      <c r="B88" s="1" t="n">
        <v>43948</v>
      </c>
      <c r="C88" s="0" t="n">
        <v>473</v>
      </c>
      <c r="D88" s="0" t="n">
        <v>43</v>
      </c>
      <c r="E88" s="0" t="n">
        <v>13</v>
      </c>
      <c r="F88" s="0" t="n">
        <v>2</v>
      </c>
      <c r="G88" s="0" t="n">
        <v>45</v>
      </c>
      <c r="H88" s="0" t="n">
        <v>415</v>
      </c>
      <c r="I88" s="0" t="n">
        <v>5</v>
      </c>
      <c r="J88" s="0" t="n">
        <v>26</v>
      </c>
      <c r="K88" s="0" t="n">
        <v>0.7</v>
      </c>
      <c r="L88" s="0" t="n">
        <v>7200</v>
      </c>
      <c r="M88" s="0" t="n">
        <v>402</v>
      </c>
    </row>
    <row r="89" customFormat="false" ht="13.5" hidden="false" customHeight="false" outlineLevel="0" collapsed="false">
      <c r="A89" s="0" t="s">
        <v>95</v>
      </c>
      <c r="B89" s="1" t="n">
        <v>43949</v>
      </c>
      <c r="C89" s="0" t="n">
        <v>500</v>
      </c>
      <c r="D89" s="0" t="n">
        <v>27</v>
      </c>
      <c r="E89" s="0" t="n">
        <v>15</v>
      </c>
      <c r="F89" s="0" t="n">
        <v>2</v>
      </c>
      <c r="G89" s="0" t="n">
        <v>49</v>
      </c>
      <c r="H89" s="0" t="n">
        <v>436</v>
      </c>
      <c r="I89" s="0" t="n">
        <v>5</v>
      </c>
      <c r="J89" s="0" t="n">
        <v>28</v>
      </c>
      <c r="K89" s="0" t="n">
        <v>0.8</v>
      </c>
      <c r="L89" s="0" t="n">
        <v>7200</v>
      </c>
      <c r="M89" s="0" t="n">
        <v>402</v>
      </c>
    </row>
    <row r="90" customFormat="false" ht="13.5" hidden="false" customHeight="false" outlineLevel="0" collapsed="false">
      <c r="A90" s="0" t="s">
        <v>95</v>
      </c>
      <c r="B90" s="1" t="n">
        <v>43950</v>
      </c>
      <c r="C90" s="0" t="n">
        <v>530</v>
      </c>
      <c r="D90" s="0" t="n">
        <v>30</v>
      </c>
      <c r="E90" s="0" t="n">
        <v>15</v>
      </c>
      <c r="F90" s="0" t="n">
        <v>0</v>
      </c>
      <c r="G90" s="0" t="n">
        <v>49</v>
      </c>
      <c r="H90" s="0" t="n">
        <v>466</v>
      </c>
      <c r="I90" s="0" t="n">
        <v>5</v>
      </c>
      <c r="J90" s="0" t="n">
        <v>30</v>
      </c>
      <c r="K90" s="0" t="n">
        <v>0.8</v>
      </c>
      <c r="L90" s="0" t="n">
        <v>7200</v>
      </c>
      <c r="M90" s="0" t="n">
        <v>402</v>
      </c>
    </row>
    <row r="91" customFormat="false" ht="13.5" hidden="false" customHeight="false" outlineLevel="0" collapsed="false">
      <c r="A91" s="0" t="s">
        <v>95</v>
      </c>
      <c r="B91" s="1" t="n">
        <v>43951</v>
      </c>
      <c r="C91" s="0" t="n">
        <v>557</v>
      </c>
      <c r="D91" s="0" t="n">
        <v>27</v>
      </c>
      <c r="E91" s="0" t="n">
        <v>16</v>
      </c>
      <c r="F91" s="0" t="n">
        <v>1</v>
      </c>
      <c r="G91" s="0" t="n">
        <v>62</v>
      </c>
      <c r="H91" s="0" t="n">
        <v>479</v>
      </c>
      <c r="I91" s="0" t="n">
        <v>5</v>
      </c>
      <c r="J91" s="0" t="n">
        <v>31</v>
      </c>
      <c r="K91" s="0" t="n">
        <v>0.9</v>
      </c>
      <c r="L91" s="0" t="n">
        <v>7200</v>
      </c>
      <c r="M91" s="0" t="n">
        <v>402</v>
      </c>
    </row>
    <row r="92" customFormat="false" ht="13.5" hidden="false" customHeight="false" outlineLevel="0" collapsed="false">
      <c r="A92" s="0" t="s">
        <v>95</v>
      </c>
      <c r="B92" s="1" t="n">
        <v>43952</v>
      </c>
      <c r="C92" s="0" t="n">
        <v>585</v>
      </c>
      <c r="D92" s="0" t="n">
        <v>28</v>
      </c>
      <c r="E92" s="0" t="n">
        <v>16</v>
      </c>
      <c r="F92" s="0" t="n">
        <v>0</v>
      </c>
      <c r="G92" s="0" t="n">
        <v>65</v>
      </c>
      <c r="H92" s="0" t="n">
        <v>504</v>
      </c>
      <c r="I92" s="0" t="n">
        <v>5</v>
      </c>
      <c r="J92" s="0" t="n">
        <v>33</v>
      </c>
      <c r="K92" s="0" t="n">
        <v>0.9</v>
      </c>
      <c r="L92" s="0" t="n">
        <v>7200</v>
      </c>
      <c r="M92" s="0" t="n">
        <v>402</v>
      </c>
    </row>
    <row r="93" customFormat="false" ht="13.5" hidden="false" customHeight="false" outlineLevel="0" collapsed="false">
      <c r="A93" s="0" t="s">
        <v>95</v>
      </c>
      <c r="B93" s="1" t="n">
        <v>43953</v>
      </c>
      <c r="C93" s="0" t="n">
        <v>599</v>
      </c>
      <c r="D93" s="0" t="n">
        <v>14</v>
      </c>
      <c r="E93" s="0" t="n">
        <v>16</v>
      </c>
      <c r="F93" s="0" t="n">
        <v>0</v>
      </c>
      <c r="G93" s="0" t="n">
        <v>66</v>
      </c>
      <c r="H93" s="0" t="n">
        <v>517</v>
      </c>
      <c r="I93" s="0" t="n">
        <v>5</v>
      </c>
      <c r="J93" s="0" t="n">
        <v>33</v>
      </c>
      <c r="K93" s="0" t="n">
        <v>0.9</v>
      </c>
      <c r="L93" s="0" t="n">
        <v>7200</v>
      </c>
      <c r="M93" s="0" t="n">
        <v>402</v>
      </c>
    </row>
    <row r="94" customFormat="false" ht="13.5" hidden="false" customHeight="false" outlineLevel="0" collapsed="false">
      <c r="A94" s="0" t="s">
        <v>95</v>
      </c>
      <c r="B94" s="1" t="n">
        <v>43954</v>
      </c>
      <c r="C94" s="0" t="n">
        <v>644</v>
      </c>
      <c r="D94" s="0" t="n">
        <v>45</v>
      </c>
      <c r="E94" s="0" t="n">
        <v>16</v>
      </c>
      <c r="F94" s="0" t="n">
        <v>0</v>
      </c>
      <c r="G94" s="0" t="n">
        <v>72</v>
      </c>
      <c r="H94" s="0" t="n">
        <v>556</v>
      </c>
      <c r="I94" s="0" t="n">
        <v>5</v>
      </c>
      <c r="J94" s="0" t="n">
        <v>36</v>
      </c>
      <c r="K94" s="0" t="n">
        <v>0.9</v>
      </c>
      <c r="L94" s="0" t="n">
        <v>7200</v>
      </c>
      <c r="M94" s="0" t="n">
        <v>402</v>
      </c>
    </row>
    <row r="95" customFormat="false" ht="13.5" hidden="false" customHeight="false" outlineLevel="0" collapsed="false">
      <c r="A95" s="0" t="s">
        <v>95</v>
      </c>
      <c r="B95" s="1" t="n">
        <v>43955</v>
      </c>
      <c r="C95" s="0" t="n">
        <v>688</v>
      </c>
      <c r="D95" s="0" t="n">
        <v>44</v>
      </c>
      <c r="E95" s="0" t="n">
        <v>17</v>
      </c>
      <c r="F95" s="0" t="n">
        <v>1</v>
      </c>
      <c r="G95" s="0" t="n">
        <v>72</v>
      </c>
      <c r="H95" s="0" t="n">
        <v>599</v>
      </c>
      <c r="I95" s="0" t="n">
        <v>5</v>
      </c>
      <c r="J95" s="0" t="n">
        <v>38</v>
      </c>
      <c r="K95" s="0" t="n">
        <v>0.9</v>
      </c>
      <c r="L95" s="0" t="n">
        <v>7200</v>
      </c>
      <c r="M95" s="0" t="n">
        <v>402</v>
      </c>
    </row>
    <row r="96" customFormat="false" ht="13.5" hidden="false" customHeight="false" outlineLevel="0" collapsed="false">
      <c r="A96" s="0" t="s">
        <v>95</v>
      </c>
      <c r="B96" s="1" t="n">
        <v>43956</v>
      </c>
      <c r="C96" s="0" t="n">
        <v>703</v>
      </c>
      <c r="D96" s="0" t="n">
        <v>15</v>
      </c>
      <c r="E96" s="0" t="n">
        <v>17</v>
      </c>
      <c r="F96" s="0" t="n">
        <v>0</v>
      </c>
      <c r="G96" s="0" t="n">
        <v>72</v>
      </c>
      <c r="H96" s="0" t="n">
        <v>614</v>
      </c>
      <c r="I96" s="0" t="n">
        <v>5</v>
      </c>
      <c r="J96" s="0" t="n">
        <v>39</v>
      </c>
      <c r="K96" s="0" t="n">
        <v>0.9</v>
      </c>
      <c r="L96" s="0" t="n">
        <v>7200</v>
      </c>
      <c r="M96" s="0" t="n">
        <v>402</v>
      </c>
    </row>
    <row r="97" customFormat="false" ht="13.5" hidden="false" customHeight="false" outlineLevel="0" collapsed="false">
      <c r="A97" s="0" t="s">
        <v>95</v>
      </c>
      <c r="B97" s="1" t="n">
        <v>43957</v>
      </c>
      <c r="C97" s="0" t="n">
        <v>730</v>
      </c>
      <c r="D97" s="0" t="n">
        <v>27</v>
      </c>
      <c r="E97" s="0" t="n">
        <v>19</v>
      </c>
      <c r="F97" s="0" t="n">
        <v>2</v>
      </c>
      <c r="G97" s="0" t="n">
        <v>79</v>
      </c>
      <c r="H97" s="0" t="n">
        <v>632</v>
      </c>
      <c r="I97" s="0" t="n">
        <v>5</v>
      </c>
      <c r="J97" s="0" t="n">
        <v>41</v>
      </c>
      <c r="K97" s="0" t="n">
        <v>1</v>
      </c>
      <c r="L97" s="0" t="n">
        <v>7200</v>
      </c>
      <c r="M97" s="0" t="n">
        <v>402</v>
      </c>
    </row>
    <row r="98" customFormat="false" ht="13.5" hidden="false" customHeight="false" outlineLevel="0" collapsed="false">
      <c r="A98" s="0" t="s">
        <v>95</v>
      </c>
      <c r="B98" s="1" t="n">
        <v>43958</v>
      </c>
      <c r="C98" s="0" t="n">
        <v>763</v>
      </c>
      <c r="D98" s="0" t="n">
        <v>33</v>
      </c>
      <c r="E98" s="0" t="n">
        <v>19</v>
      </c>
      <c r="F98" s="0" t="n">
        <v>0</v>
      </c>
      <c r="G98" s="0" t="n">
        <v>79</v>
      </c>
      <c r="H98" s="0" t="n">
        <v>665</v>
      </c>
      <c r="I98" s="0" t="n">
        <v>5</v>
      </c>
      <c r="J98" s="0" t="n">
        <v>43</v>
      </c>
      <c r="K98" s="0" t="n">
        <v>1</v>
      </c>
      <c r="L98" s="0" t="n">
        <v>7200</v>
      </c>
      <c r="M98" s="0" t="n">
        <v>402</v>
      </c>
    </row>
    <row r="99" customFormat="false" ht="13.5" hidden="false" customHeight="false" outlineLevel="0" collapsed="false">
      <c r="A99" s="0" t="s">
        <v>95</v>
      </c>
      <c r="B99" s="1" t="n">
        <v>43959</v>
      </c>
      <c r="C99" s="0" t="n">
        <v>798</v>
      </c>
      <c r="D99" s="0" t="n">
        <v>35</v>
      </c>
      <c r="E99" s="0" t="n">
        <v>21</v>
      </c>
      <c r="F99" s="0" t="n">
        <v>2</v>
      </c>
      <c r="G99" s="0" t="n">
        <v>86</v>
      </c>
      <c r="H99" s="0" t="n">
        <v>691</v>
      </c>
      <c r="I99" s="0" t="n">
        <v>5</v>
      </c>
      <c r="J99" s="0" t="n">
        <v>45</v>
      </c>
      <c r="K99" s="0" t="n">
        <v>1</v>
      </c>
      <c r="L99" s="0" t="n">
        <v>7200</v>
      </c>
      <c r="M99" s="0" t="n">
        <v>402</v>
      </c>
    </row>
    <row r="100" customFormat="false" ht="13.5" hidden="false" customHeight="false" outlineLevel="0" collapsed="false">
      <c r="A100" s="0" t="s">
        <v>95</v>
      </c>
      <c r="B100" s="1" t="n">
        <v>43960</v>
      </c>
      <c r="C100" s="0" t="n">
        <v>832</v>
      </c>
      <c r="D100" s="0" t="n">
        <v>34</v>
      </c>
      <c r="E100" s="0" t="n">
        <v>23</v>
      </c>
      <c r="F100" s="0" t="n">
        <v>2</v>
      </c>
      <c r="G100" s="0" t="n">
        <v>90</v>
      </c>
      <c r="H100" s="0" t="n">
        <v>719</v>
      </c>
      <c r="I100" s="0" t="n">
        <v>5</v>
      </c>
      <c r="J100" s="0" t="n">
        <v>46</v>
      </c>
      <c r="K100" s="0" t="n">
        <v>1</v>
      </c>
      <c r="L100" s="0" t="n">
        <v>7200</v>
      </c>
      <c r="M100" s="0" t="n">
        <v>402</v>
      </c>
    </row>
    <row r="101" customFormat="false" ht="13.5" hidden="false" customHeight="false" outlineLevel="0" collapsed="false">
      <c r="A101" s="0" t="s">
        <v>95</v>
      </c>
      <c r="B101" s="1" t="n">
        <v>43961</v>
      </c>
      <c r="C101" s="0" t="n">
        <v>900</v>
      </c>
      <c r="D101" s="0" t="n">
        <v>68</v>
      </c>
      <c r="E101" s="0" t="n">
        <v>24</v>
      </c>
      <c r="F101" s="0" t="n">
        <v>1</v>
      </c>
      <c r="G101" s="0" t="n">
        <v>101</v>
      </c>
      <c r="H101" s="0" t="n">
        <v>775</v>
      </c>
      <c r="I101" s="0" t="n">
        <v>5</v>
      </c>
      <c r="J101" s="0" t="n">
        <v>50</v>
      </c>
      <c r="K101" s="0" t="n">
        <v>1</v>
      </c>
      <c r="L101" s="0" t="n">
        <v>7200</v>
      </c>
      <c r="M101" s="0" t="n">
        <v>402</v>
      </c>
    </row>
    <row r="102" customFormat="false" ht="13.5" hidden="false" customHeight="false" outlineLevel="0" collapsed="false">
      <c r="A102" s="0" t="s">
        <v>95</v>
      </c>
      <c r="B102" s="1" t="n">
        <v>43962</v>
      </c>
      <c r="C102" s="0" t="n">
        <v>967</v>
      </c>
      <c r="D102" s="0" t="n">
        <v>67</v>
      </c>
      <c r="E102" s="0" t="n">
        <v>24</v>
      </c>
      <c r="F102" s="0" t="n">
        <v>0</v>
      </c>
      <c r="G102" s="0" t="n">
        <v>104</v>
      </c>
      <c r="H102" s="0" t="n">
        <v>839</v>
      </c>
      <c r="I102" s="0" t="n">
        <v>5</v>
      </c>
      <c r="J102" s="0" t="n">
        <v>54</v>
      </c>
      <c r="K102" s="0" t="n">
        <v>1</v>
      </c>
      <c r="L102" s="0" t="n">
        <v>7200</v>
      </c>
      <c r="M102" s="0" t="n">
        <v>402</v>
      </c>
    </row>
    <row r="103" customFormat="false" ht="13.5" hidden="false" customHeight="false" outlineLevel="0" collapsed="false">
      <c r="A103" s="0" t="s">
        <v>95</v>
      </c>
      <c r="B103" s="1" t="n">
        <v>43963</v>
      </c>
      <c r="C103" s="0" t="n">
        <v>1052</v>
      </c>
      <c r="D103" s="0" t="n">
        <v>85</v>
      </c>
      <c r="E103" s="0" t="n">
        <v>26</v>
      </c>
      <c r="F103" s="0" t="n">
        <v>2</v>
      </c>
      <c r="G103" s="0" t="n">
        <v>110</v>
      </c>
      <c r="H103" s="0" t="n">
        <v>916</v>
      </c>
      <c r="I103" s="0" t="n">
        <v>5</v>
      </c>
      <c r="J103" s="0" t="n">
        <v>59</v>
      </c>
      <c r="K103" s="0" t="n">
        <v>1</v>
      </c>
      <c r="L103" s="0" t="n">
        <v>7200</v>
      </c>
      <c r="M103" s="0" t="n">
        <v>402</v>
      </c>
    </row>
    <row r="104" customFormat="false" ht="13.5" hidden="false" customHeight="false" outlineLevel="0" collapsed="false">
      <c r="A104" s="0" t="s">
        <v>95</v>
      </c>
      <c r="B104" s="1" t="n">
        <v>43964</v>
      </c>
      <c r="C104" s="0" t="n">
        <v>1114</v>
      </c>
      <c r="D104" s="0" t="n">
        <v>62</v>
      </c>
      <c r="E104" s="0" t="n">
        <v>26</v>
      </c>
      <c r="F104" s="0" t="n">
        <v>0</v>
      </c>
      <c r="G104" s="0" t="n">
        <v>111</v>
      </c>
      <c r="H104" s="0" t="n">
        <v>977</v>
      </c>
      <c r="I104" s="0" t="n">
        <v>5</v>
      </c>
      <c r="J104" s="0" t="n">
        <v>62</v>
      </c>
      <c r="K104" s="0" t="n">
        <v>1</v>
      </c>
      <c r="L104" s="0" t="n">
        <v>7200</v>
      </c>
      <c r="M104" s="0" t="n">
        <v>402</v>
      </c>
    </row>
    <row r="105" customFormat="false" ht="13.5" hidden="false" customHeight="false" outlineLevel="0" collapsed="false">
      <c r="A105" s="0" t="s">
        <v>95</v>
      </c>
      <c r="B105" s="1" t="n">
        <v>43965</v>
      </c>
      <c r="C105" s="0" t="n">
        <v>1199</v>
      </c>
      <c r="D105" s="0" t="n">
        <v>85</v>
      </c>
      <c r="E105" s="0" t="n">
        <v>27</v>
      </c>
      <c r="F105" s="0" t="n">
        <v>1</v>
      </c>
      <c r="G105" s="0" t="n">
        <v>120</v>
      </c>
      <c r="H105" s="0" t="n">
        <v>1052</v>
      </c>
      <c r="I105" s="0" t="n">
        <v>5</v>
      </c>
      <c r="J105" s="0" t="n">
        <v>67</v>
      </c>
      <c r="K105" s="0" t="n">
        <v>2</v>
      </c>
      <c r="L105" s="0" t="n">
        <v>7200</v>
      </c>
      <c r="M105" s="0" t="n">
        <v>402</v>
      </c>
    </row>
    <row r="106" customFormat="false" ht="13.5" hidden="false" customHeight="false" outlineLevel="0" collapsed="false">
      <c r="A106" s="0" t="s">
        <v>95</v>
      </c>
      <c r="B106" s="1" t="n">
        <v>43966</v>
      </c>
      <c r="C106" s="0" t="n">
        <v>1342</v>
      </c>
      <c r="D106" s="0" t="n">
        <v>143</v>
      </c>
      <c r="E106" s="0" t="n">
        <v>29</v>
      </c>
      <c r="F106" s="0" t="n">
        <v>2</v>
      </c>
      <c r="G106" s="0" t="n">
        <v>121</v>
      </c>
      <c r="H106" s="0" t="n">
        <v>1192</v>
      </c>
      <c r="I106" s="0" t="n">
        <v>5</v>
      </c>
      <c r="J106" s="0" t="n">
        <v>75</v>
      </c>
      <c r="K106" s="0" t="n">
        <v>2</v>
      </c>
      <c r="L106" s="0" t="n">
        <v>7200</v>
      </c>
      <c r="M106" s="0" t="n">
        <v>402</v>
      </c>
    </row>
    <row r="107" customFormat="false" ht="13.5" hidden="false" customHeight="false" outlineLevel="0" collapsed="false">
      <c r="A107" s="0" t="s">
        <v>95</v>
      </c>
      <c r="B107" s="1" t="n">
        <v>43967</v>
      </c>
      <c r="C107" s="0" t="n">
        <v>1518</v>
      </c>
      <c r="D107" s="0" t="n">
        <v>176</v>
      </c>
      <c r="E107" s="0" t="n">
        <v>29</v>
      </c>
      <c r="F107" s="0" t="n">
        <v>0</v>
      </c>
      <c r="G107" s="0" t="n">
        <v>129</v>
      </c>
      <c r="H107" s="0" t="n">
        <v>1360</v>
      </c>
      <c r="I107" s="0" t="n">
        <v>5</v>
      </c>
      <c r="J107" s="0" t="n">
        <v>85</v>
      </c>
      <c r="K107" s="0" t="n">
        <v>2</v>
      </c>
      <c r="L107" s="0" t="n">
        <v>7200</v>
      </c>
      <c r="M107" s="0" t="n">
        <v>403</v>
      </c>
    </row>
    <row r="108" customFormat="false" ht="13.5" hidden="false" customHeight="false" outlineLevel="0" collapsed="false">
      <c r="A108" s="0" t="s">
        <v>95</v>
      </c>
      <c r="B108" s="1" t="n">
        <v>43968</v>
      </c>
      <c r="C108" s="0" t="n">
        <v>1643</v>
      </c>
      <c r="D108" s="0" t="n">
        <v>125</v>
      </c>
      <c r="E108" s="0" t="n">
        <v>30</v>
      </c>
      <c r="F108" s="0" t="n">
        <v>1</v>
      </c>
      <c r="G108" s="0" t="n">
        <v>135</v>
      </c>
      <c r="H108" s="0" t="n">
        <v>1478</v>
      </c>
      <c r="I108" s="0" t="n">
        <v>5</v>
      </c>
      <c r="J108" s="0" t="n">
        <v>92</v>
      </c>
      <c r="K108" s="0" t="n">
        <v>2</v>
      </c>
      <c r="L108" s="0" t="n">
        <v>7200</v>
      </c>
      <c r="M108" s="0" t="n">
        <v>403</v>
      </c>
    </row>
    <row r="109" customFormat="false" ht="13.5" hidden="false" customHeight="false" outlineLevel="0" collapsed="false">
      <c r="A109" s="0" t="s">
        <v>95</v>
      </c>
      <c r="B109" s="1" t="n">
        <v>43969</v>
      </c>
      <c r="C109" s="0" t="n">
        <v>1763</v>
      </c>
      <c r="D109" s="0" t="n">
        <v>120</v>
      </c>
      <c r="E109" s="0" t="n">
        <v>33</v>
      </c>
      <c r="F109" s="0" t="n">
        <v>3</v>
      </c>
      <c r="G109" s="0" t="n">
        <v>138</v>
      </c>
      <c r="H109" s="0" t="n">
        <v>1592</v>
      </c>
      <c r="I109" s="0" t="n">
        <v>5</v>
      </c>
      <c r="J109" s="0" t="n">
        <v>99</v>
      </c>
      <c r="K109" s="0" t="n">
        <v>2</v>
      </c>
      <c r="L109" s="0" t="n">
        <v>7200</v>
      </c>
      <c r="M109" s="0" t="n">
        <v>403</v>
      </c>
    </row>
    <row r="110" customFormat="false" ht="13.5" hidden="false" customHeight="false" outlineLevel="0" collapsed="false">
      <c r="A110" s="0" t="s">
        <v>95</v>
      </c>
      <c r="B110" s="1" t="n">
        <v>43970</v>
      </c>
      <c r="C110" s="0" t="n">
        <v>1912</v>
      </c>
      <c r="D110" s="0" t="n">
        <v>149</v>
      </c>
      <c r="E110" s="0" t="n">
        <v>35</v>
      </c>
      <c r="F110" s="0" t="n">
        <v>2</v>
      </c>
      <c r="G110" s="0" t="n">
        <v>138</v>
      </c>
      <c r="H110" s="0" t="n">
        <v>1739</v>
      </c>
      <c r="I110" s="0" t="n">
        <v>5</v>
      </c>
      <c r="J110" s="0" t="n">
        <v>107</v>
      </c>
      <c r="K110" s="0" t="n">
        <v>2</v>
      </c>
      <c r="L110" s="0" t="n">
        <v>20820</v>
      </c>
      <c r="M110" s="0" t="n">
        <v>1165</v>
      </c>
    </row>
    <row r="111" customFormat="false" ht="13.5" hidden="false" customHeight="false" outlineLevel="0" collapsed="false">
      <c r="A111" s="0" t="s">
        <v>95</v>
      </c>
      <c r="B111" s="1" t="n">
        <v>43971</v>
      </c>
      <c r="C111" s="0" t="n">
        <v>2001</v>
      </c>
      <c r="D111" s="0" t="n">
        <v>89</v>
      </c>
      <c r="E111" s="0" t="n">
        <v>38</v>
      </c>
      <c r="F111" s="0" t="n">
        <v>3</v>
      </c>
      <c r="G111" s="0" t="n">
        <v>139</v>
      </c>
      <c r="H111" s="0" t="n">
        <v>1824</v>
      </c>
      <c r="I111" s="0" t="n">
        <v>5</v>
      </c>
      <c r="J111" s="0" t="n">
        <v>112</v>
      </c>
      <c r="K111" s="0" t="n">
        <v>2</v>
      </c>
      <c r="L111" s="0" t="n">
        <v>20820</v>
      </c>
      <c r="M111" s="0" t="n">
        <v>1165</v>
      </c>
    </row>
    <row r="112" customFormat="false" ht="13.5" hidden="false" customHeight="false" outlineLevel="0" collapsed="false">
      <c r="A112" s="0" t="s">
        <v>95</v>
      </c>
      <c r="B112" s="1" t="n">
        <v>43972</v>
      </c>
      <c r="C112" s="0" t="n">
        <v>2133</v>
      </c>
      <c r="D112" s="0" t="n">
        <v>132</v>
      </c>
      <c r="E112" s="0" t="n">
        <v>43</v>
      </c>
      <c r="F112" s="0" t="n">
        <v>5</v>
      </c>
      <c r="G112" s="0" t="n">
        <v>155</v>
      </c>
      <c r="H112" s="0" t="n">
        <v>1935</v>
      </c>
      <c r="I112" s="0" t="n">
        <v>5</v>
      </c>
      <c r="J112" s="0" t="n">
        <v>119</v>
      </c>
      <c r="K112" s="0" t="n">
        <v>2</v>
      </c>
      <c r="L112" s="0" t="n">
        <v>20820</v>
      </c>
      <c r="M112" s="0" t="n">
        <v>1165</v>
      </c>
    </row>
    <row r="113" customFormat="false" ht="13.5" hidden="false" customHeight="false" outlineLevel="0" collapsed="false">
      <c r="A113" s="0" t="s">
        <v>95</v>
      </c>
      <c r="B113" s="1" t="n">
        <v>43973</v>
      </c>
      <c r="C113" s="0" t="n">
        <v>2265</v>
      </c>
      <c r="D113" s="0" t="n">
        <v>132</v>
      </c>
      <c r="E113" s="0" t="n">
        <v>45</v>
      </c>
      <c r="F113" s="0" t="n">
        <v>2</v>
      </c>
      <c r="G113" s="0" t="n">
        <v>159</v>
      </c>
      <c r="H113" s="0" t="n">
        <v>2061</v>
      </c>
      <c r="I113" s="0" t="n">
        <v>5</v>
      </c>
      <c r="J113" s="0" t="n">
        <v>127</v>
      </c>
      <c r="K113" s="0" t="n">
        <v>3</v>
      </c>
      <c r="L113" s="0" t="n">
        <v>20820</v>
      </c>
      <c r="M113" s="0" t="n">
        <v>1165</v>
      </c>
    </row>
    <row r="114" customFormat="false" ht="13.5" hidden="false" customHeight="false" outlineLevel="0" collapsed="false">
      <c r="A114" s="0" t="s">
        <v>95</v>
      </c>
      <c r="B114" s="1" t="n">
        <v>43974</v>
      </c>
      <c r="C114" s="0" t="n">
        <v>2512</v>
      </c>
      <c r="D114" s="0" t="n">
        <v>247</v>
      </c>
      <c r="E114" s="0" t="n">
        <v>48</v>
      </c>
      <c r="F114" s="0" t="n">
        <v>3</v>
      </c>
      <c r="G114" s="0" t="n">
        <v>222</v>
      </c>
      <c r="H114" s="0" t="n">
        <v>2242</v>
      </c>
      <c r="I114" s="0" t="n">
        <v>5</v>
      </c>
      <c r="J114" s="0" t="n">
        <v>141</v>
      </c>
      <c r="K114" s="0" t="n">
        <v>3</v>
      </c>
      <c r="L114" s="0" t="n">
        <v>25464</v>
      </c>
      <c r="M114" s="0" t="n">
        <v>1424</v>
      </c>
    </row>
    <row r="115" customFormat="false" ht="13.5" hidden="false" customHeight="false" outlineLevel="0" collapsed="false">
      <c r="A115" s="0" t="s">
        <v>95</v>
      </c>
      <c r="B115" s="1" t="n">
        <v>43975</v>
      </c>
      <c r="C115" s="0" t="n">
        <v>2743</v>
      </c>
      <c r="D115" s="0" t="n">
        <v>231</v>
      </c>
      <c r="E115" s="0" t="n">
        <v>51</v>
      </c>
      <c r="F115" s="0" t="n">
        <v>3</v>
      </c>
      <c r="G115" s="0" t="n">
        <v>222</v>
      </c>
      <c r="H115" s="0" t="n">
        <v>2470</v>
      </c>
      <c r="I115" s="0" t="n">
        <v>5</v>
      </c>
      <c r="J115" s="0" t="n">
        <v>153</v>
      </c>
      <c r="K115" s="0" t="n">
        <v>3</v>
      </c>
      <c r="L115" s="0" t="n">
        <v>25464</v>
      </c>
      <c r="M115" s="0" t="n">
        <v>1424</v>
      </c>
    </row>
    <row r="116" customFormat="false" ht="13.5" hidden="false" customHeight="false" outlineLevel="0" collapsed="false">
      <c r="A116" s="0" t="s">
        <v>95</v>
      </c>
      <c r="B116" s="1" t="n">
        <v>43976</v>
      </c>
      <c r="C116" s="0" t="n">
        <v>3054</v>
      </c>
      <c r="D116" s="0" t="n">
        <v>311</v>
      </c>
      <c r="E116" s="0" t="n">
        <v>55</v>
      </c>
      <c r="F116" s="0" t="n">
        <v>4</v>
      </c>
      <c r="G116" s="0" t="n">
        <v>244</v>
      </c>
      <c r="H116" s="0" t="n">
        <v>2755</v>
      </c>
      <c r="I116" s="0" t="n">
        <v>5</v>
      </c>
      <c r="J116" s="0" t="n">
        <v>171</v>
      </c>
      <c r="K116" s="0" t="n">
        <v>3</v>
      </c>
      <c r="L116" s="0" t="n">
        <v>25464</v>
      </c>
      <c r="M116" s="0" t="n">
        <v>1424</v>
      </c>
    </row>
    <row r="117" customFormat="false" ht="13.5" hidden="false" customHeight="false" outlineLevel="0" collapsed="false">
      <c r="A117" s="0" t="s">
        <v>95</v>
      </c>
      <c r="B117" s="1" t="n">
        <v>43977</v>
      </c>
      <c r="C117" s="0" t="n">
        <v>3424</v>
      </c>
      <c r="D117" s="0" t="n">
        <v>370</v>
      </c>
      <c r="E117" s="0" t="n">
        <v>58</v>
      </c>
      <c r="F117" s="0" t="n">
        <v>3</v>
      </c>
      <c r="G117" s="0" t="n">
        <v>258</v>
      </c>
      <c r="H117" s="0" t="n">
        <v>3108</v>
      </c>
      <c r="I117" s="0" t="n">
        <v>5</v>
      </c>
      <c r="J117" s="0" t="n">
        <v>192</v>
      </c>
      <c r="K117" s="0" t="n">
        <v>3</v>
      </c>
      <c r="L117" s="0" t="n">
        <v>31427</v>
      </c>
      <c r="M117" s="0" t="n">
        <v>1758</v>
      </c>
    </row>
    <row r="118" customFormat="false" ht="13.5" hidden="false" customHeight="false" outlineLevel="0" collapsed="false">
      <c r="A118" s="0" t="s">
        <v>95</v>
      </c>
      <c r="B118" s="1" t="n">
        <v>43978</v>
      </c>
      <c r="C118" s="0" t="n">
        <v>3760</v>
      </c>
      <c r="D118" s="0" t="n">
        <v>336</v>
      </c>
      <c r="E118" s="0" t="n">
        <v>59</v>
      </c>
      <c r="F118" s="0" t="n">
        <v>1</v>
      </c>
      <c r="G118" s="0" t="n">
        <v>274</v>
      </c>
      <c r="H118" s="0" t="n">
        <v>3427</v>
      </c>
      <c r="I118" s="0" t="n">
        <v>5</v>
      </c>
      <c r="J118" s="0" t="n">
        <v>210</v>
      </c>
      <c r="K118" s="0" t="n">
        <v>3</v>
      </c>
      <c r="L118" s="0" t="n">
        <v>31427</v>
      </c>
      <c r="M118" s="0" t="n">
        <v>1758</v>
      </c>
    </row>
    <row r="119" customFormat="false" ht="13.5" hidden="false" customHeight="false" outlineLevel="0" collapsed="false">
      <c r="A119" s="0" t="s">
        <v>95</v>
      </c>
      <c r="B119" s="1" t="n">
        <v>43979</v>
      </c>
      <c r="C119" s="0" t="n">
        <v>3954</v>
      </c>
      <c r="D119" s="0" t="n">
        <v>194</v>
      </c>
      <c r="E119" s="0" t="n">
        <v>63</v>
      </c>
      <c r="F119" s="0" t="n">
        <v>4</v>
      </c>
      <c r="G119" s="0" t="n">
        <v>289</v>
      </c>
      <c r="H119" s="0" t="n">
        <v>3602</v>
      </c>
      <c r="I119" s="0" t="n">
        <v>5</v>
      </c>
      <c r="J119" s="0" t="n">
        <v>221</v>
      </c>
      <c r="K119" s="0" t="n">
        <v>4</v>
      </c>
      <c r="L119" s="0" t="n">
        <v>31427</v>
      </c>
      <c r="M119" s="0" t="n">
        <v>1758</v>
      </c>
    </row>
    <row r="120" customFormat="false" ht="13.5" hidden="false" customHeight="false" outlineLevel="0" collapsed="false">
      <c r="A120" s="0" t="s">
        <v>95</v>
      </c>
      <c r="B120" s="1" t="n">
        <v>43980</v>
      </c>
      <c r="C120" s="0" t="n">
        <v>4145</v>
      </c>
      <c r="D120" s="0" t="n">
        <v>191</v>
      </c>
      <c r="E120" s="0" t="n">
        <v>68</v>
      </c>
      <c r="F120" s="0" t="n">
        <v>5</v>
      </c>
      <c r="G120" s="0" t="n">
        <v>493</v>
      </c>
      <c r="H120" s="0" t="n">
        <v>3584</v>
      </c>
      <c r="I120" s="0" t="n">
        <v>5</v>
      </c>
      <c r="J120" s="0" t="n">
        <v>232</v>
      </c>
      <c r="K120" s="0" t="n">
        <v>4</v>
      </c>
      <c r="L120" s="0" t="n">
        <v>31427</v>
      </c>
      <c r="M120" s="0" t="n">
        <v>1757</v>
      </c>
    </row>
    <row r="121" customFormat="false" ht="13.5" hidden="false" customHeight="false" outlineLevel="0" collapsed="false">
      <c r="A121" s="0" t="s">
        <v>95</v>
      </c>
      <c r="B121" s="1" t="n">
        <v>43981</v>
      </c>
      <c r="C121" s="0" t="n">
        <v>4348</v>
      </c>
      <c r="D121" s="0" t="n">
        <v>203</v>
      </c>
      <c r="E121" s="0" t="n">
        <v>80</v>
      </c>
      <c r="F121" s="0" t="n">
        <v>12</v>
      </c>
      <c r="G121" s="0" t="n">
        <v>565</v>
      </c>
      <c r="H121" s="0" t="n">
        <v>3703</v>
      </c>
      <c r="I121" s="0" t="n">
        <v>5</v>
      </c>
      <c r="J121" s="0" t="n">
        <v>243</v>
      </c>
      <c r="K121" s="0" t="n">
        <v>4</v>
      </c>
      <c r="L121" s="0" t="n">
        <v>31427</v>
      </c>
      <c r="M121" s="0" t="n">
        <v>1757</v>
      </c>
    </row>
    <row r="122" customFormat="false" ht="13.5" hidden="false" customHeight="false" outlineLevel="0" collapsed="false">
      <c r="A122" s="0" t="s">
        <v>95</v>
      </c>
      <c r="B122" s="1" t="n">
        <v>43982</v>
      </c>
      <c r="C122" s="0" t="e">
        <f aca="false">sheet1!aud123</f>
        <v>#NAME?</v>
      </c>
      <c r="D122" s="0" t="e">
        <f aca="false">sheet1!aue123</f>
        <v>#NAME?</v>
      </c>
      <c r="E122" s="0" t="e">
        <f aca="false">sheet1!auf123</f>
        <v>#NAME?</v>
      </c>
      <c r="F122" s="0" t="e">
        <f aca="false">sheet1!aug123</f>
        <v>#NAME?</v>
      </c>
      <c r="G122" s="0" t="e">
        <f aca="false">sheet1!auh123</f>
        <v>#NAME?</v>
      </c>
      <c r="H122" s="0" t="e">
        <f aca="false">sheet1!aui123</f>
        <v>#NAME?</v>
      </c>
      <c r="I122" s="0" t="e">
        <f aca="false">sheet1!auj123</f>
        <v>#NAME?</v>
      </c>
      <c r="J122" s="0" t="e">
        <f aca="false">sheet1!auk123</f>
        <v>#NAME?</v>
      </c>
      <c r="K122" s="0" t="e">
        <f aca="false">sheet1!aul123</f>
        <v>#NAME?</v>
      </c>
      <c r="L122" s="0" t="e">
        <f aca="false">sheet1!aum123</f>
        <v>#NAME?</v>
      </c>
      <c r="M122" s="0" t="e">
        <f aca="false">sheet1!aun123</f>
        <v>#NAME?</v>
      </c>
    </row>
    <row r="123" customFormat="false" ht="13.5" hidden="false" customHeight="false" outlineLevel="0" collapsed="false">
      <c r="A123" s="0" t="s">
        <v>95</v>
      </c>
      <c r="B123" s="1" t="n">
        <v>43983</v>
      </c>
      <c r="C123" s="0" t="e">
        <f aca="false">sheet1!aud124</f>
        <v>#NAME?</v>
      </c>
      <c r="D123" s="0" t="e">
        <f aca="false">sheet1!aue124</f>
        <v>#NAME?</v>
      </c>
      <c r="E123" s="0" t="e">
        <f aca="false">sheet1!auf124</f>
        <v>#NAME?</v>
      </c>
      <c r="F123" s="0" t="e">
        <f aca="false">sheet1!aug124</f>
        <v>#NAME?</v>
      </c>
      <c r="G123" s="0" t="e">
        <f aca="false">sheet1!auh124</f>
        <v>#NAME?</v>
      </c>
      <c r="H123" s="0" t="e">
        <f aca="false">sheet1!aui124</f>
        <v>#NAME?</v>
      </c>
      <c r="I123" s="0" t="e">
        <f aca="false">sheet1!auj124</f>
        <v>#NAME?</v>
      </c>
      <c r="J123" s="0" t="e">
        <f aca="false">sheet1!auk124</f>
        <v>#NAME?</v>
      </c>
      <c r="K123" s="0" t="e">
        <f aca="false">sheet1!aul124</f>
        <v>#NAME?</v>
      </c>
      <c r="L123" s="0" t="e">
        <f aca="false">sheet1!aum124</f>
        <v>#NAME?</v>
      </c>
      <c r="M123" s="0" t="e">
        <f aca="false">sheet1!aun124</f>
        <v>#NAME?</v>
      </c>
    </row>
    <row r="124" customFormat="false" ht="13.5" hidden="false" customHeight="false" outlineLevel="0" collapsed="false">
      <c r="A124" s="0" t="s">
        <v>95</v>
      </c>
      <c r="B124" s="1" t="n">
        <v>43984</v>
      </c>
      <c r="C124" s="0" t="e">
        <f aca="false">sheet1!aud125</f>
        <v>#NAME?</v>
      </c>
      <c r="D124" s="0" t="e">
        <f aca="false">sheet1!aue125</f>
        <v>#NAME?</v>
      </c>
      <c r="E124" s="0" t="e">
        <f aca="false">sheet1!auf125</f>
        <v>#NAME?</v>
      </c>
      <c r="F124" s="0" t="e">
        <f aca="false">sheet1!aug125</f>
        <v>#NAME?</v>
      </c>
      <c r="G124" s="0" t="e">
        <f aca="false">sheet1!auh125</f>
        <v>#NAME?</v>
      </c>
      <c r="H124" s="0" t="e">
        <f aca="false">sheet1!aui125</f>
        <v>#NAME?</v>
      </c>
      <c r="I124" s="0" t="e">
        <f aca="false">sheet1!auj125</f>
        <v>#NAME?</v>
      </c>
      <c r="J124" s="0" t="e">
        <f aca="false">sheet1!auk125</f>
        <v>#NAME?</v>
      </c>
      <c r="K124" s="0" t="e">
        <f aca="false">sheet1!aul125</f>
        <v>#NAME?</v>
      </c>
      <c r="L124" s="0" t="e">
        <f aca="false">sheet1!aum125</f>
        <v>#NAME?</v>
      </c>
      <c r="M124" s="0" t="e">
        <f aca="false">sheet1!aun125</f>
        <v>#NAME?</v>
      </c>
    </row>
    <row r="125" customFormat="false" ht="13.5" hidden="false" customHeight="false" outlineLevel="0" collapsed="false">
      <c r="A125" s="0" t="s">
        <v>95</v>
      </c>
      <c r="B125" s="1" t="n">
        <v>43985</v>
      </c>
      <c r="C125" s="0" t="e">
        <f aca="false">sheet1!aud126</f>
        <v>#NAME?</v>
      </c>
      <c r="D125" s="0" t="e">
        <f aca="false">sheet1!aue126</f>
        <v>#NAME?</v>
      </c>
      <c r="E125" s="0" t="e">
        <f aca="false">sheet1!auf126</f>
        <v>#NAME?</v>
      </c>
      <c r="F125" s="0" t="e">
        <f aca="false">sheet1!aug126</f>
        <v>#NAME?</v>
      </c>
      <c r="G125" s="0" t="e">
        <f aca="false">sheet1!auh126</f>
        <v>#NAME?</v>
      </c>
      <c r="H125" s="0" t="e">
        <f aca="false">sheet1!aui126</f>
        <v>#NAME?</v>
      </c>
      <c r="I125" s="0" t="e">
        <f aca="false">sheet1!auj126</f>
        <v>#NAME?</v>
      </c>
      <c r="J125" s="0" t="e">
        <f aca="false">sheet1!auk126</f>
        <v>#NAME?</v>
      </c>
      <c r="K125" s="0" t="e">
        <f aca="false">sheet1!aul126</f>
        <v>#NAME?</v>
      </c>
      <c r="L125" s="0" t="e">
        <f aca="false">sheet1!aum126</f>
        <v>#NAME?</v>
      </c>
      <c r="M125" s="0" t="e">
        <f aca="false">sheet1!aun126</f>
        <v>#NAME?</v>
      </c>
    </row>
    <row r="126" customFormat="false" ht="13.5" hidden="false" customHeight="false" outlineLevel="0" collapsed="false">
      <c r="A126" s="0" t="s">
        <v>95</v>
      </c>
      <c r="B126" s="1" t="n">
        <v>43986</v>
      </c>
      <c r="C126" s="0" t="e">
        <f aca="false">sheet1!aud127</f>
        <v>#NAME?</v>
      </c>
      <c r="D126" s="0" t="e">
        <f aca="false">sheet1!aue127</f>
        <v>#NAME?</v>
      </c>
      <c r="E126" s="0" t="e">
        <f aca="false">sheet1!auf127</f>
        <v>#NAME?</v>
      </c>
      <c r="F126" s="0" t="e">
        <f aca="false">sheet1!aug127</f>
        <v>#NAME?</v>
      </c>
      <c r="G126" s="0" t="e">
        <f aca="false">sheet1!auh127</f>
        <v>#NAME?</v>
      </c>
      <c r="H126" s="0" t="e">
        <f aca="false">sheet1!aui127</f>
        <v>#NAME?</v>
      </c>
      <c r="I126" s="0" t="e">
        <f aca="false">sheet1!auj127</f>
        <v>#NAME?</v>
      </c>
      <c r="J126" s="0" t="e">
        <f aca="false">sheet1!auk127</f>
        <v>#NAME?</v>
      </c>
      <c r="K126" s="0" t="e">
        <f aca="false">sheet1!aul127</f>
        <v>#NAME?</v>
      </c>
      <c r="L126" s="0" t="e">
        <f aca="false">sheet1!aum127</f>
        <v>#NAME?</v>
      </c>
      <c r="M126" s="0" t="e">
        <f aca="false">sheet1!aun127</f>
        <v>#NAME?</v>
      </c>
    </row>
    <row r="127" customFormat="false" ht="13.5" hidden="false" customHeight="false" outlineLevel="0" collapsed="false">
      <c r="A127" s="0" t="s">
        <v>95</v>
      </c>
      <c r="B127" s="1" t="n">
        <v>43987</v>
      </c>
      <c r="C127" s="0" t="e">
        <f aca="false">sheet1!aud128</f>
        <v>#NAME?</v>
      </c>
      <c r="D127" s="0" t="e">
        <f aca="false">sheet1!aue128</f>
        <v>#NAME?</v>
      </c>
      <c r="E127" s="0" t="e">
        <f aca="false">sheet1!auf128</f>
        <v>#NAME?</v>
      </c>
      <c r="F127" s="0" t="e">
        <f aca="false">sheet1!aug128</f>
        <v>#NAME?</v>
      </c>
      <c r="G127" s="0" t="e">
        <f aca="false">sheet1!auh128</f>
        <v>#NAME?</v>
      </c>
      <c r="H127" s="0" t="e">
        <f aca="false">sheet1!aui128</f>
        <v>#NAME?</v>
      </c>
      <c r="I127" s="0" t="e">
        <f aca="false">sheet1!auj128</f>
        <v>#NAME?</v>
      </c>
      <c r="J127" s="0" t="e">
        <f aca="false">sheet1!auk128</f>
        <v>#NAME?</v>
      </c>
      <c r="K127" s="0" t="e">
        <f aca="false">sheet1!aul128</f>
        <v>#NAME?</v>
      </c>
      <c r="L127" s="0" t="e">
        <f aca="false">sheet1!aum128</f>
        <v>#NAME?</v>
      </c>
      <c r="M127" s="0" t="e">
        <f aca="false">sheet1!aun128</f>
        <v>#NAME?</v>
      </c>
    </row>
    <row r="128" customFormat="false" ht="13.5" hidden="false" customHeight="false" outlineLevel="0" collapsed="false">
      <c r="A128" s="0" t="s">
        <v>95</v>
      </c>
      <c r="B128" s="1" t="n">
        <v>43988</v>
      </c>
      <c r="C128" s="0" t="e">
        <f aca="false">sheet1!aud129</f>
        <v>#NAME?</v>
      </c>
      <c r="D128" s="0" t="e">
        <f aca="false">sheet1!aue129</f>
        <v>#NAME?</v>
      </c>
      <c r="E128" s="0" t="e">
        <f aca="false">sheet1!auf129</f>
        <v>#NAME?</v>
      </c>
      <c r="F128" s="0" t="e">
        <f aca="false">sheet1!aug129</f>
        <v>#NAME?</v>
      </c>
      <c r="G128" s="0" t="e">
        <f aca="false">sheet1!auh129</f>
        <v>#NAME?</v>
      </c>
      <c r="H128" s="0" t="e">
        <f aca="false">sheet1!aui129</f>
        <v>#NAME?</v>
      </c>
      <c r="I128" s="0" t="e">
        <f aca="false">sheet1!auj129</f>
        <v>#NAME?</v>
      </c>
      <c r="J128" s="0" t="e">
        <f aca="false">sheet1!auk129</f>
        <v>#NAME?</v>
      </c>
      <c r="K128" s="0" t="e">
        <f aca="false">sheet1!aul129</f>
        <v>#NAME?</v>
      </c>
      <c r="L128" s="0" t="e">
        <f aca="false">sheet1!aum129</f>
        <v>#NAME?</v>
      </c>
      <c r="M128" s="0" t="e">
        <f aca="false">sheet1!aun129</f>
        <v>#NAME?</v>
      </c>
    </row>
    <row r="129" customFormat="false" ht="13.5" hidden="false" customHeight="false" outlineLevel="0" collapsed="false">
      <c r="A129" s="0" t="s">
        <v>95</v>
      </c>
      <c r="B129" s="1" t="n">
        <v>43989</v>
      </c>
      <c r="C129" s="0" t="e">
        <f aca="false">sheet1!aud130</f>
        <v>#NAME?</v>
      </c>
      <c r="D129" s="0" t="e">
        <f aca="false">sheet1!aue130</f>
        <v>#NAME?</v>
      </c>
      <c r="E129" s="0" t="e">
        <f aca="false">sheet1!auf130</f>
        <v>#NAME?</v>
      </c>
      <c r="F129" s="0" t="e">
        <f aca="false">sheet1!aug130</f>
        <v>#NAME?</v>
      </c>
      <c r="G129" s="0" t="e">
        <f aca="false">sheet1!auh130</f>
        <v>#NAME?</v>
      </c>
      <c r="H129" s="0" t="e">
        <f aca="false">sheet1!aui130</f>
        <v>#NAME?</v>
      </c>
      <c r="I129" s="0" t="e">
        <f aca="false">sheet1!auj130</f>
        <v>#NAME?</v>
      </c>
      <c r="J129" s="0" t="e">
        <f aca="false">sheet1!auk130</f>
        <v>#NAME?</v>
      </c>
      <c r="K129" s="0" t="e">
        <f aca="false">sheet1!aul130</f>
        <v>#NAME?</v>
      </c>
      <c r="L129" s="0" t="e">
        <f aca="false">sheet1!aum130</f>
        <v>#NAME?</v>
      </c>
      <c r="M129" s="0" t="e">
        <f aca="false">sheet1!aun130</f>
        <v>#NAME?</v>
      </c>
    </row>
    <row r="130" customFormat="false" ht="13.5" hidden="false" customHeight="false" outlineLevel="0" collapsed="false">
      <c r="A130" s="0" t="s">
        <v>95</v>
      </c>
      <c r="B130" s="1" t="n">
        <v>43990</v>
      </c>
      <c r="C130" s="0" t="e">
        <f aca="false">sheet1!aud131</f>
        <v>#NAME?</v>
      </c>
      <c r="D130" s="0" t="e">
        <f aca="false">sheet1!aue131</f>
        <v>#NAME?</v>
      </c>
      <c r="E130" s="0" t="e">
        <f aca="false">sheet1!auf131</f>
        <v>#NAME?</v>
      </c>
      <c r="F130" s="0" t="e">
        <f aca="false">sheet1!aug131</f>
        <v>#NAME?</v>
      </c>
      <c r="G130" s="0" t="e">
        <f aca="false">sheet1!auh131</f>
        <v>#NAME?</v>
      </c>
      <c r="H130" s="0" t="e">
        <f aca="false">sheet1!aui131</f>
        <v>#NAME?</v>
      </c>
      <c r="I130" s="0" t="e">
        <f aca="false">sheet1!auj131</f>
        <v>#NAME?</v>
      </c>
      <c r="J130" s="0" t="e">
        <f aca="false">sheet1!auk131</f>
        <v>#NAME?</v>
      </c>
      <c r="K130" s="0" t="e">
        <f aca="false">sheet1!aul131</f>
        <v>#NAME?</v>
      </c>
      <c r="L130" s="0" t="e">
        <f aca="false">sheet1!aum131</f>
        <v>#NAME?</v>
      </c>
      <c r="M130" s="0" t="e">
        <f aca="false">sheet1!aun131</f>
        <v>#NAME?</v>
      </c>
    </row>
    <row r="131" customFormat="false" ht="13.5" hidden="false" customHeight="false" outlineLevel="0" collapsed="false">
      <c r="A131" s="0" t="s">
        <v>95</v>
      </c>
      <c r="B131" s="1" t="n">
        <v>43991</v>
      </c>
      <c r="C131" s="0" t="e">
        <f aca="false">sheet1!aud132</f>
        <v>#NAME?</v>
      </c>
      <c r="D131" s="0" t="e">
        <f aca="false">sheet1!aue132</f>
        <v>#NAME?</v>
      </c>
      <c r="E131" s="0" t="e">
        <f aca="false">sheet1!auf132</f>
        <v>#NAME?</v>
      </c>
      <c r="F131" s="0" t="e">
        <f aca="false">sheet1!aug132</f>
        <v>#NAME?</v>
      </c>
      <c r="G131" s="0" t="e">
        <f aca="false">sheet1!auh132</f>
        <v>#NAME?</v>
      </c>
      <c r="H131" s="0" t="e">
        <f aca="false">sheet1!aui132</f>
        <v>#NAME?</v>
      </c>
      <c r="I131" s="0" t="e">
        <f aca="false">sheet1!auj132</f>
        <v>#NAME?</v>
      </c>
      <c r="J131" s="0" t="e">
        <f aca="false">sheet1!auk132</f>
        <v>#NAME?</v>
      </c>
      <c r="K131" s="0" t="e">
        <f aca="false">sheet1!aul132</f>
        <v>#NAME?</v>
      </c>
      <c r="L131" s="0" t="e">
        <f aca="false">sheet1!aum132</f>
        <v>#NAME?</v>
      </c>
      <c r="M131" s="0" t="e">
        <f aca="false">sheet1!aun132</f>
        <v>#NAME?</v>
      </c>
    </row>
    <row r="132" customFormat="false" ht="13.5" hidden="false" customHeight="false" outlineLevel="0" collapsed="false">
      <c r="A132" s="0" t="s">
        <v>95</v>
      </c>
      <c r="B132" s="1" t="n">
        <v>43992</v>
      </c>
      <c r="C132" s="0" t="e">
        <f aca="false">sheet1!aud133</f>
        <v>#NAME?</v>
      </c>
      <c r="D132" s="0" t="e">
        <f aca="false">sheet1!aue133</f>
        <v>#NAME?</v>
      </c>
      <c r="E132" s="0" t="e">
        <f aca="false">sheet1!auf133</f>
        <v>#NAME?</v>
      </c>
      <c r="F132" s="0" t="e">
        <f aca="false">sheet1!aug133</f>
        <v>#NAME?</v>
      </c>
      <c r="G132" s="0" t="e">
        <f aca="false">sheet1!auh133</f>
        <v>#NAME?</v>
      </c>
      <c r="H132" s="0" t="e">
        <f aca="false">sheet1!aui133</f>
        <v>#NAME?</v>
      </c>
      <c r="I132" s="0" t="e">
        <f aca="false">sheet1!auj133</f>
        <v>#NAME?</v>
      </c>
      <c r="J132" s="0" t="e">
        <f aca="false">sheet1!auk133</f>
        <v>#NAME?</v>
      </c>
      <c r="K132" s="0" t="e">
        <f aca="false">sheet1!aul133</f>
        <v>#NAME?</v>
      </c>
      <c r="L132" s="0" t="e">
        <f aca="false">sheet1!aum133</f>
        <v>#NAME?</v>
      </c>
      <c r="M132" s="0" t="e">
        <f aca="false">sheet1!aun133</f>
        <v>#NAME?</v>
      </c>
    </row>
    <row r="133" customFormat="false" ht="13.5" hidden="false" customHeight="false" outlineLevel="0" collapsed="false">
      <c r="A133" s="0" t="s">
        <v>95</v>
      </c>
      <c r="B133" s="1" t="n">
        <v>43993</v>
      </c>
      <c r="C133" s="0" t="e">
        <f aca="false">sheet1!aud134</f>
        <v>#NAME?</v>
      </c>
      <c r="D133" s="0" t="e">
        <f aca="false">sheet1!aue134</f>
        <v>#NAME?</v>
      </c>
      <c r="E133" s="0" t="e">
        <f aca="false">sheet1!auf134</f>
        <v>#NAME?</v>
      </c>
      <c r="F133" s="0" t="e">
        <f aca="false">sheet1!aug134</f>
        <v>#NAME?</v>
      </c>
      <c r="G133" s="0" t="e">
        <f aca="false">sheet1!auh134</f>
        <v>#NAME?</v>
      </c>
      <c r="H133" s="0" t="e">
        <f aca="false">sheet1!aui134</f>
        <v>#NAME?</v>
      </c>
      <c r="I133" s="0" t="e">
        <f aca="false">sheet1!auj134</f>
        <v>#NAME?</v>
      </c>
      <c r="J133" s="0" t="e">
        <f aca="false">sheet1!auk134</f>
        <v>#NAME?</v>
      </c>
      <c r="K133" s="0" t="e">
        <f aca="false">sheet1!aul134</f>
        <v>#NAME?</v>
      </c>
      <c r="L133" s="0" t="e">
        <f aca="false">sheet1!aum134</f>
        <v>#NAME?</v>
      </c>
      <c r="M133" s="0" t="e">
        <f aca="false">sheet1!aun134</f>
        <v>#NAME?</v>
      </c>
    </row>
    <row r="134" customFormat="false" ht="13.5" hidden="false" customHeight="false" outlineLevel="0" collapsed="false">
      <c r="A134" s="0" t="s">
        <v>95</v>
      </c>
      <c r="B134" s="1" t="n">
        <v>43994</v>
      </c>
      <c r="C134" s="0" t="e">
        <f aca="false">sheet1!aud135</f>
        <v>#NAME?</v>
      </c>
      <c r="D134" s="0" t="e">
        <f aca="false">sheet1!aue135</f>
        <v>#NAME?</v>
      </c>
      <c r="E134" s="0" t="e">
        <f aca="false">sheet1!auf135</f>
        <v>#NAME?</v>
      </c>
      <c r="F134" s="0" t="e">
        <f aca="false">sheet1!aug135</f>
        <v>#NAME?</v>
      </c>
      <c r="G134" s="0" t="e">
        <f aca="false">sheet1!auh135</f>
        <v>#NAME?</v>
      </c>
      <c r="H134" s="0" t="e">
        <f aca="false">sheet1!aui135</f>
        <v>#NAME?</v>
      </c>
      <c r="I134" s="0" t="e">
        <f aca="false">sheet1!auj135</f>
        <v>#NAME?</v>
      </c>
      <c r="J134" s="0" t="e">
        <f aca="false">sheet1!auk135</f>
        <v>#NAME?</v>
      </c>
      <c r="K134" s="0" t="e">
        <f aca="false">sheet1!aul135</f>
        <v>#NAME?</v>
      </c>
      <c r="L134" s="0" t="e">
        <f aca="false">sheet1!aum135</f>
        <v>#NAME?</v>
      </c>
      <c r="M134" s="0" t="e">
        <f aca="false">sheet1!aun135</f>
        <v>#NAME?</v>
      </c>
    </row>
    <row r="135" customFormat="false" ht="13.5" hidden="false" customHeight="false" outlineLevel="0" collapsed="false">
      <c r="A135" s="0" t="s">
        <v>95</v>
      </c>
      <c r="B135" s="1" t="n">
        <v>43995</v>
      </c>
      <c r="C135" s="0" t="e">
        <f aca="false">sheet1!aud136</f>
        <v>#NAME?</v>
      </c>
      <c r="D135" s="0" t="e">
        <f aca="false">sheet1!aue136</f>
        <v>#NAME?</v>
      </c>
      <c r="E135" s="0" t="e">
        <f aca="false">sheet1!auf136</f>
        <v>#NAME?</v>
      </c>
      <c r="F135" s="0" t="e">
        <f aca="false">sheet1!aug136</f>
        <v>#NAME?</v>
      </c>
      <c r="G135" s="0" t="e">
        <f aca="false">sheet1!auh136</f>
        <v>#NAME?</v>
      </c>
      <c r="H135" s="0" t="e">
        <f aca="false">sheet1!aui136</f>
        <v>#NAME?</v>
      </c>
      <c r="I135" s="0" t="e">
        <f aca="false">sheet1!auj136</f>
        <v>#NAME?</v>
      </c>
      <c r="J135" s="0" t="e">
        <f aca="false">sheet1!auk136</f>
        <v>#NAME?</v>
      </c>
      <c r="K135" s="0" t="e">
        <f aca="false">sheet1!aul136</f>
        <v>#NAME?</v>
      </c>
      <c r="L135" s="0" t="e">
        <f aca="false">sheet1!aum136</f>
        <v>#NAME?</v>
      </c>
      <c r="M135" s="0" t="e">
        <f aca="false">sheet1!aun136</f>
        <v>#NAME?</v>
      </c>
    </row>
    <row r="136" customFormat="false" ht="13.5" hidden="false" customHeight="false" outlineLevel="0" collapsed="false">
      <c r="A136" s="0" t="s">
        <v>95</v>
      </c>
      <c r="B136" s="1" t="n">
        <v>43996</v>
      </c>
      <c r="C136" s="0" t="e">
        <f aca="false">sheet1!aud137</f>
        <v>#NAME?</v>
      </c>
      <c r="D136" s="0" t="e">
        <f aca="false">sheet1!aue137</f>
        <v>#NAME?</v>
      </c>
      <c r="E136" s="0" t="e">
        <f aca="false">sheet1!auf137</f>
        <v>#NAME?</v>
      </c>
      <c r="F136" s="0" t="e">
        <f aca="false">sheet1!aug137</f>
        <v>#NAME?</v>
      </c>
      <c r="G136" s="0" t="e">
        <f aca="false">sheet1!auh137</f>
        <v>#NAME?</v>
      </c>
      <c r="H136" s="0" t="e">
        <f aca="false">sheet1!aui137</f>
        <v>#NAME?</v>
      </c>
      <c r="I136" s="0" t="e">
        <f aca="false">sheet1!auj137</f>
        <v>#NAME?</v>
      </c>
      <c r="J136" s="0" t="e">
        <f aca="false">sheet1!auk137</f>
        <v>#NAME?</v>
      </c>
      <c r="K136" s="0" t="e">
        <f aca="false">sheet1!aul137</f>
        <v>#NAME?</v>
      </c>
      <c r="L136" s="0" t="e">
        <f aca="false">sheet1!aum137</f>
        <v>#NAME?</v>
      </c>
      <c r="M136" s="0" t="e">
        <f aca="false">sheet1!aun137</f>
        <v>#NAME?</v>
      </c>
    </row>
    <row r="137" customFormat="false" ht="13.5" hidden="false" customHeight="false" outlineLevel="0" collapsed="false">
      <c r="A137" s="0" t="s">
        <v>95</v>
      </c>
      <c r="B137" s="1" t="n">
        <v>43997</v>
      </c>
      <c r="C137" s="0" t="e">
        <f aca="false">sheet1!aud138</f>
        <v>#NAME?</v>
      </c>
      <c r="D137" s="0" t="e">
        <f aca="false">sheet1!aue138</f>
        <v>#NAME?</v>
      </c>
      <c r="E137" s="0" t="e">
        <f aca="false">sheet1!auf138</f>
        <v>#NAME?</v>
      </c>
      <c r="F137" s="0" t="e">
        <f aca="false">sheet1!aug138</f>
        <v>#NAME?</v>
      </c>
      <c r="G137" s="0" t="e">
        <f aca="false">sheet1!auh138</f>
        <v>#NAME?</v>
      </c>
      <c r="H137" s="0" t="e">
        <f aca="false">sheet1!aui138</f>
        <v>#NAME?</v>
      </c>
      <c r="I137" s="0" t="e">
        <f aca="false">sheet1!auj138</f>
        <v>#NAME?</v>
      </c>
      <c r="J137" s="0" t="e">
        <f aca="false">sheet1!auk138</f>
        <v>#NAME?</v>
      </c>
      <c r="K137" s="0" t="e">
        <f aca="false">sheet1!aul138</f>
        <v>#NAME?</v>
      </c>
      <c r="L137" s="0" t="e">
        <f aca="false">sheet1!aum138</f>
        <v>#NAME?</v>
      </c>
      <c r="M137" s="0" t="e">
        <f aca="false">sheet1!aun138</f>
        <v>#NAME?</v>
      </c>
    </row>
    <row r="138" customFormat="false" ht="13.5" hidden="false" customHeight="false" outlineLevel="0" collapsed="false">
      <c r="A138" s="0" t="s">
        <v>95</v>
      </c>
      <c r="B138" s="1" t="n">
        <v>43998</v>
      </c>
      <c r="C138" s="0" t="e">
        <f aca="false">sheet1!aud139</f>
        <v>#NAME?</v>
      </c>
      <c r="D138" s="0" t="e">
        <f aca="false">sheet1!aue139</f>
        <v>#NAME?</v>
      </c>
      <c r="E138" s="0" t="e">
        <f aca="false">sheet1!auf139</f>
        <v>#NAME?</v>
      </c>
      <c r="F138" s="0" t="e">
        <f aca="false">sheet1!aug139</f>
        <v>#NAME?</v>
      </c>
      <c r="G138" s="0" t="e">
        <f aca="false">sheet1!auh139</f>
        <v>#NAME?</v>
      </c>
      <c r="H138" s="0" t="e">
        <f aca="false">sheet1!aui139</f>
        <v>#NAME?</v>
      </c>
      <c r="I138" s="0" t="e">
        <f aca="false">sheet1!auj139</f>
        <v>#NAME?</v>
      </c>
      <c r="J138" s="0" t="e">
        <f aca="false">sheet1!auk139</f>
        <v>#NAME?</v>
      </c>
      <c r="K138" s="0" t="e">
        <f aca="false">sheet1!aul139</f>
        <v>#NAME?</v>
      </c>
      <c r="L138" s="0" t="e">
        <f aca="false">sheet1!aum139</f>
        <v>#NAME?</v>
      </c>
      <c r="M138" s="0" t="e">
        <f aca="false">sheet1!aun139</f>
        <v>#NAME?</v>
      </c>
    </row>
    <row r="139" customFormat="false" ht="13.5" hidden="false" customHeight="false" outlineLevel="0" collapsed="false">
      <c r="A139" s="0" t="s">
        <v>95</v>
      </c>
      <c r="B139" s="1" t="n">
        <v>43999</v>
      </c>
      <c r="C139" s="0" t="e">
        <f aca="false">sheet1!aud140</f>
        <v>#NAME?</v>
      </c>
      <c r="D139" s="0" t="e">
        <f aca="false">sheet1!aue140</f>
        <v>#NAME?</v>
      </c>
      <c r="E139" s="0" t="e">
        <f aca="false">sheet1!auf140</f>
        <v>#NAME?</v>
      </c>
      <c r="F139" s="0" t="e">
        <f aca="false">sheet1!aug140</f>
        <v>#NAME?</v>
      </c>
      <c r="G139" s="0" t="e">
        <f aca="false">sheet1!auh140</f>
        <v>#NAME?</v>
      </c>
      <c r="H139" s="0" t="e">
        <f aca="false">sheet1!aui140</f>
        <v>#NAME?</v>
      </c>
      <c r="I139" s="0" t="e">
        <f aca="false">sheet1!auj140</f>
        <v>#NAME?</v>
      </c>
      <c r="J139" s="0" t="e">
        <f aca="false">sheet1!auk140</f>
        <v>#NAME?</v>
      </c>
      <c r="K139" s="0" t="e">
        <f aca="false">sheet1!aul140</f>
        <v>#NAME?</v>
      </c>
      <c r="L139" s="0" t="e">
        <f aca="false">sheet1!aum140</f>
        <v>#NAME?</v>
      </c>
      <c r="M139" s="0" t="e">
        <f aca="false">sheet1!aun140</f>
        <v>#NAME?</v>
      </c>
    </row>
    <row r="140" customFormat="false" ht="13.5" hidden="false" customHeight="false" outlineLevel="0" collapsed="false">
      <c r="A140" s="0" t="s">
        <v>95</v>
      </c>
      <c r="B140" s="1" t="n">
        <v>44000</v>
      </c>
      <c r="C140" s="0" t="e">
        <f aca="false">sheet1!aud141</f>
        <v>#NAME?</v>
      </c>
      <c r="D140" s="0" t="e">
        <f aca="false">sheet1!aue141</f>
        <v>#NAME?</v>
      </c>
      <c r="E140" s="0" t="e">
        <f aca="false">sheet1!auf141</f>
        <v>#NAME?</v>
      </c>
      <c r="F140" s="0" t="e">
        <f aca="false">sheet1!aug141</f>
        <v>#NAME?</v>
      </c>
      <c r="G140" s="0" t="e">
        <f aca="false">sheet1!auh141</f>
        <v>#NAME?</v>
      </c>
      <c r="H140" s="0" t="e">
        <f aca="false">sheet1!aui141</f>
        <v>#NAME?</v>
      </c>
      <c r="I140" s="0" t="e">
        <f aca="false">sheet1!auj141</f>
        <v>#NAME?</v>
      </c>
      <c r="J140" s="0" t="e">
        <f aca="false">sheet1!auk141</f>
        <v>#NAME?</v>
      </c>
      <c r="K140" s="0" t="e">
        <f aca="false">sheet1!aul141</f>
        <v>#NAME?</v>
      </c>
      <c r="L140" s="0" t="e">
        <f aca="false">sheet1!aum141</f>
        <v>#NAME?</v>
      </c>
      <c r="M140" s="0" t="e">
        <f aca="false">sheet1!aun141</f>
        <v>#NAME?</v>
      </c>
    </row>
    <row r="141" customFormat="false" ht="13.5" hidden="false" customHeight="false" outlineLevel="0" collapsed="false">
      <c r="A141" s="0" t="s">
        <v>95</v>
      </c>
      <c r="B141" s="1" t="n">
        <v>44001</v>
      </c>
      <c r="C141" s="0" t="e">
        <f aca="false">sheet1!aud142</f>
        <v>#NAME?</v>
      </c>
      <c r="D141" s="0" t="e">
        <f aca="false">sheet1!aue142</f>
        <v>#NAME?</v>
      </c>
      <c r="E141" s="0" t="e">
        <f aca="false">sheet1!auf142</f>
        <v>#NAME?</v>
      </c>
      <c r="F141" s="0" t="e">
        <f aca="false">sheet1!aug142</f>
        <v>#NAME?</v>
      </c>
      <c r="G141" s="0" t="e">
        <f aca="false">sheet1!auh142</f>
        <v>#NAME?</v>
      </c>
      <c r="H141" s="0" t="e">
        <f aca="false">sheet1!aui142</f>
        <v>#NAME?</v>
      </c>
      <c r="I141" s="0" t="e">
        <f aca="false">sheet1!auj142</f>
        <v>#NAME?</v>
      </c>
      <c r="J141" s="0" t="e">
        <f aca="false">sheet1!auk142</f>
        <v>#NAME?</v>
      </c>
      <c r="K141" s="0" t="e">
        <f aca="false">sheet1!aul142</f>
        <v>#NAME?</v>
      </c>
      <c r="L141" s="0" t="e">
        <f aca="false">sheet1!aum142</f>
        <v>#NAME?</v>
      </c>
      <c r="M141" s="0" t="e">
        <f aca="false">sheet1!aun142</f>
        <v>#NAME?</v>
      </c>
    </row>
    <row r="142" customFormat="false" ht="13.5" hidden="false" customHeight="false" outlineLevel="0" collapsed="false">
      <c r="A142" s="0" t="s">
        <v>95</v>
      </c>
      <c r="B142" s="1" t="n">
        <v>44002</v>
      </c>
      <c r="C142" s="0" t="e">
        <f aca="false">sheet1!aud143</f>
        <v>#NAME?</v>
      </c>
      <c r="D142" s="0" t="e">
        <f aca="false">sheet1!aue143</f>
        <v>#NAME?</v>
      </c>
      <c r="E142" s="0" t="e">
        <f aca="false">sheet1!auf143</f>
        <v>#NAME?</v>
      </c>
      <c r="F142" s="0" t="e">
        <f aca="false">sheet1!aug143</f>
        <v>#NAME?</v>
      </c>
      <c r="G142" s="0" t="e">
        <f aca="false">sheet1!auh143</f>
        <v>#NAME?</v>
      </c>
      <c r="H142" s="0" t="e">
        <f aca="false">sheet1!aui143</f>
        <v>#NAME?</v>
      </c>
      <c r="I142" s="0" t="e">
        <f aca="false">sheet1!auj143</f>
        <v>#NAME?</v>
      </c>
      <c r="J142" s="0" t="e">
        <f aca="false">sheet1!auk143</f>
        <v>#NAME?</v>
      </c>
      <c r="K142" s="0" t="e">
        <f aca="false">sheet1!aul143</f>
        <v>#NAME?</v>
      </c>
      <c r="L142" s="0" t="e">
        <f aca="false">sheet1!aum143</f>
        <v>#NAME?</v>
      </c>
      <c r="M142" s="0" t="e">
        <f aca="false">sheet1!aun143</f>
        <v>#NAME?</v>
      </c>
    </row>
    <row r="143" customFormat="false" ht="13.5" hidden="false" customHeight="false" outlineLevel="0" collapsed="false">
      <c r="A143" s="0" t="s">
        <v>95</v>
      </c>
      <c r="B143" s="1" t="n">
        <v>44003</v>
      </c>
      <c r="C143" s="0" t="e">
        <f aca="false">sheet1!aud144</f>
        <v>#NAME?</v>
      </c>
      <c r="D143" s="0" t="e">
        <f aca="false">sheet1!aue144</f>
        <v>#NAME?</v>
      </c>
      <c r="E143" s="0" t="e">
        <f aca="false">sheet1!auf144</f>
        <v>#NAME?</v>
      </c>
      <c r="F143" s="0" t="e">
        <f aca="false">sheet1!aug144</f>
        <v>#NAME?</v>
      </c>
      <c r="G143" s="0" t="e">
        <f aca="false">sheet1!auh144</f>
        <v>#NAME?</v>
      </c>
      <c r="H143" s="0" t="e">
        <f aca="false">sheet1!aui144</f>
        <v>#NAME?</v>
      </c>
      <c r="I143" s="0" t="e">
        <f aca="false">sheet1!auj144</f>
        <v>#NAME?</v>
      </c>
      <c r="J143" s="0" t="e">
        <f aca="false">sheet1!auk144</f>
        <v>#NAME?</v>
      </c>
      <c r="K143" s="0" t="e">
        <f aca="false">sheet1!aul144</f>
        <v>#NAME?</v>
      </c>
      <c r="L143" s="0" t="e">
        <f aca="false">sheet1!aum144</f>
        <v>#NAME?</v>
      </c>
      <c r="M143" s="0" t="e">
        <f aca="false">sheet1!aun144</f>
        <v>#NAME?</v>
      </c>
    </row>
    <row r="144" customFormat="false" ht="13.5" hidden="false" customHeight="false" outlineLevel="0" collapsed="false">
      <c r="A144" s="0" t="s">
        <v>95</v>
      </c>
      <c r="B144" s="1" t="n">
        <v>44004</v>
      </c>
      <c r="C144" s="0" t="e">
        <f aca="false">sheet1!aud145</f>
        <v>#NAME?</v>
      </c>
      <c r="D144" s="0" t="e">
        <f aca="false">sheet1!aue145</f>
        <v>#NAME?</v>
      </c>
      <c r="E144" s="0" t="e">
        <f aca="false">sheet1!auf145</f>
        <v>#NAME?</v>
      </c>
      <c r="F144" s="0" t="e">
        <f aca="false">sheet1!aug145</f>
        <v>#NAME?</v>
      </c>
      <c r="G144" s="0" t="e">
        <f aca="false">sheet1!auh145</f>
        <v>#NAME?</v>
      </c>
      <c r="H144" s="0" t="e">
        <f aca="false">sheet1!aui145</f>
        <v>#NAME?</v>
      </c>
      <c r="I144" s="0" t="e">
        <f aca="false">sheet1!auj145</f>
        <v>#NAME?</v>
      </c>
      <c r="J144" s="0" t="e">
        <f aca="false">sheet1!auk145</f>
        <v>#NAME?</v>
      </c>
      <c r="K144" s="0" t="e">
        <f aca="false">sheet1!aul145</f>
        <v>#NAME?</v>
      </c>
      <c r="L144" s="0" t="e">
        <f aca="false">sheet1!aum145</f>
        <v>#NAME?</v>
      </c>
      <c r="M144" s="0" t="e">
        <f aca="false">sheet1!aun145</f>
        <v>#NAME?</v>
      </c>
    </row>
    <row r="145" customFormat="false" ht="13.5" hidden="false" customHeight="false" outlineLevel="0" collapsed="false">
      <c r="A145" s="0" t="s">
        <v>95</v>
      </c>
      <c r="B145" s="1" t="n">
        <v>44005</v>
      </c>
      <c r="C145" s="0" t="e">
        <f aca="false">sheet1!aud146</f>
        <v>#NAME?</v>
      </c>
      <c r="D145" s="0" t="e">
        <f aca="false">sheet1!aue146</f>
        <v>#NAME?</v>
      </c>
      <c r="E145" s="0" t="e">
        <f aca="false">sheet1!auf146</f>
        <v>#NAME?</v>
      </c>
      <c r="F145" s="0" t="e">
        <f aca="false">sheet1!aug146</f>
        <v>#NAME?</v>
      </c>
      <c r="G145" s="0" t="e">
        <f aca="false">sheet1!auh146</f>
        <v>#NAME?</v>
      </c>
      <c r="H145" s="0" t="e">
        <f aca="false">sheet1!aui146</f>
        <v>#NAME?</v>
      </c>
      <c r="I145" s="0" t="e">
        <f aca="false">sheet1!auj146</f>
        <v>#NAME?</v>
      </c>
      <c r="J145" s="0" t="e">
        <f aca="false">sheet1!auk146</f>
        <v>#NAME?</v>
      </c>
      <c r="K145" s="0" t="e">
        <f aca="false">sheet1!aul146</f>
        <v>#NAME?</v>
      </c>
      <c r="L145" s="0" t="e">
        <f aca="false">sheet1!aum146</f>
        <v>#NAME?</v>
      </c>
      <c r="M145" s="0" t="e">
        <f aca="false">sheet1!aun146</f>
        <v>#NAME?</v>
      </c>
    </row>
    <row r="146" customFormat="false" ht="13.5" hidden="false" customHeight="false" outlineLevel="0" collapsed="false">
      <c r="A146" s="0" t="s">
        <v>95</v>
      </c>
      <c r="B146" s="1" t="n">
        <v>44006</v>
      </c>
      <c r="C146" s="0" t="e">
        <f aca="false">sheet1!aud147</f>
        <v>#NAME?</v>
      </c>
      <c r="D146" s="0" t="e">
        <f aca="false">sheet1!aue147</f>
        <v>#NAME?</v>
      </c>
      <c r="E146" s="0" t="e">
        <f aca="false">sheet1!auf147</f>
        <v>#NAME?</v>
      </c>
      <c r="F146" s="0" t="e">
        <f aca="false">sheet1!aug147</f>
        <v>#NAME?</v>
      </c>
      <c r="G146" s="0" t="e">
        <f aca="false">sheet1!auh147</f>
        <v>#NAME?</v>
      </c>
      <c r="H146" s="0" t="e">
        <f aca="false">sheet1!aui147</f>
        <v>#NAME?</v>
      </c>
      <c r="I146" s="0" t="e">
        <f aca="false">sheet1!auj147</f>
        <v>#NAME?</v>
      </c>
      <c r="J146" s="0" t="e">
        <f aca="false">sheet1!auk147</f>
        <v>#NAME?</v>
      </c>
      <c r="K146" s="0" t="e">
        <f aca="false">sheet1!aul147</f>
        <v>#NAME?</v>
      </c>
      <c r="L146" s="0" t="e">
        <f aca="false">sheet1!aum147</f>
        <v>#NAME?</v>
      </c>
      <c r="M146" s="0" t="e">
        <f aca="false">sheet1!aun147</f>
        <v>#NAME?</v>
      </c>
    </row>
    <row r="147" customFormat="false" ht="13.5" hidden="false" customHeight="false" outlineLevel="0" collapsed="false">
      <c r="A147" s="0" t="s">
        <v>95</v>
      </c>
      <c r="B147" s="1" t="n">
        <v>44007</v>
      </c>
      <c r="C147" s="0" t="e">
        <f aca="false">sheet1!aud148</f>
        <v>#NAME?</v>
      </c>
      <c r="D147" s="0" t="e">
        <f aca="false">sheet1!aue148</f>
        <v>#NAME?</v>
      </c>
      <c r="E147" s="0" t="e">
        <f aca="false">sheet1!auf148</f>
        <v>#NAME?</v>
      </c>
      <c r="F147" s="0" t="e">
        <f aca="false">sheet1!aug148</f>
        <v>#NAME?</v>
      </c>
      <c r="G147" s="0" t="e">
        <f aca="false">sheet1!auh148</f>
        <v>#NAME?</v>
      </c>
      <c r="H147" s="0" t="e">
        <f aca="false">sheet1!aui148</f>
        <v>#NAME?</v>
      </c>
      <c r="I147" s="0" t="e">
        <f aca="false">sheet1!auj148</f>
        <v>#NAME?</v>
      </c>
      <c r="J147" s="0" t="e">
        <f aca="false">sheet1!auk148</f>
        <v>#NAME?</v>
      </c>
      <c r="K147" s="0" t="e">
        <f aca="false">sheet1!aul148</f>
        <v>#NAME?</v>
      </c>
      <c r="L147" s="0" t="e">
        <f aca="false">sheet1!aum148</f>
        <v>#NAME?</v>
      </c>
      <c r="M147" s="0" t="e">
        <f aca="false">sheet1!aun148</f>
        <v>#NAME?</v>
      </c>
    </row>
    <row r="148" customFormat="false" ht="13.5" hidden="false" customHeight="false" outlineLevel="0" collapsed="false">
      <c r="A148" s="0" t="s">
        <v>95</v>
      </c>
      <c r="B148" s="1" t="n">
        <v>44008</v>
      </c>
      <c r="C148" s="0" t="e">
        <f aca="false">sheet1!aud149</f>
        <v>#NAME?</v>
      </c>
      <c r="D148" s="0" t="e">
        <f aca="false">sheet1!aue149</f>
        <v>#NAME?</v>
      </c>
      <c r="E148" s="0" t="e">
        <f aca="false">sheet1!auf149</f>
        <v>#NAME?</v>
      </c>
      <c r="F148" s="0" t="e">
        <f aca="false">sheet1!aug149</f>
        <v>#NAME?</v>
      </c>
      <c r="G148" s="0" t="e">
        <f aca="false">sheet1!auh149</f>
        <v>#NAME?</v>
      </c>
      <c r="H148" s="0" t="e">
        <f aca="false">sheet1!aui149</f>
        <v>#NAME?</v>
      </c>
      <c r="I148" s="0" t="e">
        <f aca="false">sheet1!auj149</f>
        <v>#NAME?</v>
      </c>
      <c r="J148" s="0" t="e">
        <f aca="false">sheet1!auk149</f>
        <v>#NAME?</v>
      </c>
      <c r="K148" s="0" t="e">
        <f aca="false">sheet1!aul149</f>
        <v>#NAME?</v>
      </c>
      <c r="L148" s="0" t="e">
        <f aca="false">sheet1!aum149</f>
        <v>#NAME?</v>
      </c>
      <c r="M148" s="0" t="e">
        <f aca="false">sheet1!aun149</f>
        <v>#NAME?</v>
      </c>
    </row>
    <row r="149" customFormat="false" ht="13.5" hidden="false" customHeight="false" outlineLevel="0" collapsed="false">
      <c r="A149" s="0" t="s">
        <v>95</v>
      </c>
      <c r="B149" s="1" t="n">
        <v>44009</v>
      </c>
      <c r="C149" s="0" t="e">
        <f aca="false">sheet1!aud150</f>
        <v>#NAME?</v>
      </c>
      <c r="D149" s="0" t="e">
        <f aca="false">sheet1!aue150</f>
        <v>#NAME?</v>
      </c>
      <c r="E149" s="0" t="e">
        <f aca="false">sheet1!auf150</f>
        <v>#NAME?</v>
      </c>
      <c r="F149" s="0" t="e">
        <f aca="false">sheet1!aug150</f>
        <v>#NAME?</v>
      </c>
      <c r="G149" s="0" t="e">
        <f aca="false">sheet1!auh150</f>
        <v>#NAME?</v>
      </c>
      <c r="H149" s="0" t="e">
        <f aca="false">sheet1!aui150</f>
        <v>#NAME?</v>
      </c>
      <c r="I149" s="0" t="e">
        <f aca="false">sheet1!auj150</f>
        <v>#NAME?</v>
      </c>
      <c r="J149" s="0" t="e">
        <f aca="false">sheet1!auk150</f>
        <v>#NAME?</v>
      </c>
      <c r="K149" s="0" t="e">
        <f aca="false">sheet1!aul150</f>
        <v>#NAME?</v>
      </c>
      <c r="L149" s="0" t="e">
        <f aca="false">sheet1!aum150</f>
        <v>#NAME?</v>
      </c>
      <c r="M149" s="0" t="e">
        <f aca="false">sheet1!aun150</f>
        <v>#NAME?</v>
      </c>
    </row>
    <row r="150" customFormat="false" ht="13.5" hidden="false" customHeight="false" outlineLevel="0" collapsed="false">
      <c r="A150" s="0" t="s">
        <v>95</v>
      </c>
      <c r="B150" s="1" t="n">
        <v>44010</v>
      </c>
      <c r="C150" s="0" t="e">
        <f aca="false">sheet1!aud151</f>
        <v>#NAME?</v>
      </c>
      <c r="D150" s="0" t="e">
        <f aca="false">sheet1!aue151</f>
        <v>#NAME?</v>
      </c>
      <c r="E150" s="0" t="e">
        <f aca="false">sheet1!auf151</f>
        <v>#NAME?</v>
      </c>
      <c r="F150" s="0" t="e">
        <f aca="false">sheet1!aug151</f>
        <v>#NAME?</v>
      </c>
      <c r="G150" s="0" t="e">
        <f aca="false">sheet1!auh151</f>
        <v>#NAME?</v>
      </c>
      <c r="H150" s="0" t="e">
        <f aca="false">sheet1!aui151</f>
        <v>#NAME?</v>
      </c>
      <c r="I150" s="0" t="e">
        <f aca="false">sheet1!auj151</f>
        <v>#NAME?</v>
      </c>
      <c r="J150" s="0" t="e">
        <f aca="false">sheet1!auk151</f>
        <v>#NAME?</v>
      </c>
      <c r="K150" s="0" t="e">
        <f aca="false">sheet1!aul151</f>
        <v>#NAME?</v>
      </c>
      <c r="L150" s="0" t="e">
        <f aca="false">sheet1!aum151</f>
        <v>#NAME?</v>
      </c>
      <c r="M150" s="0" t="e">
        <f aca="false">sheet1!aun151</f>
        <v>#NAME?</v>
      </c>
    </row>
    <row r="151" customFormat="false" ht="13.5" hidden="false" customHeight="false" outlineLevel="0" collapsed="false">
      <c r="A151" s="0" t="s">
        <v>95</v>
      </c>
      <c r="B151" s="1" t="n">
        <v>44011</v>
      </c>
      <c r="C151" s="0" t="e">
        <f aca="false">sheet1!aud152</f>
        <v>#NAME?</v>
      </c>
      <c r="D151" s="0" t="e">
        <f aca="false">sheet1!aue152</f>
        <v>#NAME?</v>
      </c>
      <c r="E151" s="0" t="e">
        <f aca="false">sheet1!auf152</f>
        <v>#NAME?</v>
      </c>
      <c r="F151" s="0" t="e">
        <f aca="false">sheet1!aug152</f>
        <v>#NAME?</v>
      </c>
      <c r="G151" s="0" t="e">
        <f aca="false">sheet1!auh152</f>
        <v>#NAME?</v>
      </c>
      <c r="H151" s="0" t="e">
        <f aca="false">sheet1!aui152</f>
        <v>#NAME?</v>
      </c>
      <c r="I151" s="0" t="e">
        <f aca="false">sheet1!auj152</f>
        <v>#NAME?</v>
      </c>
      <c r="J151" s="0" t="e">
        <f aca="false">sheet1!auk152</f>
        <v>#NAME?</v>
      </c>
      <c r="K151" s="0" t="e">
        <f aca="false">sheet1!aul152</f>
        <v>#NAME?</v>
      </c>
      <c r="L151" s="0" t="e">
        <f aca="false">sheet1!aum152</f>
        <v>#NAME?</v>
      </c>
      <c r="M151" s="0" t="e">
        <f aca="false">sheet1!aun152</f>
        <v>#NAME?</v>
      </c>
    </row>
    <row r="152" customFormat="false" ht="13.5" hidden="false" customHeight="false" outlineLevel="0" collapsed="false">
      <c r="A152" s="0" t="s">
        <v>95</v>
      </c>
      <c r="B152" s="1" t="n">
        <v>44012</v>
      </c>
      <c r="C152" s="0" t="e">
        <f aca="false">sheet1!aud153</f>
        <v>#NAME?</v>
      </c>
      <c r="D152" s="0" t="e">
        <f aca="false">sheet1!aue153</f>
        <v>#NAME?</v>
      </c>
      <c r="E152" s="0" t="e">
        <f aca="false">sheet1!auf153</f>
        <v>#NAME?</v>
      </c>
      <c r="F152" s="0" t="e">
        <f aca="false">sheet1!aug153</f>
        <v>#NAME?</v>
      </c>
      <c r="G152" s="0" t="e">
        <f aca="false">sheet1!auh153</f>
        <v>#NAME?</v>
      </c>
      <c r="H152" s="0" t="e">
        <f aca="false">sheet1!aui153</f>
        <v>#NAME?</v>
      </c>
      <c r="I152" s="0" t="e">
        <f aca="false">sheet1!auj153</f>
        <v>#NAME?</v>
      </c>
      <c r="J152" s="0" t="e">
        <f aca="false">sheet1!auk153</f>
        <v>#NAME?</v>
      </c>
      <c r="K152" s="0" t="e">
        <f aca="false">sheet1!aul153</f>
        <v>#NAME?</v>
      </c>
      <c r="L152" s="0" t="e">
        <f aca="false">sheet1!aum153</f>
        <v>#NAME?</v>
      </c>
      <c r="M152" s="0" t="e">
        <f aca="false">sheet1!aun153</f>
        <v>#NAME?</v>
      </c>
    </row>
    <row r="153" customFormat="false" ht="13.5" hidden="false" customHeight="false" outlineLevel="0" collapsed="false">
      <c r="A153" s="0" t="s">
        <v>95</v>
      </c>
      <c r="B153" s="1" t="n">
        <v>44013</v>
      </c>
      <c r="C153" s="0" t="e">
        <f aca="false">sheet1!aud154</f>
        <v>#NAME?</v>
      </c>
      <c r="D153" s="0" t="e">
        <f aca="false">sheet1!aue154</f>
        <v>#NAME?</v>
      </c>
      <c r="E153" s="0" t="e">
        <f aca="false">sheet1!auf154</f>
        <v>#NAME?</v>
      </c>
      <c r="F153" s="0" t="e">
        <f aca="false">sheet1!aug154</f>
        <v>#NAME?</v>
      </c>
      <c r="G153" s="0" t="e">
        <f aca="false">sheet1!auh154</f>
        <v>#NAME?</v>
      </c>
      <c r="H153" s="0" t="e">
        <f aca="false">sheet1!aui154</f>
        <v>#NAME?</v>
      </c>
      <c r="I153" s="0" t="e">
        <f aca="false">sheet1!auj154</f>
        <v>#NAME?</v>
      </c>
      <c r="J153" s="0" t="e">
        <f aca="false">sheet1!auk154</f>
        <v>#NAME?</v>
      </c>
      <c r="K153" s="0" t="e">
        <f aca="false">sheet1!aul154</f>
        <v>#NAME?</v>
      </c>
      <c r="L153" s="0" t="e">
        <f aca="false">sheet1!aum154</f>
        <v>#NAME?</v>
      </c>
      <c r="M153" s="0" t="e">
        <f aca="false">sheet1!aun154</f>
        <v>#NAME?</v>
      </c>
    </row>
    <row r="154" customFormat="false" ht="13.5" hidden="false" customHeight="false" outlineLevel="0" collapsed="false">
      <c r="A154" s="0" t="s">
        <v>95</v>
      </c>
      <c r="B154" s="1" t="n">
        <v>44014</v>
      </c>
      <c r="C154" s="0" t="e">
        <f aca="false">sheet1!aud155</f>
        <v>#NAME?</v>
      </c>
      <c r="D154" s="0" t="e">
        <f aca="false">sheet1!aue155</f>
        <v>#NAME?</v>
      </c>
      <c r="E154" s="0" t="e">
        <f aca="false">sheet1!auf155</f>
        <v>#NAME?</v>
      </c>
      <c r="F154" s="0" t="e">
        <f aca="false">sheet1!aug155</f>
        <v>#NAME?</v>
      </c>
      <c r="G154" s="0" t="e">
        <f aca="false">sheet1!auh155</f>
        <v>#NAME?</v>
      </c>
      <c r="H154" s="0" t="e">
        <f aca="false">sheet1!aui155</f>
        <v>#NAME?</v>
      </c>
      <c r="I154" s="0" t="e">
        <f aca="false">sheet1!auj155</f>
        <v>#NAME?</v>
      </c>
      <c r="J154" s="0" t="e">
        <f aca="false">sheet1!auk155</f>
        <v>#NAME?</v>
      </c>
      <c r="K154" s="0" t="e">
        <f aca="false">sheet1!aul155</f>
        <v>#NAME?</v>
      </c>
      <c r="L154" s="0" t="e">
        <f aca="false">sheet1!aum155</f>
        <v>#NAME?</v>
      </c>
      <c r="M154" s="0" t="e">
        <f aca="false">sheet1!aun155</f>
        <v>#NAME?</v>
      </c>
    </row>
    <row r="155" customFormat="false" ht="13.5" hidden="false" customHeight="false" outlineLevel="0" collapsed="false">
      <c r="A155" s="0" t="s">
        <v>95</v>
      </c>
      <c r="B155" s="1" t="n">
        <v>44015</v>
      </c>
      <c r="C155" s="0" t="e">
        <f aca="false">sheet1!aud156</f>
        <v>#NAME?</v>
      </c>
      <c r="D155" s="0" t="e">
        <f aca="false">sheet1!aue156</f>
        <v>#NAME?</v>
      </c>
      <c r="E155" s="0" t="e">
        <f aca="false">sheet1!auf156</f>
        <v>#NAME?</v>
      </c>
      <c r="F155" s="0" t="e">
        <f aca="false">sheet1!aug156</f>
        <v>#NAME?</v>
      </c>
      <c r="G155" s="0" t="e">
        <f aca="false">sheet1!auh156</f>
        <v>#NAME?</v>
      </c>
      <c r="H155" s="0" t="e">
        <f aca="false">sheet1!aui156</f>
        <v>#NAME?</v>
      </c>
      <c r="I155" s="0" t="e">
        <f aca="false">sheet1!auj156</f>
        <v>#NAME?</v>
      </c>
      <c r="J155" s="0" t="e">
        <f aca="false">sheet1!auk156</f>
        <v>#NAME?</v>
      </c>
      <c r="K155" s="0" t="e">
        <f aca="false">sheet1!aul156</f>
        <v>#NAME?</v>
      </c>
      <c r="L155" s="0" t="e">
        <f aca="false">sheet1!aum156</f>
        <v>#NAME?</v>
      </c>
      <c r="M155" s="0" t="e">
        <f aca="false">sheet1!aun156</f>
        <v>#NAME?</v>
      </c>
    </row>
    <row r="156" customFormat="false" ht="13.5" hidden="false" customHeight="false" outlineLevel="0" collapsed="false">
      <c r="A156" s="0" t="s">
        <v>95</v>
      </c>
      <c r="B156" s="1" t="n">
        <v>44016</v>
      </c>
      <c r="C156" s="0" t="e">
        <f aca="false">sheet1!aud157</f>
        <v>#NAME?</v>
      </c>
      <c r="D156" s="0" t="e">
        <f aca="false">sheet1!aue157</f>
        <v>#NAME?</v>
      </c>
      <c r="E156" s="0" t="e">
        <f aca="false">sheet1!auf157</f>
        <v>#NAME?</v>
      </c>
      <c r="F156" s="0" t="e">
        <f aca="false">sheet1!aug157</f>
        <v>#NAME?</v>
      </c>
      <c r="G156" s="0" t="e">
        <f aca="false">sheet1!auh157</f>
        <v>#NAME?</v>
      </c>
      <c r="H156" s="0" t="e">
        <f aca="false">sheet1!aui157</f>
        <v>#NAME?</v>
      </c>
      <c r="I156" s="0" t="e">
        <f aca="false">sheet1!auj157</f>
        <v>#NAME?</v>
      </c>
      <c r="J156" s="0" t="e">
        <f aca="false">sheet1!auk157</f>
        <v>#NAME?</v>
      </c>
      <c r="K156" s="0" t="e">
        <f aca="false">sheet1!aul157</f>
        <v>#NAME?</v>
      </c>
      <c r="L156" s="0" t="e">
        <f aca="false">sheet1!aum157</f>
        <v>#NAME?</v>
      </c>
      <c r="M156" s="0" t="e">
        <f aca="false">sheet1!aun157</f>
        <v>#NAME?</v>
      </c>
    </row>
    <row r="157" customFormat="false" ht="13.5" hidden="false" customHeight="false" outlineLevel="0" collapsed="false">
      <c r="A157" s="0" t="s">
        <v>95</v>
      </c>
      <c r="B157" s="1" t="n">
        <v>44017</v>
      </c>
      <c r="C157" s="0" t="e">
        <f aca="false">sheet1!aud158</f>
        <v>#NAME?</v>
      </c>
      <c r="D157" s="0" t="e">
        <f aca="false">sheet1!aue158</f>
        <v>#NAME?</v>
      </c>
      <c r="E157" s="0" t="e">
        <f aca="false">sheet1!auf158</f>
        <v>#NAME?</v>
      </c>
      <c r="F157" s="0" t="e">
        <f aca="false">sheet1!aug158</f>
        <v>#NAME?</v>
      </c>
      <c r="G157" s="0" t="e">
        <f aca="false">sheet1!auh158</f>
        <v>#NAME?</v>
      </c>
      <c r="H157" s="0" t="e">
        <f aca="false">sheet1!aui158</f>
        <v>#NAME?</v>
      </c>
      <c r="I157" s="0" t="e">
        <f aca="false">sheet1!auj158</f>
        <v>#NAME?</v>
      </c>
      <c r="J157" s="0" t="e">
        <f aca="false">sheet1!auk158</f>
        <v>#NAME?</v>
      </c>
      <c r="K157" s="0" t="e">
        <f aca="false">sheet1!aul158</f>
        <v>#NAME?</v>
      </c>
      <c r="L157" s="0" t="e">
        <f aca="false">sheet1!aum158</f>
        <v>#NAME?</v>
      </c>
      <c r="M157" s="0" t="e">
        <f aca="false">sheet1!aun158</f>
        <v>#NAME?</v>
      </c>
    </row>
    <row r="158" customFormat="false" ht="13.5" hidden="false" customHeight="false" outlineLevel="0" collapsed="false">
      <c r="A158" s="0" t="s">
        <v>95</v>
      </c>
      <c r="B158" s="1" t="n">
        <v>44018</v>
      </c>
      <c r="C158" s="0" t="e">
        <f aca="false">sheet1!aud159</f>
        <v>#NAME?</v>
      </c>
      <c r="D158" s="0" t="e">
        <f aca="false">sheet1!aue159</f>
        <v>#NAME?</v>
      </c>
      <c r="E158" s="0" t="e">
        <f aca="false">sheet1!auf159</f>
        <v>#NAME?</v>
      </c>
      <c r="F158" s="0" t="e">
        <f aca="false">sheet1!aug159</f>
        <v>#NAME?</v>
      </c>
      <c r="G158" s="0" t="e">
        <f aca="false">sheet1!auh159</f>
        <v>#NAME?</v>
      </c>
      <c r="H158" s="0" t="e">
        <f aca="false">sheet1!aui159</f>
        <v>#NAME?</v>
      </c>
      <c r="I158" s="0" t="e">
        <f aca="false">sheet1!auj159</f>
        <v>#NAME?</v>
      </c>
      <c r="J158" s="0" t="e">
        <f aca="false">sheet1!auk159</f>
        <v>#NAME?</v>
      </c>
      <c r="K158" s="0" t="e">
        <f aca="false">sheet1!aul159</f>
        <v>#NAME?</v>
      </c>
      <c r="L158" s="0" t="e">
        <f aca="false">sheet1!aum159</f>
        <v>#NAME?</v>
      </c>
      <c r="M158" s="0" t="e">
        <f aca="false">sheet1!aun159</f>
        <v>#NAME?</v>
      </c>
    </row>
    <row r="159" customFormat="false" ht="13.5" hidden="false" customHeight="false" outlineLevel="0" collapsed="false">
      <c r="A159" s="0" t="s">
        <v>95</v>
      </c>
      <c r="B159" s="1" t="n">
        <v>44019</v>
      </c>
      <c r="C159" s="0" t="e">
        <f aca="false">sheet1!aud160</f>
        <v>#NAME?</v>
      </c>
      <c r="D159" s="0" t="e">
        <f aca="false">sheet1!aue160</f>
        <v>#NAME?</v>
      </c>
      <c r="E159" s="0" t="e">
        <f aca="false">sheet1!auf160</f>
        <v>#NAME?</v>
      </c>
      <c r="F159" s="0" t="e">
        <f aca="false">sheet1!aug160</f>
        <v>#NAME?</v>
      </c>
      <c r="G159" s="0" t="e">
        <f aca="false">sheet1!auh160</f>
        <v>#NAME?</v>
      </c>
      <c r="H159" s="0" t="e">
        <f aca="false">sheet1!aui160</f>
        <v>#NAME?</v>
      </c>
      <c r="I159" s="0" t="e">
        <f aca="false">sheet1!auj160</f>
        <v>#NAME?</v>
      </c>
      <c r="J159" s="0" t="e">
        <f aca="false">sheet1!auk160</f>
        <v>#NAME?</v>
      </c>
      <c r="K159" s="0" t="e">
        <f aca="false">sheet1!aul160</f>
        <v>#NAME?</v>
      </c>
      <c r="L159" s="0" t="e">
        <f aca="false">sheet1!aum160</f>
        <v>#NAME?</v>
      </c>
      <c r="M159" s="0" t="e">
        <f aca="false">sheet1!aun160</f>
        <v>#NAME?</v>
      </c>
    </row>
    <row r="160" customFormat="false" ht="13.5" hidden="false" customHeight="false" outlineLevel="0" collapsed="false">
      <c r="A160" s="0" t="s">
        <v>95</v>
      </c>
      <c r="B160" s="1" t="n">
        <v>44020</v>
      </c>
      <c r="C160" s="0" t="e">
        <f aca="false">sheet1!aud161</f>
        <v>#NAME?</v>
      </c>
      <c r="D160" s="0" t="e">
        <f aca="false">sheet1!aue161</f>
        <v>#NAME?</v>
      </c>
      <c r="E160" s="0" t="e">
        <f aca="false">sheet1!auf161</f>
        <v>#NAME?</v>
      </c>
      <c r="F160" s="0" t="e">
        <f aca="false">sheet1!aug161</f>
        <v>#NAME?</v>
      </c>
      <c r="G160" s="0" t="e">
        <f aca="false">sheet1!auh161</f>
        <v>#NAME?</v>
      </c>
      <c r="H160" s="0" t="e">
        <f aca="false">sheet1!aui161</f>
        <v>#NAME?</v>
      </c>
      <c r="I160" s="0" t="e">
        <f aca="false">sheet1!auj161</f>
        <v>#NAME?</v>
      </c>
      <c r="J160" s="0" t="e">
        <f aca="false">sheet1!auk161</f>
        <v>#NAME?</v>
      </c>
      <c r="K160" s="0" t="e">
        <f aca="false">sheet1!aul161</f>
        <v>#NAME?</v>
      </c>
      <c r="L160" s="0" t="e">
        <f aca="false">sheet1!aum161</f>
        <v>#NAME?</v>
      </c>
      <c r="M160" s="0" t="e">
        <f aca="false">sheet1!aun161</f>
        <v>#NAME?</v>
      </c>
    </row>
    <row r="161" customFormat="false" ht="13.5" hidden="false" customHeight="false" outlineLevel="0" collapsed="false">
      <c r="A161" s="0" t="s">
        <v>95</v>
      </c>
      <c r="B161" s="1" t="n">
        <v>44021</v>
      </c>
      <c r="C161" s="0" t="e">
        <f aca="false">sheet1!aud162</f>
        <v>#NAME?</v>
      </c>
      <c r="D161" s="0" t="e">
        <f aca="false">sheet1!aue162</f>
        <v>#NAME?</v>
      </c>
      <c r="E161" s="0" t="e">
        <f aca="false">sheet1!auf162</f>
        <v>#NAME?</v>
      </c>
      <c r="F161" s="0" t="e">
        <f aca="false">sheet1!aug162</f>
        <v>#NAME?</v>
      </c>
      <c r="G161" s="0" t="e">
        <f aca="false">sheet1!auh162</f>
        <v>#NAME?</v>
      </c>
      <c r="H161" s="0" t="e">
        <f aca="false">sheet1!aui162</f>
        <v>#NAME?</v>
      </c>
      <c r="I161" s="0" t="e">
        <f aca="false">sheet1!auj162</f>
        <v>#NAME?</v>
      </c>
      <c r="J161" s="0" t="e">
        <f aca="false">sheet1!auk162</f>
        <v>#NAME?</v>
      </c>
      <c r="K161" s="0" t="e">
        <f aca="false">sheet1!aul162</f>
        <v>#NAME?</v>
      </c>
      <c r="L161" s="0" t="e">
        <f aca="false">sheet1!aum162</f>
        <v>#NAME?</v>
      </c>
      <c r="M161" s="0" t="e">
        <f aca="false">sheet1!aun162</f>
        <v>#NAME?</v>
      </c>
    </row>
    <row r="162" customFormat="false" ht="13.5" hidden="false" customHeight="false" outlineLevel="0" collapsed="false">
      <c r="A162" s="0" t="s">
        <v>95</v>
      </c>
      <c r="B162" s="1" t="n">
        <v>44022</v>
      </c>
      <c r="C162" s="0" t="e">
        <f aca="false">sheet1!aud163</f>
        <v>#NAME?</v>
      </c>
      <c r="D162" s="0" t="e">
        <f aca="false">sheet1!aue163</f>
        <v>#NAME?</v>
      </c>
      <c r="E162" s="0" t="e">
        <f aca="false">sheet1!auf163</f>
        <v>#NAME?</v>
      </c>
      <c r="F162" s="0" t="e">
        <f aca="false">sheet1!aug163</f>
        <v>#NAME?</v>
      </c>
      <c r="G162" s="0" t="e">
        <f aca="false">sheet1!auh163</f>
        <v>#NAME?</v>
      </c>
      <c r="H162" s="0" t="e">
        <f aca="false">sheet1!aui163</f>
        <v>#NAME?</v>
      </c>
      <c r="I162" s="0" t="e">
        <f aca="false">sheet1!auj163</f>
        <v>#NAME?</v>
      </c>
      <c r="J162" s="0" t="e">
        <f aca="false">sheet1!auk163</f>
        <v>#NAME?</v>
      </c>
      <c r="K162" s="0" t="e">
        <f aca="false">sheet1!aul163</f>
        <v>#NAME?</v>
      </c>
      <c r="L162" s="0" t="e">
        <f aca="false">sheet1!aum163</f>
        <v>#NAME?</v>
      </c>
      <c r="M162" s="0" t="e">
        <f aca="false">sheet1!aun163</f>
        <v>#NAME?</v>
      </c>
    </row>
    <row r="163" customFormat="false" ht="13.5" hidden="false" customHeight="false" outlineLevel="0" collapsed="false">
      <c r="A163" s="0" t="s">
        <v>95</v>
      </c>
      <c r="B163" s="1" t="n">
        <v>44023</v>
      </c>
      <c r="C163" s="0" t="e">
        <f aca="false">sheet1!aud164</f>
        <v>#NAME?</v>
      </c>
      <c r="D163" s="0" t="e">
        <f aca="false">sheet1!aue164</f>
        <v>#NAME?</v>
      </c>
      <c r="E163" s="0" t="e">
        <f aca="false">sheet1!auf164</f>
        <v>#NAME?</v>
      </c>
      <c r="F163" s="0" t="e">
        <f aca="false">sheet1!aug164</f>
        <v>#NAME?</v>
      </c>
      <c r="G163" s="0" t="e">
        <f aca="false">sheet1!auh164</f>
        <v>#NAME?</v>
      </c>
      <c r="H163" s="0" t="e">
        <f aca="false">sheet1!aui164</f>
        <v>#NAME?</v>
      </c>
      <c r="I163" s="0" t="e">
        <f aca="false">sheet1!auj164</f>
        <v>#NAME?</v>
      </c>
      <c r="J163" s="0" t="e">
        <f aca="false">sheet1!auk164</f>
        <v>#NAME?</v>
      </c>
      <c r="K163" s="0" t="e">
        <f aca="false">sheet1!aul164</f>
        <v>#NAME?</v>
      </c>
      <c r="L163" s="0" t="e">
        <f aca="false">sheet1!aum164</f>
        <v>#NAME?</v>
      </c>
      <c r="M163" s="0" t="e">
        <f aca="false">sheet1!aun164</f>
        <v>#NAME?</v>
      </c>
    </row>
    <row r="164" customFormat="false" ht="13.5" hidden="false" customHeight="false" outlineLevel="0" collapsed="false">
      <c r="A164" s="0" t="s">
        <v>95</v>
      </c>
      <c r="B164" s="1" t="n">
        <v>44024</v>
      </c>
      <c r="C164" s="0" t="e">
        <f aca="false">sheet1!aud165</f>
        <v>#NAME?</v>
      </c>
      <c r="D164" s="0" t="e">
        <f aca="false">sheet1!aue165</f>
        <v>#NAME?</v>
      </c>
      <c r="E164" s="0" t="e">
        <f aca="false">sheet1!auf165</f>
        <v>#NAME?</v>
      </c>
      <c r="F164" s="0" t="e">
        <f aca="false">sheet1!aug165</f>
        <v>#NAME?</v>
      </c>
      <c r="G164" s="0" t="e">
        <f aca="false">sheet1!auh165</f>
        <v>#NAME?</v>
      </c>
      <c r="H164" s="0" t="e">
        <f aca="false">sheet1!aui165</f>
        <v>#NAME?</v>
      </c>
      <c r="I164" s="0" t="e">
        <f aca="false">sheet1!auj165</f>
        <v>#NAME?</v>
      </c>
      <c r="J164" s="0" t="e">
        <f aca="false">sheet1!auk165</f>
        <v>#NAME?</v>
      </c>
      <c r="K164" s="0" t="e">
        <f aca="false">sheet1!aul165</f>
        <v>#NAME?</v>
      </c>
      <c r="L164" s="0" t="e">
        <f aca="false">sheet1!aum165</f>
        <v>#NAME?</v>
      </c>
      <c r="M164" s="0" t="e">
        <f aca="false">sheet1!aun165</f>
        <v>#NAME?</v>
      </c>
    </row>
    <row r="165" customFormat="false" ht="13.5" hidden="false" customHeight="false" outlineLevel="0" collapsed="false">
      <c r="A165" s="0" t="s">
        <v>95</v>
      </c>
      <c r="B165" s="1" t="n">
        <v>44025</v>
      </c>
      <c r="C165" s="0" t="e">
        <f aca="false">sheet1!aud166</f>
        <v>#NAME?</v>
      </c>
      <c r="D165" s="0" t="e">
        <f aca="false">sheet1!aue166</f>
        <v>#NAME?</v>
      </c>
      <c r="E165" s="0" t="e">
        <f aca="false">sheet1!auf166</f>
        <v>#NAME?</v>
      </c>
      <c r="F165" s="0" t="e">
        <f aca="false">sheet1!aug166</f>
        <v>#NAME?</v>
      </c>
      <c r="G165" s="0" t="e">
        <f aca="false">sheet1!auh166</f>
        <v>#NAME?</v>
      </c>
      <c r="H165" s="0" t="e">
        <f aca="false">sheet1!aui166</f>
        <v>#NAME?</v>
      </c>
      <c r="I165" s="0" t="e">
        <f aca="false">sheet1!auj166</f>
        <v>#NAME?</v>
      </c>
      <c r="J165" s="0" t="e">
        <f aca="false">sheet1!auk166</f>
        <v>#NAME?</v>
      </c>
      <c r="K165" s="0" t="e">
        <f aca="false">sheet1!aul166</f>
        <v>#NAME?</v>
      </c>
      <c r="L165" s="0" t="e">
        <f aca="false">sheet1!aum166</f>
        <v>#NAME?</v>
      </c>
      <c r="M165" s="0" t="e">
        <f aca="false">sheet1!aun166</f>
        <v>#NAME?</v>
      </c>
    </row>
    <row r="166" customFormat="false" ht="13.5" hidden="false" customHeight="false" outlineLevel="0" collapsed="false">
      <c r="A166" s="0" t="s">
        <v>95</v>
      </c>
      <c r="B166" s="1" t="n">
        <v>44026</v>
      </c>
      <c r="C166" s="0" t="e">
        <f aca="false">sheet1!aud167</f>
        <v>#NAME?</v>
      </c>
      <c r="D166" s="0" t="e">
        <f aca="false">sheet1!aue167</f>
        <v>#NAME?</v>
      </c>
      <c r="E166" s="0" t="e">
        <f aca="false">sheet1!auf167</f>
        <v>#NAME?</v>
      </c>
      <c r="F166" s="0" t="e">
        <f aca="false">sheet1!aug167</f>
        <v>#NAME?</v>
      </c>
      <c r="G166" s="0" t="e">
        <f aca="false">sheet1!auh167</f>
        <v>#NAME?</v>
      </c>
      <c r="H166" s="0" t="e">
        <f aca="false">sheet1!aui167</f>
        <v>#NAME?</v>
      </c>
      <c r="I166" s="0" t="e">
        <f aca="false">sheet1!auj167</f>
        <v>#NAME?</v>
      </c>
      <c r="J166" s="0" t="e">
        <f aca="false">sheet1!auk167</f>
        <v>#NAME?</v>
      </c>
      <c r="K166" s="0" t="e">
        <f aca="false">sheet1!aul167</f>
        <v>#NAME?</v>
      </c>
      <c r="L166" s="0" t="e">
        <f aca="false">sheet1!aum167</f>
        <v>#NAME?</v>
      </c>
      <c r="M166" s="0" t="e">
        <f aca="false">sheet1!aun167</f>
        <v>#NAME?</v>
      </c>
    </row>
    <row r="167" customFormat="false" ht="13.5" hidden="false" customHeight="false" outlineLevel="0" collapsed="false">
      <c r="A167" s="0" t="s">
        <v>95</v>
      </c>
      <c r="B167" s="1" t="n">
        <v>44027</v>
      </c>
      <c r="C167" s="0" t="e">
        <f aca="false">sheet1!aud168</f>
        <v>#NAME?</v>
      </c>
      <c r="D167" s="0" t="e">
        <f aca="false">sheet1!aue168</f>
        <v>#NAME?</v>
      </c>
      <c r="E167" s="0" t="e">
        <f aca="false">sheet1!auf168</f>
        <v>#NAME?</v>
      </c>
      <c r="F167" s="0" t="e">
        <f aca="false">sheet1!aug168</f>
        <v>#NAME?</v>
      </c>
      <c r="G167" s="0" t="e">
        <f aca="false">sheet1!auh168</f>
        <v>#NAME?</v>
      </c>
      <c r="H167" s="0" t="e">
        <f aca="false">sheet1!aui168</f>
        <v>#NAME?</v>
      </c>
      <c r="I167" s="0" t="e">
        <f aca="false">sheet1!auj168</f>
        <v>#NAME?</v>
      </c>
      <c r="J167" s="0" t="e">
        <f aca="false">sheet1!auk168</f>
        <v>#NAME?</v>
      </c>
      <c r="K167" s="0" t="e">
        <f aca="false">sheet1!aul168</f>
        <v>#NAME?</v>
      </c>
      <c r="L167" s="0" t="e">
        <f aca="false">sheet1!aum168</f>
        <v>#NAME?</v>
      </c>
      <c r="M167" s="0" t="e">
        <f aca="false">sheet1!aun168</f>
        <v>#NAME?</v>
      </c>
    </row>
    <row r="168" customFormat="false" ht="13.5" hidden="false" customHeight="false" outlineLevel="0" collapsed="false">
      <c r="A168" s="0" t="s">
        <v>95</v>
      </c>
      <c r="B168" s="1" t="n">
        <v>44028</v>
      </c>
      <c r="C168" s="0" t="e">
        <f aca="false">sheet1!aud169</f>
        <v>#NAME?</v>
      </c>
      <c r="D168" s="0" t="e">
        <f aca="false">sheet1!aue169</f>
        <v>#NAME?</v>
      </c>
      <c r="E168" s="0" t="e">
        <f aca="false">sheet1!auf169</f>
        <v>#NAME?</v>
      </c>
      <c r="F168" s="0" t="e">
        <f aca="false">sheet1!aug169</f>
        <v>#NAME?</v>
      </c>
      <c r="G168" s="0" t="e">
        <f aca="false">sheet1!auh169</f>
        <v>#NAME?</v>
      </c>
      <c r="H168" s="0" t="e">
        <f aca="false">sheet1!aui169</f>
        <v>#NAME?</v>
      </c>
      <c r="I168" s="0" t="e">
        <f aca="false">sheet1!auj169</f>
        <v>#NAME?</v>
      </c>
      <c r="J168" s="0" t="e">
        <f aca="false">sheet1!auk169</f>
        <v>#NAME?</v>
      </c>
      <c r="K168" s="0" t="e">
        <f aca="false">sheet1!aul169</f>
        <v>#NAME?</v>
      </c>
      <c r="L168" s="0" t="e">
        <f aca="false">sheet1!aum169</f>
        <v>#NAME?</v>
      </c>
      <c r="M168" s="0" t="e">
        <f aca="false">sheet1!aun169</f>
        <v>#NAME?</v>
      </c>
    </row>
    <row r="169" customFormat="false" ht="13.5" hidden="false" customHeight="false" outlineLevel="0" collapsed="false">
      <c r="A169" s="0" t="s">
        <v>95</v>
      </c>
      <c r="B169" s="1" t="n">
        <v>44029</v>
      </c>
      <c r="C169" s="0" t="e">
        <f aca="false">sheet1!aud170</f>
        <v>#NAME?</v>
      </c>
      <c r="D169" s="0" t="e">
        <f aca="false">sheet1!aue170</f>
        <v>#NAME?</v>
      </c>
      <c r="E169" s="0" t="e">
        <f aca="false">sheet1!auf170</f>
        <v>#NAME?</v>
      </c>
      <c r="F169" s="0" t="e">
        <f aca="false">sheet1!aug170</f>
        <v>#NAME?</v>
      </c>
      <c r="G169" s="0" t="e">
        <f aca="false">sheet1!auh170</f>
        <v>#NAME?</v>
      </c>
      <c r="H169" s="0" t="e">
        <f aca="false">sheet1!aui170</f>
        <v>#NAME?</v>
      </c>
      <c r="I169" s="0" t="e">
        <f aca="false">sheet1!auj170</f>
        <v>#NAME?</v>
      </c>
      <c r="J169" s="0" t="e">
        <f aca="false">sheet1!auk170</f>
        <v>#NAME?</v>
      </c>
      <c r="K169" s="0" t="e">
        <f aca="false">sheet1!aul170</f>
        <v>#NAME?</v>
      </c>
      <c r="L169" s="0" t="e">
        <f aca="false">sheet1!aum170</f>
        <v>#NAME?</v>
      </c>
      <c r="M169" s="0" t="e">
        <f aca="false">sheet1!aun170</f>
        <v>#NAME?</v>
      </c>
    </row>
    <row r="170" customFormat="false" ht="13.5" hidden="false" customHeight="false" outlineLevel="0" collapsed="false">
      <c r="A170" s="0" t="s">
        <v>95</v>
      </c>
      <c r="B170" s="1" t="n">
        <v>44030</v>
      </c>
      <c r="C170" s="0" t="e">
        <f aca="false">sheet1!aud171</f>
        <v>#NAME?</v>
      </c>
      <c r="D170" s="0" t="e">
        <f aca="false">sheet1!aue171</f>
        <v>#NAME?</v>
      </c>
      <c r="E170" s="0" t="e">
        <f aca="false">sheet1!auf171</f>
        <v>#NAME?</v>
      </c>
      <c r="F170" s="0" t="e">
        <f aca="false">sheet1!aug171</f>
        <v>#NAME?</v>
      </c>
      <c r="G170" s="0" t="e">
        <f aca="false">sheet1!auh171</f>
        <v>#NAME?</v>
      </c>
      <c r="H170" s="0" t="e">
        <f aca="false">sheet1!aui171</f>
        <v>#NAME?</v>
      </c>
      <c r="I170" s="0" t="e">
        <f aca="false">sheet1!auj171</f>
        <v>#NAME?</v>
      </c>
      <c r="J170" s="0" t="e">
        <f aca="false">sheet1!auk171</f>
        <v>#NAME?</v>
      </c>
      <c r="K170" s="0" t="e">
        <f aca="false">sheet1!aul171</f>
        <v>#NAME?</v>
      </c>
      <c r="L170" s="0" t="e">
        <f aca="false">sheet1!aum171</f>
        <v>#NAME?</v>
      </c>
      <c r="M170" s="0" t="e">
        <f aca="false">sheet1!aun171</f>
        <v>#NAME?</v>
      </c>
    </row>
    <row r="171" customFormat="false" ht="13.5" hidden="false" customHeight="false" outlineLevel="0" collapsed="false">
      <c r="A171" s="0" t="s">
        <v>95</v>
      </c>
      <c r="B171" s="1" t="n">
        <v>44031</v>
      </c>
      <c r="C171" s="0" t="e">
        <f aca="false">sheet1!aud172</f>
        <v>#NAME?</v>
      </c>
      <c r="D171" s="0" t="e">
        <f aca="false">sheet1!aue172</f>
        <v>#NAME?</v>
      </c>
      <c r="E171" s="0" t="e">
        <f aca="false">sheet1!auf172</f>
        <v>#NAME?</v>
      </c>
      <c r="F171" s="0" t="e">
        <f aca="false">sheet1!aug172</f>
        <v>#NAME?</v>
      </c>
      <c r="G171" s="0" t="e">
        <f aca="false">sheet1!auh172</f>
        <v>#NAME?</v>
      </c>
      <c r="H171" s="0" t="e">
        <f aca="false">sheet1!aui172</f>
        <v>#NAME?</v>
      </c>
      <c r="I171" s="0" t="e">
        <f aca="false">sheet1!auj172</f>
        <v>#NAME?</v>
      </c>
      <c r="J171" s="0" t="e">
        <f aca="false">sheet1!auk172</f>
        <v>#NAME?</v>
      </c>
      <c r="K171" s="0" t="e">
        <f aca="false">sheet1!aul172</f>
        <v>#NAME?</v>
      </c>
      <c r="L171" s="0" t="e">
        <f aca="false">sheet1!aum172</f>
        <v>#NAME?</v>
      </c>
      <c r="M171" s="0" t="e">
        <f aca="false">sheet1!aun172</f>
        <v>#NAME?</v>
      </c>
    </row>
    <row r="172" customFormat="false" ht="13.5" hidden="false" customHeight="false" outlineLevel="0" collapsed="false">
      <c r="A172" s="0" t="s">
        <v>95</v>
      </c>
      <c r="B172" s="1" t="n">
        <v>44032</v>
      </c>
      <c r="C172" s="0" t="e">
        <f aca="false">sheet1!aud173</f>
        <v>#NAME?</v>
      </c>
      <c r="D172" s="0" t="e">
        <f aca="false">sheet1!aue173</f>
        <v>#NAME?</v>
      </c>
      <c r="E172" s="0" t="e">
        <f aca="false">sheet1!auf173</f>
        <v>#NAME?</v>
      </c>
      <c r="F172" s="0" t="e">
        <f aca="false">sheet1!aug173</f>
        <v>#NAME?</v>
      </c>
      <c r="G172" s="0" t="e">
        <f aca="false">sheet1!auh173</f>
        <v>#NAME?</v>
      </c>
      <c r="H172" s="0" t="e">
        <f aca="false">sheet1!aui173</f>
        <v>#NAME?</v>
      </c>
      <c r="I172" s="0" t="e">
        <f aca="false">sheet1!auj173</f>
        <v>#NAME?</v>
      </c>
      <c r="J172" s="0" t="e">
        <f aca="false">sheet1!auk173</f>
        <v>#NAME?</v>
      </c>
      <c r="K172" s="0" t="e">
        <f aca="false">sheet1!aul173</f>
        <v>#NAME?</v>
      </c>
      <c r="L172" s="0" t="e">
        <f aca="false">sheet1!aum173</f>
        <v>#NAME?</v>
      </c>
      <c r="M172" s="0" t="e">
        <f aca="false">sheet1!aun173</f>
        <v>#NAME?</v>
      </c>
    </row>
    <row r="173" customFormat="false" ht="13.5" hidden="false" customHeight="false" outlineLevel="0" collapsed="false">
      <c r="A173" s="0" t="s">
        <v>95</v>
      </c>
      <c r="B173" s="1" t="n">
        <v>44033</v>
      </c>
      <c r="C173" s="0" t="e">
        <f aca="false">sheet1!aud174</f>
        <v>#NAME?</v>
      </c>
      <c r="D173" s="0" t="e">
        <f aca="false">sheet1!aue174</f>
        <v>#NAME?</v>
      </c>
      <c r="E173" s="0" t="e">
        <f aca="false">sheet1!auf174</f>
        <v>#NAME?</v>
      </c>
      <c r="F173" s="0" t="e">
        <f aca="false">sheet1!aug174</f>
        <v>#NAME?</v>
      </c>
      <c r="G173" s="0" t="e">
        <f aca="false">sheet1!auh174</f>
        <v>#NAME?</v>
      </c>
      <c r="H173" s="0" t="e">
        <f aca="false">sheet1!aui174</f>
        <v>#NAME?</v>
      </c>
      <c r="I173" s="0" t="e">
        <f aca="false">sheet1!auj174</f>
        <v>#NAME?</v>
      </c>
      <c r="J173" s="0" t="e">
        <f aca="false">sheet1!auk174</f>
        <v>#NAME?</v>
      </c>
      <c r="K173" s="0" t="e">
        <f aca="false">sheet1!aul174</f>
        <v>#NAME?</v>
      </c>
      <c r="L173" s="0" t="e">
        <f aca="false">sheet1!aum174</f>
        <v>#NAME?</v>
      </c>
      <c r="M173" s="0" t="e">
        <f aca="false">sheet1!aun174</f>
        <v>#NAME?</v>
      </c>
    </row>
    <row r="174" customFormat="false" ht="13.5" hidden="false" customHeight="false" outlineLevel="0" collapsed="false">
      <c r="A174" s="0" t="s">
        <v>95</v>
      </c>
      <c r="B174" s="1" t="n">
        <v>44034</v>
      </c>
      <c r="C174" s="0" t="e">
        <f aca="false">sheet1!aud175</f>
        <v>#NAME?</v>
      </c>
      <c r="D174" s="0" t="e">
        <f aca="false">sheet1!aue175</f>
        <v>#NAME?</v>
      </c>
      <c r="E174" s="0" t="e">
        <f aca="false">sheet1!auf175</f>
        <v>#NAME?</v>
      </c>
      <c r="F174" s="0" t="e">
        <f aca="false">sheet1!aug175</f>
        <v>#NAME?</v>
      </c>
      <c r="G174" s="0" t="e">
        <f aca="false">sheet1!auh175</f>
        <v>#NAME?</v>
      </c>
      <c r="H174" s="0" t="e">
        <f aca="false">sheet1!aui175</f>
        <v>#NAME?</v>
      </c>
      <c r="I174" s="0" t="e">
        <f aca="false">sheet1!auj175</f>
        <v>#NAME?</v>
      </c>
      <c r="J174" s="0" t="e">
        <f aca="false">sheet1!auk175</f>
        <v>#NAME?</v>
      </c>
      <c r="K174" s="0" t="e">
        <f aca="false">sheet1!aul175</f>
        <v>#NAME?</v>
      </c>
      <c r="L174" s="0" t="e">
        <f aca="false">sheet1!aum175</f>
        <v>#NAME?</v>
      </c>
      <c r="M174" s="0" t="e">
        <f aca="false">sheet1!aun175</f>
        <v>#NAME?</v>
      </c>
    </row>
    <row r="175" customFormat="false" ht="13.5" hidden="false" customHeight="false" outlineLevel="0" collapsed="false">
      <c r="A175" s="0" t="s">
        <v>95</v>
      </c>
      <c r="B175" s="1" t="n">
        <v>44035</v>
      </c>
      <c r="C175" s="0" t="e">
        <f aca="false">sheet1!aud176</f>
        <v>#NAME?</v>
      </c>
      <c r="D175" s="0" t="e">
        <f aca="false">sheet1!aue176</f>
        <v>#NAME?</v>
      </c>
      <c r="E175" s="0" t="e">
        <f aca="false">sheet1!auf176</f>
        <v>#NAME?</v>
      </c>
      <c r="F175" s="0" t="e">
        <f aca="false">sheet1!aug176</f>
        <v>#NAME?</v>
      </c>
      <c r="G175" s="0" t="e">
        <f aca="false">sheet1!auh176</f>
        <v>#NAME?</v>
      </c>
      <c r="H175" s="0" t="e">
        <f aca="false">sheet1!aui176</f>
        <v>#NAME?</v>
      </c>
      <c r="I175" s="0" t="e">
        <f aca="false">sheet1!auj176</f>
        <v>#NAME?</v>
      </c>
      <c r="J175" s="0" t="e">
        <f aca="false">sheet1!auk176</f>
        <v>#NAME?</v>
      </c>
      <c r="K175" s="0" t="e">
        <f aca="false">sheet1!aul176</f>
        <v>#NAME?</v>
      </c>
      <c r="L175" s="0" t="e">
        <f aca="false">sheet1!aum176</f>
        <v>#NAME?</v>
      </c>
      <c r="M175" s="0" t="e">
        <f aca="false">sheet1!aun176</f>
        <v>#NAME?</v>
      </c>
    </row>
    <row r="176" customFormat="false" ht="13.5" hidden="false" customHeight="false" outlineLevel="0" collapsed="false">
      <c r="A176" s="0" t="s">
        <v>95</v>
      </c>
      <c r="B176" s="1" t="n">
        <v>44036</v>
      </c>
      <c r="C176" s="0" t="e">
        <f aca="false">sheet1!aud177</f>
        <v>#NAME?</v>
      </c>
      <c r="D176" s="0" t="e">
        <f aca="false">sheet1!aue177</f>
        <v>#NAME?</v>
      </c>
      <c r="E176" s="0" t="e">
        <f aca="false">sheet1!auf177</f>
        <v>#NAME?</v>
      </c>
      <c r="F176" s="0" t="e">
        <f aca="false">sheet1!aug177</f>
        <v>#NAME?</v>
      </c>
      <c r="G176" s="0" t="e">
        <f aca="false">sheet1!auh177</f>
        <v>#NAME?</v>
      </c>
      <c r="H176" s="0" t="e">
        <f aca="false">sheet1!aui177</f>
        <v>#NAME?</v>
      </c>
      <c r="I176" s="0" t="e">
        <f aca="false">sheet1!auj177</f>
        <v>#NAME?</v>
      </c>
      <c r="J176" s="0" t="e">
        <f aca="false">sheet1!auk177</f>
        <v>#NAME?</v>
      </c>
      <c r="K176" s="0" t="e">
        <f aca="false">sheet1!aul177</f>
        <v>#NAME?</v>
      </c>
      <c r="L176" s="0" t="e">
        <f aca="false">sheet1!aum177</f>
        <v>#NAME?</v>
      </c>
      <c r="M176" s="0" t="e">
        <f aca="false">sheet1!aun177</f>
        <v>#NAME?</v>
      </c>
    </row>
    <row r="177" customFormat="false" ht="13.5" hidden="false" customHeight="false" outlineLevel="0" collapsed="false">
      <c r="A177" s="0" t="s">
        <v>95</v>
      </c>
      <c r="B177" s="1" t="n">
        <v>44037</v>
      </c>
      <c r="C177" s="0" t="e">
        <f aca="false">sheet1!aud178</f>
        <v>#NAME?</v>
      </c>
      <c r="D177" s="0" t="e">
        <f aca="false">sheet1!aue178</f>
        <v>#NAME?</v>
      </c>
      <c r="E177" s="0" t="e">
        <f aca="false">sheet1!auf178</f>
        <v>#NAME?</v>
      </c>
      <c r="F177" s="0" t="e">
        <f aca="false">sheet1!aug178</f>
        <v>#NAME?</v>
      </c>
      <c r="G177" s="0" t="e">
        <f aca="false">sheet1!auh178</f>
        <v>#NAME?</v>
      </c>
      <c r="H177" s="0" t="e">
        <f aca="false">sheet1!aui178</f>
        <v>#NAME?</v>
      </c>
      <c r="I177" s="0" t="e">
        <f aca="false">sheet1!auj178</f>
        <v>#NAME?</v>
      </c>
      <c r="J177" s="0" t="e">
        <f aca="false">sheet1!auk178</f>
        <v>#NAME?</v>
      </c>
      <c r="K177" s="0" t="e">
        <f aca="false">sheet1!aul178</f>
        <v>#NAME?</v>
      </c>
      <c r="L177" s="0" t="e">
        <f aca="false">sheet1!aum178</f>
        <v>#NAME?</v>
      </c>
      <c r="M177" s="0" t="e">
        <f aca="false">sheet1!aun178</f>
        <v>#NAME?</v>
      </c>
    </row>
    <row r="178" customFormat="false" ht="13.5" hidden="false" customHeight="false" outlineLevel="0" collapsed="false">
      <c r="A178" s="0" t="s">
        <v>95</v>
      </c>
      <c r="B178" s="1" t="n">
        <v>44038</v>
      </c>
      <c r="C178" s="0" t="e">
        <f aca="false">sheet1!aud179</f>
        <v>#NAME?</v>
      </c>
      <c r="D178" s="0" t="e">
        <f aca="false">sheet1!aue179</f>
        <v>#NAME?</v>
      </c>
      <c r="E178" s="0" t="e">
        <f aca="false">sheet1!auf179</f>
        <v>#NAME?</v>
      </c>
      <c r="F178" s="0" t="e">
        <f aca="false">sheet1!aug179</f>
        <v>#NAME?</v>
      </c>
      <c r="G178" s="0" t="e">
        <f aca="false">sheet1!auh179</f>
        <v>#NAME?</v>
      </c>
      <c r="H178" s="0" t="e">
        <f aca="false">sheet1!aui179</f>
        <v>#NAME?</v>
      </c>
      <c r="I178" s="0" t="e">
        <f aca="false">sheet1!auj179</f>
        <v>#NAME?</v>
      </c>
      <c r="J178" s="0" t="e">
        <f aca="false">sheet1!auk179</f>
        <v>#NAME?</v>
      </c>
      <c r="K178" s="0" t="e">
        <f aca="false">sheet1!aul179</f>
        <v>#NAME?</v>
      </c>
      <c r="L178" s="0" t="e">
        <f aca="false">sheet1!aum179</f>
        <v>#NAME?</v>
      </c>
      <c r="M178" s="0" t="e">
        <f aca="false">sheet1!aun179</f>
        <v>#NAME?</v>
      </c>
    </row>
    <row r="179" customFormat="false" ht="13.5" hidden="false" customHeight="false" outlineLevel="0" collapsed="false">
      <c r="A179" s="0" t="s">
        <v>95</v>
      </c>
      <c r="B179" s="1" t="n">
        <v>44039</v>
      </c>
      <c r="C179" s="0" t="e">
        <f aca="false">sheet1!aud180</f>
        <v>#NAME?</v>
      </c>
      <c r="D179" s="0" t="e">
        <f aca="false">sheet1!aue180</f>
        <v>#NAME?</v>
      </c>
      <c r="E179" s="0" t="e">
        <f aca="false">sheet1!auf180</f>
        <v>#NAME?</v>
      </c>
      <c r="F179" s="0" t="e">
        <f aca="false">sheet1!aug180</f>
        <v>#NAME?</v>
      </c>
      <c r="G179" s="0" t="e">
        <f aca="false">sheet1!auh180</f>
        <v>#NAME?</v>
      </c>
      <c r="H179" s="0" t="e">
        <f aca="false">sheet1!aui180</f>
        <v>#NAME?</v>
      </c>
      <c r="I179" s="0" t="e">
        <f aca="false">sheet1!auj180</f>
        <v>#NAME?</v>
      </c>
      <c r="J179" s="0" t="e">
        <f aca="false">sheet1!auk180</f>
        <v>#NAME?</v>
      </c>
      <c r="K179" s="0" t="e">
        <f aca="false">sheet1!aul180</f>
        <v>#NAME?</v>
      </c>
      <c r="L179" s="0" t="e">
        <f aca="false">sheet1!aum180</f>
        <v>#NAME?</v>
      </c>
      <c r="M179" s="0" t="e">
        <f aca="false">sheet1!aun180</f>
        <v>#NAME?</v>
      </c>
    </row>
    <row r="180" customFormat="false" ht="13.5" hidden="false" customHeight="false" outlineLevel="0" collapsed="false">
      <c r="A180" s="0" t="s">
        <v>95</v>
      </c>
      <c r="B180" s="1" t="n">
        <v>44040</v>
      </c>
      <c r="C180" s="0" t="e">
        <f aca="false">sheet1!aud181</f>
        <v>#NAME?</v>
      </c>
      <c r="D180" s="0" t="e">
        <f aca="false">sheet1!aue181</f>
        <v>#NAME?</v>
      </c>
      <c r="E180" s="0" t="e">
        <f aca="false">sheet1!auf181</f>
        <v>#NAME?</v>
      </c>
      <c r="F180" s="0" t="e">
        <f aca="false">sheet1!aug181</f>
        <v>#NAME?</v>
      </c>
      <c r="G180" s="0" t="e">
        <f aca="false">sheet1!auh181</f>
        <v>#NAME?</v>
      </c>
      <c r="H180" s="0" t="e">
        <f aca="false">sheet1!aui181</f>
        <v>#NAME?</v>
      </c>
      <c r="I180" s="0" t="e">
        <f aca="false">sheet1!auj181</f>
        <v>#NAME?</v>
      </c>
      <c r="J180" s="0" t="e">
        <f aca="false">sheet1!auk181</f>
        <v>#NAME?</v>
      </c>
      <c r="K180" s="0" t="e">
        <f aca="false">sheet1!aul181</f>
        <v>#NAME?</v>
      </c>
      <c r="L180" s="0" t="e">
        <f aca="false">sheet1!aum181</f>
        <v>#NAME?</v>
      </c>
      <c r="M180" s="0" t="e">
        <f aca="false">sheet1!aun181</f>
        <v>#NAME?</v>
      </c>
    </row>
    <row r="181" customFormat="false" ht="13.5" hidden="false" customHeight="false" outlineLevel="0" collapsed="false">
      <c r="A181" s="0" t="s">
        <v>95</v>
      </c>
      <c r="B181" s="1" t="n">
        <v>44041</v>
      </c>
      <c r="C181" s="0" t="e">
        <f aca="false">sheet1!aud182</f>
        <v>#NAME?</v>
      </c>
      <c r="D181" s="0" t="e">
        <f aca="false">sheet1!aue182</f>
        <v>#NAME?</v>
      </c>
      <c r="E181" s="0" t="e">
        <f aca="false">sheet1!auf182</f>
        <v>#NAME?</v>
      </c>
      <c r="F181" s="0" t="e">
        <f aca="false">sheet1!aug182</f>
        <v>#NAME?</v>
      </c>
      <c r="G181" s="0" t="e">
        <f aca="false">sheet1!auh182</f>
        <v>#NAME?</v>
      </c>
      <c r="H181" s="0" t="e">
        <f aca="false">sheet1!aui182</f>
        <v>#NAME?</v>
      </c>
      <c r="I181" s="0" t="e">
        <f aca="false">sheet1!auj182</f>
        <v>#NAME?</v>
      </c>
      <c r="J181" s="0" t="e">
        <f aca="false">sheet1!auk182</f>
        <v>#NAME?</v>
      </c>
      <c r="K181" s="0" t="e">
        <f aca="false">sheet1!aul182</f>
        <v>#NAME?</v>
      </c>
      <c r="L181" s="0" t="e">
        <f aca="false">sheet1!aum182</f>
        <v>#NAME?</v>
      </c>
      <c r="M181" s="0" t="e">
        <f aca="false">sheet1!aun182</f>
        <v>#NAME?</v>
      </c>
    </row>
    <row r="182" customFormat="false" ht="13.5" hidden="false" customHeight="false" outlineLevel="0" collapsed="false">
      <c r="A182" s="0" t="s">
        <v>95</v>
      </c>
      <c r="B182" s="1" t="n">
        <v>44042</v>
      </c>
      <c r="C182" s="0" t="e">
        <f aca="false">sheet1!aud183</f>
        <v>#NAME?</v>
      </c>
      <c r="D182" s="0" t="e">
        <f aca="false">sheet1!aue183</f>
        <v>#NAME?</v>
      </c>
      <c r="E182" s="0" t="e">
        <f aca="false">sheet1!auf183</f>
        <v>#NAME?</v>
      </c>
      <c r="F182" s="0" t="e">
        <f aca="false">sheet1!aug183</f>
        <v>#NAME?</v>
      </c>
      <c r="G182" s="0" t="e">
        <f aca="false">sheet1!auh183</f>
        <v>#NAME?</v>
      </c>
      <c r="H182" s="0" t="e">
        <f aca="false">sheet1!aui183</f>
        <v>#NAME?</v>
      </c>
      <c r="I182" s="0" t="e">
        <f aca="false">sheet1!auj183</f>
        <v>#NAME?</v>
      </c>
      <c r="J182" s="0" t="e">
        <f aca="false">sheet1!auk183</f>
        <v>#NAME?</v>
      </c>
      <c r="K182" s="0" t="e">
        <f aca="false">sheet1!aul183</f>
        <v>#NAME?</v>
      </c>
      <c r="L182" s="0" t="e">
        <f aca="false">sheet1!aum183</f>
        <v>#NAME?</v>
      </c>
      <c r="M182" s="0" t="e">
        <f aca="false">sheet1!aun183</f>
        <v>#NAME?</v>
      </c>
    </row>
    <row r="183" customFormat="false" ht="13.5" hidden="false" customHeight="false" outlineLevel="0" collapsed="false">
      <c r="A183" s="0" t="s">
        <v>95</v>
      </c>
      <c r="B183" s="1" t="n">
        <v>44043</v>
      </c>
      <c r="C183" s="0" t="e">
        <f aca="false">sheet1!aud184</f>
        <v>#NAME?</v>
      </c>
      <c r="D183" s="0" t="e">
        <f aca="false">sheet1!aue184</f>
        <v>#NAME?</v>
      </c>
      <c r="E183" s="0" t="e">
        <f aca="false">sheet1!auf184</f>
        <v>#NAME?</v>
      </c>
      <c r="F183" s="0" t="e">
        <f aca="false">sheet1!aug184</f>
        <v>#NAME?</v>
      </c>
      <c r="G183" s="0" t="e">
        <f aca="false">sheet1!auh184</f>
        <v>#NAME?</v>
      </c>
      <c r="H183" s="0" t="e">
        <f aca="false">sheet1!aui184</f>
        <v>#NAME?</v>
      </c>
      <c r="I183" s="0" t="e">
        <f aca="false">sheet1!auj184</f>
        <v>#NAME?</v>
      </c>
      <c r="J183" s="0" t="e">
        <f aca="false">sheet1!auk184</f>
        <v>#NAME?</v>
      </c>
      <c r="K183" s="0" t="e">
        <f aca="false">sheet1!aul184</f>
        <v>#NAME?</v>
      </c>
      <c r="L183" s="0" t="e">
        <f aca="false">sheet1!aum184</f>
        <v>#NAME?</v>
      </c>
      <c r="M183" s="0" t="e">
        <f aca="false">sheet1!aun184</f>
        <v>#NAME?</v>
      </c>
    </row>
    <row r="184" customFormat="false" ht="13.5" hidden="false" customHeight="false" outlineLevel="0" collapsed="false">
      <c r="A184" s="0" t="s">
        <v>95</v>
      </c>
      <c r="B184" s="1" t="n">
        <v>44044</v>
      </c>
      <c r="C184" s="0" t="e">
        <f aca="false">sheet1!aud185</f>
        <v>#NAME?</v>
      </c>
      <c r="D184" s="0" t="e">
        <f aca="false">sheet1!aue185</f>
        <v>#NAME?</v>
      </c>
      <c r="E184" s="0" t="e">
        <f aca="false">sheet1!auf185</f>
        <v>#NAME?</v>
      </c>
      <c r="F184" s="0" t="e">
        <f aca="false">sheet1!aug185</f>
        <v>#NAME?</v>
      </c>
      <c r="G184" s="0" t="e">
        <f aca="false">sheet1!auh185</f>
        <v>#NAME?</v>
      </c>
      <c r="H184" s="0" t="e">
        <f aca="false">sheet1!aui185</f>
        <v>#NAME?</v>
      </c>
      <c r="I184" s="0" t="e">
        <f aca="false">sheet1!auj185</f>
        <v>#NAME?</v>
      </c>
      <c r="J184" s="0" t="e">
        <f aca="false">sheet1!auk185</f>
        <v>#NAME?</v>
      </c>
      <c r="K184" s="0" t="e">
        <f aca="false">sheet1!aul185</f>
        <v>#NAME?</v>
      </c>
      <c r="L184" s="0" t="e">
        <f aca="false">sheet1!aum185</f>
        <v>#NAME?</v>
      </c>
      <c r="M184" s="0" t="e">
        <f aca="false">sheet1!aun185</f>
        <v>#NAME?</v>
      </c>
    </row>
    <row r="185" customFormat="false" ht="13.5" hidden="false" customHeight="false" outlineLevel="0" collapsed="false">
      <c r="A185" s="0" t="s">
        <v>95</v>
      </c>
      <c r="B185" s="1" t="n">
        <v>44045</v>
      </c>
      <c r="C185" s="0" t="e">
        <f aca="false">sheet1!aud186</f>
        <v>#NAME?</v>
      </c>
      <c r="D185" s="0" t="e">
        <f aca="false">sheet1!aue186</f>
        <v>#NAME?</v>
      </c>
      <c r="E185" s="0" t="e">
        <f aca="false">sheet1!auf186</f>
        <v>#NAME?</v>
      </c>
      <c r="F185" s="0" t="e">
        <f aca="false">sheet1!aug186</f>
        <v>#NAME?</v>
      </c>
      <c r="G185" s="0" t="e">
        <f aca="false">sheet1!auh186</f>
        <v>#NAME?</v>
      </c>
      <c r="H185" s="0" t="e">
        <f aca="false">sheet1!aui186</f>
        <v>#NAME?</v>
      </c>
      <c r="I185" s="0" t="e">
        <f aca="false">sheet1!auj186</f>
        <v>#NAME?</v>
      </c>
      <c r="J185" s="0" t="e">
        <f aca="false">sheet1!auk186</f>
        <v>#NAME?</v>
      </c>
      <c r="K185" s="0" t="e">
        <f aca="false">sheet1!aul186</f>
        <v>#NAME?</v>
      </c>
      <c r="L185" s="0" t="e">
        <f aca="false">sheet1!aum186</f>
        <v>#NAME?</v>
      </c>
      <c r="M185" s="0" t="e">
        <f aca="false">sheet1!aun186</f>
        <v>#NAME?</v>
      </c>
    </row>
    <row r="186" customFormat="false" ht="13.5" hidden="false" customHeight="false" outlineLevel="0" collapsed="false">
      <c r="A186" s="0" t="s">
        <v>95</v>
      </c>
      <c r="B186" s="1" t="n">
        <v>44046</v>
      </c>
      <c r="C186" s="0" t="e">
        <f aca="false">sheet1!aud187</f>
        <v>#NAME?</v>
      </c>
      <c r="D186" s="0" t="e">
        <f aca="false">sheet1!aue187</f>
        <v>#NAME?</v>
      </c>
      <c r="E186" s="0" t="e">
        <f aca="false">sheet1!auf187</f>
        <v>#NAME?</v>
      </c>
      <c r="F186" s="0" t="e">
        <f aca="false">sheet1!aug187</f>
        <v>#NAME?</v>
      </c>
      <c r="G186" s="0" t="e">
        <f aca="false">sheet1!auh187</f>
        <v>#NAME?</v>
      </c>
      <c r="H186" s="0" t="e">
        <f aca="false">sheet1!aui187</f>
        <v>#NAME?</v>
      </c>
      <c r="I186" s="0" t="e">
        <f aca="false">sheet1!auj187</f>
        <v>#NAME?</v>
      </c>
      <c r="J186" s="0" t="e">
        <f aca="false">sheet1!auk187</f>
        <v>#NAME?</v>
      </c>
      <c r="K186" s="0" t="e">
        <f aca="false">sheet1!aul187</f>
        <v>#NAME?</v>
      </c>
      <c r="L186" s="0" t="e">
        <f aca="false">sheet1!aum187</f>
        <v>#NAME?</v>
      </c>
      <c r="M186" s="0" t="e">
        <f aca="false">sheet1!aun187</f>
        <v>#NAME?</v>
      </c>
    </row>
    <row r="187" customFormat="false" ht="13.5" hidden="false" customHeight="false" outlineLevel="0" collapsed="false">
      <c r="A187" s="0" t="s">
        <v>95</v>
      </c>
      <c r="B187" s="1" t="n">
        <v>44047</v>
      </c>
      <c r="C187" s="0" t="e">
        <f aca="false">sheet1!aud188</f>
        <v>#NAME?</v>
      </c>
      <c r="D187" s="0" t="e">
        <f aca="false">sheet1!aue188</f>
        <v>#NAME?</v>
      </c>
      <c r="E187" s="0" t="e">
        <f aca="false">sheet1!auf188</f>
        <v>#NAME?</v>
      </c>
      <c r="F187" s="0" t="e">
        <f aca="false">sheet1!aug188</f>
        <v>#NAME?</v>
      </c>
      <c r="G187" s="0" t="e">
        <f aca="false">sheet1!auh188</f>
        <v>#NAME?</v>
      </c>
      <c r="H187" s="0" t="e">
        <f aca="false">sheet1!aui188</f>
        <v>#NAME?</v>
      </c>
      <c r="I187" s="0" t="e">
        <f aca="false">sheet1!auj188</f>
        <v>#NAME?</v>
      </c>
      <c r="J187" s="0" t="e">
        <f aca="false">sheet1!auk188</f>
        <v>#NAME?</v>
      </c>
      <c r="K187" s="0" t="e">
        <f aca="false">sheet1!aul188</f>
        <v>#NAME?</v>
      </c>
      <c r="L187" s="0" t="e">
        <f aca="false">sheet1!aum188</f>
        <v>#NAME?</v>
      </c>
      <c r="M187" s="0" t="e">
        <f aca="false">sheet1!aun188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96</v>
      </c>
      <c r="B2" s="1" t="n">
        <v>43862</v>
      </c>
    </row>
    <row r="3" customFormat="false" ht="13.5" hidden="false" customHeight="false" outlineLevel="0" collapsed="false">
      <c r="A3" s="0" t="s">
        <v>96</v>
      </c>
      <c r="B3" s="1" t="n">
        <v>43863</v>
      </c>
    </row>
    <row r="4" customFormat="false" ht="13.5" hidden="false" customHeight="false" outlineLevel="0" collapsed="false">
      <c r="A4" s="0" t="s">
        <v>96</v>
      </c>
      <c r="B4" s="1" t="n">
        <v>43864</v>
      </c>
    </row>
    <row r="5" customFormat="false" ht="13.5" hidden="false" customHeight="false" outlineLevel="0" collapsed="false">
      <c r="A5" s="0" t="s">
        <v>96</v>
      </c>
      <c r="B5" s="1" t="n">
        <v>43865</v>
      </c>
    </row>
    <row r="6" customFormat="false" ht="13.5" hidden="false" customHeight="false" outlineLevel="0" collapsed="false">
      <c r="A6" s="0" t="s">
        <v>96</v>
      </c>
      <c r="B6" s="1" t="n">
        <v>43866</v>
      </c>
    </row>
    <row r="7" customFormat="false" ht="13.5" hidden="false" customHeight="false" outlineLevel="0" collapsed="false">
      <c r="A7" s="0" t="s">
        <v>96</v>
      </c>
      <c r="B7" s="1" t="n">
        <v>43867</v>
      </c>
    </row>
    <row r="8" customFormat="false" ht="13.5" hidden="false" customHeight="false" outlineLevel="0" collapsed="false">
      <c r="A8" s="0" t="s">
        <v>96</v>
      </c>
      <c r="B8" s="1" t="n">
        <v>43868</v>
      </c>
    </row>
    <row r="9" customFormat="false" ht="13.5" hidden="false" customHeight="false" outlineLevel="0" collapsed="false">
      <c r="A9" s="0" t="s">
        <v>96</v>
      </c>
      <c r="B9" s="1" t="n">
        <v>43869</v>
      </c>
    </row>
    <row r="10" customFormat="false" ht="13.5" hidden="false" customHeight="false" outlineLevel="0" collapsed="false">
      <c r="A10" s="0" t="s">
        <v>96</v>
      </c>
      <c r="B10" s="1" t="n">
        <v>43870</v>
      </c>
    </row>
    <row r="11" customFormat="false" ht="13.5" hidden="false" customHeight="false" outlineLevel="0" collapsed="false">
      <c r="A11" s="0" t="s">
        <v>96</v>
      </c>
      <c r="B11" s="1" t="n">
        <v>43871</v>
      </c>
    </row>
    <row r="12" customFormat="false" ht="13.5" hidden="false" customHeight="false" outlineLevel="0" collapsed="false">
      <c r="A12" s="0" t="s">
        <v>96</v>
      </c>
      <c r="B12" s="1" t="n">
        <v>43872</v>
      </c>
    </row>
    <row r="13" customFormat="false" ht="13.5" hidden="false" customHeight="false" outlineLevel="0" collapsed="false">
      <c r="A13" s="0" t="s">
        <v>96</v>
      </c>
      <c r="B13" s="1" t="n">
        <v>43873</v>
      </c>
    </row>
    <row r="14" customFormat="false" ht="13.5" hidden="false" customHeight="false" outlineLevel="0" collapsed="false">
      <c r="A14" s="0" t="s">
        <v>96</v>
      </c>
      <c r="B14" s="1" t="n">
        <v>43874</v>
      </c>
    </row>
    <row r="15" customFormat="false" ht="13.5" hidden="false" customHeight="false" outlineLevel="0" collapsed="false">
      <c r="A15" s="0" t="s">
        <v>96</v>
      </c>
      <c r="B15" s="1" t="n">
        <v>43875</v>
      </c>
    </row>
    <row r="16" customFormat="false" ht="13.5" hidden="false" customHeight="false" outlineLevel="0" collapsed="false">
      <c r="A16" s="0" t="s">
        <v>96</v>
      </c>
      <c r="B16" s="1" t="n">
        <v>43876</v>
      </c>
    </row>
    <row r="17" customFormat="false" ht="13.5" hidden="false" customHeight="false" outlineLevel="0" collapsed="false">
      <c r="A17" s="0" t="s">
        <v>96</v>
      </c>
      <c r="B17" s="1" t="n">
        <v>43877</v>
      </c>
    </row>
    <row r="18" customFormat="false" ht="13.5" hidden="false" customHeight="false" outlineLevel="0" collapsed="false">
      <c r="A18" s="0" t="s">
        <v>96</v>
      </c>
      <c r="B18" s="1" t="n">
        <v>43878</v>
      </c>
    </row>
    <row r="19" customFormat="false" ht="13.5" hidden="false" customHeight="false" outlineLevel="0" collapsed="false">
      <c r="A19" s="0" t="s">
        <v>96</v>
      </c>
      <c r="B19" s="1" t="n">
        <v>43879</v>
      </c>
    </row>
    <row r="20" customFormat="false" ht="13.5" hidden="false" customHeight="false" outlineLevel="0" collapsed="false">
      <c r="A20" s="0" t="s">
        <v>96</v>
      </c>
      <c r="B20" s="1" t="n">
        <v>43880</v>
      </c>
    </row>
    <row r="21" customFormat="false" ht="13.5" hidden="false" customHeight="false" outlineLevel="0" collapsed="false">
      <c r="A21" s="0" t="s">
        <v>96</v>
      </c>
      <c r="B21" s="1" t="n">
        <v>43881</v>
      </c>
    </row>
    <row r="22" customFormat="false" ht="13.5" hidden="false" customHeight="false" outlineLevel="0" collapsed="false">
      <c r="A22" s="0" t="s">
        <v>96</v>
      </c>
      <c r="B22" s="1" t="n">
        <v>43882</v>
      </c>
    </row>
    <row r="23" customFormat="false" ht="13.5" hidden="false" customHeight="false" outlineLevel="0" collapsed="false">
      <c r="A23" s="0" t="s">
        <v>96</v>
      </c>
      <c r="B23" s="1" t="n">
        <v>43883</v>
      </c>
    </row>
    <row r="24" customFormat="false" ht="13.5" hidden="false" customHeight="false" outlineLevel="0" collapsed="false">
      <c r="A24" s="0" t="s">
        <v>96</v>
      </c>
      <c r="B24" s="1" t="n">
        <v>43884</v>
      </c>
    </row>
    <row r="25" customFormat="false" ht="13.5" hidden="false" customHeight="false" outlineLevel="0" collapsed="false">
      <c r="A25" s="0" t="s">
        <v>96</v>
      </c>
      <c r="B25" s="1" t="n">
        <v>43885</v>
      </c>
    </row>
    <row r="26" customFormat="false" ht="13.5" hidden="false" customHeight="false" outlineLevel="0" collapsed="false">
      <c r="A26" s="0" t="s">
        <v>96</v>
      </c>
      <c r="B26" s="1" t="n">
        <v>43886</v>
      </c>
    </row>
    <row r="27" customFormat="false" ht="13.5" hidden="false" customHeight="false" outlineLevel="0" collapsed="false">
      <c r="A27" s="0" t="s">
        <v>96</v>
      </c>
      <c r="B27" s="1" t="n">
        <v>43887</v>
      </c>
    </row>
    <row r="28" customFormat="false" ht="13.5" hidden="false" customHeight="false" outlineLevel="0" collapsed="false">
      <c r="A28" s="0" t="s">
        <v>96</v>
      </c>
      <c r="B28" s="1" t="n">
        <v>43888</v>
      </c>
    </row>
    <row r="29" customFormat="false" ht="13.5" hidden="false" customHeight="false" outlineLevel="0" collapsed="false">
      <c r="A29" s="0" t="s">
        <v>96</v>
      </c>
      <c r="B29" s="1" t="n">
        <v>43889</v>
      </c>
    </row>
    <row r="30" customFormat="false" ht="13.5" hidden="false" customHeight="false" outlineLevel="0" collapsed="false">
      <c r="A30" s="0" t="s">
        <v>96</v>
      </c>
      <c r="B30" s="1" t="n">
        <v>43890</v>
      </c>
    </row>
    <row r="31" customFormat="false" ht="13.5" hidden="false" customHeight="false" outlineLevel="0" collapsed="false">
      <c r="A31" s="0" t="s">
        <v>96</v>
      </c>
      <c r="B31" s="1" t="n">
        <v>43891</v>
      </c>
    </row>
    <row r="32" customFormat="false" ht="13.5" hidden="false" customHeight="false" outlineLevel="0" collapsed="false">
      <c r="A32" s="0" t="s">
        <v>96</v>
      </c>
      <c r="B32" s="1" t="n">
        <v>43892</v>
      </c>
    </row>
    <row r="33" customFormat="false" ht="13.5" hidden="false" customHeight="false" outlineLevel="0" collapsed="false">
      <c r="A33" s="0" t="s">
        <v>96</v>
      </c>
      <c r="B33" s="1" t="n">
        <v>43893</v>
      </c>
    </row>
    <row r="34" customFormat="false" ht="13.5" hidden="false" customHeight="false" outlineLevel="0" collapsed="false">
      <c r="A34" s="0" t="s">
        <v>96</v>
      </c>
      <c r="B34" s="1" t="n">
        <v>43894</v>
      </c>
    </row>
    <row r="35" customFormat="false" ht="13.5" hidden="false" customHeight="false" outlineLevel="0" collapsed="false">
      <c r="A35" s="0" t="s">
        <v>96</v>
      </c>
      <c r="B35" s="1" t="n">
        <v>43895</v>
      </c>
    </row>
    <row r="36" customFormat="false" ht="13.5" hidden="false" customHeight="false" outlineLevel="0" collapsed="false">
      <c r="A36" s="0" t="s">
        <v>96</v>
      </c>
      <c r="B36" s="1" t="n">
        <v>43896</v>
      </c>
    </row>
    <row r="37" customFormat="false" ht="13.5" hidden="false" customHeight="false" outlineLevel="0" collapsed="false">
      <c r="A37" s="0" t="s">
        <v>96</v>
      </c>
      <c r="B37" s="1" t="n">
        <v>43897</v>
      </c>
    </row>
    <row r="38" customFormat="false" ht="13.5" hidden="false" customHeight="false" outlineLevel="0" collapsed="false">
      <c r="A38" s="0" t="s">
        <v>96</v>
      </c>
      <c r="B38" s="1" t="n">
        <v>43898</v>
      </c>
    </row>
    <row r="39" customFormat="false" ht="13.5" hidden="false" customHeight="false" outlineLevel="0" collapsed="false">
      <c r="A39" s="0" t="s">
        <v>96</v>
      </c>
      <c r="B39" s="1" t="n">
        <v>43899</v>
      </c>
    </row>
    <row r="40" customFormat="false" ht="13.5" hidden="false" customHeight="false" outlineLevel="0" collapsed="false">
      <c r="A40" s="0" t="s">
        <v>96</v>
      </c>
      <c r="B40" s="1" t="n">
        <v>43900</v>
      </c>
    </row>
    <row r="41" customFormat="false" ht="13.5" hidden="false" customHeight="false" outlineLevel="0" collapsed="false">
      <c r="A41" s="0" t="s">
        <v>96</v>
      </c>
      <c r="B41" s="1" t="n">
        <v>43901</v>
      </c>
    </row>
    <row r="42" customFormat="false" ht="13.5" hidden="false" customHeight="false" outlineLevel="0" collapsed="false">
      <c r="A42" s="0" t="s">
        <v>96</v>
      </c>
      <c r="B42" s="1" t="n">
        <v>43902</v>
      </c>
    </row>
    <row r="43" customFormat="false" ht="13.5" hidden="false" customHeight="false" outlineLevel="0" collapsed="false">
      <c r="A43" s="0" t="s">
        <v>96</v>
      </c>
      <c r="B43" s="1" t="n">
        <v>43903</v>
      </c>
    </row>
    <row r="44" customFormat="false" ht="13.5" hidden="false" customHeight="false" outlineLevel="0" collapsed="false">
      <c r="A44" s="0" t="s">
        <v>96</v>
      </c>
      <c r="B44" s="1" t="n">
        <v>43904</v>
      </c>
    </row>
    <row r="45" customFormat="false" ht="13.5" hidden="false" customHeight="false" outlineLevel="0" collapsed="false">
      <c r="A45" s="0" t="s">
        <v>96</v>
      </c>
      <c r="B45" s="1" t="n">
        <v>43905</v>
      </c>
    </row>
    <row r="46" customFormat="false" ht="13.5" hidden="false" customHeight="false" outlineLevel="0" collapsed="false">
      <c r="A46" s="0" t="s">
        <v>96</v>
      </c>
      <c r="B46" s="1" t="n">
        <v>43906</v>
      </c>
    </row>
    <row r="47" customFormat="false" ht="13.5" hidden="false" customHeight="false" outlineLevel="0" collapsed="false">
      <c r="A47" s="0" t="s">
        <v>96</v>
      </c>
      <c r="B47" s="1" t="n">
        <v>43907</v>
      </c>
    </row>
    <row r="48" customFormat="false" ht="13.5" hidden="false" customHeight="false" outlineLevel="0" collapsed="false">
      <c r="A48" s="0" t="s">
        <v>96</v>
      </c>
      <c r="B48" s="1" t="n">
        <v>43908</v>
      </c>
    </row>
    <row r="49" customFormat="false" ht="13.5" hidden="false" customHeight="false" outlineLevel="0" collapsed="false">
      <c r="A49" s="0" t="s">
        <v>96</v>
      </c>
      <c r="B49" s="1" t="n">
        <v>43909</v>
      </c>
    </row>
    <row r="50" customFormat="false" ht="13.5" hidden="false" customHeight="false" outlineLevel="0" collapsed="false">
      <c r="A50" s="0" t="s">
        <v>96</v>
      </c>
      <c r="B50" s="1" t="n">
        <v>43910</v>
      </c>
    </row>
    <row r="51" customFormat="false" ht="13.5" hidden="false" customHeight="false" outlineLevel="0" collapsed="false">
      <c r="A51" s="0" t="s">
        <v>96</v>
      </c>
      <c r="B51" s="1" t="n">
        <v>43911</v>
      </c>
    </row>
    <row r="52" customFormat="false" ht="13.5" hidden="false" customHeight="false" outlineLevel="0" collapsed="false">
      <c r="A52" s="0" t="s">
        <v>96</v>
      </c>
      <c r="B52" s="1" t="n">
        <v>43912</v>
      </c>
    </row>
    <row r="53" customFormat="false" ht="13.5" hidden="false" customHeight="false" outlineLevel="0" collapsed="false">
      <c r="A53" s="0" t="s">
        <v>96</v>
      </c>
      <c r="B53" s="1" t="n">
        <v>43913</v>
      </c>
    </row>
    <row r="54" customFormat="false" ht="13.5" hidden="false" customHeight="false" outlineLevel="0" collapsed="false">
      <c r="A54" s="0" t="s">
        <v>96</v>
      </c>
      <c r="B54" s="1" t="n">
        <v>43914</v>
      </c>
    </row>
    <row r="55" customFormat="false" ht="13.5" hidden="false" customHeight="false" outlineLevel="0" collapsed="false">
      <c r="A55" s="0" t="s">
        <v>96</v>
      </c>
      <c r="B55" s="1" t="n">
        <v>43915</v>
      </c>
    </row>
    <row r="56" customFormat="false" ht="13.5" hidden="false" customHeight="false" outlineLevel="0" collapsed="false">
      <c r="A56" s="0" t="s">
        <v>96</v>
      </c>
      <c r="B56" s="1" t="n">
        <v>43916</v>
      </c>
    </row>
    <row r="57" customFormat="false" ht="13.5" hidden="false" customHeight="false" outlineLevel="0" collapsed="false">
      <c r="A57" s="0" t="s">
        <v>96</v>
      </c>
      <c r="B57" s="1" t="n">
        <v>43917</v>
      </c>
    </row>
    <row r="58" customFormat="false" ht="13.5" hidden="false" customHeight="false" outlineLevel="0" collapsed="false">
      <c r="A58" s="0" t="s">
        <v>96</v>
      </c>
      <c r="B58" s="1" t="n">
        <v>43918</v>
      </c>
    </row>
    <row r="59" customFormat="false" ht="13.5" hidden="false" customHeight="false" outlineLevel="0" collapsed="false">
      <c r="A59" s="0" t="s">
        <v>96</v>
      </c>
      <c r="B59" s="1" t="n">
        <v>43919</v>
      </c>
    </row>
    <row r="60" customFormat="false" ht="13.5" hidden="false" customHeight="false" outlineLevel="0" collapsed="false">
      <c r="A60" s="0" t="s">
        <v>96</v>
      </c>
      <c r="B60" s="1" t="n">
        <v>43920</v>
      </c>
    </row>
    <row r="61" customFormat="false" ht="13.5" hidden="false" customHeight="false" outlineLevel="0" collapsed="false">
      <c r="A61" s="0" t="s">
        <v>96</v>
      </c>
      <c r="B61" s="1" t="n">
        <v>43921</v>
      </c>
    </row>
    <row r="62" customFormat="false" ht="13.5" hidden="false" customHeight="false" outlineLevel="0" collapsed="false">
      <c r="A62" s="0" t="s">
        <v>96</v>
      </c>
      <c r="B62" s="1" t="n">
        <v>43922</v>
      </c>
    </row>
    <row r="63" customFormat="false" ht="13.5" hidden="false" customHeight="false" outlineLevel="0" collapsed="false">
      <c r="A63" s="0" t="s">
        <v>96</v>
      </c>
      <c r="B63" s="1" t="n">
        <v>43923</v>
      </c>
    </row>
    <row r="64" customFormat="false" ht="13.5" hidden="false" customHeight="false" outlineLevel="0" collapsed="false">
      <c r="A64" s="0" t="s">
        <v>96</v>
      </c>
      <c r="B64" s="1" t="n">
        <v>43924</v>
      </c>
    </row>
    <row r="65" customFormat="false" ht="13.5" hidden="false" customHeight="false" outlineLevel="0" collapsed="false">
      <c r="A65" s="0" t="s">
        <v>96</v>
      </c>
      <c r="B65" s="1" t="n">
        <v>43925</v>
      </c>
    </row>
    <row r="66" customFormat="false" ht="13.5" hidden="false" customHeight="false" outlineLevel="0" collapsed="false">
      <c r="A66" s="0" t="s">
        <v>96</v>
      </c>
      <c r="B66" s="1" t="n">
        <v>43926</v>
      </c>
    </row>
    <row r="67" customFormat="false" ht="13.5" hidden="false" customHeight="false" outlineLevel="0" collapsed="false">
      <c r="A67" s="0" t="s">
        <v>96</v>
      </c>
      <c r="B67" s="1" t="n">
        <v>43927</v>
      </c>
    </row>
    <row r="68" customFormat="false" ht="13.5" hidden="false" customHeight="false" outlineLevel="0" collapsed="false">
      <c r="A68" s="0" t="s">
        <v>96</v>
      </c>
      <c r="B68" s="1" t="n">
        <v>43928</v>
      </c>
    </row>
    <row r="69" customFormat="false" ht="13.5" hidden="false" customHeight="false" outlineLevel="0" collapsed="false">
      <c r="A69" s="0" t="s">
        <v>96</v>
      </c>
      <c r="B69" s="1" t="n">
        <v>43929</v>
      </c>
    </row>
    <row r="70" customFormat="false" ht="13.5" hidden="false" customHeight="false" outlineLevel="0" collapsed="false">
      <c r="A70" s="0" t="s">
        <v>96</v>
      </c>
      <c r="B70" s="1" t="n">
        <v>43930</v>
      </c>
    </row>
    <row r="71" customFormat="false" ht="13.5" hidden="false" customHeight="false" outlineLevel="0" collapsed="false">
      <c r="A71" s="0" t="s">
        <v>96</v>
      </c>
      <c r="B71" s="1" t="n">
        <v>43931</v>
      </c>
    </row>
    <row r="72" customFormat="false" ht="13.5" hidden="false" customHeight="false" outlineLevel="0" collapsed="false">
      <c r="A72" s="0" t="s">
        <v>96</v>
      </c>
      <c r="B72" s="1" t="n">
        <v>43932</v>
      </c>
    </row>
    <row r="73" customFormat="false" ht="13.5" hidden="false" customHeight="false" outlineLevel="0" collapsed="false">
      <c r="A73" s="0" t="s">
        <v>96</v>
      </c>
      <c r="B73" s="1" t="n">
        <v>43933</v>
      </c>
    </row>
    <row r="74" customFormat="false" ht="13.5" hidden="false" customHeight="false" outlineLevel="0" collapsed="false">
      <c r="A74" s="0" t="s">
        <v>96</v>
      </c>
      <c r="B74" s="1" t="n">
        <v>43934</v>
      </c>
    </row>
    <row r="75" customFormat="false" ht="13.5" hidden="false" customHeight="false" outlineLevel="0" collapsed="false">
      <c r="A75" s="0" t="s">
        <v>96</v>
      </c>
      <c r="B75" s="1" t="n">
        <v>43935</v>
      </c>
    </row>
    <row r="76" customFormat="false" ht="13.5" hidden="false" customHeight="false" outlineLevel="0" collapsed="false">
      <c r="A76" s="0" t="s">
        <v>96</v>
      </c>
      <c r="B76" s="1" t="n">
        <v>43936</v>
      </c>
    </row>
    <row r="77" customFormat="false" ht="13.5" hidden="false" customHeight="false" outlineLevel="0" collapsed="false">
      <c r="A77" s="0" t="s">
        <v>96</v>
      </c>
      <c r="B77" s="1" t="n">
        <v>43937</v>
      </c>
    </row>
    <row r="78" customFormat="false" ht="13.5" hidden="false" customHeight="false" outlineLevel="0" collapsed="false">
      <c r="A78" s="0" t="s">
        <v>96</v>
      </c>
      <c r="B78" s="1" t="n">
        <v>43938</v>
      </c>
    </row>
    <row r="79" customFormat="false" ht="13.5" hidden="false" customHeight="false" outlineLevel="0" collapsed="false">
      <c r="A79" s="0" t="s">
        <v>96</v>
      </c>
      <c r="B79" s="1" t="n">
        <v>43939</v>
      </c>
    </row>
    <row r="80" customFormat="false" ht="13.5" hidden="false" customHeight="false" outlineLevel="0" collapsed="false">
      <c r="A80" s="0" t="s">
        <v>96</v>
      </c>
      <c r="B80" s="1" t="n">
        <v>43940</v>
      </c>
    </row>
    <row r="81" customFormat="false" ht="13.5" hidden="false" customHeight="false" outlineLevel="0" collapsed="false">
      <c r="A81" s="0" t="s">
        <v>96</v>
      </c>
      <c r="B81" s="1" t="n">
        <v>43941</v>
      </c>
    </row>
    <row r="82" customFormat="false" ht="13.5" hidden="false" customHeight="false" outlineLevel="0" collapsed="false">
      <c r="A82" s="0" t="s">
        <v>96</v>
      </c>
      <c r="B82" s="1" t="n">
        <v>43942</v>
      </c>
    </row>
    <row r="83" customFormat="false" ht="13.5" hidden="false" customHeight="false" outlineLevel="0" collapsed="false">
      <c r="A83" s="0" t="s">
        <v>96</v>
      </c>
      <c r="B83" s="1" t="n">
        <v>43943</v>
      </c>
    </row>
    <row r="84" customFormat="false" ht="13.5" hidden="false" customHeight="false" outlineLevel="0" collapsed="false">
      <c r="A84" s="0" t="s">
        <v>96</v>
      </c>
      <c r="B84" s="1" t="n">
        <v>43944</v>
      </c>
    </row>
    <row r="85" customFormat="false" ht="13.5" hidden="false" customHeight="false" outlineLevel="0" collapsed="false">
      <c r="A85" s="0" t="s">
        <v>96</v>
      </c>
      <c r="B85" s="1" t="n">
        <v>43945</v>
      </c>
    </row>
    <row r="86" customFormat="false" ht="13.5" hidden="false" customHeight="false" outlineLevel="0" collapsed="false">
      <c r="A86" s="0" t="s">
        <v>96</v>
      </c>
      <c r="B86" s="1" t="n">
        <v>43946</v>
      </c>
    </row>
    <row r="87" customFormat="false" ht="13.5" hidden="false" customHeight="false" outlineLevel="0" collapsed="false">
      <c r="A87" s="0" t="s">
        <v>96</v>
      </c>
      <c r="B87" s="1" t="n">
        <v>43947</v>
      </c>
    </row>
    <row r="88" customFormat="false" ht="13.5" hidden="false" customHeight="false" outlineLevel="0" collapsed="false">
      <c r="A88" s="0" t="s">
        <v>96</v>
      </c>
      <c r="B88" s="1" t="n">
        <v>43948</v>
      </c>
    </row>
    <row r="89" customFormat="false" ht="13.5" hidden="false" customHeight="false" outlineLevel="0" collapsed="false">
      <c r="A89" s="0" t="s">
        <v>96</v>
      </c>
      <c r="B89" s="1" t="n">
        <v>43949</v>
      </c>
    </row>
    <row r="90" customFormat="false" ht="13.5" hidden="false" customHeight="false" outlineLevel="0" collapsed="false">
      <c r="A90" s="0" t="s">
        <v>96</v>
      </c>
      <c r="B90" s="1" t="n">
        <v>43950</v>
      </c>
    </row>
    <row r="91" customFormat="false" ht="13.5" hidden="false" customHeight="false" outlineLevel="0" collapsed="false">
      <c r="A91" s="0" t="s">
        <v>96</v>
      </c>
      <c r="B91" s="1" t="n">
        <v>43951</v>
      </c>
    </row>
    <row r="92" customFormat="false" ht="13.5" hidden="false" customHeight="false" outlineLevel="0" collapsed="false">
      <c r="A92" s="0" t="s">
        <v>96</v>
      </c>
      <c r="B92" s="1" t="n">
        <v>43952</v>
      </c>
      <c r="C92" s="0" t="n">
        <v>15</v>
      </c>
      <c r="D92" s="0" t="n">
        <v>15</v>
      </c>
      <c r="H92" s="0" t="n">
        <v>15</v>
      </c>
      <c r="J92" s="0" t="n">
        <v>2</v>
      </c>
    </row>
    <row r="93" customFormat="false" ht="13.5" hidden="false" customHeight="false" outlineLevel="0" collapsed="false">
      <c r="A93" s="0" t="s">
        <v>96</v>
      </c>
      <c r="B93" s="1" t="n">
        <v>43953</v>
      </c>
      <c r="C93" s="0" t="n">
        <v>15</v>
      </c>
      <c r="D93" s="0" t="n">
        <v>0</v>
      </c>
      <c r="H93" s="0" t="n">
        <v>15</v>
      </c>
      <c r="J93" s="0" t="n">
        <v>2</v>
      </c>
    </row>
    <row r="94" customFormat="false" ht="13.5" hidden="false" customHeight="false" outlineLevel="0" collapsed="false">
      <c r="A94" s="0" t="s">
        <v>96</v>
      </c>
      <c r="B94" s="1" t="n">
        <v>43954</v>
      </c>
      <c r="C94" s="0" t="n">
        <v>76</v>
      </c>
      <c r="D94" s="0" t="n">
        <v>61</v>
      </c>
      <c r="E94" s="0" t="n">
        <v>2</v>
      </c>
      <c r="F94" s="0" t="n">
        <v>2</v>
      </c>
      <c r="H94" s="0" t="n">
        <v>74</v>
      </c>
      <c r="J94" s="0" t="n">
        <v>8</v>
      </c>
      <c r="K94" s="0" t="n">
        <v>0.2</v>
      </c>
    </row>
    <row r="95" customFormat="false" ht="13.5" hidden="false" customHeight="false" outlineLevel="0" collapsed="false">
      <c r="A95" s="0" t="s">
        <v>96</v>
      </c>
      <c r="B95" s="1" t="n">
        <v>43955</v>
      </c>
      <c r="C95" s="0" t="n">
        <v>128</v>
      </c>
      <c r="D95" s="0" t="n">
        <v>52</v>
      </c>
      <c r="E95" s="0" t="n">
        <v>2</v>
      </c>
      <c r="F95" s="0" t="n">
        <v>0</v>
      </c>
      <c r="H95" s="0" t="n">
        <v>126</v>
      </c>
      <c r="J95" s="0" t="n">
        <v>13</v>
      </c>
      <c r="K95" s="0" t="n">
        <v>0.2</v>
      </c>
    </row>
    <row r="96" customFormat="false" ht="13.5" hidden="false" customHeight="false" outlineLevel="0" collapsed="false">
      <c r="A96" s="0" t="s">
        <v>96</v>
      </c>
      <c r="B96" s="1" t="n">
        <v>43956</v>
      </c>
      <c r="C96" s="0" t="n">
        <v>230</v>
      </c>
      <c r="D96" s="0" t="n">
        <v>102</v>
      </c>
      <c r="E96" s="0" t="n">
        <v>3</v>
      </c>
      <c r="F96" s="0" t="n">
        <v>1</v>
      </c>
      <c r="H96" s="0" t="n">
        <v>227</v>
      </c>
      <c r="J96" s="0" t="n">
        <v>24</v>
      </c>
      <c r="K96" s="0" t="n">
        <v>0.3</v>
      </c>
    </row>
    <row r="97" customFormat="false" ht="13.5" hidden="false" customHeight="false" outlineLevel="0" collapsed="false">
      <c r="A97" s="0" t="s">
        <v>96</v>
      </c>
      <c r="B97" s="1" t="n">
        <v>43957</v>
      </c>
      <c r="C97" s="0" t="n">
        <v>293</v>
      </c>
      <c r="D97" s="0" t="n">
        <v>63</v>
      </c>
      <c r="E97" s="0" t="n">
        <v>5</v>
      </c>
      <c r="F97" s="0" t="n">
        <v>2</v>
      </c>
      <c r="H97" s="0" t="n">
        <v>288</v>
      </c>
      <c r="J97" s="0" t="n">
        <v>31</v>
      </c>
      <c r="K97" s="0" t="n">
        <v>0.5</v>
      </c>
    </row>
    <row r="98" customFormat="false" ht="13.5" hidden="false" customHeight="false" outlineLevel="0" collapsed="false">
      <c r="A98" s="0" t="s">
        <v>96</v>
      </c>
      <c r="B98" s="1" t="n">
        <v>43958</v>
      </c>
      <c r="C98" s="0" t="n">
        <v>379</v>
      </c>
      <c r="D98" s="0" t="n">
        <v>86</v>
      </c>
      <c r="E98" s="0" t="n">
        <v>8</v>
      </c>
      <c r="F98" s="0" t="n">
        <v>3</v>
      </c>
      <c r="H98" s="0" t="n">
        <v>371</v>
      </c>
      <c r="J98" s="0" t="n">
        <v>40</v>
      </c>
      <c r="K98" s="0" t="n">
        <v>0.8</v>
      </c>
    </row>
    <row r="99" customFormat="false" ht="13.5" hidden="false" customHeight="false" outlineLevel="0" collapsed="false">
      <c r="A99" s="0" t="s">
        <v>96</v>
      </c>
      <c r="B99" s="1" t="n">
        <v>43959</v>
      </c>
      <c r="C99" s="0" t="n">
        <v>461</v>
      </c>
      <c r="D99" s="0" t="n">
        <v>82</v>
      </c>
      <c r="E99" s="0" t="n">
        <v>12</v>
      </c>
      <c r="F99" s="0" t="n">
        <v>4</v>
      </c>
      <c r="H99" s="0" t="n">
        <v>449</v>
      </c>
      <c r="J99" s="0" t="n">
        <v>48</v>
      </c>
      <c r="K99" s="0" t="n">
        <v>1</v>
      </c>
    </row>
    <row r="100" customFormat="false" ht="13.5" hidden="false" customHeight="false" outlineLevel="0" collapsed="false">
      <c r="A100" s="0" t="s">
        <v>96</v>
      </c>
      <c r="B100" s="1" t="n">
        <v>43960</v>
      </c>
      <c r="C100" s="0" t="n">
        <v>522</v>
      </c>
      <c r="D100" s="0" t="n">
        <v>61</v>
      </c>
      <c r="E100" s="0" t="n">
        <v>12</v>
      </c>
      <c r="F100" s="0" t="n">
        <v>0</v>
      </c>
      <c r="H100" s="0" t="n">
        <v>510</v>
      </c>
      <c r="J100" s="0" t="n">
        <v>55</v>
      </c>
      <c r="K100" s="0" t="n">
        <v>1</v>
      </c>
    </row>
    <row r="101" customFormat="false" ht="13.5" hidden="false" customHeight="false" outlineLevel="0" collapsed="false">
      <c r="A101" s="0" t="s">
        <v>96</v>
      </c>
      <c r="B101" s="1" t="n">
        <v>43961</v>
      </c>
      <c r="C101" s="0" t="n">
        <v>612</v>
      </c>
      <c r="D101" s="0" t="n">
        <v>90</v>
      </c>
      <c r="E101" s="0" t="n">
        <v>20</v>
      </c>
      <c r="F101" s="0" t="n">
        <v>8</v>
      </c>
      <c r="H101" s="0" t="n">
        <v>592</v>
      </c>
      <c r="J101" s="0" t="n">
        <v>64</v>
      </c>
      <c r="K101" s="0" t="n">
        <v>2</v>
      </c>
    </row>
    <row r="102" customFormat="false" ht="13.5" hidden="false" customHeight="false" outlineLevel="0" collapsed="false">
      <c r="A102" s="0" t="s">
        <v>96</v>
      </c>
      <c r="B102" s="1" t="n">
        <v>43962</v>
      </c>
      <c r="C102" s="0" t="n">
        <v>612</v>
      </c>
      <c r="D102" s="0" t="n">
        <v>0</v>
      </c>
      <c r="E102" s="0" t="n">
        <v>20</v>
      </c>
      <c r="F102" s="0" t="n">
        <v>0</v>
      </c>
      <c r="H102" s="0" t="n">
        <v>592</v>
      </c>
      <c r="J102" s="0" t="n">
        <v>64</v>
      </c>
      <c r="K102" s="0" t="n">
        <v>2</v>
      </c>
    </row>
    <row r="103" customFormat="false" ht="13.5" hidden="false" customHeight="false" outlineLevel="0" collapsed="false">
      <c r="A103" s="0" t="s">
        <v>96</v>
      </c>
      <c r="B103" s="1" t="n">
        <v>43963</v>
      </c>
      <c r="C103" s="0" t="n">
        <v>661</v>
      </c>
      <c r="D103" s="0" t="n">
        <v>49</v>
      </c>
      <c r="E103" s="0" t="n">
        <v>21</v>
      </c>
      <c r="F103" s="0" t="n">
        <v>1</v>
      </c>
      <c r="H103" s="0" t="n">
        <v>640</v>
      </c>
      <c r="J103" s="0" t="n">
        <v>69</v>
      </c>
      <c r="K103" s="0" t="n">
        <v>2</v>
      </c>
    </row>
    <row r="104" customFormat="false" ht="13.5" hidden="false" customHeight="false" outlineLevel="0" collapsed="false">
      <c r="A104" s="0" t="s">
        <v>96</v>
      </c>
      <c r="B104" s="1" t="n">
        <v>43964</v>
      </c>
      <c r="C104" s="0" t="n">
        <v>729</v>
      </c>
      <c r="D104" s="0" t="n">
        <v>68</v>
      </c>
      <c r="E104" s="0" t="n">
        <v>21</v>
      </c>
      <c r="F104" s="0" t="n">
        <v>0</v>
      </c>
      <c r="H104" s="0" t="n">
        <v>708</v>
      </c>
      <c r="J104" s="0" t="n">
        <v>76</v>
      </c>
      <c r="K104" s="0" t="n">
        <v>2</v>
      </c>
    </row>
    <row r="105" customFormat="false" ht="13.5" hidden="false" customHeight="false" outlineLevel="0" collapsed="false">
      <c r="A105" s="0" t="s">
        <v>96</v>
      </c>
      <c r="B105" s="1" t="n">
        <v>43965</v>
      </c>
      <c r="C105" s="0" t="n">
        <v>801</v>
      </c>
      <c r="D105" s="0" t="n">
        <v>72</v>
      </c>
      <c r="E105" s="0" t="n">
        <v>23</v>
      </c>
      <c r="F105" s="0" t="n">
        <v>2</v>
      </c>
      <c r="H105" s="0" t="n">
        <v>778</v>
      </c>
      <c r="J105" s="0" t="n">
        <v>84</v>
      </c>
      <c r="K105" s="0" t="n">
        <v>2</v>
      </c>
    </row>
    <row r="106" customFormat="false" ht="13.5" hidden="false" customHeight="false" outlineLevel="0" collapsed="false">
      <c r="A106" s="0" t="s">
        <v>96</v>
      </c>
      <c r="B106" s="1" t="n">
        <v>43966</v>
      </c>
      <c r="C106" s="0" t="n">
        <v>907</v>
      </c>
      <c r="D106" s="0" t="n">
        <v>106</v>
      </c>
      <c r="E106" s="0" t="n">
        <v>29</v>
      </c>
      <c r="F106" s="0" t="n">
        <v>6</v>
      </c>
      <c r="H106" s="0" t="n">
        <v>878</v>
      </c>
      <c r="J106" s="0" t="n">
        <v>95</v>
      </c>
      <c r="K106" s="0" t="n">
        <v>3</v>
      </c>
    </row>
    <row r="107" customFormat="false" ht="13.5" hidden="false" customHeight="false" outlineLevel="0" collapsed="false">
      <c r="A107" s="0" t="s">
        <v>96</v>
      </c>
      <c r="B107" s="1" t="n">
        <v>43967</v>
      </c>
      <c r="C107" s="0" t="n">
        <v>1118</v>
      </c>
      <c r="D107" s="0" t="n">
        <v>211</v>
      </c>
      <c r="E107" s="0" t="n">
        <v>33</v>
      </c>
      <c r="F107" s="0" t="n">
        <v>4</v>
      </c>
      <c r="H107" s="0" t="n">
        <v>1085</v>
      </c>
      <c r="J107" s="0" t="n">
        <v>118</v>
      </c>
      <c r="K107" s="0" t="n">
        <v>3</v>
      </c>
    </row>
    <row r="108" customFormat="false" ht="13.5" hidden="false" customHeight="false" outlineLevel="0" collapsed="false">
      <c r="A108" s="0" t="s">
        <v>96</v>
      </c>
      <c r="B108" s="1" t="n">
        <v>43968</v>
      </c>
      <c r="C108" s="0" t="n">
        <v>1322</v>
      </c>
      <c r="D108" s="0" t="n">
        <v>204</v>
      </c>
      <c r="E108" s="0" t="n">
        <v>36</v>
      </c>
      <c r="F108" s="0" t="n">
        <v>3</v>
      </c>
      <c r="H108" s="0" t="n">
        <v>1286</v>
      </c>
      <c r="J108" s="0" t="n">
        <v>139</v>
      </c>
      <c r="K108" s="0" t="n">
        <v>4</v>
      </c>
    </row>
    <row r="109" customFormat="false" ht="13.5" hidden="false" customHeight="false" outlineLevel="0" collapsed="false">
      <c r="A109" s="0" t="s">
        <v>96</v>
      </c>
      <c r="B109" s="1" t="n">
        <v>43969</v>
      </c>
      <c r="C109" s="0" t="n">
        <v>1524</v>
      </c>
      <c r="D109" s="0" t="n">
        <v>202</v>
      </c>
      <c r="E109" s="0" t="n">
        <v>39</v>
      </c>
      <c r="F109" s="0" t="n">
        <v>3</v>
      </c>
      <c r="H109" s="0" t="n">
        <v>1485</v>
      </c>
      <c r="J109" s="0" t="n">
        <v>160</v>
      </c>
      <c r="K109" s="0" t="n">
        <v>4</v>
      </c>
    </row>
    <row r="110" customFormat="false" ht="13.5" hidden="false" customHeight="false" outlineLevel="0" collapsed="false">
      <c r="A110" s="0" t="s">
        <v>96</v>
      </c>
      <c r="B110" s="1" t="n">
        <v>43970</v>
      </c>
      <c r="C110" s="0" t="n">
        <v>1729</v>
      </c>
      <c r="D110" s="0" t="n">
        <v>205</v>
      </c>
      <c r="E110" s="0" t="n">
        <v>41</v>
      </c>
      <c r="F110" s="0" t="n">
        <v>2</v>
      </c>
      <c r="H110" s="0" t="n">
        <v>1688</v>
      </c>
      <c r="J110" s="0" t="n">
        <v>182</v>
      </c>
      <c r="K110" s="0" t="n">
        <v>4</v>
      </c>
    </row>
    <row r="111" customFormat="false" ht="13.5" hidden="false" customHeight="false" outlineLevel="0" collapsed="false">
      <c r="A111" s="0" t="s">
        <v>96</v>
      </c>
      <c r="B111" s="1" t="n">
        <v>43971</v>
      </c>
      <c r="C111" s="0" t="n">
        <v>1936</v>
      </c>
      <c r="D111" s="0" t="n">
        <v>207</v>
      </c>
      <c r="E111" s="0" t="n">
        <v>41</v>
      </c>
      <c r="F111" s="0" t="n">
        <v>0</v>
      </c>
      <c r="G111" s="0" t="n">
        <v>641</v>
      </c>
      <c r="H111" s="0" t="n">
        <v>1254</v>
      </c>
      <c r="J111" s="0" t="n">
        <v>204</v>
      </c>
      <c r="K111" s="0" t="n">
        <v>4</v>
      </c>
    </row>
    <row r="112" customFormat="false" ht="13.5" hidden="false" customHeight="false" outlineLevel="0" collapsed="false">
      <c r="A112" s="0" t="s">
        <v>96</v>
      </c>
      <c r="B112" s="1" t="n">
        <v>43972</v>
      </c>
      <c r="C112" s="0" t="n">
        <v>2140</v>
      </c>
      <c r="D112" s="0" t="n">
        <v>204</v>
      </c>
      <c r="E112" s="0" t="n">
        <v>41</v>
      </c>
      <c r="F112" s="0" t="n">
        <v>0</v>
      </c>
      <c r="G112" s="0" t="n">
        <v>641</v>
      </c>
      <c r="H112" s="0" t="n">
        <v>1458</v>
      </c>
      <c r="J112" s="0" t="n">
        <v>225</v>
      </c>
      <c r="K112" s="0" t="n">
        <v>4</v>
      </c>
    </row>
    <row r="113" customFormat="false" ht="13.5" hidden="false" customHeight="false" outlineLevel="0" collapsed="false">
      <c r="A113" s="0" t="s">
        <v>96</v>
      </c>
      <c r="B113" s="1" t="n">
        <v>43973</v>
      </c>
      <c r="C113" s="0" t="n">
        <v>2350</v>
      </c>
      <c r="D113" s="0" t="n">
        <v>210</v>
      </c>
      <c r="E113" s="0" t="n">
        <v>44</v>
      </c>
      <c r="F113" s="0" t="n">
        <v>3</v>
      </c>
      <c r="G113" s="0" t="n">
        <v>470</v>
      </c>
      <c r="H113" s="0" t="n">
        <v>1836</v>
      </c>
      <c r="J113" s="0" t="n">
        <v>247</v>
      </c>
      <c r="K113" s="0" t="n">
        <v>5</v>
      </c>
    </row>
    <row r="114" customFormat="false" ht="13.5" hidden="false" customHeight="false" outlineLevel="0" collapsed="false">
      <c r="A114" s="0" t="s">
        <v>96</v>
      </c>
      <c r="B114" s="1" t="n">
        <v>43974</v>
      </c>
      <c r="C114" s="0" t="n">
        <v>2551</v>
      </c>
      <c r="D114" s="0" t="n">
        <v>201</v>
      </c>
      <c r="E114" s="0" t="n">
        <v>44</v>
      </c>
      <c r="F114" s="0" t="n">
        <v>0</v>
      </c>
      <c r="G114" s="0" t="n">
        <v>1089</v>
      </c>
      <c r="H114" s="0" t="n">
        <v>1418</v>
      </c>
      <c r="J114" s="0" t="n">
        <v>268</v>
      </c>
      <c r="K114" s="0" t="n">
        <v>5</v>
      </c>
    </row>
    <row r="115" customFormat="false" ht="13.5" hidden="false" customHeight="false" outlineLevel="0" collapsed="false">
      <c r="A115" s="0" t="s">
        <v>96</v>
      </c>
      <c r="B115" s="1" t="n">
        <v>43975</v>
      </c>
      <c r="C115" s="0" t="n">
        <v>2738</v>
      </c>
      <c r="D115" s="0" t="n">
        <v>187</v>
      </c>
      <c r="E115" s="0" t="n">
        <v>44</v>
      </c>
      <c r="G115" s="0" t="n">
        <v>1223</v>
      </c>
      <c r="H115" s="0" t="n">
        <v>1471</v>
      </c>
      <c r="J115" s="0" t="n">
        <v>288</v>
      </c>
      <c r="K115" s="0" t="n">
        <v>5</v>
      </c>
    </row>
    <row r="116" customFormat="false" ht="13.5" hidden="false" customHeight="false" outlineLevel="0" collapsed="false">
      <c r="A116" s="0" t="s">
        <v>96</v>
      </c>
      <c r="B116" s="1" t="n">
        <v>43976</v>
      </c>
      <c r="C116" s="0" t="n">
        <v>2929</v>
      </c>
      <c r="D116" s="0" t="n">
        <v>191</v>
      </c>
      <c r="E116" s="0" t="n">
        <v>46</v>
      </c>
      <c r="F116" s="0" t="n">
        <v>2</v>
      </c>
      <c r="G116" s="0" t="n">
        <v>1301</v>
      </c>
      <c r="H116" s="0" t="n">
        <v>1582</v>
      </c>
      <c r="J116" s="0" t="n">
        <v>308</v>
      </c>
      <c r="K116" s="0" t="n">
        <v>5</v>
      </c>
    </row>
    <row r="117" customFormat="false" ht="13.5" hidden="false" customHeight="false" outlineLevel="0" collapsed="false">
      <c r="A117" s="0" t="s">
        <v>96</v>
      </c>
      <c r="B117" s="1" t="n">
        <v>43977</v>
      </c>
      <c r="C117" s="0" t="n">
        <v>3100</v>
      </c>
      <c r="D117" s="0" t="n">
        <v>171</v>
      </c>
      <c r="E117" s="0" t="n">
        <v>46</v>
      </c>
      <c r="G117" s="0" t="n">
        <v>1395</v>
      </c>
      <c r="H117" s="0" t="n">
        <v>1659</v>
      </c>
      <c r="J117" s="0" t="n">
        <v>326</v>
      </c>
      <c r="K117" s="0" t="n">
        <v>5</v>
      </c>
    </row>
    <row r="118" customFormat="false" ht="13.5" hidden="false" customHeight="false" outlineLevel="0" collapsed="false">
      <c r="A118" s="0" t="s">
        <v>96</v>
      </c>
      <c r="B118" s="1" t="n">
        <v>43978</v>
      </c>
      <c r="C118" s="0" t="n">
        <v>3266</v>
      </c>
      <c r="D118" s="0" t="n">
        <v>166</v>
      </c>
      <c r="E118" s="0" t="n">
        <v>47</v>
      </c>
      <c r="F118" s="0" t="n">
        <v>1</v>
      </c>
      <c r="G118" s="0" t="n">
        <v>1417</v>
      </c>
      <c r="H118" s="0" t="n">
        <v>1802</v>
      </c>
      <c r="J118" s="0" t="n">
        <v>343</v>
      </c>
      <c r="K118" s="0" t="n">
        <v>5</v>
      </c>
    </row>
    <row r="119" customFormat="false" ht="13.5" hidden="false" customHeight="false" outlineLevel="0" collapsed="false">
      <c r="A119" s="0" t="s">
        <v>96</v>
      </c>
      <c r="B119" s="1" t="n">
        <v>43979</v>
      </c>
      <c r="C119" s="0" t="n">
        <v>3424</v>
      </c>
      <c r="D119" s="0" t="n">
        <v>158</v>
      </c>
      <c r="E119" s="0" t="n">
        <v>47</v>
      </c>
      <c r="G119" s="0" t="n">
        <v>1575</v>
      </c>
      <c r="H119" s="0" t="n">
        <v>1802</v>
      </c>
      <c r="J119" s="0" t="n">
        <v>360</v>
      </c>
      <c r="K119" s="0" t="n">
        <v>5</v>
      </c>
    </row>
    <row r="120" customFormat="false" ht="13.5" hidden="false" customHeight="false" outlineLevel="0" collapsed="false">
      <c r="A120" s="0" t="s">
        <v>96</v>
      </c>
      <c r="B120" s="1" t="n">
        <v>43980</v>
      </c>
      <c r="C120" s="0" t="n">
        <v>3563</v>
      </c>
      <c r="D120" s="0" t="n">
        <v>139</v>
      </c>
      <c r="E120" s="0" t="n">
        <v>47</v>
      </c>
      <c r="G120" s="0" t="n">
        <v>1674</v>
      </c>
      <c r="H120" s="0" t="n">
        <v>1842</v>
      </c>
      <c r="J120" s="0" t="n">
        <v>374</v>
      </c>
      <c r="K120" s="0" t="n">
        <v>5</v>
      </c>
    </row>
    <row r="121" customFormat="false" ht="13.5" hidden="false" customHeight="false" outlineLevel="0" collapsed="false">
      <c r="A121" s="0" t="s">
        <v>96</v>
      </c>
      <c r="B121" s="1" t="n">
        <v>43981</v>
      </c>
      <c r="C121" s="0" t="n">
        <v>3686</v>
      </c>
      <c r="D121" s="0" t="n">
        <v>123</v>
      </c>
      <c r="E121" s="0" t="n">
        <v>47</v>
      </c>
      <c r="G121" s="0" t="n">
        <v>1769</v>
      </c>
      <c r="H121" s="0" t="n">
        <v>1870</v>
      </c>
      <c r="J121" s="0" t="n">
        <v>387</v>
      </c>
      <c r="K121" s="0" t="n">
        <v>5</v>
      </c>
    </row>
    <row r="122" customFormat="false" ht="13.5" hidden="false" customHeight="false" outlineLevel="0" collapsed="false">
      <c r="A122" s="0" t="s">
        <v>96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</row>
    <row r="123" customFormat="false" ht="13.5" hidden="false" customHeight="false" outlineLevel="0" collapsed="false">
      <c r="A123" s="0" t="s">
        <v>96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</row>
    <row r="124" customFormat="false" ht="13.5" hidden="false" customHeight="false" outlineLevel="0" collapsed="false">
      <c r="A124" s="0" t="s">
        <v>96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</row>
    <row r="125" customFormat="false" ht="13.5" hidden="false" customHeight="false" outlineLevel="0" collapsed="false">
      <c r="A125" s="0" t="s">
        <v>96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</row>
    <row r="126" customFormat="false" ht="13.5" hidden="false" customHeight="false" outlineLevel="0" collapsed="false">
      <c r="A126" s="0" t="s">
        <v>96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</row>
    <row r="127" customFormat="false" ht="13.5" hidden="false" customHeight="false" outlineLevel="0" collapsed="false">
      <c r="A127" s="0" t="s">
        <v>96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</row>
    <row r="128" customFormat="false" ht="13.5" hidden="false" customHeight="false" outlineLevel="0" collapsed="false">
      <c r="A128" s="0" t="s">
        <v>96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</row>
    <row r="129" customFormat="false" ht="13.5" hidden="false" customHeight="false" outlineLevel="0" collapsed="false">
      <c r="A129" s="0" t="s">
        <v>96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</row>
    <row r="130" customFormat="false" ht="13.5" hidden="false" customHeight="false" outlineLevel="0" collapsed="false">
      <c r="A130" s="0" t="s">
        <v>96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</row>
    <row r="131" customFormat="false" ht="13.5" hidden="false" customHeight="false" outlineLevel="0" collapsed="false">
      <c r="A131" s="0" t="s">
        <v>96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</row>
    <row r="132" customFormat="false" ht="13.5" hidden="false" customHeight="false" outlineLevel="0" collapsed="false">
      <c r="A132" s="0" t="s">
        <v>96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</row>
    <row r="133" customFormat="false" ht="13.5" hidden="false" customHeight="false" outlineLevel="0" collapsed="false">
      <c r="A133" s="0" t="s">
        <v>96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</row>
    <row r="134" customFormat="false" ht="13.5" hidden="false" customHeight="false" outlineLevel="0" collapsed="false">
      <c r="A134" s="0" t="s">
        <v>96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</row>
    <row r="135" customFormat="false" ht="13.5" hidden="false" customHeight="false" outlineLevel="0" collapsed="false">
      <c r="A135" s="0" t="s">
        <v>96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</row>
    <row r="136" customFormat="false" ht="13.5" hidden="false" customHeight="false" outlineLevel="0" collapsed="false">
      <c r="A136" s="0" t="s">
        <v>96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</row>
    <row r="137" customFormat="false" ht="13.5" hidden="false" customHeight="false" outlineLevel="0" collapsed="false">
      <c r="A137" s="0" t="s">
        <v>96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</row>
    <row r="138" customFormat="false" ht="13.5" hidden="false" customHeight="false" outlineLevel="0" collapsed="false">
      <c r="A138" s="0" t="s">
        <v>96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</row>
    <row r="139" customFormat="false" ht="13.5" hidden="false" customHeight="false" outlineLevel="0" collapsed="false">
      <c r="A139" s="0" t="s">
        <v>96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</row>
    <row r="140" customFormat="false" ht="13.5" hidden="false" customHeight="false" outlineLevel="0" collapsed="false">
      <c r="A140" s="0" t="s">
        <v>96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</row>
    <row r="141" customFormat="false" ht="13.5" hidden="false" customHeight="false" outlineLevel="0" collapsed="false">
      <c r="A141" s="0" t="s">
        <v>96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</row>
    <row r="142" customFormat="false" ht="13.5" hidden="false" customHeight="false" outlineLevel="0" collapsed="false">
      <c r="A142" s="0" t="s">
        <v>96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</row>
    <row r="143" customFormat="false" ht="13.5" hidden="false" customHeight="false" outlineLevel="0" collapsed="false">
      <c r="A143" s="0" t="s">
        <v>96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</row>
    <row r="144" customFormat="false" ht="13.5" hidden="false" customHeight="false" outlineLevel="0" collapsed="false">
      <c r="A144" s="0" t="s">
        <v>96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</row>
    <row r="145" customFormat="false" ht="13.5" hidden="false" customHeight="false" outlineLevel="0" collapsed="false">
      <c r="A145" s="0" t="s">
        <v>96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</row>
    <row r="146" customFormat="false" ht="13.5" hidden="false" customHeight="false" outlineLevel="0" collapsed="false">
      <c r="A146" s="0" t="s">
        <v>96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</row>
    <row r="147" customFormat="false" ht="13.5" hidden="false" customHeight="false" outlineLevel="0" collapsed="false">
      <c r="A147" s="0" t="s">
        <v>96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</row>
    <row r="148" customFormat="false" ht="13.5" hidden="false" customHeight="false" outlineLevel="0" collapsed="false">
      <c r="A148" s="0" t="s">
        <v>96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</row>
    <row r="149" customFormat="false" ht="13.5" hidden="false" customHeight="false" outlineLevel="0" collapsed="false">
      <c r="A149" s="0" t="s">
        <v>96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</row>
    <row r="150" customFormat="false" ht="13.5" hidden="false" customHeight="false" outlineLevel="0" collapsed="false">
      <c r="A150" s="0" t="s">
        <v>96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</row>
    <row r="151" customFormat="false" ht="13.5" hidden="false" customHeight="false" outlineLevel="0" collapsed="false">
      <c r="A151" s="0" t="s">
        <v>96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</row>
    <row r="152" customFormat="false" ht="13.5" hidden="false" customHeight="false" outlineLevel="0" collapsed="false">
      <c r="A152" s="0" t="s">
        <v>96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</row>
    <row r="153" customFormat="false" ht="13.5" hidden="false" customHeight="false" outlineLevel="0" collapsed="false">
      <c r="A153" s="0" t="s">
        <v>96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</row>
    <row r="154" customFormat="false" ht="13.5" hidden="false" customHeight="false" outlineLevel="0" collapsed="false">
      <c r="A154" s="0" t="s">
        <v>96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</row>
    <row r="155" customFormat="false" ht="13.5" hidden="false" customHeight="false" outlineLevel="0" collapsed="false">
      <c r="A155" s="0" t="s">
        <v>96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</row>
    <row r="156" customFormat="false" ht="13.5" hidden="false" customHeight="false" outlineLevel="0" collapsed="false">
      <c r="A156" s="0" t="s">
        <v>96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</row>
    <row r="157" customFormat="false" ht="13.5" hidden="false" customHeight="false" outlineLevel="0" collapsed="false">
      <c r="A157" s="0" t="s">
        <v>96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</row>
    <row r="158" customFormat="false" ht="13.5" hidden="false" customHeight="false" outlineLevel="0" collapsed="false">
      <c r="A158" s="0" t="s">
        <v>96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</row>
    <row r="159" customFormat="false" ht="13.5" hidden="false" customHeight="false" outlineLevel="0" collapsed="false">
      <c r="A159" s="0" t="s">
        <v>96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</row>
    <row r="160" customFormat="false" ht="13.5" hidden="false" customHeight="false" outlineLevel="0" collapsed="false">
      <c r="A160" s="0" t="s">
        <v>96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</row>
    <row r="161" customFormat="false" ht="13.5" hidden="false" customHeight="false" outlineLevel="0" collapsed="false">
      <c r="A161" s="0" t="s">
        <v>96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</row>
    <row r="162" customFormat="false" ht="13.5" hidden="false" customHeight="false" outlineLevel="0" collapsed="false">
      <c r="A162" s="0" t="s">
        <v>96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</row>
    <row r="163" customFormat="false" ht="13.5" hidden="false" customHeight="false" outlineLevel="0" collapsed="false">
      <c r="A163" s="0" t="s">
        <v>96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</row>
    <row r="164" customFormat="false" ht="13.5" hidden="false" customHeight="false" outlineLevel="0" collapsed="false">
      <c r="A164" s="0" t="s">
        <v>96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</row>
    <row r="165" customFormat="false" ht="13.5" hidden="false" customHeight="false" outlineLevel="0" collapsed="false">
      <c r="A165" s="0" t="s">
        <v>96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</row>
    <row r="166" customFormat="false" ht="13.5" hidden="false" customHeight="false" outlineLevel="0" collapsed="false">
      <c r="A166" s="0" t="s">
        <v>96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</row>
    <row r="167" customFormat="false" ht="13.5" hidden="false" customHeight="false" outlineLevel="0" collapsed="false">
      <c r="A167" s="0" t="s">
        <v>96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</row>
    <row r="168" customFormat="false" ht="13.5" hidden="false" customHeight="false" outlineLevel="0" collapsed="false">
      <c r="A168" s="0" t="s">
        <v>96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</row>
    <row r="169" customFormat="false" ht="13.5" hidden="false" customHeight="false" outlineLevel="0" collapsed="false">
      <c r="A169" s="0" t="s">
        <v>96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</row>
    <row r="170" customFormat="false" ht="13.5" hidden="false" customHeight="false" outlineLevel="0" collapsed="false">
      <c r="A170" s="0" t="s">
        <v>96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</row>
    <row r="171" customFormat="false" ht="13.5" hidden="false" customHeight="false" outlineLevel="0" collapsed="false">
      <c r="A171" s="0" t="s">
        <v>96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</row>
    <row r="172" customFormat="false" ht="13.5" hidden="false" customHeight="false" outlineLevel="0" collapsed="false">
      <c r="A172" s="0" t="s">
        <v>96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</row>
    <row r="173" customFormat="false" ht="13.5" hidden="false" customHeight="false" outlineLevel="0" collapsed="false">
      <c r="A173" s="0" t="s">
        <v>96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</row>
    <row r="174" customFormat="false" ht="13.5" hidden="false" customHeight="false" outlineLevel="0" collapsed="false">
      <c r="A174" s="0" t="s">
        <v>96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</row>
    <row r="175" customFormat="false" ht="13.5" hidden="false" customHeight="false" outlineLevel="0" collapsed="false">
      <c r="A175" s="0" t="s">
        <v>96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</row>
    <row r="176" customFormat="false" ht="13.5" hidden="false" customHeight="false" outlineLevel="0" collapsed="false">
      <c r="A176" s="0" t="s">
        <v>96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</row>
    <row r="177" customFormat="false" ht="13.5" hidden="false" customHeight="false" outlineLevel="0" collapsed="false">
      <c r="A177" s="0" t="s">
        <v>96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</row>
    <row r="178" customFormat="false" ht="13.5" hidden="false" customHeight="false" outlineLevel="0" collapsed="false">
      <c r="A178" s="0" t="s">
        <v>96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</row>
    <row r="179" customFormat="false" ht="13.5" hidden="false" customHeight="false" outlineLevel="0" collapsed="false">
      <c r="A179" s="0" t="s">
        <v>96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</row>
    <row r="180" customFormat="false" ht="13.5" hidden="false" customHeight="false" outlineLevel="0" collapsed="false">
      <c r="A180" s="0" t="s">
        <v>96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</row>
    <row r="181" customFormat="false" ht="13.5" hidden="false" customHeight="false" outlineLevel="0" collapsed="false">
      <c r="A181" s="0" t="s">
        <v>96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</row>
    <row r="182" customFormat="false" ht="13.5" hidden="false" customHeight="false" outlineLevel="0" collapsed="false">
      <c r="A182" s="0" t="s">
        <v>96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</row>
    <row r="183" customFormat="false" ht="13.5" hidden="false" customHeight="false" outlineLevel="0" collapsed="false">
      <c r="A183" s="0" t="s">
        <v>96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</row>
    <row r="184" customFormat="false" ht="13.5" hidden="false" customHeight="false" outlineLevel="0" collapsed="false">
      <c r="A184" s="0" t="s">
        <v>96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</row>
    <row r="185" customFormat="false" ht="13.5" hidden="false" customHeight="false" outlineLevel="0" collapsed="false">
      <c r="A185" s="0" t="s">
        <v>96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</row>
    <row r="186" customFormat="false" ht="13.5" hidden="false" customHeight="false" outlineLevel="0" collapsed="false">
      <c r="A186" s="0" t="s">
        <v>96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</row>
    <row r="187" customFormat="false" ht="13.5" hidden="false" customHeight="false" outlineLevel="0" collapsed="false">
      <c r="A187" s="0" t="s">
        <v>96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97</v>
      </c>
      <c r="B2" s="1" t="n">
        <v>43862</v>
      </c>
    </row>
    <row r="3" customFormat="false" ht="13.5" hidden="false" customHeight="false" outlineLevel="0" collapsed="false">
      <c r="A3" s="0" t="s">
        <v>97</v>
      </c>
      <c r="B3" s="1" t="n">
        <v>43863</v>
      </c>
    </row>
    <row r="4" customFormat="false" ht="13.5" hidden="false" customHeight="false" outlineLevel="0" collapsed="false">
      <c r="A4" s="0" t="s">
        <v>97</v>
      </c>
      <c r="B4" s="1" t="n">
        <v>43864</v>
      </c>
    </row>
    <row r="5" customFormat="false" ht="13.5" hidden="false" customHeight="false" outlineLevel="0" collapsed="false">
      <c r="A5" s="0" t="s">
        <v>97</v>
      </c>
      <c r="B5" s="1" t="n">
        <v>43865</v>
      </c>
    </row>
    <row r="6" customFormat="false" ht="13.5" hidden="false" customHeight="false" outlineLevel="0" collapsed="false">
      <c r="A6" s="0" t="s">
        <v>97</v>
      </c>
      <c r="B6" s="1" t="n">
        <v>43866</v>
      </c>
    </row>
    <row r="7" customFormat="false" ht="13.5" hidden="false" customHeight="false" outlineLevel="0" collapsed="false">
      <c r="A7" s="0" t="s">
        <v>97</v>
      </c>
      <c r="B7" s="1" t="n">
        <v>43867</v>
      </c>
    </row>
    <row r="8" customFormat="false" ht="13.5" hidden="false" customHeight="false" outlineLevel="0" collapsed="false">
      <c r="A8" s="0" t="s">
        <v>97</v>
      </c>
      <c r="B8" s="1" t="n">
        <v>43868</v>
      </c>
    </row>
    <row r="9" customFormat="false" ht="13.5" hidden="false" customHeight="false" outlineLevel="0" collapsed="false">
      <c r="A9" s="0" t="s">
        <v>97</v>
      </c>
      <c r="B9" s="1" t="n">
        <v>43869</v>
      </c>
    </row>
    <row r="10" customFormat="false" ht="13.5" hidden="false" customHeight="false" outlineLevel="0" collapsed="false">
      <c r="A10" s="0" t="s">
        <v>97</v>
      </c>
      <c r="B10" s="1" t="n">
        <v>43870</v>
      </c>
    </row>
    <row r="11" customFormat="false" ht="13.5" hidden="false" customHeight="false" outlineLevel="0" collapsed="false">
      <c r="A11" s="0" t="s">
        <v>97</v>
      </c>
      <c r="B11" s="1" t="n">
        <v>43871</v>
      </c>
    </row>
    <row r="12" customFormat="false" ht="13.5" hidden="false" customHeight="false" outlineLevel="0" collapsed="false">
      <c r="A12" s="0" t="s">
        <v>97</v>
      </c>
      <c r="B12" s="1" t="n">
        <v>43872</v>
      </c>
    </row>
    <row r="13" customFormat="false" ht="13.5" hidden="false" customHeight="false" outlineLevel="0" collapsed="false">
      <c r="A13" s="0" t="s">
        <v>97</v>
      </c>
      <c r="B13" s="1" t="n">
        <v>43873</v>
      </c>
    </row>
    <row r="14" customFormat="false" ht="13.5" hidden="false" customHeight="false" outlineLevel="0" collapsed="false">
      <c r="A14" s="0" t="s">
        <v>97</v>
      </c>
      <c r="B14" s="1" t="n">
        <v>43874</v>
      </c>
    </row>
    <row r="15" customFormat="false" ht="13.5" hidden="false" customHeight="false" outlineLevel="0" collapsed="false">
      <c r="A15" s="0" t="s">
        <v>97</v>
      </c>
      <c r="B15" s="1" t="n">
        <v>43875</v>
      </c>
    </row>
    <row r="16" customFormat="false" ht="13.5" hidden="false" customHeight="false" outlineLevel="0" collapsed="false">
      <c r="A16" s="0" t="s">
        <v>97</v>
      </c>
      <c r="B16" s="1" t="n">
        <v>43876</v>
      </c>
    </row>
    <row r="17" customFormat="false" ht="13.5" hidden="false" customHeight="false" outlineLevel="0" collapsed="false">
      <c r="A17" s="0" t="s">
        <v>97</v>
      </c>
      <c r="B17" s="1" t="n">
        <v>43877</v>
      </c>
    </row>
    <row r="18" customFormat="false" ht="13.5" hidden="false" customHeight="false" outlineLevel="0" collapsed="false">
      <c r="A18" s="0" t="s">
        <v>97</v>
      </c>
      <c r="B18" s="1" t="n">
        <v>43878</v>
      </c>
    </row>
    <row r="19" customFormat="false" ht="13.5" hidden="false" customHeight="false" outlineLevel="0" collapsed="false">
      <c r="A19" s="0" t="s">
        <v>97</v>
      </c>
      <c r="B19" s="1" t="n">
        <v>43879</v>
      </c>
    </row>
    <row r="20" customFormat="false" ht="13.5" hidden="false" customHeight="false" outlineLevel="0" collapsed="false">
      <c r="A20" s="0" t="s">
        <v>97</v>
      </c>
      <c r="B20" s="1" t="n">
        <v>43880</v>
      </c>
    </row>
    <row r="21" customFormat="false" ht="13.5" hidden="false" customHeight="false" outlineLevel="0" collapsed="false">
      <c r="A21" s="0" t="s">
        <v>97</v>
      </c>
      <c r="B21" s="1" t="n">
        <v>43881</v>
      </c>
    </row>
    <row r="22" customFormat="false" ht="13.5" hidden="false" customHeight="false" outlineLevel="0" collapsed="false">
      <c r="A22" s="0" t="s">
        <v>97</v>
      </c>
      <c r="B22" s="1" t="n">
        <v>43882</v>
      </c>
    </row>
    <row r="23" customFormat="false" ht="13.5" hidden="false" customHeight="false" outlineLevel="0" collapsed="false">
      <c r="A23" s="0" t="s">
        <v>97</v>
      </c>
      <c r="B23" s="1" t="n">
        <v>43883</v>
      </c>
    </row>
    <row r="24" customFormat="false" ht="13.5" hidden="false" customHeight="false" outlineLevel="0" collapsed="false">
      <c r="A24" s="0" t="s">
        <v>97</v>
      </c>
      <c r="B24" s="1" t="n">
        <v>43884</v>
      </c>
    </row>
    <row r="25" customFormat="false" ht="13.5" hidden="false" customHeight="false" outlineLevel="0" collapsed="false">
      <c r="A25" s="0" t="s">
        <v>97</v>
      </c>
      <c r="B25" s="1" t="n">
        <v>43885</v>
      </c>
    </row>
    <row r="26" customFormat="false" ht="13.5" hidden="false" customHeight="false" outlineLevel="0" collapsed="false">
      <c r="A26" s="0" t="s">
        <v>97</v>
      </c>
      <c r="B26" s="1" t="n">
        <v>43886</v>
      </c>
    </row>
    <row r="27" customFormat="false" ht="13.5" hidden="false" customHeight="false" outlineLevel="0" collapsed="false">
      <c r="A27" s="0" t="s">
        <v>97</v>
      </c>
      <c r="B27" s="1" t="n">
        <v>43887</v>
      </c>
    </row>
    <row r="28" customFormat="false" ht="13.5" hidden="false" customHeight="false" outlineLevel="0" collapsed="false">
      <c r="A28" s="0" t="s">
        <v>97</v>
      </c>
      <c r="B28" s="1" t="n">
        <v>43888</v>
      </c>
    </row>
    <row r="29" customFormat="false" ht="13.5" hidden="false" customHeight="false" outlineLevel="0" collapsed="false">
      <c r="A29" s="0" t="s">
        <v>97</v>
      </c>
      <c r="B29" s="1" t="n">
        <v>43889</v>
      </c>
    </row>
    <row r="30" customFormat="false" ht="13.5" hidden="false" customHeight="false" outlineLevel="0" collapsed="false">
      <c r="A30" s="0" t="s">
        <v>97</v>
      </c>
      <c r="B30" s="1" t="n">
        <v>43890</v>
      </c>
    </row>
    <row r="31" customFormat="false" ht="13.5" hidden="false" customHeight="false" outlineLevel="0" collapsed="false">
      <c r="A31" s="0" t="s">
        <v>97</v>
      </c>
      <c r="B31" s="1" t="n">
        <v>43891</v>
      </c>
    </row>
    <row r="32" customFormat="false" ht="13.5" hidden="false" customHeight="false" outlineLevel="0" collapsed="false">
      <c r="A32" s="0" t="s">
        <v>97</v>
      </c>
      <c r="B32" s="1" t="n">
        <v>43892</v>
      </c>
    </row>
    <row r="33" customFormat="false" ht="13.5" hidden="false" customHeight="false" outlineLevel="0" collapsed="false">
      <c r="A33" s="0" t="s">
        <v>97</v>
      </c>
      <c r="B33" s="1" t="n">
        <v>43893</v>
      </c>
    </row>
    <row r="34" customFormat="false" ht="13.5" hidden="false" customHeight="false" outlineLevel="0" collapsed="false">
      <c r="A34" s="0" t="s">
        <v>97</v>
      </c>
      <c r="B34" s="1" t="n">
        <v>43894</v>
      </c>
    </row>
    <row r="35" customFormat="false" ht="13.5" hidden="false" customHeight="false" outlineLevel="0" collapsed="false">
      <c r="A35" s="0" t="s">
        <v>97</v>
      </c>
      <c r="B35" s="1" t="n">
        <v>43895</v>
      </c>
    </row>
    <row r="36" customFormat="false" ht="13.5" hidden="false" customHeight="false" outlineLevel="0" collapsed="false">
      <c r="A36" s="0" t="s">
        <v>97</v>
      </c>
      <c r="B36" s="1" t="n">
        <v>43896</v>
      </c>
    </row>
    <row r="37" customFormat="false" ht="13.5" hidden="false" customHeight="false" outlineLevel="0" collapsed="false">
      <c r="A37" s="0" t="s">
        <v>97</v>
      </c>
      <c r="B37" s="1" t="n">
        <v>43897</v>
      </c>
    </row>
    <row r="38" customFormat="false" ht="13.5" hidden="false" customHeight="false" outlineLevel="0" collapsed="false">
      <c r="A38" s="0" t="s">
        <v>97</v>
      </c>
      <c r="B38" s="1" t="n">
        <v>43898</v>
      </c>
    </row>
    <row r="39" customFormat="false" ht="13.5" hidden="false" customHeight="false" outlineLevel="0" collapsed="false">
      <c r="A39" s="0" t="s">
        <v>97</v>
      </c>
      <c r="B39" s="1" t="n">
        <v>43899</v>
      </c>
    </row>
    <row r="40" customFormat="false" ht="13.5" hidden="false" customHeight="false" outlineLevel="0" collapsed="false">
      <c r="A40" s="0" t="s">
        <v>97</v>
      </c>
      <c r="B40" s="1" t="n">
        <v>43900</v>
      </c>
    </row>
    <row r="41" customFormat="false" ht="13.5" hidden="false" customHeight="false" outlineLevel="0" collapsed="false">
      <c r="A41" s="0" t="s">
        <v>97</v>
      </c>
      <c r="B41" s="1" t="n">
        <v>43901</v>
      </c>
    </row>
    <row r="42" customFormat="false" ht="13.5" hidden="false" customHeight="false" outlineLevel="0" collapsed="false">
      <c r="A42" s="0" t="s">
        <v>97</v>
      </c>
      <c r="B42" s="1" t="n">
        <v>43902</v>
      </c>
    </row>
    <row r="43" customFormat="false" ht="13.5" hidden="false" customHeight="false" outlineLevel="0" collapsed="false">
      <c r="A43" s="0" t="s">
        <v>97</v>
      </c>
      <c r="B43" s="1" t="n">
        <v>43903</v>
      </c>
    </row>
    <row r="44" customFormat="false" ht="13.5" hidden="false" customHeight="false" outlineLevel="0" collapsed="false">
      <c r="A44" s="0" t="s">
        <v>97</v>
      </c>
      <c r="B44" s="1" t="n">
        <v>43904</v>
      </c>
    </row>
    <row r="45" customFormat="false" ht="13.5" hidden="false" customHeight="false" outlineLevel="0" collapsed="false">
      <c r="A45" s="0" t="s">
        <v>97</v>
      </c>
      <c r="B45" s="1" t="n">
        <v>43905</v>
      </c>
    </row>
    <row r="46" customFormat="false" ht="13.5" hidden="false" customHeight="false" outlineLevel="0" collapsed="false">
      <c r="A46" s="0" t="s">
        <v>97</v>
      </c>
      <c r="B46" s="1" t="n">
        <v>43906</v>
      </c>
    </row>
    <row r="47" customFormat="false" ht="13.5" hidden="false" customHeight="false" outlineLevel="0" collapsed="false">
      <c r="A47" s="0" t="s">
        <v>97</v>
      </c>
      <c r="B47" s="1" t="n">
        <v>43907</v>
      </c>
    </row>
    <row r="48" customFormat="false" ht="13.5" hidden="false" customHeight="false" outlineLevel="0" collapsed="false">
      <c r="A48" s="0" t="s">
        <v>97</v>
      </c>
      <c r="B48" s="1" t="n">
        <v>43908</v>
      </c>
    </row>
    <row r="49" customFormat="false" ht="14.25" hidden="false" customHeight="false" outlineLevel="0" collapsed="false">
      <c r="A49" s="0" t="s">
        <v>97</v>
      </c>
      <c r="B49" s="1" t="n">
        <v>43909</v>
      </c>
      <c r="C49" s="0" t="n">
        <v>1</v>
      </c>
      <c r="D49" s="0" t="n">
        <v>1</v>
      </c>
      <c r="H49" s="0" t="n">
        <v>1</v>
      </c>
      <c r="J49" s="0" t="n">
        <v>1</v>
      </c>
    </row>
    <row r="50" customFormat="false" ht="15.75" hidden="false" customHeight="false" outlineLevel="0" collapsed="false">
      <c r="A50" s="0" t="s">
        <v>97</v>
      </c>
      <c r="B50" s="1" t="n">
        <v>43910</v>
      </c>
      <c r="C50" s="6" t="n">
        <v>1</v>
      </c>
      <c r="D50" s="0" t="n">
        <v>0</v>
      </c>
      <c r="E50" s="6"/>
      <c r="F50" s="6"/>
      <c r="G50" s="6"/>
      <c r="H50" s="6" t="n">
        <v>1</v>
      </c>
      <c r="I50" s="6"/>
      <c r="J50" s="6" t="n">
        <v>1</v>
      </c>
    </row>
    <row r="51" customFormat="false" ht="15.75" hidden="false" customHeight="false" outlineLevel="0" collapsed="false">
      <c r="A51" s="0" t="s">
        <v>97</v>
      </c>
      <c r="B51" s="1" t="n">
        <v>43911</v>
      </c>
      <c r="C51" s="6" t="n">
        <v>1</v>
      </c>
      <c r="D51" s="0" t="n">
        <v>0</v>
      </c>
      <c r="E51" s="6"/>
      <c r="F51" s="6"/>
      <c r="G51" s="6"/>
      <c r="H51" s="6" t="n">
        <v>1</v>
      </c>
      <c r="I51" s="6"/>
      <c r="J51" s="6" t="n">
        <v>1</v>
      </c>
    </row>
    <row r="52" customFormat="false" ht="13.5" hidden="false" customHeight="false" outlineLevel="0" collapsed="false">
      <c r="A52" s="0" t="s">
        <v>97</v>
      </c>
      <c r="B52" s="1" t="n">
        <v>43912</v>
      </c>
      <c r="C52" s="0" t="n">
        <v>1</v>
      </c>
      <c r="D52" s="0" t="n">
        <v>0</v>
      </c>
      <c r="H52" s="0" t="n">
        <v>1</v>
      </c>
      <c r="J52" s="0" t="n">
        <v>1</v>
      </c>
    </row>
    <row r="53" customFormat="false" ht="13.5" hidden="false" customHeight="false" outlineLevel="0" collapsed="false">
      <c r="A53" s="0" t="s">
        <v>97</v>
      </c>
      <c r="B53" s="1" t="n">
        <v>43913</v>
      </c>
      <c r="C53" s="0" t="n">
        <v>1</v>
      </c>
      <c r="D53" s="0" t="n">
        <v>0</v>
      </c>
      <c r="H53" s="0" t="n">
        <v>1</v>
      </c>
      <c r="J53" s="0" t="n">
        <v>1</v>
      </c>
    </row>
    <row r="54" customFormat="false" ht="13.5" hidden="false" customHeight="false" outlineLevel="0" collapsed="false">
      <c r="A54" s="0" t="s">
        <v>97</v>
      </c>
      <c r="B54" s="1" t="n">
        <v>43914</v>
      </c>
      <c r="C54" s="0" t="n">
        <v>3</v>
      </c>
      <c r="D54" s="0" t="n">
        <v>2</v>
      </c>
      <c r="H54" s="0" t="n">
        <v>3</v>
      </c>
      <c r="J54" s="0" t="n">
        <v>3</v>
      </c>
    </row>
    <row r="55" customFormat="false" ht="13.5" hidden="false" customHeight="false" outlineLevel="0" collapsed="false">
      <c r="A55" s="0" t="s">
        <v>97</v>
      </c>
      <c r="B55" s="1" t="n">
        <v>43915</v>
      </c>
      <c r="C55" s="0" t="n">
        <v>3</v>
      </c>
      <c r="D55" s="0" t="n">
        <v>0</v>
      </c>
      <c r="H55" s="0" t="n">
        <v>3</v>
      </c>
      <c r="J55" s="0" t="n">
        <v>3</v>
      </c>
    </row>
    <row r="56" customFormat="false" ht="13.5" hidden="false" customHeight="false" outlineLevel="0" collapsed="false">
      <c r="A56" s="0" t="s">
        <v>97</v>
      </c>
      <c r="B56" s="1" t="n">
        <v>43916</v>
      </c>
      <c r="C56" s="0" t="n">
        <v>11</v>
      </c>
      <c r="D56" s="0" t="n">
        <v>8</v>
      </c>
      <c r="H56" s="0" t="n">
        <v>11</v>
      </c>
      <c r="J56" s="0" t="n">
        <v>11</v>
      </c>
    </row>
    <row r="57" customFormat="false" ht="13.5" hidden="false" customHeight="false" outlineLevel="0" collapsed="false">
      <c r="A57" s="0" t="s">
        <v>97</v>
      </c>
      <c r="B57" s="1" t="n">
        <v>43917</v>
      </c>
      <c r="C57" s="0" t="n">
        <v>11</v>
      </c>
      <c r="D57" s="0" t="n">
        <v>0</v>
      </c>
      <c r="H57" s="0" t="n">
        <v>11</v>
      </c>
      <c r="J57" s="0" t="n">
        <v>11</v>
      </c>
    </row>
    <row r="58" customFormat="false" ht="13.5" hidden="false" customHeight="false" outlineLevel="0" collapsed="false">
      <c r="A58" s="0" t="s">
        <v>97</v>
      </c>
      <c r="B58" s="1" t="n">
        <v>43918</v>
      </c>
      <c r="C58" s="0" t="n">
        <v>12</v>
      </c>
      <c r="D58" s="0" t="n">
        <v>1</v>
      </c>
      <c r="H58" s="0" t="n">
        <v>12</v>
      </c>
      <c r="J58" s="0" t="n">
        <v>12</v>
      </c>
    </row>
    <row r="59" customFormat="false" ht="13.5" hidden="false" customHeight="false" outlineLevel="0" collapsed="false">
      <c r="A59" s="0" t="s">
        <v>97</v>
      </c>
      <c r="B59" s="1" t="n">
        <v>43919</v>
      </c>
      <c r="C59" s="0" t="n">
        <v>12</v>
      </c>
      <c r="D59" s="0" t="n">
        <v>0</v>
      </c>
      <c r="H59" s="0" t="n">
        <v>12</v>
      </c>
      <c r="J59" s="0" t="n">
        <v>12</v>
      </c>
    </row>
    <row r="60" customFormat="false" ht="13.5" hidden="false" customHeight="false" outlineLevel="0" collapsed="false">
      <c r="A60" s="0" t="s">
        <v>97</v>
      </c>
      <c r="B60" s="1" t="n">
        <v>43920</v>
      </c>
      <c r="C60" s="0" t="n">
        <v>18</v>
      </c>
      <c r="D60" s="0" t="n">
        <v>6</v>
      </c>
      <c r="H60" s="0" t="n">
        <v>18</v>
      </c>
      <c r="J60" s="0" t="n">
        <v>18</v>
      </c>
    </row>
    <row r="61" customFormat="false" ht="13.5" hidden="false" customHeight="false" outlineLevel="0" collapsed="false">
      <c r="A61" s="0" t="s">
        <v>97</v>
      </c>
      <c r="B61" s="1" t="n">
        <v>43921</v>
      </c>
      <c r="C61" s="0" t="n">
        <v>18</v>
      </c>
      <c r="D61" s="0" t="n">
        <v>0</v>
      </c>
      <c r="H61" s="0" t="n">
        <v>18</v>
      </c>
      <c r="J61" s="0" t="n">
        <v>18</v>
      </c>
    </row>
    <row r="62" customFormat="false" ht="13.5" hidden="false" customHeight="false" outlineLevel="0" collapsed="false">
      <c r="A62" s="0" t="s">
        <v>97</v>
      </c>
      <c r="B62" s="1" t="n">
        <v>43922</v>
      </c>
      <c r="C62" s="0" t="n">
        <v>30</v>
      </c>
      <c r="D62" s="0" t="n">
        <v>12</v>
      </c>
      <c r="H62" s="0" t="n">
        <v>30</v>
      </c>
      <c r="J62" s="0" t="n">
        <v>30</v>
      </c>
    </row>
    <row r="63" customFormat="false" ht="13.5" hidden="false" customHeight="false" outlineLevel="0" collapsed="false">
      <c r="A63" s="0" t="s">
        <v>97</v>
      </c>
      <c r="B63" s="1" t="n">
        <v>43923</v>
      </c>
      <c r="C63" s="0" t="n">
        <v>33</v>
      </c>
      <c r="D63" s="0" t="n">
        <v>3</v>
      </c>
      <c r="H63" s="0" t="n">
        <v>33</v>
      </c>
      <c r="J63" s="0" t="n">
        <v>33</v>
      </c>
    </row>
    <row r="64" customFormat="false" ht="13.5" hidden="false" customHeight="false" outlineLevel="0" collapsed="false">
      <c r="A64" s="0" t="s">
        <v>97</v>
      </c>
      <c r="B64" s="1" t="n">
        <v>43924</v>
      </c>
      <c r="C64" s="0" t="n">
        <v>40</v>
      </c>
      <c r="D64" s="0" t="n">
        <v>7</v>
      </c>
      <c r="H64" s="0" t="n">
        <v>40</v>
      </c>
      <c r="J64" s="0" t="n">
        <v>40</v>
      </c>
    </row>
    <row r="65" customFormat="false" ht="13.5" hidden="false" customHeight="false" outlineLevel="0" collapsed="false">
      <c r="A65" s="0" t="s">
        <v>97</v>
      </c>
      <c r="B65" s="1" t="n">
        <v>43925</v>
      </c>
      <c r="C65" s="0" t="n">
        <v>49</v>
      </c>
      <c r="D65" s="0" t="n">
        <v>9</v>
      </c>
      <c r="G65" s="0" t="n">
        <v>8</v>
      </c>
      <c r="H65" s="0" t="n">
        <v>41</v>
      </c>
      <c r="J65" s="0" t="n">
        <v>50</v>
      </c>
    </row>
    <row r="66" customFormat="false" ht="13.5" hidden="false" customHeight="false" outlineLevel="0" collapsed="false">
      <c r="A66" s="0" t="s">
        <v>97</v>
      </c>
      <c r="B66" s="1" t="n">
        <v>43926</v>
      </c>
      <c r="C66" s="0" t="n">
        <v>50</v>
      </c>
      <c r="D66" s="0" t="n">
        <v>1</v>
      </c>
      <c r="G66" s="0" t="n">
        <v>8</v>
      </c>
      <c r="H66" s="0" t="n">
        <v>42</v>
      </c>
      <c r="J66" s="0" t="n">
        <v>51</v>
      </c>
    </row>
    <row r="67" customFormat="false" ht="13.5" hidden="false" customHeight="false" outlineLevel="0" collapsed="false">
      <c r="A67" s="0" t="s">
        <v>97</v>
      </c>
      <c r="B67" s="1" t="n">
        <v>43927</v>
      </c>
      <c r="C67" s="0" t="n">
        <v>59</v>
      </c>
      <c r="D67" s="0" t="n">
        <v>9</v>
      </c>
      <c r="G67" s="0" t="n">
        <v>9</v>
      </c>
      <c r="H67" s="0" t="n">
        <v>50</v>
      </c>
      <c r="J67" s="0" t="n">
        <v>60</v>
      </c>
    </row>
    <row r="68" customFormat="false" ht="13.5" hidden="false" customHeight="false" outlineLevel="0" collapsed="false">
      <c r="A68" s="0" t="s">
        <v>97</v>
      </c>
      <c r="B68" s="1" t="n">
        <v>43928</v>
      </c>
      <c r="C68" s="0" t="n">
        <v>90</v>
      </c>
      <c r="D68" s="0" t="n">
        <v>31</v>
      </c>
      <c r="G68" s="0" t="n">
        <v>9</v>
      </c>
      <c r="H68" s="0" t="n">
        <v>81</v>
      </c>
      <c r="J68" s="0" t="n">
        <v>91</v>
      </c>
    </row>
    <row r="69" customFormat="false" ht="13.5" hidden="false" customHeight="false" outlineLevel="0" collapsed="false">
      <c r="A69" s="0" t="s">
        <v>97</v>
      </c>
      <c r="B69" s="1" t="n">
        <v>43929</v>
      </c>
      <c r="C69" s="0" t="n">
        <v>90</v>
      </c>
      <c r="D69" s="0" t="n">
        <v>0</v>
      </c>
      <c r="G69" s="0" t="n">
        <v>9</v>
      </c>
      <c r="H69" s="0" t="n">
        <v>81</v>
      </c>
      <c r="J69" s="0" t="n">
        <v>91</v>
      </c>
      <c r="L69" s="0" t="n">
        <v>2229</v>
      </c>
      <c r="M69" s="0" t="n">
        <v>2256</v>
      </c>
    </row>
    <row r="70" customFormat="false" ht="13.5" hidden="false" customHeight="false" outlineLevel="0" collapsed="false">
      <c r="A70" s="0" t="s">
        <v>97</v>
      </c>
      <c r="B70" s="1" t="n">
        <v>43930</v>
      </c>
      <c r="C70" s="0" t="n">
        <v>135</v>
      </c>
      <c r="D70" s="0" t="n">
        <v>45</v>
      </c>
      <c r="G70" s="0" t="n">
        <v>25</v>
      </c>
      <c r="H70" s="0" t="n">
        <v>110</v>
      </c>
      <c r="J70" s="0" t="n">
        <v>137</v>
      </c>
      <c r="L70" s="0" t="n">
        <v>3106</v>
      </c>
      <c r="M70" s="0" t="n">
        <v>3144</v>
      </c>
    </row>
    <row r="71" customFormat="false" ht="13.5" hidden="false" customHeight="false" outlineLevel="0" collapsed="false">
      <c r="A71" s="0" t="s">
        <v>97</v>
      </c>
      <c r="B71" s="1" t="n">
        <v>43931</v>
      </c>
      <c r="C71" s="0" t="n">
        <v>135</v>
      </c>
      <c r="D71" s="0" t="n">
        <v>0</v>
      </c>
      <c r="G71" s="0" t="n">
        <v>25</v>
      </c>
      <c r="H71" s="0" t="n">
        <v>110</v>
      </c>
      <c r="J71" s="0" t="n">
        <v>137</v>
      </c>
      <c r="L71" s="0" t="n">
        <v>3106</v>
      </c>
      <c r="M71" s="0" t="n">
        <v>3144</v>
      </c>
    </row>
    <row r="72" customFormat="false" ht="13.5" hidden="false" customHeight="false" outlineLevel="0" collapsed="false">
      <c r="A72" s="0" t="s">
        <v>97</v>
      </c>
      <c r="B72" s="1" t="n">
        <v>43932</v>
      </c>
      <c r="C72" s="0" t="n">
        <v>150</v>
      </c>
      <c r="D72" s="0" t="n">
        <v>15</v>
      </c>
      <c r="E72" s="0" t="n">
        <v>1</v>
      </c>
      <c r="F72" s="0" t="n">
        <v>1</v>
      </c>
      <c r="G72" s="0" t="n">
        <v>36</v>
      </c>
      <c r="H72" s="0" t="n">
        <v>113</v>
      </c>
      <c r="J72" s="0" t="n">
        <v>152</v>
      </c>
      <c r="K72" s="0" t="n">
        <v>1</v>
      </c>
      <c r="L72" s="0" t="n">
        <v>3740</v>
      </c>
      <c r="M72" s="0" t="n">
        <v>3785</v>
      </c>
    </row>
    <row r="73" customFormat="false" ht="13.5" hidden="false" customHeight="false" outlineLevel="0" collapsed="false">
      <c r="A73" s="0" t="s">
        <v>97</v>
      </c>
      <c r="B73" s="1" t="n">
        <v>43933</v>
      </c>
      <c r="C73" s="0" t="n">
        <v>187</v>
      </c>
      <c r="D73" s="0" t="n">
        <v>37</v>
      </c>
      <c r="E73" s="0" t="n">
        <v>2</v>
      </c>
      <c r="F73" s="0" t="n">
        <v>1</v>
      </c>
      <c r="G73" s="0" t="n">
        <v>36</v>
      </c>
      <c r="H73" s="0" t="n">
        <v>149</v>
      </c>
      <c r="J73" s="0" t="n">
        <v>189</v>
      </c>
      <c r="K73" s="0" t="n">
        <v>2</v>
      </c>
      <c r="L73" s="0" t="n">
        <v>4017</v>
      </c>
      <c r="M73" s="0" t="n">
        <v>4066</v>
      </c>
    </row>
    <row r="74" customFormat="false" ht="13.5" hidden="false" customHeight="false" outlineLevel="0" collapsed="false">
      <c r="A74" s="0" t="s">
        <v>97</v>
      </c>
      <c r="B74" s="1" t="n">
        <v>43934</v>
      </c>
      <c r="C74" s="0" t="n">
        <v>214</v>
      </c>
      <c r="D74" s="0" t="n">
        <v>27</v>
      </c>
      <c r="E74" s="0" t="n">
        <v>2</v>
      </c>
      <c r="F74" s="0" t="n">
        <v>0</v>
      </c>
      <c r="G74" s="0" t="n">
        <v>36</v>
      </c>
      <c r="H74" s="0" t="n">
        <v>176</v>
      </c>
      <c r="J74" s="0" t="n">
        <v>217</v>
      </c>
      <c r="K74" s="0" t="n">
        <v>2</v>
      </c>
      <c r="L74" s="0" t="n">
        <v>4451</v>
      </c>
      <c r="M74" s="0" t="n">
        <v>4505</v>
      </c>
    </row>
    <row r="75" customFormat="false" ht="13.5" hidden="false" customHeight="false" outlineLevel="0" collapsed="false">
      <c r="A75" s="0" t="s">
        <v>97</v>
      </c>
      <c r="B75" s="1" t="n">
        <v>43935</v>
      </c>
      <c r="C75" s="0" t="n">
        <v>298</v>
      </c>
      <c r="D75" s="0" t="n">
        <v>84</v>
      </c>
      <c r="E75" s="0" t="n">
        <v>2</v>
      </c>
      <c r="F75" s="0" t="n">
        <v>0</v>
      </c>
      <c r="G75" s="0" t="n">
        <v>41</v>
      </c>
      <c r="H75" s="0" t="n">
        <v>255</v>
      </c>
      <c r="J75" s="0" t="n">
        <v>302</v>
      </c>
      <c r="K75" s="0" t="n">
        <v>2</v>
      </c>
      <c r="L75" s="0" t="n">
        <v>4949</v>
      </c>
      <c r="M75" s="0" t="n">
        <v>5009</v>
      </c>
    </row>
    <row r="76" customFormat="false" ht="13.5" hidden="false" customHeight="false" outlineLevel="0" collapsed="false">
      <c r="A76" s="0" t="s">
        <v>97</v>
      </c>
      <c r="B76" s="1" t="n">
        <v>43936</v>
      </c>
      <c r="C76" s="0" t="n">
        <v>363</v>
      </c>
      <c r="D76" s="0" t="n">
        <v>65</v>
      </c>
      <c r="E76" s="0" t="n">
        <v>2</v>
      </c>
      <c r="F76" s="0" t="n">
        <v>0</v>
      </c>
      <c r="G76" s="0" t="n">
        <v>53</v>
      </c>
      <c r="H76" s="0" t="n">
        <v>308</v>
      </c>
      <c r="I76" s="0" t="n">
        <v>0</v>
      </c>
      <c r="J76" s="0" t="n">
        <v>367</v>
      </c>
      <c r="K76" s="0" t="n">
        <v>2</v>
      </c>
      <c r="L76" s="0" t="n">
        <v>5356</v>
      </c>
      <c r="M76" s="0" t="n">
        <v>5421</v>
      </c>
    </row>
    <row r="77" customFormat="false" ht="13.5" hidden="false" customHeight="false" outlineLevel="0" collapsed="false">
      <c r="A77" s="0" t="s">
        <v>97</v>
      </c>
      <c r="B77" s="1" t="n">
        <v>43937</v>
      </c>
      <c r="C77" s="0" t="n">
        <v>435</v>
      </c>
      <c r="D77" s="0" t="n">
        <v>72</v>
      </c>
      <c r="E77" s="0" t="n">
        <v>2</v>
      </c>
      <c r="F77" s="0" t="n">
        <v>0</v>
      </c>
      <c r="G77" s="0" t="n">
        <v>71</v>
      </c>
      <c r="H77" s="0" t="n">
        <v>362</v>
      </c>
      <c r="I77" s="0" t="n">
        <v>0</v>
      </c>
      <c r="J77" s="0" t="n">
        <v>440</v>
      </c>
      <c r="K77" s="0" t="n">
        <v>2</v>
      </c>
      <c r="L77" s="0" t="n">
        <v>5936</v>
      </c>
      <c r="M77" s="0" t="n">
        <v>6008</v>
      </c>
    </row>
    <row r="78" customFormat="false" ht="13.5" hidden="false" customHeight="false" outlineLevel="0" collapsed="false">
      <c r="A78" s="0" t="s">
        <v>97</v>
      </c>
      <c r="B78" s="1" t="n">
        <v>43938</v>
      </c>
      <c r="C78" s="0" t="n">
        <v>591</v>
      </c>
      <c r="D78" s="0" t="n">
        <v>156</v>
      </c>
      <c r="E78" s="0" t="n">
        <v>2</v>
      </c>
      <c r="F78" s="0" t="n">
        <v>0</v>
      </c>
      <c r="G78" s="0" t="n">
        <v>73</v>
      </c>
      <c r="H78" s="0" t="n">
        <v>516</v>
      </c>
      <c r="I78" s="0" t="n">
        <v>0</v>
      </c>
      <c r="J78" s="0" t="n">
        <v>598</v>
      </c>
      <c r="K78" s="0" t="n">
        <v>2</v>
      </c>
      <c r="L78" s="0" t="n">
        <v>6430</v>
      </c>
      <c r="M78" s="0" t="n">
        <v>6508</v>
      </c>
    </row>
    <row r="79" customFormat="false" ht="13.5" hidden="false" customHeight="false" outlineLevel="0" collapsed="false">
      <c r="A79" s="0" t="s">
        <v>97</v>
      </c>
      <c r="B79" s="1" t="n">
        <v>43939</v>
      </c>
      <c r="C79" s="0" t="n">
        <v>732</v>
      </c>
      <c r="D79" s="0" t="n">
        <v>141</v>
      </c>
      <c r="E79" s="0" t="n">
        <v>2</v>
      </c>
      <c r="F79" s="0" t="n">
        <v>0</v>
      </c>
      <c r="G79" s="0" t="n">
        <v>76</v>
      </c>
      <c r="H79" s="0" t="n">
        <v>654</v>
      </c>
      <c r="I79" s="0" t="n">
        <v>0</v>
      </c>
      <c r="J79" s="0" t="n">
        <v>741</v>
      </c>
      <c r="K79" s="0" t="n">
        <v>2</v>
      </c>
      <c r="L79" s="0" t="n">
        <v>7486</v>
      </c>
      <c r="M79" s="0" t="n">
        <v>7577</v>
      </c>
    </row>
    <row r="80" customFormat="false" ht="13.5" hidden="false" customHeight="false" outlineLevel="0" collapsed="false">
      <c r="A80" s="0" t="s">
        <v>97</v>
      </c>
      <c r="B80" s="1" t="n">
        <v>43940</v>
      </c>
      <c r="C80" s="0" t="n">
        <v>732</v>
      </c>
      <c r="D80" s="0" t="n">
        <v>0</v>
      </c>
      <c r="E80" s="0" t="n">
        <v>2</v>
      </c>
      <c r="F80" s="0" t="n">
        <v>0</v>
      </c>
      <c r="G80" s="0" t="n">
        <v>76</v>
      </c>
      <c r="H80" s="0" t="n">
        <v>654</v>
      </c>
      <c r="I80" s="0" t="n">
        <v>0</v>
      </c>
      <c r="J80" s="0" t="n">
        <v>741</v>
      </c>
      <c r="K80" s="0" t="n">
        <v>2</v>
      </c>
      <c r="L80" s="0" t="n">
        <v>7486</v>
      </c>
      <c r="M80" s="0" t="n">
        <v>7577</v>
      </c>
    </row>
    <row r="81" customFormat="false" ht="13.5" hidden="false" customHeight="false" outlineLevel="0" collapsed="false">
      <c r="A81" s="0" t="s">
        <v>97</v>
      </c>
      <c r="B81" s="1" t="n">
        <v>43941</v>
      </c>
      <c r="C81" s="0" t="n">
        <v>846</v>
      </c>
      <c r="D81" s="0" t="n">
        <v>114</v>
      </c>
      <c r="E81" s="0" t="n">
        <v>2</v>
      </c>
      <c r="F81" s="0" t="n">
        <v>0</v>
      </c>
      <c r="G81" s="0" t="n">
        <v>102</v>
      </c>
      <c r="H81" s="0" t="n">
        <v>742</v>
      </c>
      <c r="I81" s="0" t="n">
        <v>0</v>
      </c>
      <c r="J81" s="0" t="n">
        <v>856</v>
      </c>
      <c r="K81" s="0" t="n">
        <v>2</v>
      </c>
      <c r="L81" s="0" t="n">
        <v>8144</v>
      </c>
      <c r="M81" s="0" t="n">
        <v>8243</v>
      </c>
    </row>
    <row r="82" customFormat="false" ht="13.5" hidden="false" customHeight="false" outlineLevel="0" collapsed="false">
      <c r="A82" s="0" t="s">
        <v>97</v>
      </c>
      <c r="B82" s="1" t="n">
        <v>43942</v>
      </c>
      <c r="C82" s="0" t="n">
        <v>846</v>
      </c>
      <c r="D82" s="0" t="n">
        <v>0</v>
      </c>
      <c r="E82" s="0" t="n">
        <v>2</v>
      </c>
      <c r="F82" s="0" t="n">
        <v>0</v>
      </c>
      <c r="G82" s="0" t="n">
        <v>102</v>
      </c>
      <c r="H82" s="0" t="n">
        <v>742</v>
      </c>
      <c r="I82" s="0" t="n">
        <v>0</v>
      </c>
      <c r="J82" s="0" t="n">
        <v>856</v>
      </c>
      <c r="K82" s="0" t="n">
        <v>2</v>
      </c>
      <c r="L82" s="0" t="n">
        <v>8144</v>
      </c>
      <c r="M82" s="0" t="n">
        <v>8243</v>
      </c>
    </row>
    <row r="83" customFormat="false" ht="13.5" hidden="false" customHeight="false" outlineLevel="0" collapsed="false">
      <c r="A83" s="0" t="s">
        <v>97</v>
      </c>
      <c r="B83" s="1" t="n">
        <v>43943</v>
      </c>
      <c r="C83" s="0" t="n">
        <v>945</v>
      </c>
      <c r="D83" s="0" t="n">
        <v>99</v>
      </c>
      <c r="E83" s="0" t="n">
        <v>2</v>
      </c>
      <c r="F83" s="0" t="n">
        <v>0</v>
      </c>
      <c r="G83" s="0" t="n">
        <v>112</v>
      </c>
      <c r="H83" s="0" t="n">
        <v>831</v>
      </c>
      <c r="I83" s="0" t="n">
        <v>0</v>
      </c>
      <c r="J83" s="0" t="n">
        <v>956</v>
      </c>
      <c r="K83" s="0" t="n">
        <v>2</v>
      </c>
      <c r="L83" s="0" t="n">
        <v>8955</v>
      </c>
      <c r="M83" s="0" t="n">
        <v>9064</v>
      </c>
    </row>
    <row r="84" customFormat="false" ht="13.5" hidden="false" customHeight="false" outlineLevel="0" collapsed="false">
      <c r="A84" s="0" t="s">
        <v>97</v>
      </c>
      <c r="B84" s="1" t="n">
        <v>43944</v>
      </c>
      <c r="C84" s="0" t="n">
        <v>974</v>
      </c>
      <c r="D84" s="0" t="n">
        <v>29</v>
      </c>
      <c r="E84" s="0" t="n">
        <v>2</v>
      </c>
      <c r="F84" s="0" t="n">
        <v>0</v>
      </c>
      <c r="G84" s="0" t="n">
        <v>183</v>
      </c>
      <c r="H84" s="0" t="n">
        <v>789</v>
      </c>
      <c r="I84" s="0" t="n">
        <v>0</v>
      </c>
      <c r="J84" s="0" t="n">
        <v>986</v>
      </c>
      <c r="K84" s="0" t="n">
        <v>2</v>
      </c>
      <c r="L84" s="0" t="n">
        <v>10272</v>
      </c>
      <c r="M84" s="0" t="n">
        <v>10397</v>
      </c>
    </row>
    <row r="85" customFormat="false" ht="13.5" hidden="false" customHeight="false" outlineLevel="0" collapsed="false">
      <c r="A85" s="0" t="s">
        <v>97</v>
      </c>
      <c r="B85" s="1" t="n">
        <v>43945</v>
      </c>
      <c r="C85" s="0" t="n">
        <v>986</v>
      </c>
      <c r="D85" s="0" t="n">
        <v>12</v>
      </c>
      <c r="E85" s="0" t="n">
        <v>2</v>
      </c>
      <c r="F85" s="0" t="n">
        <v>0</v>
      </c>
      <c r="G85" s="0" t="n">
        <v>252</v>
      </c>
      <c r="H85" s="0" t="n">
        <v>732</v>
      </c>
      <c r="I85" s="0" t="n">
        <v>0</v>
      </c>
      <c r="J85" s="0" t="n">
        <v>998</v>
      </c>
      <c r="K85" s="0" t="n">
        <v>2</v>
      </c>
      <c r="L85" s="0" t="n">
        <v>10619</v>
      </c>
      <c r="M85" s="0" t="n">
        <v>10748</v>
      </c>
    </row>
    <row r="86" customFormat="false" ht="13.5" hidden="false" customHeight="false" outlineLevel="0" collapsed="false">
      <c r="A86" s="0" t="s">
        <v>97</v>
      </c>
      <c r="B86" s="1" t="n">
        <v>43946</v>
      </c>
      <c r="C86" s="0" t="n">
        <v>999</v>
      </c>
      <c r="D86" s="0" t="n">
        <v>13</v>
      </c>
      <c r="E86" s="0" t="n">
        <v>2</v>
      </c>
      <c r="F86" s="0" t="n">
        <v>0</v>
      </c>
      <c r="G86" s="0" t="n">
        <v>330</v>
      </c>
      <c r="H86" s="0" t="n">
        <v>667</v>
      </c>
      <c r="I86" s="0" t="n">
        <v>0</v>
      </c>
      <c r="J86" s="0" t="n">
        <v>1011</v>
      </c>
      <c r="K86" s="0" t="n">
        <v>2</v>
      </c>
      <c r="L86" s="0" t="n">
        <v>11090</v>
      </c>
      <c r="M86" s="0" t="n">
        <v>11225</v>
      </c>
    </row>
    <row r="87" customFormat="false" ht="13.5" hidden="false" customHeight="false" outlineLevel="0" collapsed="false">
      <c r="A87" s="0" t="s">
        <v>97</v>
      </c>
      <c r="B87" s="1" t="n">
        <v>43947</v>
      </c>
      <c r="C87" s="0" t="n">
        <v>1008</v>
      </c>
      <c r="D87" s="0" t="n">
        <v>9</v>
      </c>
      <c r="E87" s="0" t="n">
        <v>2</v>
      </c>
      <c r="F87" s="0" t="n">
        <v>0</v>
      </c>
      <c r="G87" s="0" t="n">
        <v>373</v>
      </c>
      <c r="H87" s="0" t="n">
        <v>633</v>
      </c>
      <c r="I87" s="0" t="n">
        <v>0</v>
      </c>
      <c r="J87" s="0" t="n">
        <v>1020</v>
      </c>
      <c r="K87" s="0" t="n">
        <v>2</v>
      </c>
      <c r="L87" s="0" t="n">
        <v>11431</v>
      </c>
      <c r="M87" s="0" t="n">
        <v>11570</v>
      </c>
    </row>
    <row r="88" customFormat="false" ht="13.5" hidden="false" customHeight="false" outlineLevel="0" collapsed="false">
      <c r="A88" s="0" t="s">
        <v>97</v>
      </c>
      <c r="B88" s="1" t="n">
        <v>43948</v>
      </c>
      <c r="C88" s="0" t="n">
        <v>1023</v>
      </c>
      <c r="D88" s="0" t="n">
        <v>15</v>
      </c>
      <c r="E88" s="0" t="n">
        <v>2</v>
      </c>
      <c r="F88" s="0" t="n">
        <v>0</v>
      </c>
      <c r="G88" s="0" t="n">
        <v>411</v>
      </c>
      <c r="H88" s="0" t="n">
        <v>610</v>
      </c>
      <c r="I88" s="0" t="n">
        <v>0</v>
      </c>
      <c r="J88" s="0" t="n">
        <v>1035</v>
      </c>
      <c r="K88" s="0" t="n">
        <v>2</v>
      </c>
      <c r="L88" s="0" t="n">
        <v>11741</v>
      </c>
      <c r="M88" s="0" t="n">
        <v>11884</v>
      </c>
    </row>
    <row r="89" customFormat="false" ht="13.5" hidden="false" customHeight="false" outlineLevel="0" collapsed="false">
      <c r="A89" s="0" t="s">
        <v>97</v>
      </c>
      <c r="B89" s="1" t="n">
        <v>43949</v>
      </c>
      <c r="C89" s="0" t="n">
        <v>1035</v>
      </c>
      <c r="D89" s="0" t="n">
        <v>12</v>
      </c>
      <c r="E89" s="0" t="n">
        <v>2</v>
      </c>
      <c r="F89" s="0" t="n">
        <v>0</v>
      </c>
      <c r="G89" s="0" t="n">
        <v>477</v>
      </c>
      <c r="H89" s="0" t="n">
        <v>556</v>
      </c>
      <c r="I89" s="0" t="n">
        <v>0</v>
      </c>
      <c r="J89" s="0" t="n">
        <v>1048</v>
      </c>
      <c r="K89" s="0" t="n">
        <v>2</v>
      </c>
      <c r="L89" s="0" t="n">
        <v>12250</v>
      </c>
      <c r="M89" s="0" t="n">
        <v>12399</v>
      </c>
    </row>
    <row r="90" customFormat="false" ht="13.5" hidden="false" customHeight="false" outlineLevel="0" collapsed="false">
      <c r="A90" s="0" t="s">
        <v>97</v>
      </c>
      <c r="B90" s="1" t="n">
        <v>43950</v>
      </c>
      <c r="C90" s="0" t="n">
        <v>1035</v>
      </c>
      <c r="D90" s="0" t="n">
        <v>0</v>
      </c>
      <c r="E90" s="0" t="n">
        <v>2</v>
      </c>
      <c r="F90" s="0" t="n">
        <v>0</v>
      </c>
      <c r="G90" s="0" t="n">
        <v>477</v>
      </c>
      <c r="H90" s="0" t="n">
        <v>556</v>
      </c>
      <c r="I90" s="0" t="n">
        <v>0</v>
      </c>
      <c r="J90" s="0" t="n">
        <v>1048</v>
      </c>
      <c r="K90" s="0" t="n">
        <v>2</v>
      </c>
      <c r="L90" s="0" t="n">
        <v>12250</v>
      </c>
      <c r="M90" s="0" t="n">
        <v>12399</v>
      </c>
    </row>
    <row r="91" customFormat="false" ht="13.5" hidden="false" customHeight="false" outlineLevel="0" collapsed="false">
      <c r="A91" s="0" t="s">
        <v>97</v>
      </c>
      <c r="B91" s="1" t="n">
        <v>43951</v>
      </c>
      <c r="C91" s="0" t="n">
        <v>1077</v>
      </c>
      <c r="D91" s="0" t="n">
        <v>42</v>
      </c>
      <c r="E91" s="0" t="n">
        <v>2</v>
      </c>
      <c r="F91" s="0" t="n">
        <v>0</v>
      </c>
      <c r="G91" s="0" t="n">
        <v>599</v>
      </c>
      <c r="H91" s="0" t="n">
        <v>476</v>
      </c>
      <c r="I91" s="0" t="n">
        <v>0</v>
      </c>
      <c r="J91" s="0" t="n">
        <v>1090</v>
      </c>
      <c r="K91" s="0" t="n">
        <v>2</v>
      </c>
      <c r="L91" s="0" t="n">
        <v>12985</v>
      </c>
      <c r="M91" s="0" t="n">
        <v>13143</v>
      </c>
    </row>
    <row r="92" customFormat="false" ht="13.5" hidden="false" customHeight="false" outlineLevel="0" collapsed="false">
      <c r="A92" s="0" t="s">
        <v>97</v>
      </c>
      <c r="B92" s="1" t="n">
        <v>43952</v>
      </c>
      <c r="C92" s="0" t="n">
        <v>1089</v>
      </c>
      <c r="D92" s="0" t="n">
        <v>12</v>
      </c>
      <c r="E92" s="0" t="n">
        <v>2</v>
      </c>
      <c r="F92" s="0" t="n">
        <v>0</v>
      </c>
      <c r="G92" s="0" t="n">
        <v>642</v>
      </c>
      <c r="H92" s="0" t="n">
        <v>445</v>
      </c>
      <c r="I92" s="0" t="n">
        <v>0</v>
      </c>
      <c r="J92" s="0" t="n">
        <v>1102</v>
      </c>
      <c r="K92" s="0" t="n">
        <v>2</v>
      </c>
      <c r="L92" s="0" t="n">
        <v>13422</v>
      </c>
      <c r="M92" s="0" t="n">
        <v>13585</v>
      </c>
    </row>
    <row r="93" customFormat="false" ht="13.5" hidden="false" customHeight="false" outlineLevel="0" collapsed="false">
      <c r="A93" s="0" t="s">
        <v>97</v>
      </c>
      <c r="B93" s="1" t="n">
        <v>43953</v>
      </c>
      <c r="C93" s="0" t="n">
        <v>1097</v>
      </c>
      <c r="D93" s="0" t="n">
        <v>8</v>
      </c>
      <c r="E93" s="0" t="n">
        <v>2</v>
      </c>
      <c r="F93" s="0" t="n">
        <v>0</v>
      </c>
      <c r="G93" s="0" t="n">
        <v>672</v>
      </c>
      <c r="H93" s="0" t="n">
        <v>423</v>
      </c>
      <c r="I93" s="0" t="n">
        <v>0</v>
      </c>
      <c r="J93" s="0" t="n">
        <v>1110</v>
      </c>
      <c r="K93" s="0" t="n">
        <v>2</v>
      </c>
      <c r="L93" s="0" t="n">
        <v>13751</v>
      </c>
      <c r="M93" s="0" t="n">
        <v>13918</v>
      </c>
    </row>
    <row r="94" customFormat="false" ht="13.5" hidden="false" customHeight="false" outlineLevel="0" collapsed="false">
      <c r="A94" s="0" t="s">
        <v>97</v>
      </c>
      <c r="B94" s="1" t="n">
        <v>43954</v>
      </c>
      <c r="C94" s="0" t="n">
        <v>1112</v>
      </c>
      <c r="D94" s="0" t="n">
        <v>15</v>
      </c>
      <c r="E94" s="0" t="n">
        <v>2</v>
      </c>
      <c r="F94" s="0" t="n">
        <v>0</v>
      </c>
      <c r="G94" s="0" t="n">
        <v>686</v>
      </c>
      <c r="H94" s="0" t="n">
        <v>424</v>
      </c>
      <c r="I94" s="0" t="n">
        <v>0</v>
      </c>
      <c r="J94" s="0" t="n">
        <v>1126</v>
      </c>
      <c r="K94" s="0" t="n">
        <v>2</v>
      </c>
      <c r="L94" s="0" t="n">
        <v>13856</v>
      </c>
      <c r="M94" s="0" t="n">
        <v>14024</v>
      </c>
    </row>
    <row r="95" customFormat="false" ht="13.5" hidden="false" customHeight="false" outlineLevel="0" collapsed="false">
      <c r="A95" s="0" t="s">
        <v>97</v>
      </c>
      <c r="B95" s="1" t="n">
        <v>43955</v>
      </c>
      <c r="C95" s="0" t="n">
        <v>1112</v>
      </c>
      <c r="D95" s="0" t="n">
        <v>0</v>
      </c>
      <c r="E95" s="0" t="n">
        <v>2</v>
      </c>
      <c r="F95" s="0" t="n">
        <v>0</v>
      </c>
      <c r="G95" s="0" t="n">
        <v>686</v>
      </c>
      <c r="H95" s="0" t="n">
        <v>424</v>
      </c>
      <c r="I95" s="0" t="n">
        <v>0</v>
      </c>
      <c r="J95" s="0" t="n">
        <v>1126</v>
      </c>
      <c r="K95" s="0" t="n">
        <v>2</v>
      </c>
      <c r="L95" s="0" t="n">
        <v>13856</v>
      </c>
      <c r="M95" s="0" t="n">
        <v>14024</v>
      </c>
    </row>
    <row r="96" customFormat="false" ht="13.5" hidden="false" customHeight="false" outlineLevel="0" collapsed="false">
      <c r="A96" s="0" t="s">
        <v>97</v>
      </c>
      <c r="B96" s="1" t="n">
        <v>43956</v>
      </c>
      <c r="C96" s="0" t="n">
        <v>1116</v>
      </c>
      <c r="D96" s="0" t="n">
        <v>4</v>
      </c>
      <c r="E96" s="0" t="n">
        <v>2</v>
      </c>
      <c r="F96" s="0" t="n">
        <v>0</v>
      </c>
      <c r="G96" s="0" t="n">
        <v>713</v>
      </c>
      <c r="H96" s="0" t="n">
        <v>401</v>
      </c>
      <c r="I96" s="0" t="n">
        <v>0</v>
      </c>
      <c r="J96" s="0" t="n">
        <v>1130</v>
      </c>
      <c r="K96" s="0" t="n">
        <v>2</v>
      </c>
      <c r="L96" s="0" t="n">
        <v>14222</v>
      </c>
      <c r="M96" s="0" t="n">
        <v>14395</v>
      </c>
    </row>
    <row r="97" customFormat="false" ht="13.5" hidden="false" customHeight="false" outlineLevel="0" collapsed="false">
      <c r="A97" s="0" t="s">
        <v>97</v>
      </c>
      <c r="B97" s="1" t="n">
        <v>43957</v>
      </c>
      <c r="C97" s="0" t="n">
        <v>1120</v>
      </c>
      <c r="D97" s="0" t="n">
        <v>4</v>
      </c>
      <c r="E97" s="0" t="n">
        <v>2</v>
      </c>
      <c r="F97" s="0" t="n">
        <v>0</v>
      </c>
      <c r="G97" s="0" t="n">
        <v>745</v>
      </c>
      <c r="H97" s="0" t="n">
        <v>373</v>
      </c>
      <c r="I97" s="0" t="n">
        <v>0</v>
      </c>
      <c r="J97" s="0" t="n">
        <v>1134</v>
      </c>
      <c r="K97" s="0" t="n">
        <v>2</v>
      </c>
      <c r="L97" s="0" t="n">
        <v>14378</v>
      </c>
      <c r="M97" s="0" t="n">
        <v>14553</v>
      </c>
    </row>
    <row r="98" customFormat="false" ht="13.5" hidden="false" customHeight="false" outlineLevel="0" collapsed="false">
      <c r="A98" s="0" t="s">
        <v>97</v>
      </c>
      <c r="B98" s="1" t="n">
        <v>43958</v>
      </c>
      <c r="C98" s="0" t="n">
        <v>1120</v>
      </c>
      <c r="D98" s="0" t="n">
        <v>0</v>
      </c>
      <c r="E98" s="0" t="n">
        <v>2</v>
      </c>
      <c r="F98" s="0" t="n">
        <v>0</v>
      </c>
      <c r="G98" s="0" t="n">
        <v>745</v>
      </c>
      <c r="H98" s="0" t="n">
        <v>373</v>
      </c>
      <c r="I98" s="0" t="n">
        <v>0</v>
      </c>
      <c r="J98" s="0" t="n">
        <v>1134</v>
      </c>
      <c r="K98" s="0" t="n">
        <v>2</v>
      </c>
      <c r="L98" s="0" t="n">
        <v>14378</v>
      </c>
      <c r="M98" s="0" t="n">
        <v>14553</v>
      </c>
    </row>
    <row r="99" customFormat="false" ht="13.5" hidden="false" customHeight="false" outlineLevel="0" collapsed="false">
      <c r="A99" s="0" t="s">
        <v>97</v>
      </c>
      <c r="B99" s="1" t="n">
        <v>43959</v>
      </c>
      <c r="C99" s="0" t="n">
        <v>1133</v>
      </c>
      <c r="D99" s="0" t="n">
        <v>13</v>
      </c>
      <c r="E99" s="0" t="n">
        <v>3</v>
      </c>
      <c r="F99" s="0" t="n">
        <v>1</v>
      </c>
      <c r="G99" s="0" t="n">
        <v>799</v>
      </c>
      <c r="H99" s="0" t="n">
        <v>331</v>
      </c>
      <c r="I99" s="0" t="n">
        <v>0</v>
      </c>
      <c r="J99" s="0" t="n">
        <v>1147</v>
      </c>
      <c r="K99" s="0" t="n">
        <v>3</v>
      </c>
      <c r="L99" s="0" t="n">
        <v>14751</v>
      </c>
      <c r="M99" s="0" t="n">
        <v>14930</v>
      </c>
    </row>
    <row r="100" customFormat="false" ht="13.5" hidden="false" customHeight="false" outlineLevel="0" collapsed="false">
      <c r="A100" s="0" t="s">
        <v>97</v>
      </c>
      <c r="B100" s="1" t="n">
        <v>43960</v>
      </c>
      <c r="C100" s="0" t="n">
        <v>1135</v>
      </c>
      <c r="D100" s="0" t="n">
        <v>2</v>
      </c>
      <c r="E100" s="0" t="n">
        <v>3</v>
      </c>
      <c r="F100" s="0" t="n">
        <v>0</v>
      </c>
      <c r="G100" s="0" t="n">
        <v>824</v>
      </c>
      <c r="H100" s="0" t="n">
        <v>308</v>
      </c>
      <c r="I100" s="0" t="n">
        <v>0</v>
      </c>
      <c r="J100" s="0" t="n">
        <v>1149</v>
      </c>
      <c r="K100" s="0" t="n">
        <v>3</v>
      </c>
      <c r="L100" s="0" t="n">
        <v>14857</v>
      </c>
      <c r="M100" s="0" t="n">
        <v>15037</v>
      </c>
    </row>
    <row r="101" customFormat="false" ht="13.5" hidden="false" customHeight="false" outlineLevel="0" collapsed="false">
      <c r="A101" s="0" t="s">
        <v>97</v>
      </c>
      <c r="B101" s="1" t="n">
        <v>43961</v>
      </c>
      <c r="C101" s="0" t="n">
        <v>1189</v>
      </c>
      <c r="D101" s="0" t="n">
        <v>54</v>
      </c>
      <c r="E101" s="0" t="n">
        <v>3</v>
      </c>
      <c r="F101" s="0" t="n">
        <v>0</v>
      </c>
      <c r="G101" s="0" t="n">
        <v>834</v>
      </c>
      <c r="H101" s="0" t="n">
        <v>352</v>
      </c>
      <c r="I101" s="0" t="n">
        <v>0</v>
      </c>
      <c r="J101" s="0" t="n">
        <v>1203</v>
      </c>
      <c r="K101" s="0" t="n">
        <v>3</v>
      </c>
      <c r="L101" s="0" t="n">
        <v>15056</v>
      </c>
      <c r="M101" s="0" t="n">
        <v>15239</v>
      </c>
    </row>
    <row r="102" customFormat="false" ht="13.5" hidden="false" customHeight="false" outlineLevel="0" collapsed="false">
      <c r="A102" s="0" t="s">
        <v>97</v>
      </c>
      <c r="B102" s="1" t="n">
        <v>43962</v>
      </c>
      <c r="C102" s="0" t="n">
        <v>1210</v>
      </c>
      <c r="D102" s="0" t="n">
        <v>21</v>
      </c>
      <c r="E102" s="0" t="n">
        <v>3</v>
      </c>
      <c r="F102" s="0" t="n">
        <v>0</v>
      </c>
      <c r="G102" s="0" t="n">
        <v>847</v>
      </c>
      <c r="H102" s="0" t="n">
        <v>360</v>
      </c>
      <c r="I102" s="0" t="n">
        <v>0</v>
      </c>
      <c r="J102" s="0" t="n">
        <v>1225</v>
      </c>
      <c r="K102" s="0" t="n">
        <v>3</v>
      </c>
      <c r="L102" s="0" t="n">
        <v>15304</v>
      </c>
      <c r="M102" s="0" t="n">
        <v>15490</v>
      </c>
    </row>
    <row r="103" customFormat="false" ht="13.5" hidden="false" customHeight="false" outlineLevel="0" collapsed="false">
      <c r="A103" s="0" t="s">
        <v>97</v>
      </c>
      <c r="B103" s="1" t="n">
        <v>43963</v>
      </c>
      <c r="C103" s="0" t="n">
        <v>1210</v>
      </c>
      <c r="D103" s="0" t="n">
        <v>0</v>
      </c>
      <c r="E103" s="0" t="n">
        <v>3</v>
      </c>
      <c r="F103" s="0" t="n">
        <v>0</v>
      </c>
      <c r="G103" s="0" t="n">
        <v>847</v>
      </c>
      <c r="H103" s="0" t="n">
        <v>360</v>
      </c>
      <c r="I103" s="0" t="n">
        <v>0</v>
      </c>
      <c r="J103" s="0" t="n">
        <v>1225</v>
      </c>
      <c r="K103" s="0" t="n">
        <v>3</v>
      </c>
      <c r="L103" s="0" t="n">
        <v>15304</v>
      </c>
      <c r="M103" s="0" t="n">
        <v>15490</v>
      </c>
    </row>
    <row r="104" customFormat="false" ht="13.5" hidden="false" customHeight="false" outlineLevel="0" collapsed="false">
      <c r="A104" s="0" t="s">
        <v>97</v>
      </c>
      <c r="B104" s="1" t="n">
        <v>43964</v>
      </c>
      <c r="C104" s="0" t="n">
        <v>1256</v>
      </c>
      <c r="D104" s="0" t="n">
        <v>46</v>
      </c>
      <c r="E104" s="0" t="n">
        <v>3</v>
      </c>
      <c r="F104" s="0" t="n">
        <v>0</v>
      </c>
      <c r="G104" s="0" t="n">
        <v>886</v>
      </c>
      <c r="H104" s="0" t="n">
        <v>367</v>
      </c>
      <c r="I104" s="0" t="n">
        <v>0</v>
      </c>
      <c r="J104" s="0" t="n">
        <v>1271</v>
      </c>
      <c r="K104" s="0" t="n">
        <v>3</v>
      </c>
      <c r="L104" s="0" t="n">
        <v>16093</v>
      </c>
      <c r="M104" s="0" t="n">
        <v>16288</v>
      </c>
    </row>
    <row r="105" customFormat="false" ht="13.5" hidden="false" customHeight="false" outlineLevel="0" collapsed="false">
      <c r="A105" s="0" t="s">
        <v>97</v>
      </c>
      <c r="B105" s="1" t="n">
        <v>43965</v>
      </c>
      <c r="C105" s="0" t="n">
        <v>1268</v>
      </c>
      <c r="D105" s="0" t="n">
        <v>12</v>
      </c>
      <c r="E105" s="0" t="n">
        <v>3</v>
      </c>
      <c r="F105" s="0" t="n">
        <v>0</v>
      </c>
      <c r="G105" s="0" t="n">
        <v>900</v>
      </c>
      <c r="H105" s="0" t="n">
        <v>365</v>
      </c>
      <c r="I105" s="0" t="n">
        <v>0</v>
      </c>
      <c r="J105" s="0" t="n">
        <v>1283</v>
      </c>
      <c r="K105" s="0" t="n">
        <v>3</v>
      </c>
      <c r="L105" s="0" t="n">
        <v>16424</v>
      </c>
      <c r="M105" s="0" t="n">
        <v>16623</v>
      </c>
    </row>
    <row r="106" customFormat="false" ht="13.5" hidden="false" customHeight="false" outlineLevel="0" collapsed="false">
      <c r="A106" s="0" t="s">
        <v>97</v>
      </c>
      <c r="B106" s="1" t="n">
        <v>43966</v>
      </c>
      <c r="C106" s="0" t="n">
        <v>1284</v>
      </c>
      <c r="D106" s="0" t="n">
        <v>16</v>
      </c>
      <c r="E106" s="0" t="n">
        <v>3</v>
      </c>
      <c r="F106" s="0" t="n">
        <v>0</v>
      </c>
      <c r="G106" s="0" t="n">
        <v>905</v>
      </c>
      <c r="H106" s="0" t="n">
        <v>376</v>
      </c>
      <c r="I106" s="0" t="n">
        <v>0</v>
      </c>
      <c r="J106" s="0" t="n">
        <v>1300</v>
      </c>
      <c r="K106" s="0" t="n">
        <v>3</v>
      </c>
      <c r="L106" s="0" t="n">
        <v>16647</v>
      </c>
      <c r="M106" s="0" t="n">
        <v>16849</v>
      </c>
    </row>
    <row r="107" customFormat="false" ht="13.5" hidden="false" customHeight="false" outlineLevel="0" collapsed="false">
      <c r="A107" s="0" t="s">
        <v>97</v>
      </c>
      <c r="B107" s="1" t="n">
        <v>43967</v>
      </c>
      <c r="C107" s="0" t="n">
        <v>1309</v>
      </c>
      <c r="D107" s="0" t="n">
        <v>25</v>
      </c>
      <c r="E107" s="0" t="n">
        <v>4</v>
      </c>
      <c r="F107" s="0" t="n">
        <v>1</v>
      </c>
      <c r="G107" s="0" t="n">
        <v>935</v>
      </c>
      <c r="H107" s="0" t="n">
        <v>370</v>
      </c>
      <c r="I107" s="0" t="n">
        <v>0</v>
      </c>
      <c r="J107" s="0" t="n">
        <v>1327</v>
      </c>
      <c r="K107" s="0" t="n">
        <v>4</v>
      </c>
      <c r="L107" s="0" t="n">
        <v>16878</v>
      </c>
      <c r="M107" s="0" t="n">
        <v>17116</v>
      </c>
    </row>
    <row r="108" customFormat="false" ht="13.5" hidden="false" customHeight="false" outlineLevel="0" collapsed="false">
      <c r="A108" s="0" t="s">
        <v>97</v>
      </c>
      <c r="B108" s="1" t="n">
        <v>43968</v>
      </c>
      <c r="C108" s="0" t="n">
        <v>1331</v>
      </c>
      <c r="D108" s="0" t="n">
        <v>22</v>
      </c>
      <c r="E108" s="0" t="n">
        <v>4</v>
      </c>
      <c r="F108" s="0" t="n">
        <v>0</v>
      </c>
      <c r="G108" s="0" t="n">
        <v>950</v>
      </c>
      <c r="H108" s="0" t="n">
        <v>377</v>
      </c>
      <c r="I108" s="0" t="n">
        <v>0</v>
      </c>
      <c r="J108" s="0" t="n">
        <v>1350</v>
      </c>
      <c r="K108" s="0" t="n">
        <v>4</v>
      </c>
      <c r="L108" s="0" t="n">
        <v>17106</v>
      </c>
      <c r="M108" s="0" t="n">
        <v>17347</v>
      </c>
    </row>
    <row r="109" customFormat="false" ht="13.5" hidden="false" customHeight="false" outlineLevel="0" collapsed="false">
      <c r="A109" s="0" t="s">
        <v>97</v>
      </c>
      <c r="B109" s="1" t="n">
        <v>43969</v>
      </c>
      <c r="C109" s="0" t="n">
        <v>1401</v>
      </c>
      <c r="D109" s="0" t="n">
        <v>70</v>
      </c>
      <c r="E109" s="0" t="n">
        <v>4</v>
      </c>
      <c r="F109" s="0" t="n">
        <v>0</v>
      </c>
      <c r="G109" s="0" t="n">
        <v>972</v>
      </c>
      <c r="H109" s="0" t="n">
        <v>425</v>
      </c>
      <c r="I109" s="0" t="n">
        <v>0</v>
      </c>
      <c r="J109" s="0" t="n">
        <v>1421</v>
      </c>
      <c r="K109" s="0" t="n">
        <v>4</v>
      </c>
      <c r="L109" s="0" t="n">
        <v>17532</v>
      </c>
      <c r="M109" s="0" t="n">
        <v>17778</v>
      </c>
    </row>
    <row r="110" customFormat="false" ht="13.5" hidden="false" customHeight="false" outlineLevel="0" collapsed="false">
      <c r="A110" s="0" t="s">
        <v>97</v>
      </c>
      <c r="B110" s="1" t="n">
        <v>43970</v>
      </c>
      <c r="C110" s="0" t="n">
        <v>1518</v>
      </c>
      <c r="D110" s="0" t="n">
        <v>117</v>
      </c>
      <c r="E110" s="0" t="n">
        <v>7</v>
      </c>
      <c r="F110" s="0" t="n">
        <v>3</v>
      </c>
      <c r="G110" s="0" t="n">
        <v>1018</v>
      </c>
      <c r="H110" s="0" t="n">
        <v>493</v>
      </c>
      <c r="I110" s="0" t="n">
        <v>0</v>
      </c>
      <c r="J110" s="0" t="n">
        <v>1539</v>
      </c>
      <c r="K110" s="0" t="n">
        <v>7</v>
      </c>
      <c r="L110" s="0" t="n">
        <v>18345</v>
      </c>
      <c r="M110" s="0" t="n">
        <v>18602</v>
      </c>
    </row>
    <row r="111" customFormat="false" ht="13.5" hidden="false" customHeight="false" outlineLevel="0" collapsed="false">
      <c r="A111" s="0" t="s">
        <v>97</v>
      </c>
      <c r="B111" s="1" t="n">
        <v>43971</v>
      </c>
      <c r="C111" s="0" t="n">
        <v>1518</v>
      </c>
      <c r="D111" s="0" t="n">
        <v>0</v>
      </c>
      <c r="E111" s="0" t="n">
        <v>7</v>
      </c>
      <c r="F111" s="0" t="n">
        <v>0</v>
      </c>
      <c r="G111" s="0" t="n">
        <v>1033</v>
      </c>
      <c r="H111" s="0" t="n">
        <v>478</v>
      </c>
      <c r="I111" s="0" t="n">
        <v>0</v>
      </c>
      <c r="J111" s="0" t="n">
        <v>1539</v>
      </c>
      <c r="K111" s="0" t="n">
        <v>7</v>
      </c>
      <c r="L111" s="0" t="n">
        <v>18933</v>
      </c>
      <c r="M111" s="0" t="n">
        <v>19197</v>
      </c>
    </row>
    <row r="112" customFormat="false" ht="13.5" hidden="false" customHeight="false" outlineLevel="0" collapsed="false">
      <c r="A112" s="0" t="s">
        <v>97</v>
      </c>
      <c r="B112" s="1" t="n">
        <v>43972</v>
      </c>
      <c r="C112" s="0" t="n">
        <v>1828</v>
      </c>
      <c r="D112" s="0" t="n">
        <v>310</v>
      </c>
      <c r="E112" s="0" t="n">
        <v>9</v>
      </c>
      <c r="F112" s="0" t="n">
        <v>2</v>
      </c>
      <c r="G112" s="0" t="n">
        <v>1052</v>
      </c>
      <c r="H112" s="0" t="n">
        <v>767</v>
      </c>
      <c r="I112" s="0" t="n">
        <v>0</v>
      </c>
      <c r="J112" s="0" t="n">
        <v>1853</v>
      </c>
      <c r="K112" s="0" t="n">
        <v>9</v>
      </c>
      <c r="L112" s="0" t="n">
        <v>20056</v>
      </c>
      <c r="M112" s="0" t="n">
        <v>20335</v>
      </c>
    </row>
    <row r="113" customFormat="false" ht="13.5" hidden="false" customHeight="false" outlineLevel="0" collapsed="false">
      <c r="A113" s="0" t="s">
        <v>97</v>
      </c>
      <c r="B113" s="1" t="n">
        <v>43973</v>
      </c>
      <c r="C113" s="0" t="n">
        <v>2047</v>
      </c>
      <c r="D113" s="0" t="n">
        <v>219</v>
      </c>
      <c r="E113" s="0" t="n">
        <v>10</v>
      </c>
      <c r="F113" s="0" t="n">
        <v>1</v>
      </c>
      <c r="G113" s="0" t="n">
        <v>1055</v>
      </c>
      <c r="H113" s="0" t="n">
        <v>982</v>
      </c>
      <c r="I113" s="0" t="n">
        <v>0</v>
      </c>
      <c r="J113" s="0" t="n">
        <v>2075</v>
      </c>
      <c r="K113" s="0" t="n">
        <v>10</v>
      </c>
      <c r="L113" s="0" t="n">
        <v>21156</v>
      </c>
      <c r="M113" s="0" t="n">
        <v>21449</v>
      </c>
    </row>
    <row r="114" customFormat="false" ht="13.5" hidden="false" customHeight="false" outlineLevel="0" collapsed="false">
      <c r="A114" s="0" t="s">
        <v>97</v>
      </c>
      <c r="B114" s="1" t="n">
        <v>43974</v>
      </c>
      <c r="C114" s="0" t="n">
        <v>2270</v>
      </c>
      <c r="D114" s="0" t="n">
        <v>223</v>
      </c>
      <c r="E114" s="0" t="n">
        <v>10</v>
      </c>
      <c r="F114" s="0" t="n">
        <v>0</v>
      </c>
      <c r="G114" s="0" t="n">
        <v>1064</v>
      </c>
      <c r="H114" s="0" t="n">
        <v>1196</v>
      </c>
      <c r="I114" s="0" t="n">
        <v>0</v>
      </c>
      <c r="J114" s="0" t="n">
        <v>2301</v>
      </c>
      <c r="K114" s="0" t="n">
        <v>10</v>
      </c>
      <c r="L114" s="0" t="n">
        <v>22097</v>
      </c>
      <c r="M114" s="0" t="n">
        <v>22403</v>
      </c>
    </row>
    <row r="115" customFormat="false" ht="13.5" hidden="false" customHeight="false" outlineLevel="0" collapsed="false">
      <c r="A115" s="0" t="s">
        <v>97</v>
      </c>
      <c r="B115" s="1" t="n">
        <v>43975</v>
      </c>
      <c r="C115" s="0" t="n">
        <v>2270</v>
      </c>
      <c r="D115" s="0" t="n">
        <v>0</v>
      </c>
      <c r="E115" s="0" t="n">
        <v>10</v>
      </c>
      <c r="F115" s="0" t="n">
        <v>0</v>
      </c>
      <c r="G115" s="0" t="n">
        <v>1064</v>
      </c>
      <c r="H115" s="0" t="n">
        <v>1196</v>
      </c>
      <c r="I115" s="0" t="n">
        <v>0</v>
      </c>
      <c r="J115" s="0" t="n">
        <v>2301</v>
      </c>
      <c r="K115" s="0" t="n">
        <v>10</v>
      </c>
      <c r="L115" s="0" t="n">
        <v>22097</v>
      </c>
      <c r="M115" s="0" t="n">
        <v>22402</v>
      </c>
    </row>
    <row r="116" customFormat="false" ht="13.5" hidden="false" customHeight="false" outlineLevel="0" collapsed="false">
      <c r="A116" s="0" t="s">
        <v>97</v>
      </c>
      <c r="B116" s="1" t="n">
        <v>43976</v>
      </c>
      <c r="C116" s="0" t="n">
        <v>2270</v>
      </c>
      <c r="D116" s="0" t="n">
        <v>0</v>
      </c>
      <c r="E116" s="0" t="n">
        <v>10</v>
      </c>
      <c r="F116" s="0" t="n">
        <v>0</v>
      </c>
      <c r="G116" s="0" t="n">
        <v>1064</v>
      </c>
      <c r="H116" s="0" t="n">
        <v>1196</v>
      </c>
      <c r="I116" s="0" t="n">
        <v>0</v>
      </c>
      <c r="J116" s="0" t="n">
        <v>2301</v>
      </c>
      <c r="K116" s="0" t="n">
        <v>10</v>
      </c>
      <c r="L116" s="0" t="n">
        <v>22097</v>
      </c>
      <c r="M116" s="0" t="n">
        <v>22401</v>
      </c>
    </row>
    <row r="117" customFormat="false" ht="13.5" hidden="false" customHeight="false" outlineLevel="0" collapsed="false">
      <c r="A117" s="0" t="s">
        <v>97</v>
      </c>
      <c r="B117" s="1" t="n">
        <v>43977</v>
      </c>
      <c r="C117" s="0" t="n">
        <v>2468</v>
      </c>
      <c r="D117" s="0" t="n">
        <v>198</v>
      </c>
      <c r="E117" s="0" t="n">
        <v>14</v>
      </c>
      <c r="F117" s="0" t="n">
        <v>4</v>
      </c>
      <c r="G117" s="0" t="n">
        <v>1079</v>
      </c>
      <c r="H117" s="0" t="n">
        <v>1375</v>
      </c>
      <c r="I117" s="0" t="n">
        <v>0</v>
      </c>
      <c r="J117" s="0" t="n">
        <v>2502</v>
      </c>
      <c r="K117" s="0" t="n">
        <v>14</v>
      </c>
      <c r="L117" s="0" t="n">
        <v>23140</v>
      </c>
      <c r="M117" s="0" t="n">
        <v>23457</v>
      </c>
    </row>
    <row r="118" customFormat="false" ht="13.5" hidden="false" customHeight="false" outlineLevel="0" collapsed="false">
      <c r="A118" s="0" t="s">
        <v>97</v>
      </c>
      <c r="B118" s="1" t="n">
        <v>43978</v>
      </c>
      <c r="C118" s="0" t="n">
        <v>2468</v>
      </c>
      <c r="D118" s="0" t="n">
        <v>0</v>
      </c>
      <c r="E118" s="0" t="n">
        <v>14</v>
      </c>
      <c r="F118" s="0" t="n">
        <v>0</v>
      </c>
      <c r="G118" s="0" t="n">
        <v>1079</v>
      </c>
      <c r="H118" s="0" t="n">
        <v>1375</v>
      </c>
      <c r="I118" s="0" t="n">
        <v>0</v>
      </c>
      <c r="J118" s="0" t="n">
        <v>2502</v>
      </c>
      <c r="K118" s="0" t="n">
        <v>14</v>
      </c>
      <c r="L118" s="0" t="n">
        <v>23140</v>
      </c>
      <c r="M118" s="0" t="n">
        <v>23456</v>
      </c>
    </row>
    <row r="119" customFormat="false" ht="13.5" hidden="false" customHeight="false" outlineLevel="0" collapsed="false">
      <c r="A119" s="0" t="s">
        <v>97</v>
      </c>
      <c r="B119" s="1" t="n">
        <v>43979</v>
      </c>
      <c r="C119" s="0" t="n">
        <v>2697</v>
      </c>
      <c r="D119" s="0" t="n">
        <v>229</v>
      </c>
      <c r="E119" s="0" t="n">
        <v>18</v>
      </c>
      <c r="F119" s="0" t="n">
        <v>4</v>
      </c>
      <c r="G119" s="0" t="n">
        <v>1185</v>
      </c>
      <c r="H119" s="0" t="n">
        <v>1494</v>
      </c>
      <c r="I119" s="0" t="n">
        <v>0</v>
      </c>
      <c r="J119" s="0" t="n">
        <v>2734</v>
      </c>
      <c r="K119" s="0" t="n">
        <v>18</v>
      </c>
      <c r="L119" s="0" t="n">
        <v>23140</v>
      </c>
      <c r="M119" s="0" t="n">
        <v>23455</v>
      </c>
    </row>
    <row r="120" customFormat="false" ht="13.5" hidden="false" customHeight="false" outlineLevel="0" collapsed="false">
      <c r="A120" s="0" t="s">
        <v>97</v>
      </c>
      <c r="B120" s="1" t="n">
        <v>43980</v>
      </c>
      <c r="C120" s="0" t="n">
        <v>2914</v>
      </c>
      <c r="D120" s="0" t="n">
        <v>217</v>
      </c>
      <c r="E120" s="0" t="n">
        <v>20</v>
      </c>
      <c r="F120" s="0" t="n">
        <v>2</v>
      </c>
      <c r="G120" s="0" t="n">
        <v>1241</v>
      </c>
      <c r="H120" s="0" t="n">
        <v>1653</v>
      </c>
      <c r="I120" s="0" t="n">
        <v>0</v>
      </c>
      <c r="J120" s="0" t="n">
        <v>2954</v>
      </c>
      <c r="K120" s="0" t="n">
        <v>20</v>
      </c>
      <c r="L120" s="0" t="n">
        <v>25257</v>
      </c>
      <c r="M120" s="0" t="n">
        <v>25600</v>
      </c>
    </row>
    <row r="121" customFormat="false" ht="13.5" hidden="false" customHeight="false" outlineLevel="0" collapsed="false">
      <c r="A121" s="0" t="s">
        <v>97</v>
      </c>
      <c r="B121" s="1" t="n">
        <v>43981</v>
      </c>
      <c r="C121" s="0" t="n">
        <v>2914</v>
      </c>
      <c r="D121" s="0" t="n">
        <v>0</v>
      </c>
      <c r="E121" s="0" t="n">
        <v>20</v>
      </c>
      <c r="F121" s="0" t="n">
        <v>0</v>
      </c>
      <c r="G121" s="0" t="n">
        <v>1241</v>
      </c>
      <c r="H121" s="0" t="n">
        <v>1653</v>
      </c>
      <c r="I121" s="0" t="n">
        <v>0</v>
      </c>
      <c r="J121" s="0" t="n">
        <v>2953</v>
      </c>
      <c r="K121" s="0" t="n">
        <v>20</v>
      </c>
      <c r="L121" s="0" t="n">
        <v>25257</v>
      </c>
      <c r="M121" s="0" t="n">
        <v>25599</v>
      </c>
    </row>
    <row r="122" customFormat="false" ht="13.5" hidden="false" customHeight="false" outlineLevel="0" collapsed="false">
      <c r="A122" s="0" t="s">
        <v>97</v>
      </c>
      <c r="B122" s="1" t="n">
        <v>43982</v>
      </c>
      <c r="C122" s="0" t="e">
        <f aca="false">sheet1!auz123</f>
        <v>#NAME?</v>
      </c>
      <c r="D122" s="0" t="e">
        <f aca="false">sheet1!ava123</f>
        <v>#NAME?</v>
      </c>
      <c r="E122" s="0" t="e">
        <f aca="false">sheet1!avb123</f>
        <v>#NAME?</v>
      </c>
      <c r="F122" s="0" t="e">
        <f aca="false">sheet1!avc123</f>
        <v>#NAME?</v>
      </c>
      <c r="G122" s="0" t="e">
        <f aca="false">sheet1!avd123</f>
        <v>#NAME?</v>
      </c>
      <c r="H122" s="0" t="e">
        <f aca="false">sheet1!ave123</f>
        <v>#NAME?</v>
      </c>
      <c r="I122" s="0" t="e">
        <f aca="false">sheet1!avf123</f>
        <v>#NAME?</v>
      </c>
      <c r="J122" s="0" t="e">
        <f aca="false">sheet1!avg123</f>
        <v>#NAME?</v>
      </c>
      <c r="K122" s="0" t="e">
        <f aca="false">sheet1!avh123</f>
        <v>#NAME?</v>
      </c>
      <c r="L122" s="0" t="e">
        <f aca="false">sheet1!avi123</f>
        <v>#NAME?</v>
      </c>
      <c r="M122" s="0" t="e">
        <f aca="false">sheet1!avj123</f>
        <v>#NAME?</v>
      </c>
    </row>
    <row r="123" customFormat="false" ht="13.5" hidden="false" customHeight="false" outlineLevel="0" collapsed="false">
      <c r="A123" s="0" t="s">
        <v>97</v>
      </c>
      <c r="B123" s="1" t="n">
        <v>43983</v>
      </c>
      <c r="C123" s="0" t="e">
        <f aca="false">sheet1!auz124</f>
        <v>#NAME?</v>
      </c>
      <c r="D123" s="0" t="e">
        <f aca="false">sheet1!ava124</f>
        <v>#NAME?</v>
      </c>
      <c r="E123" s="0" t="e">
        <f aca="false">sheet1!avb124</f>
        <v>#NAME?</v>
      </c>
      <c r="F123" s="0" t="e">
        <f aca="false">sheet1!avc124</f>
        <v>#NAME?</v>
      </c>
      <c r="G123" s="0" t="e">
        <f aca="false">sheet1!avd124</f>
        <v>#NAME?</v>
      </c>
      <c r="H123" s="0" t="e">
        <f aca="false">sheet1!ave124</f>
        <v>#NAME?</v>
      </c>
      <c r="I123" s="0" t="e">
        <f aca="false">sheet1!avf124</f>
        <v>#NAME?</v>
      </c>
      <c r="J123" s="0" t="e">
        <f aca="false">sheet1!avg124</f>
        <v>#NAME?</v>
      </c>
      <c r="K123" s="0" t="e">
        <f aca="false">sheet1!avh124</f>
        <v>#NAME?</v>
      </c>
      <c r="L123" s="0" t="e">
        <f aca="false">sheet1!avi124</f>
        <v>#NAME?</v>
      </c>
      <c r="M123" s="0" t="e">
        <f aca="false">sheet1!avj124</f>
        <v>#NAME?</v>
      </c>
    </row>
    <row r="124" customFormat="false" ht="13.5" hidden="false" customHeight="false" outlineLevel="0" collapsed="false">
      <c r="A124" s="0" t="s">
        <v>97</v>
      </c>
      <c r="B124" s="1" t="n">
        <v>43984</v>
      </c>
      <c r="C124" s="0" t="e">
        <f aca="false">sheet1!auz125</f>
        <v>#NAME?</v>
      </c>
      <c r="D124" s="0" t="e">
        <f aca="false">sheet1!ava125</f>
        <v>#NAME?</v>
      </c>
      <c r="E124" s="0" t="e">
        <f aca="false">sheet1!avb125</f>
        <v>#NAME?</v>
      </c>
      <c r="F124" s="0" t="e">
        <f aca="false">sheet1!avc125</f>
        <v>#NAME?</v>
      </c>
      <c r="G124" s="0" t="e">
        <f aca="false">sheet1!avd125</f>
        <v>#NAME?</v>
      </c>
      <c r="H124" s="0" t="e">
        <f aca="false">sheet1!ave125</f>
        <v>#NAME?</v>
      </c>
      <c r="I124" s="0" t="e">
        <f aca="false">sheet1!avf125</f>
        <v>#NAME?</v>
      </c>
      <c r="J124" s="0" t="e">
        <f aca="false">sheet1!avg125</f>
        <v>#NAME?</v>
      </c>
      <c r="K124" s="0" t="e">
        <f aca="false">sheet1!avh125</f>
        <v>#NAME?</v>
      </c>
      <c r="L124" s="0" t="e">
        <f aca="false">sheet1!avi125</f>
        <v>#NAME?</v>
      </c>
      <c r="M124" s="0" t="e">
        <f aca="false">sheet1!avj125</f>
        <v>#NAME?</v>
      </c>
    </row>
    <row r="125" customFormat="false" ht="13.5" hidden="false" customHeight="false" outlineLevel="0" collapsed="false">
      <c r="A125" s="0" t="s">
        <v>97</v>
      </c>
      <c r="B125" s="1" t="n">
        <v>43985</v>
      </c>
      <c r="C125" s="0" t="e">
        <f aca="false">sheet1!auz126</f>
        <v>#NAME?</v>
      </c>
      <c r="D125" s="0" t="e">
        <f aca="false">sheet1!ava126</f>
        <v>#NAME?</v>
      </c>
      <c r="E125" s="0" t="e">
        <f aca="false">sheet1!avb126</f>
        <v>#NAME?</v>
      </c>
      <c r="F125" s="0" t="e">
        <f aca="false">sheet1!avc126</f>
        <v>#NAME?</v>
      </c>
      <c r="G125" s="0" t="e">
        <f aca="false">sheet1!avd126</f>
        <v>#NAME?</v>
      </c>
      <c r="H125" s="0" t="e">
        <f aca="false">sheet1!ave126</f>
        <v>#NAME?</v>
      </c>
      <c r="I125" s="0" t="e">
        <f aca="false">sheet1!avf126</f>
        <v>#NAME?</v>
      </c>
      <c r="J125" s="0" t="e">
        <f aca="false">sheet1!avg126</f>
        <v>#NAME?</v>
      </c>
      <c r="K125" s="0" t="e">
        <f aca="false">sheet1!avh126</f>
        <v>#NAME?</v>
      </c>
      <c r="L125" s="0" t="e">
        <f aca="false">sheet1!avi126</f>
        <v>#NAME?</v>
      </c>
      <c r="M125" s="0" t="e">
        <f aca="false">sheet1!avj126</f>
        <v>#NAME?</v>
      </c>
    </row>
    <row r="126" customFormat="false" ht="13.5" hidden="false" customHeight="false" outlineLevel="0" collapsed="false">
      <c r="A126" s="0" t="s">
        <v>97</v>
      </c>
      <c r="B126" s="1" t="n">
        <v>43986</v>
      </c>
      <c r="C126" s="0" t="e">
        <f aca="false">sheet1!auz127</f>
        <v>#NAME?</v>
      </c>
      <c r="D126" s="0" t="e">
        <f aca="false">sheet1!ava127</f>
        <v>#NAME?</v>
      </c>
      <c r="E126" s="0" t="e">
        <f aca="false">sheet1!avb127</f>
        <v>#NAME?</v>
      </c>
      <c r="F126" s="0" t="e">
        <f aca="false">sheet1!avc127</f>
        <v>#NAME?</v>
      </c>
      <c r="G126" s="0" t="e">
        <f aca="false">sheet1!avd127</f>
        <v>#NAME?</v>
      </c>
      <c r="H126" s="0" t="e">
        <f aca="false">sheet1!ave127</f>
        <v>#NAME?</v>
      </c>
      <c r="I126" s="0" t="e">
        <f aca="false">sheet1!avf127</f>
        <v>#NAME?</v>
      </c>
      <c r="J126" s="0" t="e">
        <f aca="false">sheet1!avg127</f>
        <v>#NAME?</v>
      </c>
      <c r="K126" s="0" t="e">
        <f aca="false">sheet1!avh127</f>
        <v>#NAME?</v>
      </c>
      <c r="L126" s="0" t="e">
        <f aca="false">sheet1!avi127</f>
        <v>#NAME?</v>
      </c>
      <c r="M126" s="0" t="e">
        <f aca="false">sheet1!avj127</f>
        <v>#NAME?</v>
      </c>
    </row>
    <row r="127" customFormat="false" ht="13.5" hidden="false" customHeight="false" outlineLevel="0" collapsed="false">
      <c r="A127" s="0" t="s">
        <v>97</v>
      </c>
      <c r="B127" s="1" t="n">
        <v>43987</v>
      </c>
      <c r="C127" s="0" t="e">
        <f aca="false">sheet1!auz128</f>
        <v>#NAME?</v>
      </c>
      <c r="D127" s="0" t="e">
        <f aca="false">sheet1!ava128</f>
        <v>#NAME?</v>
      </c>
      <c r="E127" s="0" t="e">
        <f aca="false">sheet1!avb128</f>
        <v>#NAME?</v>
      </c>
      <c r="F127" s="0" t="e">
        <f aca="false">sheet1!avc128</f>
        <v>#NAME?</v>
      </c>
      <c r="G127" s="0" t="e">
        <f aca="false">sheet1!avd128</f>
        <v>#NAME?</v>
      </c>
      <c r="H127" s="0" t="e">
        <f aca="false">sheet1!ave128</f>
        <v>#NAME?</v>
      </c>
      <c r="I127" s="0" t="e">
        <f aca="false">sheet1!avf128</f>
        <v>#NAME?</v>
      </c>
      <c r="J127" s="0" t="e">
        <f aca="false">sheet1!avg128</f>
        <v>#NAME?</v>
      </c>
      <c r="K127" s="0" t="e">
        <f aca="false">sheet1!avh128</f>
        <v>#NAME?</v>
      </c>
      <c r="L127" s="0" t="e">
        <f aca="false">sheet1!avi128</f>
        <v>#NAME?</v>
      </c>
      <c r="M127" s="0" t="e">
        <f aca="false">sheet1!avj128</f>
        <v>#NAME?</v>
      </c>
    </row>
    <row r="128" customFormat="false" ht="13.5" hidden="false" customHeight="false" outlineLevel="0" collapsed="false">
      <c r="A128" s="0" t="s">
        <v>97</v>
      </c>
      <c r="B128" s="1" t="n">
        <v>43988</v>
      </c>
      <c r="C128" s="0" t="e">
        <f aca="false">sheet1!auz129</f>
        <v>#NAME?</v>
      </c>
      <c r="D128" s="0" t="e">
        <f aca="false">sheet1!ava129</f>
        <v>#NAME?</v>
      </c>
      <c r="E128" s="0" t="e">
        <f aca="false">sheet1!avb129</f>
        <v>#NAME?</v>
      </c>
      <c r="F128" s="0" t="e">
        <f aca="false">sheet1!avc129</f>
        <v>#NAME?</v>
      </c>
      <c r="G128" s="0" t="e">
        <f aca="false">sheet1!avd129</f>
        <v>#NAME?</v>
      </c>
      <c r="H128" s="0" t="e">
        <f aca="false">sheet1!ave129</f>
        <v>#NAME?</v>
      </c>
      <c r="I128" s="0" t="e">
        <f aca="false">sheet1!avf129</f>
        <v>#NAME?</v>
      </c>
      <c r="J128" s="0" t="e">
        <f aca="false">sheet1!avg129</f>
        <v>#NAME?</v>
      </c>
      <c r="K128" s="0" t="e">
        <f aca="false">sheet1!avh129</f>
        <v>#NAME?</v>
      </c>
      <c r="L128" s="0" t="e">
        <f aca="false">sheet1!avi129</f>
        <v>#NAME?</v>
      </c>
      <c r="M128" s="0" t="e">
        <f aca="false">sheet1!avj129</f>
        <v>#NAME?</v>
      </c>
    </row>
    <row r="129" customFormat="false" ht="13.5" hidden="false" customHeight="false" outlineLevel="0" collapsed="false">
      <c r="A129" s="0" t="s">
        <v>97</v>
      </c>
      <c r="B129" s="1" t="n">
        <v>43989</v>
      </c>
      <c r="C129" s="0" t="e">
        <f aca="false">sheet1!auz130</f>
        <v>#NAME?</v>
      </c>
      <c r="D129" s="0" t="e">
        <f aca="false">sheet1!ava130</f>
        <v>#NAME?</v>
      </c>
      <c r="E129" s="0" t="e">
        <f aca="false">sheet1!avb130</f>
        <v>#NAME?</v>
      </c>
      <c r="F129" s="0" t="e">
        <f aca="false">sheet1!avc130</f>
        <v>#NAME?</v>
      </c>
      <c r="G129" s="0" t="e">
        <f aca="false">sheet1!avd130</f>
        <v>#NAME?</v>
      </c>
      <c r="H129" s="0" t="e">
        <f aca="false">sheet1!ave130</f>
        <v>#NAME?</v>
      </c>
      <c r="I129" s="0" t="e">
        <f aca="false">sheet1!avf130</f>
        <v>#NAME?</v>
      </c>
      <c r="J129" s="0" t="e">
        <f aca="false">sheet1!avg130</f>
        <v>#NAME?</v>
      </c>
      <c r="K129" s="0" t="e">
        <f aca="false">sheet1!avh130</f>
        <v>#NAME?</v>
      </c>
      <c r="L129" s="0" t="e">
        <f aca="false">sheet1!avi130</f>
        <v>#NAME?</v>
      </c>
      <c r="M129" s="0" t="e">
        <f aca="false">sheet1!avj130</f>
        <v>#NAME?</v>
      </c>
    </row>
    <row r="130" customFormat="false" ht="13.5" hidden="false" customHeight="false" outlineLevel="0" collapsed="false">
      <c r="A130" s="0" t="s">
        <v>97</v>
      </c>
      <c r="B130" s="1" t="n">
        <v>43990</v>
      </c>
      <c r="C130" s="0" t="e">
        <f aca="false">sheet1!auz131</f>
        <v>#NAME?</v>
      </c>
      <c r="D130" s="0" t="e">
        <f aca="false">sheet1!ava131</f>
        <v>#NAME?</v>
      </c>
      <c r="E130" s="0" t="e">
        <f aca="false">sheet1!avb131</f>
        <v>#NAME?</v>
      </c>
      <c r="F130" s="0" t="e">
        <f aca="false">sheet1!avc131</f>
        <v>#NAME?</v>
      </c>
      <c r="G130" s="0" t="e">
        <f aca="false">sheet1!avd131</f>
        <v>#NAME?</v>
      </c>
      <c r="H130" s="0" t="e">
        <f aca="false">sheet1!ave131</f>
        <v>#NAME?</v>
      </c>
      <c r="I130" s="0" t="e">
        <f aca="false">sheet1!avf131</f>
        <v>#NAME?</v>
      </c>
      <c r="J130" s="0" t="e">
        <f aca="false">sheet1!avg131</f>
        <v>#NAME?</v>
      </c>
      <c r="K130" s="0" t="e">
        <f aca="false">sheet1!avh131</f>
        <v>#NAME?</v>
      </c>
      <c r="L130" s="0" t="e">
        <f aca="false">sheet1!avi131</f>
        <v>#NAME?</v>
      </c>
      <c r="M130" s="0" t="e">
        <f aca="false">sheet1!avj131</f>
        <v>#NAME?</v>
      </c>
    </row>
    <row r="131" customFormat="false" ht="13.5" hidden="false" customHeight="false" outlineLevel="0" collapsed="false">
      <c r="A131" s="0" t="s">
        <v>97</v>
      </c>
      <c r="B131" s="1" t="n">
        <v>43991</v>
      </c>
      <c r="C131" s="0" t="e">
        <f aca="false">sheet1!auz132</f>
        <v>#NAME?</v>
      </c>
      <c r="D131" s="0" t="e">
        <f aca="false">sheet1!ava132</f>
        <v>#NAME?</v>
      </c>
      <c r="E131" s="0" t="e">
        <f aca="false">sheet1!avb132</f>
        <v>#NAME?</v>
      </c>
      <c r="F131" s="0" t="e">
        <f aca="false">sheet1!avc132</f>
        <v>#NAME?</v>
      </c>
      <c r="G131" s="0" t="e">
        <f aca="false">sheet1!avd132</f>
        <v>#NAME?</v>
      </c>
      <c r="H131" s="0" t="e">
        <f aca="false">sheet1!ave132</f>
        <v>#NAME?</v>
      </c>
      <c r="I131" s="0" t="e">
        <f aca="false">sheet1!avf132</f>
        <v>#NAME?</v>
      </c>
      <c r="J131" s="0" t="e">
        <f aca="false">sheet1!avg132</f>
        <v>#NAME?</v>
      </c>
      <c r="K131" s="0" t="e">
        <f aca="false">sheet1!avh132</f>
        <v>#NAME?</v>
      </c>
      <c r="L131" s="0" t="e">
        <f aca="false">sheet1!avi132</f>
        <v>#NAME?</v>
      </c>
      <c r="M131" s="0" t="e">
        <f aca="false">sheet1!avj132</f>
        <v>#NAME?</v>
      </c>
    </row>
    <row r="132" customFormat="false" ht="13.5" hidden="false" customHeight="false" outlineLevel="0" collapsed="false">
      <c r="A132" s="0" t="s">
        <v>97</v>
      </c>
      <c r="B132" s="1" t="n">
        <v>43992</v>
      </c>
      <c r="C132" s="0" t="e">
        <f aca="false">sheet1!auz133</f>
        <v>#NAME?</v>
      </c>
      <c r="D132" s="0" t="e">
        <f aca="false">sheet1!ava133</f>
        <v>#NAME?</v>
      </c>
      <c r="E132" s="0" t="e">
        <f aca="false">sheet1!avb133</f>
        <v>#NAME?</v>
      </c>
      <c r="F132" s="0" t="e">
        <f aca="false">sheet1!avc133</f>
        <v>#NAME?</v>
      </c>
      <c r="G132" s="0" t="e">
        <f aca="false">sheet1!avd133</f>
        <v>#NAME?</v>
      </c>
      <c r="H132" s="0" t="e">
        <f aca="false">sheet1!ave133</f>
        <v>#NAME?</v>
      </c>
      <c r="I132" s="0" t="e">
        <f aca="false">sheet1!avf133</f>
        <v>#NAME?</v>
      </c>
      <c r="J132" s="0" t="e">
        <f aca="false">sheet1!avg133</f>
        <v>#NAME?</v>
      </c>
      <c r="K132" s="0" t="e">
        <f aca="false">sheet1!avh133</f>
        <v>#NAME?</v>
      </c>
      <c r="L132" s="0" t="e">
        <f aca="false">sheet1!avi133</f>
        <v>#NAME?</v>
      </c>
      <c r="M132" s="0" t="e">
        <f aca="false">sheet1!avj133</f>
        <v>#NAME?</v>
      </c>
    </row>
    <row r="133" customFormat="false" ht="13.5" hidden="false" customHeight="false" outlineLevel="0" collapsed="false">
      <c r="A133" s="0" t="s">
        <v>97</v>
      </c>
      <c r="B133" s="1" t="n">
        <v>43993</v>
      </c>
      <c r="C133" s="0" t="e">
        <f aca="false">sheet1!auz134</f>
        <v>#NAME?</v>
      </c>
      <c r="D133" s="0" t="e">
        <f aca="false">sheet1!ava134</f>
        <v>#NAME?</v>
      </c>
      <c r="E133" s="0" t="e">
        <f aca="false">sheet1!avb134</f>
        <v>#NAME?</v>
      </c>
      <c r="F133" s="0" t="e">
        <f aca="false">sheet1!avc134</f>
        <v>#NAME?</v>
      </c>
      <c r="G133" s="0" t="e">
        <f aca="false">sheet1!avd134</f>
        <v>#NAME?</v>
      </c>
      <c r="H133" s="0" t="e">
        <f aca="false">sheet1!ave134</f>
        <v>#NAME?</v>
      </c>
      <c r="I133" s="0" t="e">
        <f aca="false">sheet1!avf134</f>
        <v>#NAME?</v>
      </c>
      <c r="J133" s="0" t="e">
        <f aca="false">sheet1!avg134</f>
        <v>#NAME?</v>
      </c>
      <c r="K133" s="0" t="e">
        <f aca="false">sheet1!avh134</f>
        <v>#NAME?</v>
      </c>
      <c r="L133" s="0" t="e">
        <f aca="false">sheet1!avi134</f>
        <v>#NAME?</v>
      </c>
      <c r="M133" s="0" t="e">
        <f aca="false">sheet1!avj134</f>
        <v>#NAME?</v>
      </c>
    </row>
    <row r="134" customFormat="false" ht="13.5" hidden="false" customHeight="false" outlineLevel="0" collapsed="false">
      <c r="A134" s="0" t="s">
        <v>97</v>
      </c>
      <c r="B134" s="1" t="n">
        <v>43994</v>
      </c>
      <c r="C134" s="0" t="e">
        <f aca="false">sheet1!auz135</f>
        <v>#NAME?</v>
      </c>
      <c r="D134" s="0" t="e">
        <f aca="false">sheet1!ava135</f>
        <v>#NAME?</v>
      </c>
      <c r="E134" s="0" t="e">
        <f aca="false">sheet1!avb135</f>
        <v>#NAME?</v>
      </c>
      <c r="F134" s="0" t="e">
        <f aca="false">sheet1!avc135</f>
        <v>#NAME?</v>
      </c>
      <c r="G134" s="0" t="e">
        <f aca="false">sheet1!avd135</f>
        <v>#NAME?</v>
      </c>
      <c r="H134" s="0" t="e">
        <f aca="false">sheet1!ave135</f>
        <v>#NAME?</v>
      </c>
      <c r="I134" s="0" t="e">
        <f aca="false">sheet1!avf135</f>
        <v>#NAME?</v>
      </c>
      <c r="J134" s="0" t="e">
        <f aca="false">sheet1!avg135</f>
        <v>#NAME?</v>
      </c>
      <c r="K134" s="0" t="e">
        <f aca="false">sheet1!avh135</f>
        <v>#NAME?</v>
      </c>
      <c r="L134" s="0" t="e">
        <f aca="false">sheet1!avi135</f>
        <v>#NAME?</v>
      </c>
      <c r="M134" s="0" t="e">
        <f aca="false">sheet1!avj135</f>
        <v>#NAME?</v>
      </c>
    </row>
    <row r="135" customFormat="false" ht="13.5" hidden="false" customHeight="false" outlineLevel="0" collapsed="false">
      <c r="A135" s="0" t="s">
        <v>97</v>
      </c>
      <c r="B135" s="1" t="n">
        <v>43995</v>
      </c>
      <c r="C135" s="0" t="e">
        <f aca="false">sheet1!auz136</f>
        <v>#NAME?</v>
      </c>
      <c r="D135" s="0" t="e">
        <f aca="false">sheet1!ava136</f>
        <v>#NAME?</v>
      </c>
      <c r="E135" s="0" t="e">
        <f aca="false">sheet1!avb136</f>
        <v>#NAME?</v>
      </c>
      <c r="F135" s="0" t="e">
        <f aca="false">sheet1!avc136</f>
        <v>#NAME?</v>
      </c>
      <c r="G135" s="0" t="e">
        <f aca="false">sheet1!avd136</f>
        <v>#NAME?</v>
      </c>
      <c r="H135" s="0" t="e">
        <f aca="false">sheet1!ave136</f>
        <v>#NAME?</v>
      </c>
      <c r="I135" s="0" t="e">
        <f aca="false">sheet1!avf136</f>
        <v>#NAME?</v>
      </c>
      <c r="J135" s="0" t="e">
        <f aca="false">sheet1!avg136</f>
        <v>#NAME?</v>
      </c>
      <c r="K135" s="0" t="e">
        <f aca="false">sheet1!avh136</f>
        <v>#NAME?</v>
      </c>
      <c r="L135" s="0" t="e">
        <f aca="false">sheet1!avi136</f>
        <v>#NAME?</v>
      </c>
      <c r="M135" s="0" t="e">
        <f aca="false">sheet1!avj136</f>
        <v>#NAME?</v>
      </c>
    </row>
    <row r="136" customFormat="false" ht="13.5" hidden="false" customHeight="false" outlineLevel="0" collapsed="false">
      <c r="A136" s="0" t="s">
        <v>97</v>
      </c>
      <c r="B136" s="1" t="n">
        <v>43996</v>
      </c>
      <c r="C136" s="0" t="e">
        <f aca="false">sheet1!auz137</f>
        <v>#NAME?</v>
      </c>
      <c r="D136" s="0" t="e">
        <f aca="false">sheet1!ava137</f>
        <v>#NAME?</v>
      </c>
      <c r="E136" s="0" t="e">
        <f aca="false">sheet1!avb137</f>
        <v>#NAME?</v>
      </c>
      <c r="F136" s="0" t="e">
        <f aca="false">sheet1!avc137</f>
        <v>#NAME?</v>
      </c>
      <c r="G136" s="0" t="e">
        <f aca="false">sheet1!avd137</f>
        <v>#NAME?</v>
      </c>
      <c r="H136" s="0" t="e">
        <f aca="false">sheet1!ave137</f>
        <v>#NAME?</v>
      </c>
      <c r="I136" s="0" t="e">
        <f aca="false">sheet1!avf137</f>
        <v>#NAME?</v>
      </c>
      <c r="J136" s="0" t="e">
        <f aca="false">sheet1!avg137</f>
        <v>#NAME?</v>
      </c>
      <c r="K136" s="0" t="e">
        <f aca="false">sheet1!avh137</f>
        <v>#NAME?</v>
      </c>
      <c r="L136" s="0" t="e">
        <f aca="false">sheet1!avi137</f>
        <v>#NAME?</v>
      </c>
      <c r="M136" s="0" t="e">
        <f aca="false">sheet1!avj137</f>
        <v>#NAME?</v>
      </c>
    </row>
    <row r="137" customFormat="false" ht="13.5" hidden="false" customHeight="false" outlineLevel="0" collapsed="false">
      <c r="A137" s="0" t="s">
        <v>97</v>
      </c>
      <c r="B137" s="1" t="n">
        <v>43997</v>
      </c>
      <c r="C137" s="0" t="e">
        <f aca="false">sheet1!auz138</f>
        <v>#NAME?</v>
      </c>
      <c r="D137" s="0" t="e">
        <f aca="false">sheet1!ava138</f>
        <v>#NAME?</v>
      </c>
      <c r="E137" s="0" t="e">
        <f aca="false">sheet1!avb138</f>
        <v>#NAME?</v>
      </c>
      <c r="F137" s="0" t="e">
        <f aca="false">sheet1!avc138</f>
        <v>#NAME?</v>
      </c>
      <c r="G137" s="0" t="e">
        <f aca="false">sheet1!avd138</f>
        <v>#NAME?</v>
      </c>
      <c r="H137" s="0" t="e">
        <f aca="false">sheet1!ave138</f>
        <v>#NAME?</v>
      </c>
      <c r="I137" s="0" t="n">
        <v>0</v>
      </c>
      <c r="J137" s="0" t="e">
        <f aca="false">sheet1!avg138</f>
        <v>#NAME?</v>
      </c>
      <c r="K137" s="0" t="e">
        <f aca="false">sheet1!avh138</f>
        <v>#NAME?</v>
      </c>
      <c r="L137" s="0" t="e">
        <f aca="false">sheet1!avi138</f>
        <v>#NAME?</v>
      </c>
      <c r="M137" s="0" t="e">
        <f aca="false">sheet1!avj138</f>
        <v>#NAME?</v>
      </c>
    </row>
    <row r="138" customFormat="false" ht="13.5" hidden="false" customHeight="false" outlineLevel="0" collapsed="false">
      <c r="A138" s="0" t="s">
        <v>97</v>
      </c>
      <c r="B138" s="1" t="n">
        <v>43998</v>
      </c>
      <c r="C138" s="0" t="e">
        <f aca="false">sheet1!auz139</f>
        <v>#NAME?</v>
      </c>
      <c r="D138" s="0" t="e">
        <f aca="false">sheet1!ava139</f>
        <v>#NAME?</v>
      </c>
      <c r="E138" s="0" t="e">
        <f aca="false">sheet1!avb139</f>
        <v>#NAME?</v>
      </c>
      <c r="F138" s="0" t="e">
        <f aca="false">sheet1!avc139</f>
        <v>#NAME?</v>
      </c>
      <c r="G138" s="0" t="e">
        <f aca="false">sheet1!avd139</f>
        <v>#NAME?</v>
      </c>
      <c r="H138" s="0" t="e">
        <f aca="false">sheet1!ave139</f>
        <v>#NAME?</v>
      </c>
      <c r="I138" s="0" t="e">
        <f aca="false">sheet1!avf139</f>
        <v>#NAME?</v>
      </c>
      <c r="J138" s="0" t="e">
        <f aca="false">sheet1!avg139</f>
        <v>#NAME?</v>
      </c>
      <c r="K138" s="0" t="e">
        <f aca="false">sheet1!avh139</f>
        <v>#NAME?</v>
      </c>
      <c r="L138" s="0" t="e">
        <f aca="false">sheet1!avi139</f>
        <v>#NAME?</v>
      </c>
      <c r="M138" s="0" t="e">
        <f aca="false">sheet1!avj139</f>
        <v>#NAME?</v>
      </c>
    </row>
    <row r="139" customFormat="false" ht="13.5" hidden="false" customHeight="false" outlineLevel="0" collapsed="false">
      <c r="A139" s="0" t="s">
        <v>97</v>
      </c>
      <c r="B139" s="1" t="n">
        <v>43999</v>
      </c>
      <c r="C139" s="0" t="e">
        <f aca="false">sheet1!auz140</f>
        <v>#NAME?</v>
      </c>
      <c r="D139" s="0" t="e">
        <f aca="false">sheet1!ava140</f>
        <v>#NAME?</v>
      </c>
      <c r="E139" s="0" t="e">
        <f aca="false">sheet1!avb140</f>
        <v>#NAME?</v>
      </c>
      <c r="F139" s="0" t="e">
        <f aca="false">sheet1!avc140</f>
        <v>#NAME?</v>
      </c>
      <c r="G139" s="0" t="e">
        <f aca="false">sheet1!avd140</f>
        <v>#NAME?</v>
      </c>
      <c r="H139" s="0" t="e">
        <f aca="false">sheet1!ave140</f>
        <v>#NAME?</v>
      </c>
      <c r="I139" s="0" t="e">
        <f aca="false">sheet1!avf140</f>
        <v>#NAME?</v>
      </c>
      <c r="J139" s="0" t="e">
        <f aca="false">sheet1!avg140</f>
        <v>#NAME?</v>
      </c>
      <c r="K139" s="0" t="e">
        <f aca="false">sheet1!avh140</f>
        <v>#NAME?</v>
      </c>
      <c r="L139" s="0" t="e">
        <f aca="false">sheet1!avi140</f>
        <v>#NAME?</v>
      </c>
      <c r="M139" s="0" t="e">
        <f aca="false">sheet1!avj140</f>
        <v>#NAME?</v>
      </c>
    </row>
    <row r="140" customFormat="false" ht="13.5" hidden="false" customHeight="false" outlineLevel="0" collapsed="false">
      <c r="A140" s="0" t="s">
        <v>97</v>
      </c>
      <c r="B140" s="1" t="n">
        <v>44000</v>
      </c>
      <c r="C140" s="0" t="e">
        <f aca="false">sheet1!auz141</f>
        <v>#NAME?</v>
      </c>
      <c r="D140" s="0" t="e">
        <f aca="false">sheet1!ava141</f>
        <v>#NAME?</v>
      </c>
      <c r="E140" s="0" t="e">
        <f aca="false">sheet1!avb141</f>
        <v>#NAME?</v>
      </c>
      <c r="F140" s="0" t="e">
        <f aca="false">sheet1!avc141</f>
        <v>#NAME?</v>
      </c>
      <c r="G140" s="0" t="e">
        <f aca="false">sheet1!avd141</f>
        <v>#NAME?</v>
      </c>
      <c r="H140" s="0" t="e">
        <f aca="false">sheet1!ave141</f>
        <v>#NAME?</v>
      </c>
      <c r="I140" s="0" t="e">
        <f aca="false">sheet1!avf141</f>
        <v>#NAME?</v>
      </c>
      <c r="J140" s="0" t="e">
        <f aca="false">sheet1!avg141</f>
        <v>#NAME?</v>
      </c>
      <c r="K140" s="0" t="e">
        <f aca="false">sheet1!avh141</f>
        <v>#NAME?</v>
      </c>
      <c r="L140" s="0" t="e">
        <f aca="false">sheet1!avi141</f>
        <v>#NAME?</v>
      </c>
      <c r="M140" s="0" t="e">
        <f aca="false">sheet1!avj141</f>
        <v>#NAME?</v>
      </c>
    </row>
    <row r="141" customFormat="false" ht="13.5" hidden="false" customHeight="false" outlineLevel="0" collapsed="false">
      <c r="A141" s="0" t="s">
        <v>97</v>
      </c>
      <c r="B141" s="1" t="n">
        <v>44001</v>
      </c>
      <c r="C141" s="0" t="e">
        <f aca="false">sheet1!auz142</f>
        <v>#NAME?</v>
      </c>
      <c r="D141" s="0" t="e">
        <f aca="false">sheet1!ava142</f>
        <v>#NAME?</v>
      </c>
      <c r="E141" s="0" t="e">
        <f aca="false">sheet1!avb142</f>
        <v>#NAME?</v>
      </c>
      <c r="F141" s="0" t="e">
        <f aca="false">sheet1!avc142</f>
        <v>#NAME?</v>
      </c>
      <c r="G141" s="0" t="e">
        <f aca="false">sheet1!avd142</f>
        <v>#NAME?</v>
      </c>
      <c r="H141" s="0" t="e">
        <f aca="false">sheet1!ave142</f>
        <v>#NAME?</v>
      </c>
      <c r="I141" s="0" t="e">
        <f aca="false">sheet1!avf142</f>
        <v>#NAME?</v>
      </c>
      <c r="J141" s="0" t="e">
        <f aca="false">sheet1!avg142</f>
        <v>#NAME?</v>
      </c>
      <c r="K141" s="0" t="e">
        <f aca="false">sheet1!avh142</f>
        <v>#NAME?</v>
      </c>
      <c r="L141" s="0" t="e">
        <f aca="false">sheet1!avi142</f>
        <v>#NAME?</v>
      </c>
      <c r="M141" s="0" t="e">
        <f aca="false">sheet1!avj142</f>
        <v>#NAME?</v>
      </c>
    </row>
    <row r="142" customFormat="false" ht="13.5" hidden="false" customHeight="false" outlineLevel="0" collapsed="false">
      <c r="A142" s="0" t="s">
        <v>97</v>
      </c>
      <c r="B142" s="1" t="n">
        <v>44002</v>
      </c>
      <c r="C142" s="0" t="e">
        <f aca="false">sheet1!auz143</f>
        <v>#NAME?</v>
      </c>
      <c r="D142" s="0" t="e">
        <f aca="false">sheet1!ava143</f>
        <v>#NAME?</v>
      </c>
      <c r="E142" s="0" t="e">
        <f aca="false">sheet1!avb143</f>
        <v>#NAME?</v>
      </c>
      <c r="F142" s="0" t="e">
        <f aca="false">sheet1!avc143</f>
        <v>#NAME?</v>
      </c>
      <c r="G142" s="0" t="e">
        <f aca="false">sheet1!avd143</f>
        <v>#NAME?</v>
      </c>
      <c r="H142" s="0" t="e">
        <f aca="false">sheet1!ave143</f>
        <v>#NAME?</v>
      </c>
      <c r="I142" s="0" t="e">
        <f aca="false">sheet1!avf143</f>
        <v>#NAME?</v>
      </c>
      <c r="J142" s="0" t="e">
        <f aca="false">sheet1!avg143</f>
        <v>#NAME?</v>
      </c>
      <c r="K142" s="0" t="e">
        <f aca="false">sheet1!avh143</f>
        <v>#NAME?</v>
      </c>
      <c r="L142" s="0" t="e">
        <f aca="false">sheet1!avi143</f>
        <v>#NAME?</v>
      </c>
      <c r="M142" s="0" t="e">
        <f aca="false">sheet1!avj143</f>
        <v>#NAME?</v>
      </c>
    </row>
    <row r="143" customFormat="false" ht="13.5" hidden="false" customHeight="false" outlineLevel="0" collapsed="false">
      <c r="A143" s="0" t="s">
        <v>97</v>
      </c>
      <c r="B143" s="1" t="n">
        <v>44003</v>
      </c>
      <c r="C143" s="0" t="e">
        <f aca="false">sheet1!auz144</f>
        <v>#NAME?</v>
      </c>
      <c r="D143" s="0" t="e">
        <f aca="false">sheet1!ava144</f>
        <v>#NAME?</v>
      </c>
      <c r="E143" s="0" t="e">
        <f aca="false">sheet1!avb144</f>
        <v>#NAME?</v>
      </c>
      <c r="F143" s="0" t="e">
        <f aca="false">sheet1!avc144</f>
        <v>#NAME?</v>
      </c>
      <c r="G143" s="0" t="e">
        <f aca="false">sheet1!avd144</f>
        <v>#NAME?</v>
      </c>
      <c r="H143" s="0" t="e">
        <f aca="false">sheet1!ave144</f>
        <v>#NAME?</v>
      </c>
      <c r="I143" s="0" t="e">
        <f aca="false">sheet1!avf144</f>
        <v>#NAME?</v>
      </c>
      <c r="J143" s="0" t="e">
        <f aca="false">sheet1!avg144</f>
        <v>#NAME?</v>
      </c>
      <c r="K143" s="0" t="e">
        <f aca="false">sheet1!avh144</f>
        <v>#NAME?</v>
      </c>
      <c r="L143" s="0" t="e">
        <f aca="false">sheet1!avi144</f>
        <v>#NAME?</v>
      </c>
      <c r="M143" s="0" t="e">
        <f aca="false">sheet1!avj144</f>
        <v>#NAME?</v>
      </c>
    </row>
    <row r="144" customFormat="false" ht="13.5" hidden="false" customHeight="false" outlineLevel="0" collapsed="false">
      <c r="A144" s="0" t="s">
        <v>97</v>
      </c>
      <c r="B144" s="1" t="n">
        <v>44004</v>
      </c>
      <c r="C144" s="0" t="e">
        <f aca="false">sheet1!auz145</f>
        <v>#NAME?</v>
      </c>
      <c r="D144" s="0" t="e">
        <f aca="false">sheet1!ava145</f>
        <v>#NAME?</v>
      </c>
      <c r="E144" s="0" t="e">
        <f aca="false">sheet1!avb145</f>
        <v>#NAME?</v>
      </c>
      <c r="F144" s="0" t="e">
        <f aca="false">sheet1!avc145</f>
        <v>#NAME?</v>
      </c>
      <c r="G144" s="0" t="e">
        <f aca="false">sheet1!avd145</f>
        <v>#NAME?</v>
      </c>
      <c r="H144" s="0" t="e">
        <f aca="false">sheet1!ave145</f>
        <v>#NAME?</v>
      </c>
      <c r="I144" s="0" t="e">
        <f aca="false">sheet1!avf145</f>
        <v>#NAME?</v>
      </c>
      <c r="J144" s="0" t="e">
        <f aca="false">sheet1!avg145</f>
        <v>#NAME?</v>
      </c>
      <c r="K144" s="0" t="e">
        <f aca="false">sheet1!avh145</f>
        <v>#NAME?</v>
      </c>
      <c r="L144" s="0" t="e">
        <f aca="false">sheet1!avi145</f>
        <v>#NAME?</v>
      </c>
      <c r="M144" s="0" t="e">
        <f aca="false">sheet1!avj145</f>
        <v>#NAME?</v>
      </c>
    </row>
    <row r="145" customFormat="false" ht="13.5" hidden="false" customHeight="false" outlineLevel="0" collapsed="false">
      <c r="A145" s="0" t="s">
        <v>97</v>
      </c>
      <c r="B145" s="1" t="n">
        <v>44005</v>
      </c>
      <c r="C145" s="0" t="e">
        <f aca="false">sheet1!auz146</f>
        <v>#NAME?</v>
      </c>
      <c r="D145" s="0" t="e">
        <f aca="false">sheet1!ava146</f>
        <v>#NAME?</v>
      </c>
      <c r="E145" s="0" t="e">
        <f aca="false">sheet1!avb146</f>
        <v>#NAME?</v>
      </c>
      <c r="F145" s="0" t="e">
        <f aca="false">sheet1!avc146</f>
        <v>#NAME?</v>
      </c>
      <c r="G145" s="0" t="e">
        <f aca="false">sheet1!avd146</f>
        <v>#NAME?</v>
      </c>
      <c r="H145" s="0" t="e">
        <f aca="false">sheet1!ave146</f>
        <v>#NAME?</v>
      </c>
      <c r="I145" s="0" t="e">
        <f aca="false">sheet1!avf146</f>
        <v>#NAME?</v>
      </c>
      <c r="J145" s="0" t="e">
        <f aca="false">sheet1!avg146</f>
        <v>#NAME?</v>
      </c>
      <c r="K145" s="0" t="e">
        <f aca="false">sheet1!avh146</f>
        <v>#NAME?</v>
      </c>
      <c r="L145" s="0" t="e">
        <f aca="false">sheet1!avi146</f>
        <v>#NAME?</v>
      </c>
      <c r="M145" s="0" t="e">
        <f aca="false">sheet1!avj146</f>
        <v>#NAME?</v>
      </c>
    </row>
    <row r="146" customFormat="false" ht="13.5" hidden="false" customHeight="false" outlineLevel="0" collapsed="false">
      <c r="A146" s="0" t="s">
        <v>97</v>
      </c>
      <c r="B146" s="1" t="n">
        <v>44006</v>
      </c>
      <c r="C146" s="0" t="e">
        <f aca="false">sheet1!auz147</f>
        <v>#NAME?</v>
      </c>
      <c r="D146" s="0" t="e">
        <f aca="false">sheet1!ava147</f>
        <v>#NAME?</v>
      </c>
      <c r="E146" s="0" t="e">
        <f aca="false">sheet1!avb147</f>
        <v>#NAME?</v>
      </c>
      <c r="F146" s="0" t="e">
        <f aca="false">sheet1!avc147</f>
        <v>#NAME?</v>
      </c>
      <c r="G146" s="0" t="e">
        <f aca="false">sheet1!avd147</f>
        <v>#NAME?</v>
      </c>
      <c r="H146" s="0" t="e">
        <f aca="false">sheet1!ave147</f>
        <v>#NAME?</v>
      </c>
      <c r="I146" s="0" t="e">
        <f aca="false">sheet1!avf147</f>
        <v>#NAME?</v>
      </c>
      <c r="J146" s="0" t="e">
        <f aca="false">sheet1!avg147</f>
        <v>#NAME?</v>
      </c>
      <c r="K146" s="0" t="e">
        <f aca="false">sheet1!avh147</f>
        <v>#NAME?</v>
      </c>
      <c r="L146" s="0" t="e">
        <f aca="false">sheet1!avi147</f>
        <v>#NAME?</v>
      </c>
      <c r="M146" s="0" t="e">
        <f aca="false">sheet1!avj147</f>
        <v>#NAME?</v>
      </c>
    </row>
    <row r="147" customFormat="false" ht="13.5" hidden="false" customHeight="false" outlineLevel="0" collapsed="false">
      <c r="A147" s="0" t="s">
        <v>97</v>
      </c>
      <c r="B147" s="1" t="n">
        <v>44007</v>
      </c>
      <c r="C147" s="0" t="e">
        <f aca="false">sheet1!auz148</f>
        <v>#NAME?</v>
      </c>
      <c r="D147" s="0" t="e">
        <f aca="false">sheet1!ava148</f>
        <v>#NAME?</v>
      </c>
      <c r="E147" s="0" t="e">
        <f aca="false">sheet1!avb148</f>
        <v>#NAME?</v>
      </c>
      <c r="F147" s="0" t="e">
        <f aca="false">sheet1!avc148</f>
        <v>#NAME?</v>
      </c>
      <c r="G147" s="0" t="e">
        <f aca="false">sheet1!avd148</f>
        <v>#NAME?</v>
      </c>
      <c r="H147" s="0" t="e">
        <f aca="false">sheet1!ave148</f>
        <v>#NAME?</v>
      </c>
      <c r="I147" s="0" t="e">
        <f aca="false">sheet1!avf148</f>
        <v>#NAME?</v>
      </c>
      <c r="J147" s="0" t="e">
        <f aca="false">sheet1!avg148</f>
        <v>#NAME?</v>
      </c>
      <c r="K147" s="0" t="e">
        <f aca="false">sheet1!avh148</f>
        <v>#NAME?</v>
      </c>
      <c r="L147" s="0" t="e">
        <f aca="false">sheet1!avi148</f>
        <v>#NAME?</v>
      </c>
      <c r="M147" s="0" t="e">
        <f aca="false">sheet1!avj148</f>
        <v>#NAME?</v>
      </c>
    </row>
    <row r="148" customFormat="false" ht="13.5" hidden="false" customHeight="false" outlineLevel="0" collapsed="false">
      <c r="A148" s="0" t="s">
        <v>97</v>
      </c>
      <c r="B148" s="1" t="n">
        <v>44008</v>
      </c>
      <c r="C148" s="0" t="e">
        <f aca="false">sheet1!auz149</f>
        <v>#NAME?</v>
      </c>
      <c r="D148" s="0" t="e">
        <f aca="false">sheet1!ava149</f>
        <v>#NAME?</v>
      </c>
      <c r="E148" s="0" t="e">
        <f aca="false">sheet1!avb149</f>
        <v>#NAME?</v>
      </c>
      <c r="F148" s="0" t="e">
        <f aca="false">sheet1!avc149</f>
        <v>#NAME?</v>
      </c>
      <c r="G148" s="0" t="e">
        <f aca="false">sheet1!avd149</f>
        <v>#NAME?</v>
      </c>
      <c r="H148" s="0" t="e">
        <f aca="false">sheet1!ave149</f>
        <v>#NAME?</v>
      </c>
      <c r="I148" s="0" t="e">
        <f aca="false">sheet1!avf149</f>
        <v>#NAME?</v>
      </c>
      <c r="J148" s="0" t="e">
        <f aca="false">sheet1!avg149</f>
        <v>#NAME?</v>
      </c>
      <c r="K148" s="0" t="e">
        <f aca="false">sheet1!avh149</f>
        <v>#NAME?</v>
      </c>
      <c r="L148" s="0" t="e">
        <f aca="false">sheet1!avi149</f>
        <v>#NAME?</v>
      </c>
      <c r="M148" s="0" t="e">
        <f aca="false">sheet1!avj149</f>
        <v>#NAME?</v>
      </c>
    </row>
    <row r="149" customFormat="false" ht="13.5" hidden="false" customHeight="false" outlineLevel="0" collapsed="false">
      <c r="A149" s="0" t="s">
        <v>97</v>
      </c>
      <c r="B149" s="1" t="n">
        <v>44009</v>
      </c>
      <c r="C149" s="0" t="e">
        <f aca="false">sheet1!auz150</f>
        <v>#NAME?</v>
      </c>
      <c r="D149" s="0" t="e">
        <f aca="false">sheet1!ava150</f>
        <v>#NAME?</v>
      </c>
      <c r="E149" s="0" t="e">
        <f aca="false">sheet1!avb150</f>
        <v>#NAME?</v>
      </c>
      <c r="F149" s="0" t="e">
        <f aca="false">sheet1!avc150</f>
        <v>#NAME?</v>
      </c>
      <c r="G149" s="0" t="e">
        <f aca="false">sheet1!avd150</f>
        <v>#NAME?</v>
      </c>
      <c r="H149" s="0" t="e">
        <f aca="false">sheet1!ave150</f>
        <v>#NAME?</v>
      </c>
      <c r="I149" s="0" t="e">
        <f aca="false">sheet1!avf150</f>
        <v>#NAME?</v>
      </c>
      <c r="J149" s="0" t="e">
        <f aca="false">sheet1!avg150</f>
        <v>#NAME?</v>
      </c>
      <c r="K149" s="0" t="e">
        <f aca="false">sheet1!avh150</f>
        <v>#NAME?</v>
      </c>
      <c r="L149" s="0" t="e">
        <f aca="false">sheet1!avi150</f>
        <v>#NAME?</v>
      </c>
      <c r="M149" s="0" t="e">
        <f aca="false">sheet1!avj150</f>
        <v>#NAME?</v>
      </c>
    </row>
    <row r="150" customFormat="false" ht="13.5" hidden="false" customHeight="false" outlineLevel="0" collapsed="false">
      <c r="A150" s="0" t="s">
        <v>97</v>
      </c>
      <c r="B150" s="1" t="n">
        <v>44010</v>
      </c>
      <c r="C150" s="0" t="e">
        <f aca="false">sheet1!auz151</f>
        <v>#NAME?</v>
      </c>
      <c r="D150" s="0" t="e">
        <f aca="false">sheet1!ava151</f>
        <v>#NAME?</v>
      </c>
      <c r="E150" s="0" t="e">
        <f aca="false">sheet1!avb151</f>
        <v>#NAME?</v>
      </c>
      <c r="F150" s="0" t="e">
        <f aca="false">sheet1!avc151</f>
        <v>#NAME?</v>
      </c>
      <c r="G150" s="0" t="e">
        <f aca="false">sheet1!avd151</f>
        <v>#NAME?</v>
      </c>
      <c r="H150" s="0" t="e">
        <f aca="false">sheet1!ave151</f>
        <v>#NAME?</v>
      </c>
      <c r="I150" s="0" t="e">
        <f aca="false">sheet1!avf151</f>
        <v>#NAME?</v>
      </c>
      <c r="J150" s="0" t="e">
        <f aca="false">sheet1!avg151</f>
        <v>#NAME?</v>
      </c>
      <c r="K150" s="0" t="e">
        <f aca="false">sheet1!avh151</f>
        <v>#NAME?</v>
      </c>
      <c r="L150" s="0" t="e">
        <f aca="false">sheet1!avi151</f>
        <v>#NAME?</v>
      </c>
      <c r="M150" s="0" t="e">
        <f aca="false">sheet1!avj151</f>
        <v>#NAME?</v>
      </c>
    </row>
    <row r="151" customFormat="false" ht="13.5" hidden="false" customHeight="false" outlineLevel="0" collapsed="false">
      <c r="A151" s="0" t="s">
        <v>97</v>
      </c>
      <c r="B151" s="1" t="n">
        <v>44011</v>
      </c>
      <c r="C151" s="0" t="e">
        <f aca="false">sheet1!auz152</f>
        <v>#NAME?</v>
      </c>
      <c r="D151" s="0" t="e">
        <f aca="false">sheet1!ava152</f>
        <v>#NAME?</v>
      </c>
      <c r="E151" s="0" t="e">
        <f aca="false">sheet1!avb152</f>
        <v>#NAME?</v>
      </c>
      <c r="F151" s="0" t="e">
        <f aca="false">sheet1!avc152</f>
        <v>#NAME?</v>
      </c>
      <c r="G151" s="0" t="e">
        <f aca="false">sheet1!avd152</f>
        <v>#NAME?</v>
      </c>
      <c r="H151" s="0" t="e">
        <f aca="false">sheet1!ave152</f>
        <v>#NAME?</v>
      </c>
      <c r="I151" s="0" t="e">
        <f aca="false">sheet1!avf152</f>
        <v>#NAME?</v>
      </c>
      <c r="J151" s="0" t="e">
        <f aca="false">sheet1!avg152</f>
        <v>#NAME?</v>
      </c>
      <c r="K151" s="0" t="e">
        <f aca="false">sheet1!avh152</f>
        <v>#NAME?</v>
      </c>
      <c r="L151" s="0" t="e">
        <f aca="false">sheet1!avi152</f>
        <v>#NAME?</v>
      </c>
      <c r="M151" s="0" t="e">
        <f aca="false">sheet1!avj152</f>
        <v>#NAME?</v>
      </c>
    </row>
    <row r="152" customFormat="false" ht="13.5" hidden="false" customHeight="false" outlineLevel="0" collapsed="false">
      <c r="A152" s="0" t="s">
        <v>97</v>
      </c>
      <c r="B152" s="1" t="n">
        <v>44012</v>
      </c>
      <c r="C152" s="0" t="e">
        <f aca="false">sheet1!auz153</f>
        <v>#NAME?</v>
      </c>
      <c r="D152" s="0" t="e">
        <f aca="false">sheet1!ava153</f>
        <v>#NAME?</v>
      </c>
      <c r="E152" s="0" t="e">
        <f aca="false">sheet1!avb153</f>
        <v>#NAME?</v>
      </c>
      <c r="F152" s="0" t="e">
        <f aca="false">sheet1!avc153</f>
        <v>#NAME?</v>
      </c>
      <c r="G152" s="0" t="e">
        <f aca="false">sheet1!avd153</f>
        <v>#NAME?</v>
      </c>
      <c r="H152" s="0" t="e">
        <f aca="false">sheet1!ave153</f>
        <v>#NAME?</v>
      </c>
      <c r="I152" s="0" t="e">
        <f aca="false">sheet1!avf153</f>
        <v>#NAME?</v>
      </c>
      <c r="J152" s="0" t="e">
        <f aca="false">sheet1!avg153</f>
        <v>#NAME?</v>
      </c>
      <c r="K152" s="0" t="e">
        <f aca="false">sheet1!avh153</f>
        <v>#NAME?</v>
      </c>
      <c r="L152" s="0" t="e">
        <f aca="false">sheet1!avi153</f>
        <v>#NAME?</v>
      </c>
      <c r="M152" s="0" t="e">
        <f aca="false">sheet1!avj153</f>
        <v>#NAME?</v>
      </c>
    </row>
    <row r="153" customFormat="false" ht="13.5" hidden="false" customHeight="false" outlineLevel="0" collapsed="false">
      <c r="A153" s="0" t="s">
        <v>97</v>
      </c>
      <c r="B153" s="1" t="n">
        <v>44013</v>
      </c>
      <c r="C153" s="0" t="e">
        <f aca="false">sheet1!auz154</f>
        <v>#NAME?</v>
      </c>
      <c r="D153" s="0" t="e">
        <f aca="false">sheet1!ava154</f>
        <v>#NAME?</v>
      </c>
      <c r="E153" s="0" t="e">
        <f aca="false">sheet1!avb154</f>
        <v>#NAME?</v>
      </c>
      <c r="F153" s="0" t="e">
        <f aca="false">sheet1!avc154</f>
        <v>#NAME?</v>
      </c>
      <c r="G153" s="0" t="e">
        <f aca="false">sheet1!avd154</f>
        <v>#NAME?</v>
      </c>
      <c r="H153" s="0" t="e">
        <f aca="false">sheet1!ave154</f>
        <v>#NAME?</v>
      </c>
      <c r="I153" s="0" t="e">
        <f aca="false">sheet1!avf154</f>
        <v>#NAME?</v>
      </c>
      <c r="J153" s="0" t="e">
        <f aca="false">sheet1!avg154</f>
        <v>#NAME?</v>
      </c>
      <c r="K153" s="0" t="e">
        <f aca="false">sheet1!avh154</f>
        <v>#NAME?</v>
      </c>
      <c r="L153" s="0" t="e">
        <f aca="false">sheet1!avi154</f>
        <v>#NAME?</v>
      </c>
      <c r="M153" s="0" t="e">
        <f aca="false">sheet1!avj154</f>
        <v>#NAME?</v>
      </c>
    </row>
    <row r="154" customFormat="false" ht="13.5" hidden="false" customHeight="false" outlineLevel="0" collapsed="false">
      <c r="A154" s="0" t="s">
        <v>97</v>
      </c>
      <c r="B154" s="1" t="n">
        <v>44014</v>
      </c>
      <c r="C154" s="0" t="e">
        <f aca="false">sheet1!auz155</f>
        <v>#NAME?</v>
      </c>
      <c r="D154" s="0" t="e">
        <f aca="false">sheet1!ava155</f>
        <v>#NAME?</v>
      </c>
      <c r="E154" s="0" t="e">
        <f aca="false">sheet1!avb155</f>
        <v>#NAME?</v>
      </c>
      <c r="F154" s="0" t="e">
        <f aca="false">sheet1!avc155</f>
        <v>#NAME?</v>
      </c>
      <c r="G154" s="0" t="e">
        <f aca="false">sheet1!avd155</f>
        <v>#NAME?</v>
      </c>
      <c r="H154" s="0" t="e">
        <f aca="false">sheet1!ave155</f>
        <v>#NAME?</v>
      </c>
      <c r="I154" s="0" t="e">
        <f aca="false">sheet1!avf155</f>
        <v>#NAME?</v>
      </c>
      <c r="J154" s="0" t="e">
        <f aca="false">sheet1!avg155</f>
        <v>#NAME?</v>
      </c>
      <c r="K154" s="0" t="e">
        <f aca="false">sheet1!avh155</f>
        <v>#NAME?</v>
      </c>
      <c r="L154" s="0" t="e">
        <f aca="false">sheet1!avi155</f>
        <v>#NAME?</v>
      </c>
      <c r="M154" s="0" t="e">
        <f aca="false">sheet1!avj155</f>
        <v>#NAME?</v>
      </c>
    </row>
    <row r="155" customFormat="false" ht="13.5" hidden="false" customHeight="false" outlineLevel="0" collapsed="false">
      <c r="A155" s="0" t="s">
        <v>97</v>
      </c>
      <c r="B155" s="1" t="n">
        <v>44015</v>
      </c>
      <c r="C155" s="0" t="e">
        <f aca="false">sheet1!auz156</f>
        <v>#NAME?</v>
      </c>
      <c r="D155" s="0" t="e">
        <f aca="false">sheet1!ava156</f>
        <v>#NAME?</v>
      </c>
      <c r="E155" s="0" t="e">
        <f aca="false">sheet1!avb156</f>
        <v>#NAME?</v>
      </c>
      <c r="F155" s="0" t="e">
        <f aca="false">sheet1!avc156</f>
        <v>#NAME?</v>
      </c>
      <c r="G155" s="0" t="e">
        <f aca="false">sheet1!avd156</f>
        <v>#NAME?</v>
      </c>
      <c r="H155" s="0" t="e">
        <f aca="false">sheet1!ave156</f>
        <v>#NAME?</v>
      </c>
      <c r="I155" s="0" t="e">
        <f aca="false">sheet1!avf156</f>
        <v>#NAME?</v>
      </c>
      <c r="J155" s="0" t="e">
        <f aca="false">sheet1!avg156</f>
        <v>#NAME?</v>
      </c>
      <c r="K155" s="0" t="e">
        <f aca="false">sheet1!avh156</f>
        <v>#NAME?</v>
      </c>
      <c r="L155" s="0" t="e">
        <f aca="false">sheet1!avi156</f>
        <v>#NAME?</v>
      </c>
      <c r="M155" s="0" t="e">
        <f aca="false">sheet1!avj156</f>
        <v>#NAME?</v>
      </c>
    </row>
    <row r="156" customFormat="false" ht="13.5" hidden="false" customHeight="false" outlineLevel="0" collapsed="false">
      <c r="A156" s="0" t="s">
        <v>97</v>
      </c>
      <c r="B156" s="1" t="n">
        <v>44016</v>
      </c>
      <c r="C156" s="0" t="e">
        <f aca="false">sheet1!auz157</f>
        <v>#NAME?</v>
      </c>
      <c r="D156" s="0" t="e">
        <f aca="false">sheet1!ava157</f>
        <v>#NAME?</v>
      </c>
      <c r="E156" s="0" t="e">
        <f aca="false">sheet1!avb157</f>
        <v>#NAME?</v>
      </c>
      <c r="F156" s="0" t="e">
        <f aca="false">sheet1!avc157</f>
        <v>#NAME?</v>
      </c>
      <c r="G156" s="0" t="e">
        <f aca="false">sheet1!avd157</f>
        <v>#NAME?</v>
      </c>
      <c r="H156" s="0" t="e">
        <f aca="false">sheet1!ave157</f>
        <v>#NAME?</v>
      </c>
      <c r="I156" s="0" t="e">
        <f aca="false">sheet1!avf157</f>
        <v>#NAME?</v>
      </c>
      <c r="J156" s="0" t="e">
        <f aca="false">sheet1!avg157</f>
        <v>#NAME?</v>
      </c>
      <c r="K156" s="0" t="e">
        <f aca="false">sheet1!avh157</f>
        <v>#NAME?</v>
      </c>
      <c r="L156" s="0" t="e">
        <f aca="false">sheet1!avi157</f>
        <v>#NAME?</v>
      </c>
      <c r="M156" s="0" t="e">
        <f aca="false">sheet1!avj157</f>
        <v>#NAME?</v>
      </c>
    </row>
    <row r="157" customFormat="false" ht="13.5" hidden="false" customHeight="false" outlineLevel="0" collapsed="false">
      <c r="A157" s="0" t="s">
        <v>97</v>
      </c>
      <c r="B157" s="1" t="n">
        <v>44017</v>
      </c>
      <c r="C157" s="0" t="e">
        <f aca="false">sheet1!auz158</f>
        <v>#NAME?</v>
      </c>
      <c r="D157" s="0" t="e">
        <f aca="false">sheet1!ava158</f>
        <v>#NAME?</v>
      </c>
      <c r="E157" s="0" t="e">
        <f aca="false">sheet1!avb158</f>
        <v>#NAME?</v>
      </c>
      <c r="F157" s="0" t="e">
        <f aca="false">sheet1!avc158</f>
        <v>#NAME?</v>
      </c>
      <c r="G157" s="0" t="e">
        <f aca="false">sheet1!avd158</f>
        <v>#NAME?</v>
      </c>
      <c r="H157" s="0" t="e">
        <f aca="false">sheet1!ave158</f>
        <v>#NAME?</v>
      </c>
      <c r="I157" s="0" t="e">
        <f aca="false">sheet1!avf158</f>
        <v>#NAME?</v>
      </c>
      <c r="J157" s="0" t="e">
        <f aca="false">sheet1!avg158</f>
        <v>#NAME?</v>
      </c>
      <c r="K157" s="0" t="e">
        <f aca="false">sheet1!avh158</f>
        <v>#NAME?</v>
      </c>
      <c r="L157" s="0" t="e">
        <f aca="false">sheet1!avi158</f>
        <v>#NAME?</v>
      </c>
      <c r="M157" s="0" t="e">
        <f aca="false">sheet1!avj158</f>
        <v>#NAME?</v>
      </c>
    </row>
    <row r="158" customFormat="false" ht="13.5" hidden="false" customHeight="false" outlineLevel="0" collapsed="false">
      <c r="A158" s="0" t="s">
        <v>97</v>
      </c>
      <c r="B158" s="1" t="n">
        <v>44018</v>
      </c>
      <c r="C158" s="0" t="e">
        <f aca="false">sheet1!auz159</f>
        <v>#NAME?</v>
      </c>
      <c r="D158" s="0" t="e">
        <f aca="false">sheet1!ava159</f>
        <v>#NAME?</v>
      </c>
      <c r="E158" s="0" t="e">
        <f aca="false">sheet1!avb159</f>
        <v>#NAME?</v>
      </c>
      <c r="F158" s="0" t="e">
        <f aca="false">sheet1!avc159</f>
        <v>#NAME?</v>
      </c>
      <c r="G158" s="0" t="e">
        <f aca="false">sheet1!avd159</f>
        <v>#NAME?</v>
      </c>
      <c r="H158" s="0" t="e">
        <f aca="false">sheet1!ave159</f>
        <v>#NAME?</v>
      </c>
      <c r="I158" s="0" t="e">
        <f aca="false">sheet1!avf159</f>
        <v>#NAME?</v>
      </c>
      <c r="J158" s="0" t="e">
        <f aca="false">sheet1!avg159</f>
        <v>#NAME?</v>
      </c>
      <c r="K158" s="0" t="e">
        <f aca="false">sheet1!avh159</f>
        <v>#NAME?</v>
      </c>
      <c r="L158" s="0" t="e">
        <f aca="false">sheet1!avi159</f>
        <v>#NAME?</v>
      </c>
      <c r="M158" s="0" t="e">
        <f aca="false">sheet1!avj159</f>
        <v>#NAME?</v>
      </c>
    </row>
    <row r="159" customFormat="false" ht="13.5" hidden="false" customHeight="false" outlineLevel="0" collapsed="false">
      <c r="A159" s="0" t="s">
        <v>97</v>
      </c>
      <c r="B159" s="1" t="n">
        <v>44019</v>
      </c>
      <c r="C159" s="0" t="e">
        <f aca="false">sheet1!auz160</f>
        <v>#NAME?</v>
      </c>
      <c r="D159" s="0" t="e">
        <f aca="false">sheet1!ava160</f>
        <v>#NAME?</v>
      </c>
      <c r="E159" s="0" t="e">
        <f aca="false">sheet1!avb160</f>
        <v>#NAME?</v>
      </c>
      <c r="F159" s="0" t="e">
        <f aca="false">sheet1!avc160</f>
        <v>#NAME?</v>
      </c>
      <c r="G159" s="0" t="e">
        <f aca="false">sheet1!avd160</f>
        <v>#NAME?</v>
      </c>
      <c r="H159" s="0" t="e">
        <f aca="false">sheet1!ave160</f>
        <v>#NAME?</v>
      </c>
      <c r="I159" s="0" t="e">
        <f aca="false">sheet1!avf160</f>
        <v>#NAME?</v>
      </c>
      <c r="J159" s="0" t="e">
        <f aca="false">sheet1!avg160</f>
        <v>#NAME?</v>
      </c>
      <c r="K159" s="0" t="e">
        <f aca="false">sheet1!avh160</f>
        <v>#NAME?</v>
      </c>
      <c r="L159" s="0" t="e">
        <f aca="false">sheet1!avi160</f>
        <v>#NAME?</v>
      </c>
      <c r="M159" s="0" t="e">
        <f aca="false">sheet1!avj160</f>
        <v>#NAME?</v>
      </c>
    </row>
    <row r="160" customFormat="false" ht="13.5" hidden="false" customHeight="false" outlineLevel="0" collapsed="false">
      <c r="A160" s="0" t="s">
        <v>97</v>
      </c>
      <c r="B160" s="1" t="n">
        <v>44020</v>
      </c>
      <c r="C160" s="0" t="e">
        <f aca="false">sheet1!auz161</f>
        <v>#NAME?</v>
      </c>
      <c r="D160" s="0" t="e">
        <f aca="false">sheet1!ava161</f>
        <v>#NAME?</v>
      </c>
      <c r="E160" s="0" t="e">
        <f aca="false">sheet1!avb161</f>
        <v>#NAME?</v>
      </c>
      <c r="F160" s="0" t="e">
        <f aca="false">sheet1!avc161</f>
        <v>#NAME?</v>
      </c>
      <c r="G160" s="0" t="e">
        <f aca="false">sheet1!avd161</f>
        <v>#NAME?</v>
      </c>
      <c r="H160" s="0" t="e">
        <f aca="false">sheet1!ave161</f>
        <v>#NAME?</v>
      </c>
      <c r="I160" s="0" t="e">
        <f aca="false">sheet1!avf161</f>
        <v>#NAME?</v>
      </c>
      <c r="J160" s="0" t="e">
        <f aca="false">sheet1!avg161</f>
        <v>#NAME?</v>
      </c>
      <c r="K160" s="0" t="e">
        <f aca="false">sheet1!avh161</f>
        <v>#NAME?</v>
      </c>
      <c r="L160" s="0" t="e">
        <f aca="false">sheet1!avi161</f>
        <v>#NAME?</v>
      </c>
      <c r="M160" s="0" t="e">
        <f aca="false">sheet1!avj161</f>
        <v>#NAME?</v>
      </c>
    </row>
    <row r="161" customFormat="false" ht="13.5" hidden="false" customHeight="false" outlineLevel="0" collapsed="false">
      <c r="A161" s="0" t="s">
        <v>97</v>
      </c>
      <c r="B161" s="1" t="n">
        <v>44021</v>
      </c>
      <c r="C161" s="0" t="e">
        <f aca="false">sheet1!auz162</f>
        <v>#NAME?</v>
      </c>
      <c r="D161" s="0" t="e">
        <f aca="false">sheet1!ava162</f>
        <v>#NAME?</v>
      </c>
      <c r="E161" s="0" t="e">
        <f aca="false">sheet1!avb162</f>
        <v>#NAME?</v>
      </c>
      <c r="F161" s="0" t="e">
        <f aca="false">sheet1!avc162</f>
        <v>#NAME?</v>
      </c>
      <c r="G161" s="0" t="e">
        <f aca="false">sheet1!avd162</f>
        <v>#NAME?</v>
      </c>
      <c r="H161" s="0" t="e">
        <f aca="false">sheet1!ave162</f>
        <v>#NAME?</v>
      </c>
      <c r="I161" s="0" t="e">
        <f aca="false">sheet1!avf162</f>
        <v>#NAME?</v>
      </c>
      <c r="J161" s="0" t="e">
        <f aca="false">sheet1!avg162</f>
        <v>#NAME?</v>
      </c>
      <c r="K161" s="0" t="e">
        <f aca="false">sheet1!avh162</f>
        <v>#NAME?</v>
      </c>
      <c r="L161" s="0" t="e">
        <f aca="false">sheet1!avi162</f>
        <v>#NAME?</v>
      </c>
      <c r="M161" s="0" t="e">
        <f aca="false">sheet1!avj162</f>
        <v>#NAME?</v>
      </c>
    </row>
    <row r="162" customFormat="false" ht="13.5" hidden="false" customHeight="false" outlineLevel="0" collapsed="false">
      <c r="A162" s="0" t="s">
        <v>97</v>
      </c>
      <c r="B162" s="1" t="n">
        <v>44022</v>
      </c>
      <c r="C162" s="0" t="e">
        <f aca="false">sheet1!auz163</f>
        <v>#NAME?</v>
      </c>
      <c r="D162" s="0" t="e">
        <f aca="false">sheet1!ava163</f>
        <v>#NAME?</v>
      </c>
      <c r="E162" s="0" t="e">
        <f aca="false">sheet1!avb163</f>
        <v>#NAME?</v>
      </c>
      <c r="F162" s="0" t="e">
        <f aca="false">sheet1!avc163</f>
        <v>#NAME?</v>
      </c>
      <c r="G162" s="0" t="e">
        <f aca="false">sheet1!avd163</f>
        <v>#NAME?</v>
      </c>
      <c r="H162" s="0" t="e">
        <f aca="false">sheet1!ave163</f>
        <v>#NAME?</v>
      </c>
      <c r="I162" s="0" t="e">
        <f aca="false">sheet1!avf163</f>
        <v>#NAME?</v>
      </c>
      <c r="J162" s="0" t="e">
        <f aca="false">sheet1!avg163</f>
        <v>#NAME?</v>
      </c>
      <c r="K162" s="0" t="e">
        <f aca="false">sheet1!avh163</f>
        <v>#NAME?</v>
      </c>
      <c r="L162" s="0" t="e">
        <f aca="false">sheet1!avi163</f>
        <v>#NAME?</v>
      </c>
      <c r="M162" s="0" t="e">
        <f aca="false">sheet1!avj163</f>
        <v>#NAME?</v>
      </c>
    </row>
    <row r="163" customFormat="false" ht="13.5" hidden="false" customHeight="false" outlineLevel="0" collapsed="false">
      <c r="A163" s="0" t="s">
        <v>97</v>
      </c>
      <c r="B163" s="1" t="n">
        <v>44023</v>
      </c>
      <c r="C163" s="0" t="e">
        <f aca="false">sheet1!auz164</f>
        <v>#NAME?</v>
      </c>
      <c r="D163" s="0" t="e">
        <f aca="false">sheet1!ava164</f>
        <v>#NAME?</v>
      </c>
      <c r="E163" s="0" t="e">
        <f aca="false">sheet1!avb164</f>
        <v>#NAME?</v>
      </c>
      <c r="F163" s="0" t="e">
        <f aca="false">sheet1!avc164</f>
        <v>#NAME?</v>
      </c>
      <c r="G163" s="0" t="e">
        <f aca="false">sheet1!avd164</f>
        <v>#NAME?</v>
      </c>
      <c r="H163" s="0" t="e">
        <f aca="false">sheet1!ave164</f>
        <v>#NAME?</v>
      </c>
      <c r="I163" s="0" t="e">
        <f aca="false">sheet1!avf164</f>
        <v>#NAME?</v>
      </c>
      <c r="J163" s="0" t="e">
        <f aca="false">sheet1!avg164</f>
        <v>#NAME?</v>
      </c>
      <c r="K163" s="0" t="e">
        <f aca="false">sheet1!avh164</f>
        <v>#NAME?</v>
      </c>
      <c r="L163" s="0" t="e">
        <f aca="false">sheet1!avi164</f>
        <v>#NAME?</v>
      </c>
      <c r="M163" s="0" t="e">
        <f aca="false">sheet1!avj164</f>
        <v>#NAME?</v>
      </c>
    </row>
    <row r="164" customFormat="false" ht="13.5" hidden="false" customHeight="false" outlineLevel="0" collapsed="false">
      <c r="A164" s="0" t="s">
        <v>97</v>
      </c>
      <c r="B164" s="1" t="n">
        <v>44024</v>
      </c>
      <c r="C164" s="0" t="e">
        <f aca="false">sheet1!auz165</f>
        <v>#NAME?</v>
      </c>
      <c r="D164" s="0" t="e">
        <f aca="false">sheet1!ava165</f>
        <v>#NAME?</v>
      </c>
      <c r="E164" s="0" t="e">
        <f aca="false">sheet1!avb165</f>
        <v>#NAME?</v>
      </c>
      <c r="F164" s="0" t="e">
        <f aca="false">sheet1!avc165</f>
        <v>#NAME?</v>
      </c>
      <c r="G164" s="0" t="e">
        <f aca="false">sheet1!avd165</f>
        <v>#NAME?</v>
      </c>
      <c r="H164" s="0" t="e">
        <f aca="false">sheet1!ave165</f>
        <v>#NAME?</v>
      </c>
      <c r="I164" s="0" t="e">
        <f aca="false">sheet1!avf165</f>
        <v>#NAME?</v>
      </c>
      <c r="J164" s="0" t="e">
        <f aca="false">sheet1!avg165</f>
        <v>#NAME?</v>
      </c>
      <c r="K164" s="0" t="e">
        <f aca="false">sheet1!avh165</f>
        <v>#NAME?</v>
      </c>
      <c r="L164" s="0" t="e">
        <f aca="false">sheet1!avi165</f>
        <v>#NAME?</v>
      </c>
      <c r="M164" s="0" t="e">
        <f aca="false">sheet1!avj165</f>
        <v>#NAME?</v>
      </c>
    </row>
    <row r="165" customFormat="false" ht="13.5" hidden="false" customHeight="false" outlineLevel="0" collapsed="false">
      <c r="A165" s="0" t="s">
        <v>97</v>
      </c>
      <c r="B165" s="1" t="n">
        <v>44025</v>
      </c>
      <c r="C165" s="0" t="e">
        <f aca="false">sheet1!auz166</f>
        <v>#NAME?</v>
      </c>
      <c r="D165" s="0" t="e">
        <f aca="false">sheet1!ava166</f>
        <v>#NAME?</v>
      </c>
      <c r="E165" s="0" t="e">
        <f aca="false">sheet1!avb166</f>
        <v>#NAME?</v>
      </c>
      <c r="F165" s="0" t="e">
        <f aca="false">sheet1!avc166</f>
        <v>#NAME?</v>
      </c>
      <c r="G165" s="0" t="e">
        <f aca="false">sheet1!avd166</f>
        <v>#NAME?</v>
      </c>
      <c r="H165" s="0" t="e">
        <f aca="false">sheet1!ave166</f>
        <v>#NAME?</v>
      </c>
      <c r="I165" s="0" t="e">
        <f aca="false">sheet1!avf166</f>
        <v>#NAME?</v>
      </c>
      <c r="J165" s="0" t="e">
        <f aca="false">sheet1!avg166</f>
        <v>#NAME?</v>
      </c>
      <c r="K165" s="0" t="e">
        <f aca="false">sheet1!avh166</f>
        <v>#NAME?</v>
      </c>
      <c r="L165" s="0" t="e">
        <f aca="false">sheet1!avi166</f>
        <v>#NAME?</v>
      </c>
      <c r="M165" s="0" t="e">
        <f aca="false">sheet1!avj166</f>
        <v>#NAME?</v>
      </c>
    </row>
    <row r="166" customFormat="false" ht="13.5" hidden="false" customHeight="false" outlineLevel="0" collapsed="false">
      <c r="A166" s="0" t="s">
        <v>97</v>
      </c>
      <c r="B166" s="1" t="n">
        <v>44026</v>
      </c>
      <c r="C166" s="0" t="e">
        <f aca="false">sheet1!auz167</f>
        <v>#NAME?</v>
      </c>
      <c r="D166" s="0" t="e">
        <f aca="false">sheet1!ava167</f>
        <v>#NAME?</v>
      </c>
      <c r="E166" s="0" t="e">
        <f aca="false">sheet1!avb167</f>
        <v>#NAME?</v>
      </c>
      <c r="F166" s="0" t="e">
        <f aca="false">sheet1!avc167</f>
        <v>#NAME?</v>
      </c>
      <c r="G166" s="0" t="e">
        <f aca="false">sheet1!avd167</f>
        <v>#NAME?</v>
      </c>
      <c r="H166" s="0" t="e">
        <f aca="false">sheet1!ave167</f>
        <v>#NAME?</v>
      </c>
      <c r="I166" s="0" t="e">
        <f aca="false">sheet1!avf167</f>
        <v>#NAME?</v>
      </c>
      <c r="J166" s="0" t="e">
        <f aca="false">sheet1!avg167</f>
        <v>#NAME?</v>
      </c>
      <c r="K166" s="0" t="e">
        <f aca="false">sheet1!avh167</f>
        <v>#NAME?</v>
      </c>
      <c r="L166" s="0" t="e">
        <f aca="false">sheet1!avi167</f>
        <v>#NAME?</v>
      </c>
      <c r="M166" s="0" t="e">
        <f aca="false">sheet1!avj167</f>
        <v>#NAME?</v>
      </c>
    </row>
    <row r="167" customFormat="false" ht="13.5" hidden="false" customHeight="false" outlineLevel="0" collapsed="false">
      <c r="A167" s="0" t="s">
        <v>97</v>
      </c>
      <c r="B167" s="1" t="n">
        <v>44027</v>
      </c>
      <c r="C167" s="0" t="e">
        <f aca="false">sheet1!auz168</f>
        <v>#NAME?</v>
      </c>
      <c r="D167" s="0" t="e">
        <f aca="false">sheet1!ava168</f>
        <v>#NAME?</v>
      </c>
      <c r="E167" s="0" t="e">
        <f aca="false">sheet1!avb168</f>
        <v>#NAME?</v>
      </c>
      <c r="F167" s="0" t="e">
        <f aca="false">sheet1!avc168</f>
        <v>#NAME?</v>
      </c>
      <c r="G167" s="0" t="e">
        <f aca="false">sheet1!avd168</f>
        <v>#NAME?</v>
      </c>
      <c r="H167" s="0" t="e">
        <f aca="false">sheet1!ave168</f>
        <v>#NAME?</v>
      </c>
      <c r="I167" s="0" t="e">
        <f aca="false">sheet1!avf168</f>
        <v>#NAME?</v>
      </c>
      <c r="J167" s="0" t="e">
        <f aca="false">sheet1!avg168</f>
        <v>#NAME?</v>
      </c>
      <c r="K167" s="0" t="e">
        <f aca="false">sheet1!avh168</f>
        <v>#NAME?</v>
      </c>
      <c r="L167" s="0" t="e">
        <f aca="false">sheet1!avi168</f>
        <v>#NAME?</v>
      </c>
      <c r="M167" s="0" t="e">
        <f aca="false">sheet1!avj168</f>
        <v>#NAME?</v>
      </c>
    </row>
    <row r="168" customFormat="false" ht="13.5" hidden="false" customHeight="false" outlineLevel="0" collapsed="false">
      <c r="A168" s="0" t="s">
        <v>97</v>
      </c>
      <c r="B168" s="1" t="n">
        <v>44028</v>
      </c>
      <c r="C168" s="0" t="e">
        <f aca="false">sheet1!auz169</f>
        <v>#NAME?</v>
      </c>
      <c r="D168" s="0" t="e">
        <f aca="false">sheet1!ava169</f>
        <v>#NAME?</v>
      </c>
      <c r="E168" s="0" t="e">
        <f aca="false">sheet1!avb169</f>
        <v>#NAME?</v>
      </c>
      <c r="F168" s="0" t="e">
        <f aca="false">sheet1!avc169</f>
        <v>#NAME?</v>
      </c>
      <c r="G168" s="0" t="e">
        <f aca="false">sheet1!avd169</f>
        <v>#NAME?</v>
      </c>
      <c r="H168" s="0" t="e">
        <f aca="false">sheet1!ave169</f>
        <v>#NAME?</v>
      </c>
      <c r="I168" s="0" t="e">
        <f aca="false">sheet1!avf169</f>
        <v>#NAME?</v>
      </c>
      <c r="J168" s="0" t="e">
        <f aca="false">sheet1!avg169</f>
        <v>#NAME?</v>
      </c>
      <c r="K168" s="0" t="e">
        <f aca="false">sheet1!avh169</f>
        <v>#NAME?</v>
      </c>
      <c r="L168" s="0" t="e">
        <f aca="false">sheet1!avi169</f>
        <v>#NAME?</v>
      </c>
      <c r="M168" s="0" t="e">
        <f aca="false">sheet1!avj169</f>
        <v>#NAME?</v>
      </c>
    </row>
    <row r="169" customFormat="false" ht="13.5" hidden="false" customHeight="false" outlineLevel="0" collapsed="false">
      <c r="A169" s="0" t="s">
        <v>97</v>
      </c>
      <c r="B169" s="1" t="n">
        <v>44029</v>
      </c>
      <c r="C169" s="0" t="e">
        <f aca="false">sheet1!auz170</f>
        <v>#NAME?</v>
      </c>
      <c r="D169" s="0" t="e">
        <f aca="false">sheet1!ava170</f>
        <v>#NAME?</v>
      </c>
      <c r="E169" s="0" t="e">
        <f aca="false">sheet1!avb170</f>
        <v>#NAME?</v>
      </c>
      <c r="F169" s="0" t="e">
        <f aca="false">sheet1!avc170</f>
        <v>#NAME?</v>
      </c>
      <c r="G169" s="0" t="e">
        <f aca="false">sheet1!avd170</f>
        <v>#NAME?</v>
      </c>
      <c r="H169" s="0" t="e">
        <f aca="false">sheet1!ave170</f>
        <v>#NAME?</v>
      </c>
      <c r="I169" s="0" t="e">
        <f aca="false">sheet1!avf170</f>
        <v>#NAME?</v>
      </c>
      <c r="J169" s="0" t="e">
        <f aca="false">sheet1!avg170</f>
        <v>#NAME?</v>
      </c>
      <c r="K169" s="0" t="e">
        <f aca="false">sheet1!avh170</f>
        <v>#NAME?</v>
      </c>
      <c r="L169" s="0" t="e">
        <f aca="false">sheet1!avi170</f>
        <v>#NAME?</v>
      </c>
      <c r="M169" s="0" t="e">
        <f aca="false">sheet1!avj170</f>
        <v>#NAME?</v>
      </c>
    </row>
    <row r="170" customFormat="false" ht="13.5" hidden="false" customHeight="false" outlineLevel="0" collapsed="false">
      <c r="A170" s="0" t="s">
        <v>97</v>
      </c>
      <c r="B170" s="1" t="n">
        <v>44030</v>
      </c>
      <c r="C170" s="0" t="e">
        <f aca="false">sheet1!auz171</f>
        <v>#NAME?</v>
      </c>
      <c r="D170" s="0" t="e">
        <f aca="false">sheet1!ava171</f>
        <v>#NAME?</v>
      </c>
      <c r="E170" s="0" t="e">
        <f aca="false">sheet1!avb171</f>
        <v>#NAME?</v>
      </c>
      <c r="F170" s="0" t="e">
        <f aca="false">sheet1!avc171</f>
        <v>#NAME?</v>
      </c>
      <c r="G170" s="0" t="e">
        <f aca="false">sheet1!avd171</f>
        <v>#NAME?</v>
      </c>
      <c r="H170" s="0" t="e">
        <f aca="false">sheet1!ave171</f>
        <v>#NAME?</v>
      </c>
      <c r="I170" s="0" t="e">
        <f aca="false">sheet1!avf171</f>
        <v>#NAME?</v>
      </c>
      <c r="J170" s="0" t="e">
        <f aca="false">sheet1!avg171</f>
        <v>#NAME?</v>
      </c>
      <c r="K170" s="0" t="e">
        <f aca="false">sheet1!avh171</f>
        <v>#NAME?</v>
      </c>
      <c r="L170" s="0" t="e">
        <f aca="false">sheet1!avi171</f>
        <v>#NAME?</v>
      </c>
      <c r="M170" s="0" t="e">
        <f aca="false">sheet1!avj171</f>
        <v>#NAME?</v>
      </c>
    </row>
    <row r="171" customFormat="false" ht="13.5" hidden="false" customHeight="false" outlineLevel="0" collapsed="false">
      <c r="A171" s="0" t="s">
        <v>97</v>
      </c>
      <c r="B171" s="1" t="n">
        <v>44031</v>
      </c>
      <c r="C171" s="0" t="e">
        <f aca="false">sheet1!auz172</f>
        <v>#NAME?</v>
      </c>
      <c r="D171" s="0" t="e">
        <f aca="false">sheet1!ava172</f>
        <v>#NAME?</v>
      </c>
      <c r="E171" s="0" t="e">
        <f aca="false">sheet1!avb172</f>
        <v>#NAME?</v>
      </c>
      <c r="F171" s="0" t="e">
        <f aca="false">sheet1!avc172</f>
        <v>#NAME?</v>
      </c>
      <c r="G171" s="0" t="e">
        <f aca="false">sheet1!avd172</f>
        <v>#NAME?</v>
      </c>
      <c r="H171" s="0" t="e">
        <f aca="false">sheet1!ave172</f>
        <v>#NAME?</v>
      </c>
      <c r="I171" s="0" t="e">
        <f aca="false">sheet1!avf172</f>
        <v>#NAME?</v>
      </c>
      <c r="J171" s="0" t="e">
        <f aca="false">sheet1!avg172</f>
        <v>#NAME?</v>
      </c>
      <c r="K171" s="0" t="e">
        <f aca="false">sheet1!avh172</f>
        <v>#NAME?</v>
      </c>
      <c r="L171" s="0" t="e">
        <f aca="false">sheet1!avi172</f>
        <v>#NAME?</v>
      </c>
      <c r="M171" s="0" t="e">
        <f aca="false">sheet1!avj172</f>
        <v>#NAME?</v>
      </c>
    </row>
    <row r="172" customFormat="false" ht="13.5" hidden="false" customHeight="false" outlineLevel="0" collapsed="false">
      <c r="A172" s="0" t="s">
        <v>97</v>
      </c>
      <c r="B172" s="1" t="n">
        <v>44032</v>
      </c>
      <c r="C172" s="0" t="e">
        <f aca="false">sheet1!auz173</f>
        <v>#NAME?</v>
      </c>
      <c r="D172" s="0" t="e">
        <f aca="false">sheet1!ava173</f>
        <v>#NAME?</v>
      </c>
      <c r="E172" s="0" t="e">
        <f aca="false">sheet1!avb173</f>
        <v>#NAME?</v>
      </c>
      <c r="F172" s="0" t="e">
        <f aca="false">sheet1!avc173</f>
        <v>#NAME?</v>
      </c>
      <c r="G172" s="0" t="e">
        <f aca="false">sheet1!avd173</f>
        <v>#NAME?</v>
      </c>
      <c r="H172" s="0" t="e">
        <f aca="false">sheet1!ave173</f>
        <v>#NAME?</v>
      </c>
      <c r="I172" s="0" t="e">
        <f aca="false">sheet1!avf173</f>
        <v>#NAME?</v>
      </c>
      <c r="J172" s="0" t="e">
        <f aca="false">sheet1!avg173</f>
        <v>#NAME?</v>
      </c>
      <c r="K172" s="0" t="e">
        <f aca="false">sheet1!avh173</f>
        <v>#NAME?</v>
      </c>
      <c r="L172" s="0" t="e">
        <f aca="false">sheet1!avi173</f>
        <v>#NAME?</v>
      </c>
      <c r="M172" s="0" t="e">
        <f aca="false">sheet1!avj173</f>
        <v>#NAME?</v>
      </c>
    </row>
    <row r="173" customFormat="false" ht="13.5" hidden="false" customHeight="false" outlineLevel="0" collapsed="false">
      <c r="A173" s="0" t="s">
        <v>97</v>
      </c>
      <c r="B173" s="1" t="n">
        <v>44033</v>
      </c>
      <c r="C173" s="0" t="e">
        <f aca="false">sheet1!auz174</f>
        <v>#NAME?</v>
      </c>
      <c r="D173" s="0" t="e">
        <f aca="false">sheet1!ava174</f>
        <v>#NAME?</v>
      </c>
      <c r="E173" s="0" t="e">
        <f aca="false">sheet1!avb174</f>
        <v>#NAME?</v>
      </c>
      <c r="F173" s="0" t="e">
        <f aca="false">sheet1!avc174</f>
        <v>#NAME?</v>
      </c>
      <c r="G173" s="0" t="e">
        <f aca="false">sheet1!avd174</f>
        <v>#NAME?</v>
      </c>
      <c r="H173" s="0" t="e">
        <f aca="false">sheet1!ave174</f>
        <v>#NAME?</v>
      </c>
      <c r="I173" s="0" t="e">
        <f aca="false">sheet1!avf174</f>
        <v>#NAME?</v>
      </c>
      <c r="J173" s="0" t="e">
        <f aca="false">sheet1!avg174</f>
        <v>#NAME?</v>
      </c>
      <c r="K173" s="0" t="e">
        <f aca="false">sheet1!avh174</f>
        <v>#NAME?</v>
      </c>
      <c r="L173" s="0" t="e">
        <f aca="false">sheet1!avi174</f>
        <v>#NAME?</v>
      </c>
      <c r="M173" s="0" t="e">
        <f aca="false">sheet1!avj174</f>
        <v>#NAME?</v>
      </c>
    </row>
    <row r="174" customFormat="false" ht="13.5" hidden="false" customHeight="false" outlineLevel="0" collapsed="false">
      <c r="A174" s="0" t="s">
        <v>97</v>
      </c>
      <c r="B174" s="1" t="n">
        <v>44034</v>
      </c>
      <c r="C174" s="0" t="e">
        <f aca="false">sheet1!auz175</f>
        <v>#NAME?</v>
      </c>
      <c r="D174" s="0" t="e">
        <f aca="false">sheet1!ava175</f>
        <v>#NAME?</v>
      </c>
      <c r="E174" s="0" t="e">
        <f aca="false">sheet1!avb175</f>
        <v>#NAME?</v>
      </c>
      <c r="F174" s="0" t="e">
        <f aca="false">sheet1!avc175</f>
        <v>#NAME?</v>
      </c>
      <c r="G174" s="0" t="e">
        <f aca="false">sheet1!avd175</f>
        <v>#NAME?</v>
      </c>
      <c r="H174" s="0" t="e">
        <f aca="false">sheet1!ave175</f>
        <v>#NAME?</v>
      </c>
      <c r="I174" s="0" t="e">
        <f aca="false">sheet1!avf175</f>
        <v>#NAME?</v>
      </c>
      <c r="J174" s="0" t="e">
        <f aca="false">sheet1!avg175</f>
        <v>#NAME?</v>
      </c>
      <c r="K174" s="0" t="e">
        <f aca="false">sheet1!avh175</f>
        <v>#NAME?</v>
      </c>
      <c r="L174" s="0" t="e">
        <f aca="false">sheet1!avi175</f>
        <v>#NAME?</v>
      </c>
      <c r="M174" s="0" t="e">
        <f aca="false">sheet1!avj175</f>
        <v>#NAME?</v>
      </c>
    </row>
    <row r="175" customFormat="false" ht="13.5" hidden="false" customHeight="false" outlineLevel="0" collapsed="false">
      <c r="A175" s="0" t="s">
        <v>97</v>
      </c>
      <c r="B175" s="1" t="n">
        <v>44035</v>
      </c>
      <c r="C175" s="0" t="e">
        <f aca="false">sheet1!auz176</f>
        <v>#NAME?</v>
      </c>
      <c r="D175" s="0" t="e">
        <f aca="false">sheet1!ava176</f>
        <v>#NAME?</v>
      </c>
      <c r="E175" s="0" t="e">
        <f aca="false">sheet1!avb176</f>
        <v>#NAME?</v>
      </c>
      <c r="F175" s="0" t="e">
        <f aca="false">sheet1!avc176</f>
        <v>#NAME?</v>
      </c>
      <c r="G175" s="0" t="e">
        <f aca="false">sheet1!avd176</f>
        <v>#NAME?</v>
      </c>
      <c r="H175" s="0" t="e">
        <f aca="false">sheet1!ave176</f>
        <v>#NAME?</v>
      </c>
      <c r="I175" s="0" t="e">
        <f aca="false">sheet1!avf176</f>
        <v>#NAME?</v>
      </c>
      <c r="J175" s="0" t="e">
        <f aca="false">sheet1!avg176</f>
        <v>#NAME?</v>
      </c>
      <c r="K175" s="0" t="e">
        <f aca="false">sheet1!avh176</f>
        <v>#NAME?</v>
      </c>
      <c r="L175" s="0" t="e">
        <f aca="false">sheet1!avi176</f>
        <v>#NAME?</v>
      </c>
      <c r="M175" s="0" t="e">
        <f aca="false">sheet1!avj176</f>
        <v>#NAME?</v>
      </c>
    </row>
    <row r="176" customFormat="false" ht="13.5" hidden="false" customHeight="false" outlineLevel="0" collapsed="false">
      <c r="A176" s="0" t="s">
        <v>97</v>
      </c>
      <c r="B176" s="1" t="n">
        <v>44036</v>
      </c>
      <c r="C176" s="0" t="e">
        <f aca="false">sheet1!auz177</f>
        <v>#NAME?</v>
      </c>
      <c r="D176" s="0" t="e">
        <f aca="false">sheet1!ava177</f>
        <v>#NAME?</v>
      </c>
      <c r="E176" s="0" t="e">
        <f aca="false">sheet1!avb177</f>
        <v>#NAME?</v>
      </c>
      <c r="F176" s="0" t="e">
        <f aca="false">sheet1!avc177</f>
        <v>#NAME?</v>
      </c>
      <c r="G176" s="0" t="e">
        <f aca="false">sheet1!avd177</f>
        <v>#NAME?</v>
      </c>
      <c r="H176" s="0" t="e">
        <f aca="false">sheet1!ave177</f>
        <v>#NAME?</v>
      </c>
      <c r="I176" s="0" t="e">
        <f aca="false">sheet1!avf177</f>
        <v>#NAME?</v>
      </c>
      <c r="J176" s="0" t="e">
        <f aca="false">sheet1!avg177</f>
        <v>#NAME?</v>
      </c>
      <c r="K176" s="0" t="e">
        <f aca="false">sheet1!avh177</f>
        <v>#NAME?</v>
      </c>
      <c r="L176" s="0" t="e">
        <f aca="false">sheet1!avi177</f>
        <v>#NAME?</v>
      </c>
      <c r="M176" s="0" t="e">
        <f aca="false">sheet1!avj177</f>
        <v>#NAME?</v>
      </c>
    </row>
    <row r="177" customFormat="false" ht="13.5" hidden="false" customHeight="false" outlineLevel="0" collapsed="false">
      <c r="A177" s="0" t="s">
        <v>97</v>
      </c>
      <c r="B177" s="1" t="n">
        <v>44037</v>
      </c>
      <c r="C177" s="0" t="e">
        <f aca="false">sheet1!auz178</f>
        <v>#NAME?</v>
      </c>
      <c r="D177" s="0" t="e">
        <f aca="false">sheet1!ava178</f>
        <v>#NAME?</v>
      </c>
      <c r="E177" s="0" t="e">
        <f aca="false">sheet1!avb178</f>
        <v>#NAME?</v>
      </c>
      <c r="F177" s="0" t="e">
        <f aca="false">sheet1!avc178</f>
        <v>#NAME?</v>
      </c>
      <c r="G177" s="0" t="e">
        <f aca="false">sheet1!avd178</f>
        <v>#NAME?</v>
      </c>
      <c r="H177" s="0" t="e">
        <f aca="false">sheet1!ave178</f>
        <v>#NAME?</v>
      </c>
      <c r="I177" s="0" t="e">
        <f aca="false">sheet1!avf178</f>
        <v>#NAME?</v>
      </c>
      <c r="J177" s="0" t="e">
        <f aca="false">sheet1!avg178</f>
        <v>#NAME?</v>
      </c>
      <c r="K177" s="0" t="e">
        <f aca="false">sheet1!avh178</f>
        <v>#NAME?</v>
      </c>
      <c r="L177" s="0" t="e">
        <f aca="false">sheet1!avi178</f>
        <v>#NAME?</v>
      </c>
      <c r="M177" s="0" t="e">
        <f aca="false">sheet1!avj178</f>
        <v>#NAME?</v>
      </c>
    </row>
    <row r="178" customFormat="false" ht="13.5" hidden="false" customHeight="false" outlineLevel="0" collapsed="false">
      <c r="A178" s="0" t="s">
        <v>97</v>
      </c>
      <c r="B178" s="1" t="n">
        <v>44038</v>
      </c>
      <c r="C178" s="0" t="e">
        <f aca="false">sheet1!auz179</f>
        <v>#NAME?</v>
      </c>
      <c r="D178" s="0" t="e">
        <f aca="false">sheet1!ava179</f>
        <v>#NAME?</v>
      </c>
      <c r="E178" s="0" t="e">
        <f aca="false">sheet1!avb179</f>
        <v>#NAME?</v>
      </c>
      <c r="F178" s="0" t="e">
        <f aca="false">sheet1!avc179</f>
        <v>#NAME?</v>
      </c>
      <c r="G178" s="0" t="e">
        <f aca="false">sheet1!avd179</f>
        <v>#NAME?</v>
      </c>
      <c r="H178" s="0" t="e">
        <f aca="false">sheet1!ave179</f>
        <v>#NAME?</v>
      </c>
      <c r="I178" s="0" t="e">
        <f aca="false">sheet1!avf179</f>
        <v>#NAME?</v>
      </c>
      <c r="J178" s="0" t="e">
        <f aca="false">sheet1!avg179</f>
        <v>#NAME?</v>
      </c>
      <c r="K178" s="0" t="e">
        <f aca="false">sheet1!avh179</f>
        <v>#NAME?</v>
      </c>
      <c r="L178" s="0" t="e">
        <f aca="false">sheet1!avi179</f>
        <v>#NAME?</v>
      </c>
      <c r="M178" s="0" t="e">
        <f aca="false">sheet1!avj179</f>
        <v>#NAME?</v>
      </c>
    </row>
    <row r="179" customFormat="false" ht="13.5" hidden="false" customHeight="false" outlineLevel="0" collapsed="false">
      <c r="A179" s="0" t="s">
        <v>97</v>
      </c>
      <c r="B179" s="1" t="n">
        <v>44039</v>
      </c>
      <c r="C179" s="0" t="e">
        <f aca="false">sheet1!auz180</f>
        <v>#NAME?</v>
      </c>
      <c r="D179" s="0" t="e">
        <f aca="false">sheet1!ava180</f>
        <v>#NAME?</v>
      </c>
      <c r="E179" s="0" t="e">
        <f aca="false">sheet1!avb180</f>
        <v>#NAME?</v>
      </c>
      <c r="F179" s="0" t="e">
        <f aca="false">sheet1!avc180</f>
        <v>#NAME?</v>
      </c>
      <c r="G179" s="0" t="e">
        <f aca="false">sheet1!avd180</f>
        <v>#NAME?</v>
      </c>
      <c r="H179" s="0" t="e">
        <f aca="false">sheet1!ave180</f>
        <v>#NAME?</v>
      </c>
      <c r="I179" s="0" t="e">
        <f aca="false">sheet1!avf180</f>
        <v>#NAME?</v>
      </c>
      <c r="J179" s="0" t="e">
        <f aca="false">sheet1!avg180</f>
        <v>#NAME?</v>
      </c>
      <c r="K179" s="0" t="e">
        <f aca="false">sheet1!avh180</f>
        <v>#NAME?</v>
      </c>
      <c r="L179" s="0" t="e">
        <f aca="false">sheet1!avi180</f>
        <v>#NAME?</v>
      </c>
      <c r="M179" s="0" t="e">
        <f aca="false">sheet1!avj180</f>
        <v>#NAME?</v>
      </c>
    </row>
    <row r="180" customFormat="false" ht="13.5" hidden="false" customHeight="false" outlineLevel="0" collapsed="false">
      <c r="A180" s="0" t="s">
        <v>97</v>
      </c>
      <c r="B180" s="1" t="n">
        <v>44040</v>
      </c>
      <c r="C180" s="0" t="e">
        <f aca="false">sheet1!auz181</f>
        <v>#NAME?</v>
      </c>
      <c r="D180" s="0" t="e">
        <f aca="false">sheet1!ava181</f>
        <v>#NAME?</v>
      </c>
      <c r="E180" s="0" t="e">
        <f aca="false">sheet1!avb181</f>
        <v>#NAME?</v>
      </c>
      <c r="F180" s="0" t="e">
        <f aca="false">sheet1!avc181</f>
        <v>#NAME?</v>
      </c>
      <c r="G180" s="0" t="e">
        <f aca="false">sheet1!avd181</f>
        <v>#NAME?</v>
      </c>
      <c r="H180" s="0" t="e">
        <f aca="false">sheet1!ave181</f>
        <v>#NAME?</v>
      </c>
      <c r="I180" s="0" t="e">
        <f aca="false">sheet1!avf181</f>
        <v>#NAME?</v>
      </c>
      <c r="J180" s="0" t="e">
        <f aca="false">sheet1!avg181</f>
        <v>#NAME?</v>
      </c>
      <c r="K180" s="0" t="e">
        <f aca="false">sheet1!avh181</f>
        <v>#NAME?</v>
      </c>
      <c r="L180" s="0" t="e">
        <f aca="false">sheet1!avi181</f>
        <v>#NAME?</v>
      </c>
      <c r="M180" s="0" t="e">
        <f aca="false">sheet1!avj181</f>
        <v>#NAME?</v>
      </c>
    </row>
    <row r="181" customFormat="false" ht="13.5" hidden="false" customHeight="false" outlineLevel="0" collapsed="false">
      <c r="A181" s="0" t="s">
        <v>97</v>
      </c>
      <c r="B181" s="1" t="n">
        <v>44041</v>
      </c>
      <c r="C181" s="0" t="e">
        <f aca="false">sheet1!auz182</f>
        <v>#NAME?</v>
      </c>
      <c r="D181" s="0" t="e">
        <f aca="false">sheet1!ava182</f>
        <v>#NAME?</v>
      </c>
      <c r="E181" s="0" t="e">
        <f aca="false">sheet1!avb182</f>
        <v>#NAME?</v>
      </c>
      <c r="F181" s="0" t="e">
        <f aca="false">sheet1!avc182</f>
        <v>#NAME?</v>
      </c>
      <c r="G181" s="0" t="e">
        <f aca="false">sheet1!avd182</f>
        <v>#NAME?</v>
      </c>
      <c r="H181" s="0" t="e">
        <f aca="false">sheet1!ave182</f>
        <v>#NAME?</v>
      </c>
      <c r="I181" s="0" t="e">
        <f aca="false">sheet1!avf182</f>
        <v>#NAME?</v>
      </c>
      <c r="J181" s="0" t="e">
        <f aca="false">sheet1!avg182</f>
        <v>#NAME?</v>
      </c>
      <c r="K181" s="0" t="e">
        <f aca="false">sheet1!avh182</f>
        <v>#NAME?</v>
      </c>
      <c r="L181" s="0" t="e">
        <f aca="false">sheet1!avi182</f>
        <v>#NAME?</v>
      </c>
      <c r="M181" s="0" t="e">
        <f aca="false">sheet1!avj182</f>
        <v>#NAME?</v>
      </c>
    </row>
    <row r="182" customFormat="false" ht="13.5" hidden="false" customHeight="false" outlineLevel="0" collapsed="false">
      <c r="A182" s="0" t="s">
        <v>97</v>
      </c>
      <c r="B182" s="1" t="n">
        <v>44042</v>
      </c>
      <c r="C182" s="0" t="e">
        <f aca="false">sheet1!auz183</f>
        <v>#NAME?</v>
      </c>
      <c r="D182" s="0" t="e">
        <f aca="false">sheet1!ava183</f>
        <v>#NAME?</v>
      </c>
      <c r="E182" s="0" t="e">
        <f aca="false">sheet1!avb183</f>
        <v>#NAME?</v>
      </c>
      <c r="F182" s="0" t="e">
        <f aca="false">sheet1!avc183</f>
        <v>#NAME?</v>
      </c>
      <c r="G182" s="0" t="e">
        <f aca="false">sheet1!avd183</f>
        <v>#NAME?</v>
      </c>
      <c r="H182" s="0" t="e">
        <f aca="false">sheet1!ave183</f>
        <v>#NAME?</v>
      </c>
      <c r="I182" s="0" t="e">
        <f aca="false">sheet1!avf183</f>
        <v>#NAME?</v>
      </c>
      <c r="J182" s="0" t="e">
        <f aca="false">sheet1!avg183</f>
        <v>#NAME?</v>
      </c>
      <c r="K182" s="0" t="e">
        <f aca="false">sheet1!avh183</f>
        <v>#NAME?</v>
      </c>
      <c r="L182" s="0" t="e">
        <f aca="false">sheet1!avi183</f>
        <v>#NAME?</v>
      </c>
      <c r="M182" s="0" t="e">
        <f aca="false">sheet1!avj183</f>
        <v>#NAME?</v>
      </c>
    </row>
    <row r="183" customFormat="false" ht="13.5" hidden="false" customHeight="false" outlineLevel="0" collapsed="false">
      <c r="A183" s="0" t="s">
        <v>97</v>
      </c>
      <c r="B183" s="1" t="n">
        <v>44043</v>
      </c>
      <c r="C183" s="0" t="e">
        <f aca="false">sheet1!auz184</f>
        <v>#NAME?</v>
      </c>
      <c r="D183" s="0" t="e">
        <f aca="false">sheet1!ava184</f>
        <v>#NAME?</v>
      </c>
      <c r="E183" s="0" t="e">
        <f aca="false">sheet1!avb184</f>
        <v>#NAME?</v>
      </c>
      <c r="F183" s="0" t="e">
        <f aca="false">sheet1!avc184</f>
        <v>#NAME?</v>
      </c>
      <c r="G183" s="0" t="e">
        <f aca="false">sheet1!avd184</f>
        <v>#NAME?</v>
      </c>
      <c r="H183" s="0" t="e">
        <f aca="false">sheet1!ave184</f>
        <v>#NAME?</v>
      </c>
      <c r="I183" s="0" t="e">
        <f aca="false">sheet1!avf184</f>
        <v>#NAME?</v>
      </c>
      <c r="J183" s="0" t="e">
        <f aca="false">sheet1!avg184</f>
        <v>#NAME?</v>
      </c>
      <c r="K183" s="0" t="e">
        <f aca="false">sheet1!avh184</f>
        <v>#NAME?</v>
      </c>
      <c r="L183" s="0" t="e">
        <f aca="false">sheet1!avi184</f>
        <v>#NAME?</v>
      </c>
      <c r="M183" s="0" t="e">
        <f aca="false">sheet1!avj184</f>
        <v>#NAME?</v>
      </c>
    </row>
    <row r="184" customFormat="false" ht="13.5" hidden="false" customHeight="false" outlineLevel="0" collapsed="false">
      <c r="A184" s="0" t="s">
        <v>97</v>
      </c>
      <c r="B184" s="1" t="n">
        <v>44044</v>
      </c>
      <c r="C184" s="0" t="e">
        <f aca="false">sheet1!auz185</f>
        <v>#NAME?</v>
      </c>
      <c r="D184" s="0" t="e">
        <f aca="false">sheet1!ava185</f>
        <v>#NAME?</v>
      </c>
      <c r="E184" s="0" t="e">
        <f aca="false">sheet1!avb185</f>
        <v>#NAME?</v>
      </c>
      <c r="F184" s="0" t="e">
        <f aca="false">sheet1!avc185</f>
        <v>#NAME?</v>
      </c>
      <c r="G184" s="0" t="e">
        <f aca="false">sheet1!avd185</f>
        <v>#NAME?</v>
      </c>
      <c r="H184" s="0" t="e">
        <f aca="false">sheet1!ave185</f>
        <v>#NAME?</v>
      </c>
      <c r="I184" s="0" t="e">
        <f aca="false">sheet1!avf185</f>
        <v>#NAME?</v>
      </c>
      <c r="J184" s="0" t="e">
        <f aca="false">sheet1!avg185</f>
        <v>#NAME?</v>
      </c>
      <c r="K184" s="0" t="e">
        <f aca="false">sheet1!avh185</f>
        <v>#NAME?</v>
      </c>
      <c r="L184" s="0" t="e">
        <f aca="false">sheet1!avi185</f>
        <v>#NAME?</v>
      </c>
      <c r="M184" s="0" t="e">
        <f aca="false">sheet1!avj185</f>
        <v>#NAME?</v>
      </c>
    </row>
    <row r="185" customFormat="false" ht="13.5" hidden="false" customHeight="false" outlineLevel="0" collapsed="false">
      <c r="A185" s="0" t="s">
        <v>97</v>
      </c>
      <c r="B185" s="1" t="n">
        <v>44045</v>
      </c>
      <c r="C185" s="0" t="e">
        <f aca="false">sheet1!auz186</f>
        <v>#NAME?</v>
      </c>
      <c r="D185" s="0" t="e">
        <f aca="false">sheet1!ava186</f>
        <v>#NAME?</v>
      </c>
      <c r="E185" s="0" t="e">
        <f aca="false">sheet1!avb186</f>
        <v>#NAME?</v>
      </c>
      <c r="F185" s="0" t="e">
        <f aca="false">sheet1!avc186</f>
        <v>#NAME?</v>
      </c>
      <c r="G185" s="0" t="e">
        <f aca="false">sheet1!avd186</f>
        <v>#NAME?</v>
      </c>
      <c r="H185" s="0" t="e">
        <f aca="false">sheet1!ave186</f>
        <v>#NAME?</v>
      </c>
      <c r="I185" s="0" t="e">
        <f aca="false">sheet1!avf186</f>
        <v>#NAME?</v>
      </c>
      <c r="J185" s="0" t="e">
        <f aca="false">sheet1!avg186</f>
        <v>#NAME?</v>
      </c>
      <c r="K185" s="0" t="e">
        <f aca="false">sheet1!avh186</f>
        <v>#NAME?</v>
      </c>
      <c r="L185" s="0" t="e">
        <f aca="false">sheet1!avi186</f>
        <v>#NAME?</v>
      </c>
      <c r="M185" s="0" t="e">
        <f aca="false">sheet1!avj186</f>
        <v>#NAME?</v>
      </c>
    </row>
    <row r="186" customFormat="false" ht="13.5" hidden="false" customHeight="false" outlineLevel="0" collapsed="false">
      <c r="A186" s="0" t="s">
        <v>97</v>
      </c>
      <c r="B186" s="1" t="n">
        <v>44046</v>
      </c>
      <c r="C186" s="0" t="e">
        <f aca="false">sheet1!auz187</f>
        <v>#NAME?</v>
      </c>
      <c r="D186" s="0" t="e">
        <f aca="false">sheet1!ava187</f>
        <v>#NAME?</v>
      </c>
      <c r="E186" s="0" t="e">
        <f aca="false">sheet1!avb187</f>
        <v>#NAME?</v>
      </c>
      <c r="F186" s="0" t="e">
        <f aca="false">sheet1!avc187</f>
        <v>#NAME?</v>
      </c>
      <c r="G186" s="0" t="e">
        <f aca="false">sheet1!avd187</f>
        <v>#NAME?</v>
      </c>
      <c r="H186" s="0" t="e">
        <f aca="false">sheet1!ave187</f>
        <v>#NAME?</v>
      </c>
      <c r="I186" s="0" t="e">
        <f aca="false">sheet1!avf187</f>
        <v>#NAME?</v>
      </c>
      <c r="J186" s="0" t="e">
        <f aca="false">sheet1!avg187</f>
        <v>#NAME?</v>
      </c>
      <c r="K186" s="0" t="e">
        <f aca="false">sheet1!avh187</f>
        <v>#NAME?</v>
      </c>
      <c r="L186" s="0" t="e">
        <f aca="false">sheet1!avi187</f>
        <v>#NAME?</v>
      </c>
      <c r="M186" s="0" t="e">
        <f aca="false">sheet1!avj187</f>
        <v>#NAME?</v>
      </c>
    </row>
    <row r="187" customFormat="false" ht="13.5" hidden="false" customHeight="false" outlineLevel="0" collapsed="false">
      <c r="A187" s="0" t="s">
        <v>97</v>
      </c>
      <c r="B187" s="1" t="n">
        <v>44047</v>
      </c>
      <c r="C187" s="0" t="e">
        <f aca="false">sheet1!auz188</f>
        <v>#NAME?</v>
      </c>
      <c r="D187" s="0" t="e">
        <f aca="false">sheet1!ava188</f>
        <v>#NAME?</v>
      </c>
      <c r="E187" s="0" t="e">
        <f aca="false">sheet1!avb188</f>
        <v>#NAME?</v>
      </c>
      <c r="F187" s="0" t="e">
        <f aca="false">sheet1!avc188</f>
        <v>#NAME?</v>
      </c>
      <c r="G187" s="0" t="e">
        <f aca="false">sheet1!avd188</f>
        <v>#NAME?</v>
      </c>
      <c r="H187" s="0" t="e">
        <f aca="false">sheet1!ave188</f>
        <v>#NAME?</v>
      </c>
      <c r="I187" s="0" t="e">
        <f aca="false">sheet1!avf188</f>
        <v>#NAME?</v>
      </c>
      <c r="J187" s="0" t="e">
        <f aca="false">sheet1!avg188</f>
        <v>#NAME?</v>
      </c>
      <c r="K187" s="0" t="e">
        <f aca="false">sheet1!avh188</f>
        <v>#NAME?</v>
      </c>
      <c r="L187" s="0" t="e">
        <f aca="false">sheet1!avi188</f>
        <v>#NAME?</v>
      </c>
      <c r="M187" s="0" t="e">
        <f aca="false">sheet1!avj188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13.5" hidden="false" customHeight="false" outlineLevel="0" collapsed="false">
      <c r="A1" s="0" t="s">
        <v>0</v>
      </c>
      <c r="B1" s="3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5" hidden="false" customHeight="false" outlineLevel="0" collapsed="false">
      <c r="A2" s="0" t="s">
        <v>98</v>
      </c>
      <c r="B2" s="1" t="n">
        <v>43862</v>
      </c>
    </row>
    <row r="3" customFormat="false" ht="13.5" hidden="false" customHeight="false" outlineLevel="0" collapsed="false">
      <c r="A3" s="0" t="s">
        <v>98</v>
      </c>
      <c r="B3" s="1" t="n">
        <v>43863</v>
      </c>
    </row>
    <row r="4" customFormat="false" ht="13.5" hidden="false" customHeight="false" outlineLevel="0" collapsed="false">
      <c r="A4" s="0" t="s">
        <v>98</v>
      </c>
      <c r="B4" s="1" t="n">
        <v>43864</v>
      </c>
    </row>
    <row r="5" customFormat="false" ht="13.5" hidden="false" customHeight="false" outlineLevel="0" collapsed="false">
      <c r="A5" s="0" t="s">
        <v>98</v>
      </c>
      <c r="B5" s="1" t="n">
        <v>43865</v>
      </c>
    </row>
    <row r="6" customFormat="false" ht="13.5" hidden="false" customHeight="false" outlineLevel="0" collapsed="false">
      <c r="A6" s="0" t="s">
        <v>98</v>
      </c>
      <c r="B6" s="1" t="n">
        <v>43866</v>
      </c>
    </row>
    <row r="7" customFormat="false" ht="13.5" hidden="false" customHeight="false" outlineLevel="0" collapsed="false">
      <c r="A7" s="0" t="s">
        <v>98</v>
      </c>
      <c r="B7" s="1" t="n">
        <v>43867</v>
      </c>
    </row>
    <row r="8" customFormat="false" ht="13.5" hidden="false" customHeight="false" outlineLevel="0" collapsed="false">
      <c r="A8" s="0" t="s">
        <v>98</v>
      </c>
      <c r="B8" s="1" t="n">
        <v>43868</v>
      </c>
    </row>
    <row r="9" customFormat="false" ht="13.5" hidden="false" customHeight="false" outlineLevel="0" collapsed="false">
      <c r="A9" s="0" t="s">
        <v>98</v>
      </c>
      <c r="B9" s="1" t="n">
        <v>43869</v>
      </c>
    </row>
    <row r="10" customFormat="false" ht="13.5" hidden="false" customHeight="false" outlineLevel="0" collapsed="false">
      <c r="A10" s="0" t="s">
        <v>98</v>
      </c>
      <c r="B10" s="1" t="n">
        <v>43870</v>
      </c>
    </row>
    <row r="11" customFormat="false" ht="13.5" hidden="false" customHeight="false" outlineLevel="0" collapsed="false">
      <c r="A11" s="0" t="s">
        <v>98</v>
      </c>
      <c r="B11" s="1" t="n">
        <v>43871</v>
      </c>
    </row>
    <row r="12" customFormat="false" ht="13.5" hidden="false" customHeight="false" outlineLevel="0" collapsed="false">
      <c r="A12" s="0" t="s">
        <v>98</v>
      </c>
      <c r="B12" s="1" t="n">
        <v>43872</v>
      </c>
    </row>
    <row r="13" customFormat="false" ht="13.5" hidden="false" customHeight="false" outlineLevel="0" collapsed="false">
      <c r="A13" s="0" t="s">
        <v>98</v>
      </c>
      <c r="B13" s="1" t="n">
        <v>43873</v>
      </c>
    </row>
    <row r="14" customFormat="false" ht="13.5" hidden="false" customHeight="false" outlineLevel="0" collapsed="false">
      <c r="A14" s="0" t="s">
        <v>98</v>
      </c>
      <c r="B14" s="1" t="n">
        <v>43874</v>
      </c>
    </row>
    <row r="15" customFormat="false" ht="13.5" hidden="false" customHeight="false" outlineLevel="0" collapsed="false">
      <c r="A15" s="0" t="s">
        <v>98</v>
      </c>
      <c r="B15" s="1" t="n">
        <v>43875</v>
      </c>
    </row>
    <row r="16" customFormat="false" ht="13.5" hidden="false" customHeight="false" outlineLevel="0" collapsed="false">
      <c r="A16" s="0" t="s">
        <v>98</v>
      </c>
      <c r="B16" s="1" t="n">
        <v>43876</v>
      </c>
    </row>
    <row r="17" customFormat="false" ht="13.5" hidden="false" customHeight="false" outlineLevel="0" collapsed="false">
      <c r="A17" s="0" t="s">
        <v>98</v>
      </c>
      <c r="B17" s="1" t="n">
        <v>43877</v>
      </c>
    </row>
    <row r="18" customFormat="false" ht="13.5" hidden="false" customHeight="false" outlineLevel="0" collapsed="false">
      <c r="A18" s="0" t="s">
        <v>98</v>
      </c>
      <c r="B18" s="1" t="n">
        <v>43878</v>
      </c>
    </row>
    <row r="19" customFormat="false" ht="13.5" hidden="false" customHeight="false" outlineLevel="0" collapsed="false">
      <c r="A19" s="0" t="s">
        <v>98</v>
      </c>
      <c r="B19" s="1" t="n">
        <v>43879</v>
      </c>
    </row>
    <row r="20" customFormat="false" ht="13.5" hidden="false" customHeight="false" outlineLevel="0" collapsed="false">
      <c r="A20" s="0" t="s">
        <v>98</v>
      </c>
      <c r="B20" s="1" t="n">
        <v>43880</v>
      </c>
    </row>
    <row r="21" customFormat="false" ht="13.5" hidden="false" customHeight="false" outlineLevel="0" collapsed="false">
      <c r="A21" s="0" t="s">
        <v>98</v>
      </c>
      <c r="B21" s="1" t="n">
        <v>43881</v>
      </c>
    </row>
    <row r="22" customFormat="false" ht="13.5" hidden="false" customHeight="false" outlineLevel="0" collapsed="false">
      <c r="A22" s="0" t="s">
        <v>98</v>
      </c>
      <c r="B22" s="1" t="n">
        <v>43882</v>
      </c>
    </row>
    <row r="23" customFormat="false" ht="13.5" hidden="false" customHeight="false" outlineLevel="0" collapsed="false">
      <c r="A23" s="0" t="s">
        <v>98</v>
      </c>
      <c r="B23" s="1" t="n">
        <v>43883</v>
      </c>
    </row>
    <row r="24" customFormat="false" ht="13.5" hidden="false" customHeight="false" outlineLevel="0" collapsed="false">
      <c r="A24" s="0" t="s">
        <v>98</v>
      </c>
      <c r="B24" s="1" t="n">
        <v>43884</v>
      </c>
    </row>
    <row r="25" customFormat="false" ht="13.5" hidden="false" customHeight="false" outlineLevel="0" collapsed="false">
      <c r="A25" s="0" t="s">
        <v>98</v>
      </c>
      <c r="B25" s="1" t="n">
        <v>43885</v>
      </c>
    </row>
    <row r="26" customFormat="false" ht="13.5" hidden="false" customHeight="false" outlineLevel="0" collapsed="false">
      <c r="A26" s="0" t="s">
        <v>98</v>
      </c>
      <c r="B26" s="1" t="n">
        <v>43886</v>
      </c>
    </row>
    <row r="27" customFormat="false" ht="13.5" hidden="false" customHeight="false" outlineLevel="0" collapsed="false">
      <c r="A27" s="0" t="s">
        <v>98</v>
      </c>
      <c r="B27" s="1" t="n">
        <v>43887</v>
      </c>
    </row>
    <row r="28" customFormat="false" ht="13.5" hidden="false" customHeight="false" outlineLevel="0" collapsed="false">
      <c r="A28" s="0" t="s">
        <v>98</v>
      </c>
      <c r="B28" s="1" t="n">
        <v>43888</v>
      </c>
    </row>
    <row r="29" customFormat="false" ht="13.5" hidden="false" customHeight="false" outlineLevel="0" collapsed="false">
      <c r="A29" s="0" t="s">
        <v>98</v>
      </c>
      <c r="B29" s="1" t="n">
        <v>43889</v>
      </c>
    </row>
    <row r="30" customFormat="false" ht="13.5" hidden="false" customHeight="false" outlineLevel="0" collapsed="false">
      <c r="A30" s="0" t="s">
        <v>98</v>
      </c>
      <c r="B30" s="1" t="n">
        <v>43890</v>
      </c>
    </row>
    <row r="31" customFormat="false" ht="13.5" hidden="false" customHeight="false" outlineLevel="0" collapsed="false">
      <c r="A31" s="0" t="s">
        <v>98</v>
      </c>
      <c r="B31" s="1" t="n">
        <v>43891</v>
      </c>
    </row>
    <row r="32" customFormat="false" ht="13.5" hidden="false" customHeight="false" outlineLevel="0" collapsed="false">
      <c r="A32" s="0" t="s">
        <v>98</v>
      </c>
      <c r="B32" s="1" t="n">
        <v>43892</v>
      </c>
    </row>
    <row r="33" customFormat="false" ht="13.5" hidden="false" customHeight="false" outlineLevel="0" collapsed="false">
      <c r="A33" s="0" t="s">
        <v>98</v>
      </c>
      <c r="B33" s="1" t="n">
        <v>43893</v>
      </c>
    </row>
    <row r="34" customFormat="false" ht="13.5" hidden="false" customHeight="false" outlineLevel="0" collapsed="false">
      <c r="A34" s="0" t="s">
        <v>98</v>
      </c>
      <c r="B34" s="1" t="n">
        <v>43894</v>
      </c>
    </row>
    <row r="35" customFormat="false" ht="13.5" hidden="false" customHeight="false" outlineLevel="0" collapsed="false">
      <c r="A35" s="0" t="s">
        <v>98</v>
      </c>
      <c r="B35" s="1" t="n">
        <v>43895</v>
      </c>
    </row>
    <row r="36" customFormat="false" ht="13.5" hidden="false" customHeight="false" outlineLevel="0" collapsed="false">
      <c r="A36" s="0" t="s">
        <v>98</v>
      </c>
      <c r="B36" s="1" t="n">
        <v>43896</v>
      </c>
    </row>
    <row r="37" customFormat="false" ht="13.5" hidden="false" customHeight="false" outlineLevel="0" collapsed="false">
      <c r="A37" s="0" t="s">
        <v>98</v>
      </c>
      <c r="B37" s="1" t="n">
        <v>43897</v>
      </c>
    </row>
    <row r="38" customFormat="false" ht="13.5" hidden="false" customHeight="false" outlineLevel="0" collapsed="false">
      <c r="A38" s="0" t="s">
        <v>98</v>
      </c>
      <c r="B38" s="1" t="n">
        <v>43898</v>
      </c>
    </row>
    <row r="39" customFormat="false" ht="13.5" hidden="false" customHeight="false" outlineLevel="0" collapsed="false">
      <c r="A39" s="0" t="s">
        <v>98</v>
      </c>
      <c r="B39" s="1" t="n">
        <v>43899</v>
      </c>
    </row>
    <row r="40" customFormat="false" ht="13.5" hidden="false" customHeight="false" outlineLevel="0" collapsed="false">
      <c r="A40" s="0" t="s">
        <v>98</v>
      </c>
      <c r="B40" s="1" t="n">
        <v>43900</v>
      </c>
    </row>
    <row r="41" customFormat="false" ht="13.5" hidden="false" customHeight="false" outlineLevel="0" collapsed="false">
      <c r="A41" s="0" t="s">
        <v>98</v>
      </c>
      <c r="B41" s="1" t="n">
        <v>43901</v>
      </c>
      <c r="C41" s="0" t="n">
        <v>1</v>
      </c>
      <c r="D41" s="0" t="n">
        <v>1</v>
      </c>
      <c r="H41" s="0" t="n">
        <v>1</v>
      </c>
    </row>
    <row r="42" customFormat="false" ht="13.5" hidden="false" customHeight="false" outlineLevel="0" collapsed="false">
      <c r="A42" s="0" t="s">
        <v>98</v>
      </c>
      <c r="B42" s="1" t="n">
        <v>43902</v>
      </c>
      <c r="C42" s="0" t="n">
        <v>1</v>
      </c>
      <c r="D42" s="0" t="n">
        <v>0</v>
      </c>
      <c r="H42" s="0" t="n">
        <v>1</v>
      </c>
    </row>
    <row r="43" customFormat="false" ht="13.5" hidden="false" customHeight="false" outlineLevel="0" collapsed="false">
      <c r="A43" s="0" t="s">
        <v>98</v>
      </c>
      <c r="B43" s="1" t="n">
        <v>43903</v>
      </c>
      <c r="C43" s="0" t="n">
        <v>1</v>
      </c>
      <c r="D43" s="0" t="n">
        <v>0</v>
      </c>
      <c r="H43" s="0" t="n">
        <v>1</v>
      </c>
    </row>
    <row r="44" customFormat="false" ht="13.5" hidden="false" customHeight="false" outlineLevel="0" collapsed="false">
      <c r="A44" s="0" t="s">
        <v>98</v>
      </c>
      <c r="B44" s="1" t="n">
        <v>43904</v>
      </c>
      <c r="C44" s="0" t="n">
        <v>2</v>
      </c>
      <c r="D44" s="0" t="n">
        <v>1</v>
      </c>
      <c r="H44" s="0" t="n">
        <v>2</v>
      </c>
    </row>
    <row r="45" customFormat="false" ht="13.5" hidden="false" customHeight="false" outlineLevel="0" collapsed="false">
      <c r="A45" s="0" t="s">
        <v>98</v>
      </c>
      <c r="B45" s="1" t="n">
        <v>43905</v>
      </c>
      <c r="C45" s="0" t="n">
        <v>2</v>
      </c>
      <c r="D45" s="0" t="n">
        <v>0</v>
      </c>
      <c r="H45" s="0" t="n">
        <v>2</v>
      </c>
    </row>
    <row r="46" customFormat="false" ht="13.5" hidden="false" customHeight="false" outlineLevel="0" collapsed="false">
      <c r="A46" s="0" t="s">
        <v>98</v>
      </c>
      <c r="B46" s="1" t="n">
        <v>43906</v>
      </c>
      <c r="C46" s="0" t="n">
        <v>2</v>
      </c>
      <c r="D46" s="0" t="n">
        <v>0</v>
      </c>
      <c r="H46" s="0" t="n">
        <v>2</v>
      </c>
    </row>
    <row r="47" customFormat="false" ht="13.5" hidden="false" customHeight="false" outlineLevel="0" collapsed="false">
      <c r="A47" s="0" t="s">
        <v>98</v>
      </c>
      <c r="B47" s="1" t="n">
        <v>43907</v>
      </c>
      <c r="C47" s="0" t="n">
        <v>2</v>
      </c>
      <c r="D47" s="0" t="n">
        <v>0</v>
      </c>
      <c r="H47" s="0" t="n">
        <v>2</v>
      </c>
    </row>
    <row r="48" customFormat="false" ht="13.5" hidden="false" customHeight="false" outlineLevel="0" collapsed="false">
      <c r="A48" s="0" t="s">
        <v>98</v>
      </c>
      <c r="B48" s="1" t="n">
        <v>43908</v>
      </c>
      <c r="C48" s="0" t="n">
        <v>3</v>
      </c>
      <c r="D48" s="0" t="n">
        <v>1</v>
      </c>
      <c r="H48" s="0" t="n">
        <v>3</v>
      </c>
    </row>
    <row r="49" customFormat="false" ht="13.5" hidden="false" customHeight="false" outlineLevel="0" collapsed="false">
      <c r="A49" s="0" t="s">
        <v>98</v>
      </c>
      <c r="B49" s="1" t="n">
        <v>43909</v>
      </c>
      <c r="C49" s="0" t="n">
        <v>7</v>
      </c>
      <c r="D49" s="0" t="n">
        <v>4</v>
      </c>
      <c r="H49" s="0" t="n">
        <v>7</v>
      </c>
      <c r="J49" s="0" t="n">
        <v>0.08</v>
      </c>
    </row>
    <row r="50" customFormat="false" ht="13.5" hidden="false" customHeight="false" outlineLevel="0" collapsed="false">
      <c r="A50" s="0" t="s">
        <v>98</v>
      </c>
      <c r="B50" s="1" t="n">
        <v>43910</v>
      </c>
      <c r="C50" s="0" t="n">
        <v>14</v>
      </c>
      <c r="D50" s="0" t="n">
        <v>7</v>
      </c>
      <c r="H50" s="0" t="n">
        <v>14</v>
      </c>
      <c r="J50" s="0" t="n">
        <v>0.2</v>
      </c>
    </row>
    <row r="51" customFormat="false" ht="13.5" hidden="false" customHeight="false" outlineLevel="0" collapsed="false">
      <c r="A51" s="0" t="s">
        <v>98</v>
      </c>
      <c r="B51" s="1" t="n">
        <v>43911</v>
      </c>
      <c r="C51" s="0" t="n">
        <v>23</v>
      </c>
      <c r="D51" s="0" t="n">
        <v>9</v>
      </c>
      <c r="E51" s="0" t="n">
        <v>1</v>
      </c>
      <c r="F51" s="0" t="n">
        <v>1</v>
      </c>
      <c r="H51" s="0" t="n">
        <v>22</v>
      </c>
      <c r="J51" s="0" t="n">
        <v>0.3</v>
      </c>
    </row>
    <row r="52" customFormat="false" ht="13.5" hidden="false" customHeight="false" outlineLevel="0" collapsed="false">
      <c r="A52" s="0" t="s">
        <v>98</v>
      </c>
      <c r="B52" s="1" t="n">
        <v>43912</v>
      </c>
      <c r="C52" s="0" t="n">
        <v>23</v>
      </c>
      <c r="D52" s="0" t="n">
        <v>0</v>
      </c>
      <c r="E52" s="0" t="n">
        <v>1</v>
      </c>
      <c r="F52" s="0" t="n">
        <v>0</v>
      </c>
      <c r="H52" s="0" t="n">
        <v>22</v>
      </c>
      <c r="J52" s="0" t="n">
        <v>0.3</v>
      </c>
    </row>
    <row r="53" customFormat="false" ht="13.5" hidden="false" customHeight="false" outlineLevel="0" collapsed="false">
      <c r="A53" s="0" t="s">
        <v>98</v>
      </c>
      <c r="B53" s="1" t="n">
        <v>43913</v>
      </c>
      <c r="C53" s="0" t="n">
        <v>30</v>
      </c>
      <c r="D53" s="0" t="n">
        <v>7</v>
      </c>
      <c r="E53" s="0" t="n">
        <v>1</v>
      </c>
      <c r="F53" s="0" t="n">
        <v>0</v>
      </c>
      <c r="H53" s="0" t="n">
        <v>29</v>
      </c>
      <c r="J53" s="0" t="n">
        <v>0.3</v>
      </c>
    </row>
    <row r="54" customFormat="false" ht="13.5" hidden="false" customHeight="false" outlineLevel="0" collapsed="false">
      <c r="A54" s="0" t="s">
        <v>98</v>
      </c>
      <c r="B54" s="1" t="n">
        <v>43914</v>
      </c>
      <c r="C54" s="0" t="n">
        <v>36</v>
      </c>
      <c r="D54" s="0" t="n">
        <v>6</v>
      </c>
      <c r="E54" s="0" t="n">
        <v>1</v>
      </c>
      <c r="F54" s="0" t="n">
        <v>0</v>
      </c>
      <c r="H54" s="0" t="n">
        <v>35</v>
      </c>
      <c r="J54" s="0" t="n">
        <v>0.4</v>
      </c>
    </row>
    <row r="55" customFormat="false" ht="13.5" hidden="false" customHeight="false" outlineLevel="0" collapsed="false">
      <c r="A55" s="0" t="s">
        <v>98</v>
      </c>
      <c r="B55" s="1" t="n">
        <v>43915</v>
      </c>
      <c r="C55" s="0" t="n">
        <v>45</v>
      </c>
      <c r="D55" s="0" t="n">
        <v>9</v>
      </c>
      <c r="E55" s="0" t="n">
        <v>2</v>
      </c>
      <c r="F55" s="0" t="n">
        <v>1</v>
      </c>
      <c r="H55" s="0" t="n">
        <v>43</v>
      </c>
      <c r="J55" s="0" t="n">
        <v>0.5</v>
      </c>
      <c r="K55" s="0" t="n">
        <v>0.02</v>
      </c>
    </row>
    <row r="56" customFormat="false" ht="13.5" hidden="false" customHeight="false" outlineLevel="0" collapsed="false">
      <c r="A56" s="0" t="s">
        <v>98</v>
      </c>
      <c r="B56" s="1" t="n">
        <v>43916</v>
      </c>
      <c r="C56" s="0" t="n">
        <v>48</v>
      </c>
      <c r="D56" s="0" t="n">
        <v>3</v>
      </c>
      <c r="E56" s="0" t="n">
        <v>2</v>
      </c>
      <c r="F56" s="0" t="n">
        <v>0</v>
      </c>
      <c r="H56" s="0" t="n">
        <v>46</v>
      </c>
      <c r="J56" s="0" t="n">
        <v>0.5</v>
      </c>
      <c r="K56" s="0" t="n">
        <v>0.02</v>
      </c>
    </row>
    <row r="57" customFormat="false" ht="13.5" hidden="false" customHeight="false" outlineLevel="0" collapsed="false">
      <c r="A57" s="0" t="s">
        <v>98</v>
      </c>
      <c r="B57" s="1" t="n">
        <v>43917</v>
      </c>
      <c r="C57" s="0" t="n">
        <v>51</v>
      </c>
      <c r="D57" s="0" t="n">
        <v>3</v>
      </c>
      <c r="E57" s="0" t="n">
        <v>3</v>
      </c>
      <c r="F57" s="0" t="n">
        <v>1</v>
      </c>
      <c r="H57" s="0" t="n">
        <v>48</v>
      </c>
      <c r="J57" s="0" t="n">
        <v>0.6</v>
      </c>
      <c r="K57" s="0" t="n">
        <v>0.03</v>
      </c>
    </row>
    <row r="58" customFormat="false" ht="13.5" hidden="false" customHeight="false" outlineLevel="0" collapsed="false">
      <c r="A58" s="0" t="s">
        <v>98</v>
      </c>
      <c r="B58" s="1" t="n">
        <v>43918</v>
      </c>
      <c r="C58" s="0" t="n">
        <v>51</v>
      </c>
      <c r="D58" s="0" t="n">
        <v>0</v>
      </c>
      <c r="E58" s="0" t="n">
        <v>3</v>
      </c>
      <c r="F58" s="0" t="n">
        <v>0</v>
      </c>
      <c r="G58" s="0" t="n">
        <v>2</v>
      </c>
      <c r="H58" s="0" t="n">
        <v>46</v>
      </c>
      <c r="J58" s="0" t="n">
        <v>0.6</v>
      </c>
      <c r="K58" s="0" t="n">
        <v>0.03</v>
      </c>
    </row>
    <row r="59" customFormat="false" ht="13.5" hidden="false" customHeight="false" outlineLevel="0" collapsed="false">
      <c r="A59" s="0" t="s">
        <v>98</v>
      </c>
      <c r="B59" s="1" t="n">
        <v>43919</v>
      </c>
      <c r="C59" s="0" t="n">
        <v>65</v>
      </c>
      <c r="D59" s="0" t="n">
        <v>14</v>
      </c>
      <c r="E59" s="0" t="n">
        <v>6</v>
      </c>
      <c r="F59" s="0" t="n">
        <v>3</v>
      </c>
      <c r="G59" s="0" t="n">
        <v>2</v>
      </c>
      <c r="H59" s="0" t="n">
        <v>57</v>
      </c>
      <c r="J59" s="0" t="n">
        <v>0.7</v>
      </c>
      <c r="K59" s="0" t="n">
        <v>0.07</v>
      </c>
    </row>
    <row r="60" customFormat="false" ht="13.5" hidden="false" customHeight="false" outlineLevel="0" collapsed="false">
      <c r="A60" s="0" t="s">
        <v>98</v>
      </c>
      <c r="B60" s="1" t="n">
        <v>43920</v>
      </c>
      <c r="C60" s="0" t="n">
        <v>65</v>
      </c>
      <c r="D60" s="0" t="n">
        <v>0</v>
      </c>
      <c r="E60" s="0" t="n">
        <v>6</v>
      </c>
      <c r="F60" s="0" t="n">
        <v>0</v>
      </c>
      <c r="G60" s="0" t="n">
        <v>2</v>
      </c>
      <c r="H60" s="0" t="n">
        <v>57</v>
      </c>
      <c r="J60" s="0" t="n">
        <v>0.7</v>
      </c>
      <c r="K60" s="0" t="n">
        <v>0.07</v>
      </c>
    </row>
    <row r="61" customFormat="false" ht="13.5" hidden="false" customHeight="false" outlineLevel="0" collapsed="false">
      <c r="A61" s="0" t="s">
        <v>98</v>
      </c>
      <c r="B61" s="1" t="n">
        <v>43921</v>
      </c>
      <c r="C61" s="0" t="n">
        <v>81</v>
      </c>
      <c r="D61" s="0" t="n">
        <v>16</v>
      </c>
      <c r="E61" s="0" t="n">
        <v>8</v>
      </c>
      <c r="F61" s="0" t="n">
        <v>2</v>
      </c>
      <c r="G61" s="0" t="n">
        <v>2</v>
      </c>
      <c r="H61" s="0" t="n">
        <v>71</v>
      </c>
      <c r="J61" s="0" t="n">
        <v>0.9</v>
      </c>
      <c r="K61" s="0" t="n">
        <v>0.09</v>
      </c>
    </row>
    <row r="62" customFormat="false" ht="13.5" hidden="false" customHeight="false" outlineLevel="0" collapsed="false">
      <c r="A62" s="0" t="s">
        <v>98</v>
      </c>
      <c r="B62" s="1" t="n">
        <v>43922</v>
      </c>
      <c r="C62" s="0" t="n">
        <v>98</v>
      </c>
      <c r="D62" s="0" t="n">
        <v>17</v>
      </c>
      <c r="E62" s="0" t="n">
        <v>8</v>
      </c>
      <c r="F62" s="0" t="n">
        <v>0</v>
      </c>
      <c r="G62" s="0" t="n">
        <v>2</v>
      </c>
      <c r="H62" s="0" t="n">
        <v>88</v>
      </c>
      <c r="J62" s="0" t="n">
        <v>1</v>
      </c>
      <c r="K62" s="0" t="n">
        <v>0.09</v>
      </c>
    </row>
    <row r="63" customFormat="false" ht="13.5" hidden="false" customHeight="false" outlineLevel="0" collapsed="false">
      <c r="A63" s="0" t="s">
        <v>98</v>
      </c>
      <c r="B63" s="1" t="n">
        <v>43923</v>
      </c>
      <c r="C63" s="0" t="n">
        <v>109</v>
      </c>
      <c r="D63" s="0" t="n">
        <v>11</v>
      </c>
      <c r="E63" s="0" t="n">
        <v>9</v>
      </c>
      <c r="F63" s="0" t="n">
        <v>1</v>
      </c>
      <c r="G63" s="0" t="n">
        <v>3</v>
      </c>
      <c r="H63" s="0" t="n">
        <v>97</v>
      </c>
      <c r="J63" s="0" t="n">
        <v>1</v>
      </c>
      <c r="K63" s="0" t="n">
        <v>0.1</v>
      </c>
    </row>
    <row r="64" customFormat="false" ht="13.5" hidden="false" customHeight="false" outlineLevel="0" collapsed="false">
      <c r="A64" s="0" t="s">
        <v>98</v>
      </c>
      <c r="B64" s="1" t="n">
        <v>43924</v>
      </c>
      <c r="C64" s="0" t="n">
        <v>123</v>
      </c>
      <c r="D64" s="0" t="n">
        <v>14</v>
      </c>
      <c r="E64" s="0" t="n">
        <v>11</v>
      </c>
      <c r="F64" s="0" t="n">
        <v>2</v>
      </c>
      <c r="G64" s="0" t="n">
        <v>3</v>
      </c>
      <c r="H64" s="0" t="n">
        <v>109</v>
      </c>
      <c r="J64" s="0" t="n">
        <v>1</v>
      </c>
      <c r="K64" s="0" t="n">
        <v>0.1</v>
      </c>
    </row>
    <row r="65" customFormat="false" ht="13.5" hidden="false" customHeight="false" outlineLevel="0" collapsed="false">
      <c r="A65" s="0" t="s">
        <v>98</v>
      </c>
      <c r="B65" s="1" t="n">
        <v>43925</v>
      </c>
      <c r="C65" s="0" t="n">
        <v>134</v>
      </c>
      <c r="D65" s="0" t="n">
        <v>11</v>
      </c>
      <c r="E65" s="0" t="n">
        <v>13</v>
      </c>
      <c r="F65" s="0" t="n">
        <v>2</v>
      </c>
      <c r="G65" s="0" t="n">
        <v>3</v>
      </c>
      <c r="H65" s="0" t="n">
        <v>118</v>
      </c>
      <c r="J65" s="0" t="n">
        <v>1</v>
      </c>
      <c r="K65" s="0" t="n">
        <v>0.1</v>
      </c>
    </row>
    <row r="66" customFormat="false" ht="13.5" hidden="false" customHeight="false" outlineLevel="0" collapsed="false">
      <c r="A66" s="0" t="s">
        <v>98</v>
      </c>
      <c r="B66" s="1" t="n">
        <v>43926</v>
      </c>
      <c r="C66" s="0" t="n">
        <v>148</v>
      </c>
      <c r="D66" s="0" t="n">
        <v>14</v>
      </c>
      <c r="E66" s="0" t="n">
        <v>16</v>
      </c>
      <c r="F66" s="0" t="n">
        <v>3</v>
      </c>
      <c r="G66" s="0" t="n">
        <v>3</v>
      </c>
      <c r="H66" s="0" t="n">
        <v>129</v>
      </c>
      <c r="J66" s="0" t="n">
        <v>2</v>
      </c>
      <c r="K66" s="0" t="n">
        <v>0.2</v>
      </c>
    </row>
    <row r="67" customFormat="false" ht="13.5" hidden="false" customHeight="false" outlineLevel="0" collapsed="false">
      <c r="A67" s="0" t="s">
        <v>98</v>
      </c>
      <c r="B67" s="1" t="n">
        <v>43927</v>
      </c>
      <c r="C67" s="0" t="n">
        <v>154</v>
      </c>
      <c r="D67" s="0" t="n">
        <v>6</v>
      </c>
      <c r="E67" s="0" t="n">
        <v>18</v>
      </c>
      <c r="F67" s="0" t="n">
        <v>2</v>
      </c>
      <c r="G67" s="0" t="n">
        <v>3</v>
      </c>
      <c r="H67" s="0" t="n">
        <v>133</v>
      </c>
      <c r="J67" s="0" t="n">
        <v>2</v>
      </c>
      <c r="K67" s="0" t="n">
        <v>0.2</v>
      </c>
    </row>
    <row r="68" customFormat="false" ht="13.5" hidden="false" customHeight="false" outlineLevel="0" collapsed="false">
      <c r="A68" s="0" t="s">
        <v>98</v>
      </c>
      <c r="B68" s="1" t="n">
        <v>43928</v>
      </c>
      <c r="C68" s="0" t="n">
        <v>161</v>
      </c>
      <c r="D68" s="0" t="n">
        <v>7</v>
      </c>
      <c r="E68" s="0" t="n">
        <v>18</v>
      </c>
      <c r="F68" s="0" t="n">
        <v>0</v>
      </c>
      <c r="G68" s="0" t="n">
        <v>5</v>
      </c>
      <c r="H68" s="0" t="n">
        <v>138</v>
      </c>
      <c r="J68" s="0" t="n">
        <v>2</v>
      </c>
      <c r="K68" s="0" t="n">
        <v>0.2</v>
      </c>
    </row>
    <row r="69" customFormat="false" ht="13.5" hidden="false" customHeight="false" outlineLevel="0" collapsed="false">
      <c r="A69" s="0" t="s">
        <v>98</v>
      </c>
      <c r="B69" s="1" t="n">
        <v>43929</v>
      </c>
      <c r="C69" s="0" t="n">
        <v>180</v>
      </c>
      <c r="D69" s="0" t="n">
        <v>19</v>
      </c>
      <c r="E69" s="0" t="n">
        <v>18</v>
      </c>
      <c r="F69" s="0" t="n">
        <v>0</v>
      </c>
      <c r="G69" s="0" t="n">
        <v>9</v>
      </c>
      <c r="H69" s="0" t="n">
        <v>153</v>
      </c>
      <c r="J69" s="0" t="n">
        <v>2</v>
      </c>
      <c r="K69" s="0" t="n">
        <v>0.2</v>
      </c>
    </row>
    <row r="70" customFormat="false" ht="13.5" hidden="false" customHeight="false" outlineLevel="0" collapsed="false">
      <c r="A70" s="0" t="s">
        <v>98</v>
      </c>
      <c r="B70" s="1" t="n">
        <v>43930</v>
      </c>
      <c r="C70" s="0" t="n">
        <v>180</v>
      </c>
      <c r="D70" s="0" t="n">
        <v>0</v>
      </c>
      <c r="E70" s="0" t="n">
        <v>18</v>
      </c>
      <c r="F70" s="0" t="n">
        <v>0</v>
      </c>
      <c r="G70" s="0" t="n">
        <v>9</v>
      </c>
      <c r="H70" s="0" t="n">
        <v>153</v>
      </c>
      <c r="J70" s="0" t="n">
        <v>2</v>
      </c>
      <c r="K70" s="0" t="n">
        <v>0.2</v>
      </c>
    </row>
    <row r="71" customFormat="false" ht="13.5" hidden="false" customHeight="false" outlineLevel="0" collapsed="false">
      <c r="A71" s="0" t="s">
        <v>98</v>
      </c>
      <c r="B71" s="1" t="n">
        <v>43931</v>
      </c>
      <c r="C71" s="0" t="n">
        <v>180</v>
      </c>
      <c r="D71" s="0" t="n">
        <v>0</v>
      </c>
      <c r="E71" s="0" t="n">
        <v>18</v>
      </c>
      <c r="F71" s="0" t="n">
        <v>0</v>
      </c>
      <c r="G71" s="0" t="n">
        <v>9</v>
      </c>
      <c r="H71" s="0" t="n">
        <v>153</v>
      </c>
      <c r="J71" s="0" t="n">
        <v>2</v>
      </c>
      <c r="K71" s="0" t="n">
        <v>0.2</v>
      </c>
    </row>
    <row r="72" customFormat="false" ht="13.5" hidden="false" customHeight="false" outlineLevel="0" collapsed="false">
      <c r="A72" s="0" t="s">
        <v>98</v>
      </c>
      <c r="B72" s="1" t="n">
        <v>43932</v>
      </c>
      <c r="C72" s="0" t="n">
        <v>215</v>
      </c>
      <c r="D72" s="0" t="n">
        <v>35</v>
      </c>
      <c r="E72" s="0" t="n">
        <v>20</v>
      </c>
      <c r="F72" s="0" t="n">
        <v>2</v>
      </c>
      <c r="G72" s="0" t="n">
        <v>13</v>
      </c>
      <c r="H72" s="0" t="n">
        <v>182</v>
      </c>
      <c r="J72" s="0" t="n">
        <v>2</v>
      </c>
      <c r="K72" s="0" t="n">
        <v>0.2</v>
      </c>
    </row>
    <row r="73" customFormat="false" ht="13.5" hidden="false" customHeight="false" outlineLevel="0" collapsed="false">
      <c r="A73" s="0" t="s">
        <v>98</v>
      </c>
      <c r="B73" s="1" t="n">
        <v>43933</v>
      </c>
      <c r="C73" s="0" t="n">
        <v>223</v>
      </c>
      <c r="D73" s="0" t="n">
        <v>8</v>
      </c>
      <c r="E73" s="0" t="n">
        <v>20</v>
      </c>
      <c r="F73" s="0" t="n">
        <v>0</v>
      </c>
      <c r="G73" s="0" t="n">
        <v>16</v>
      </c>
      <c r="H73" s="0" t="n">
        <v>187</v>
      </c>
      <c r="J73" s="0" t="n">
        <v>2</v>
      </c>
      <c r="K73" s="0" t="n">
        <v>0.2</v>
      </c>
    </row>
    <row r="74" customFormat="false" ht="13.5" hidden="false" customHeight="false" outlineLevel="0" collapsed="false">
      <c r="A74" s="0" t="s">
        <v>98</v>
      </c>
      <c r="B74" s="1" t="n">
        <v>43934</v>
      </c>
      <c r="C74" s="0" t="n">
        <v>234</v>
      </c>
      <c r="D74" s="0" t="n">
        <v>11</v>
      </c>
      <c r="E74" s="0" t="n">
        <v>20</v>
      </c>
      <c r="F74" s="0" t="n">
        <v>0</v>
      </c>
      <c r="G74" s="0" t="n">
        <v>16</v>
      </c>
      <c r="H74" s="0" t="n">
        <v>198</v>
      </c>
      <c r="J74" s="0" t="n">
        <v>3</v>
      </c>
      <c r="K74" s="0" t="n">
        <v>0.2</v>
      </c>
    </row>
    <row r="75" customFormat="false" ht="13.5" hidden="false" customHeight="false" outlineLevel="0" collapsed="false">
      <c r="A75" s="0" t="s">
        <v>98</v>
      </c>
      <c r="B75" s="1" t="n">
        <v>43935</v>
      </c>
      <c r="C75" s="0" t="n">
        <v>235</v>
      </c>
      <c r="D75" s="0" t="n">
        <v>1</v>
      </c>
      <c r="E75" s="0" t="n">
        <v>20</v>
      </c>
      <c r="F75" s="0" t="n">
        <v>0</v>
      </c>
      <c r="G75" s="0" t="n">
        <v>17</v>
      </c>
      <c r="H75" s="0" t="n">
        <v>198</v>
      </c>
      <c r="J75" s="0" t="n">
        <v>3</v>
      </c>
      <c r="K75" s="0" t="n">
        <v>0.2</v>
      </c>
    </row>
    <row r="76" customFormat="false" ht="13.5" hidden="false" customHeight="false" outlineLevel="0" collapsed="false">
      <c r="A76" s="0" t="s">
        <v>98</v>
      </c>
      <c r="B76" s="1" t="n">
        <v>43936</v>
      </c>
      <c r="C76" s="0" t="n">
        <v>241</v>
      </c>
      <c r="D76" s="0" t="n">
        <v>6</v>
      </c>
      <c r="E76" s="0" t="n">
        <v>20</v>
      </c>
      <c r="F76" s="0" t="n">
        <v>0</v>
      </c>
      <c r="G76" s="0" t="n">
        <v>20</v>
      </c>
      <c r="H76" s="0" t="n">
        <v>201</v>
      </c>
      <c r="I76" s="0" t="n">
        <v>0</v>
      </c>
      <c r="J76" s="0" t="n">
        <v>3</v>
      </c>
      <c r="K76" s="0" t="n">
        <v>0.2</v>
      </c>
    </row>
    <row r="77" customFormat="false" ht="13.5" hidden="false" customHeight="false" outlineLevel="0" collapsed="false">
      <c r="A77" s="0" t="s">
        <v>98</v>
      </c>
      <c r="B77" s="1" t="n">
        <v>43937</v>
      </c>
      <c r="C77" s="0" t="n">
        <v>254</v>
      </c>
      <c r="D77" s="0" t="n">
        <v>13</v>
      </c>
      <c r="E77" s="0" t="n">
        <v>21</v>
      </c>
      <c r="F77" s="0" t="n">
        <v>1</v>
      </c>
      <c r="G77" s="0" t="n">
        <v>21</v>
      </c>
      <c r="H77" s="0" t="n">
        <v>212</v>
      </c>
      <c r="I77" s="0" t="n">
        <v>0</v>
      </c>
      <c r="J77" s="0" t="n">
        <v>3</v>
      </c>
      <c r="K77" s="0" t="n">
        <v>0.2</v>
      </c>
    </row>
    <row r="78" customFormat="false" ht="13.5" hidden="false" customHeight="false" outlineLevel="0" collapsed="false">
      <c r="A78" s="0" t="s">
        <v>98</v>
      </c>
      <c r="B78" s="1" t="n">
        <v>43938</v>
      </c>
      <c r="C78" s="0" t="n">
        <v>267</v>
      </c>
      <c r="D78" s="0" t="n">
        <v>13</v>
      </c>
      <c r="E78" s="0" t="n">
        <v>22</v>
      </c>
      <c r="F78" s="0" t="n">
        <v>1</v>
      </c>
      <c r="G78" s="0" t="n">
        <v>23</v>
      </c>
      <c r="H78" s="0" t="n">
        <v>222</v>
      </c>
      <c r="I78" s="0" t="n">
        <v>0</v>
      </c>
      <c r="J78" s="0" t="n">
        <v>3</v>
      </c>
      <c r="K78" s="0" t="n">
        <v>0.2</v>
      </c>
    </row>
    <row r="79" customFormat="false" ht="13.5" hidden="false" customHeight="false" outlineLevel="0" collapsed="false">
      <c r="A79" s="0" t="s">
        <v>98</v>
      </c>
      <c r="B79" s="1" t="n">
        <v>43939</v>
      </c>
      <c r="C79" s="0" t="n">
        <v>287</v>
      </c>
      <c r="D79" s="0" t="n">
        <v>20</v>
      </c>
      <c r="E79" s="0" t="n">
        <v>23</v>
      </c>
      <c r="F79" s="0" t="n">
        <v>1</v>
      </c>
      <c r="G79" s="0" t="n">
        <v>25</v>
      </c>
      <c r="H79" s="0" t="n">
        <v>239</v>
      </c>
      <c r="I79" s="0" t="n">
        <v>0</v>
      </c>
      <c r="J79" s="0" t="n">
        <v>3</v>
      </c>
      <c r="K79" s="0" t="n">
        <v>0.3</v>
      </c>
    </row>
    <row r="80" customFormat="false" ht="13.5" hidden="false" customHeight="false" outlineLevel="0" collapsed="false">
      <c r="A80" s="0" t="s">
        <v>98</v>
      </c>
      <c r="B80" s="1" t="n">
        <v>43940</v>
      </c>
      <c r="C80" s="0" t="n">
        <v>307</v>
      </c>
      <c r="D80" s="0" t="n">
        <v>20</v>
      </c>
      <c r="E80" s="0" t="n">
        <v>25</v>
      </c>
      <c r="F80" s="0" t="n">
        <v>2</v>
      </c>
      <c r="G80" s="0" t="n">
        <v>26</v>
      </c>
      <c r="H80" s="0" t="n">
        <v>256</v>
      </c>
      <c r="I80" s="0" t="n">
        <v>0</v>
      </c>
      <c r="J80" s="0" t="n">
        <v>3</v>
      </c>
      <c r="K80" s="0" t="n">
        <v>0.3</v>
      </c>
    </row>
    <row r="81" customFormat="false" ht="13.5" hidden="false" customHeight="false" outlineLevel="0" collapsed="false">
      <c r="A81" s="0" t="s">
        <v>98</v>
      </c>
      <c r="B81" s="1" t="n">
        <v>43941</v>
      </c>
      <c r="C81" s="0" t="n">
        <v>327</v>
      </c>
      <c r="D81" s="0" t="n">
        <v>20</v>
      </c>
      <c r="E81" s="0" t="n">
        <v>25</v>
      </c>
      <c r="F81" s="0" t="n">
        <v>0</v>
      </c>
      <c r="G81" s="0" t="n">
        <v>26</v>
      </c>
      <c r="H81" s="0" t="n">
        <v>276</v>
      </c>
      <c r="I81" s="0" t="n">
        <v>0</v>
      </c>
      <c r="J81" s="0" t="n">
        <v>4</v>
      </c>
      <c r="K81" s="0" t="n">
        <v>0.3</v>
      </c>
    </row>
    <row r="82" customFormat="false" ht="13.5" hidden="false" customHeight="false" outlineLevel="0" collapsed="false">
      <c r="A82" s="0" t="s">
        <v>98</v>
      </c>
      <c r="B82" s="1" t="n">
        <v>43942</v>
      </c>
      <c r="C82" s="0" t="n">
        <v>332</v>
      </c>
      <c r="D82" s="0" t="n">
        <v>5</v>
      </c>
      <c r="E82" s="0" t="n">
        <v>25</v>
      </c>
      <c r="F82" s="0" t="n">
        <v>0</v>
      </c>
      <c r="G82" s="0" t="n">
        <v>27</v>
      </c>
      <c r="H82" s="0" t="n">
        <v>280</v>
      </c>
      <c r="I82" s="0" t="n">
        <v>0</v>
      </c>
      <c r="J82" s="0" t="n">
        <v>4</v>
      </c>
      <c r="K82" s="0" t="n">
        <v>0.3</v>
      </c>
    </row>
    <row r="83" customFormat="false" ht="13.5" hidden="false" customHeight="false" outlineLevel="0" collapsed="false">
      <c r="A83" s="0" t="s">
        <v>98</v>
      </c>
      <c r="B83" s="1" t="n">
        <v>43943</v>
      </c>
      <c r="C83" s="0" t="n">
        <v>350</v>
      </c>
      <c r="D83" s="0" t="n">
        <v>18</v>
      </c>
      <c r="E83" s="0" t="n">
        <v>25</v>
      </c>
      <c r="F83" s="0" t="n">
        <v>0</v>
      </c>
      <c r="G83" s="0" t="n">
        <v>35</v>
      </c>
      <c r="H83" s="0" t="n">
        <v>290</v>
      </c>
      <c r="I83" s="0" t="n">
        <v>0</v>
      </c>
      <c r="J83" s="0" t="n">
        <v>4</v>
      </c>
      <c r="K83" s="0" t="n">
        <v>0.3</v>
      </c>
    </row>
    <row r="84" customFormat="false" ht="13.5" hidden="false" customHeight="false" outlineLevel="0" collapsed="false">
      <c r="A84" s="0" t="s">
        <v>98</v>
      </c>
      <c r="B84" s="1" t="n">
        <v>43944</v>
      </c>
      <c r="C84" s="0" t="n">
        <v>359</v>
      </c>
      <c r="D84" s="0" t="n">
        <v>9</v>
      </c>
      <c r="E84" s="0" t="n">
        <v>25</v>
      </c>
      <c r="F84" s="0" t="n">
        <v>0</v>
      </c>
      <c r="G84" s="0" t="n">
        <v>45</v>
      </c>
      <c r="H84" s="0" t="n">
        <v>289</v>
      </c>
      <c r="I84" s="0" t="n">
        <v>0</v>
      </c>
      <c r="J84" s="0" t="n">
        <v>4</v>
      </c>
      <c r="K84" s="0" t="n">
        <v>0.3</v>
      </c>
    </row>
    <row r="85" customFormat="false" ht="13.5" hidden="false" customHeight="false" outlineLevel="0" collapsed="false">
      <c r="A85" s="0" t="s">
        <v>98</v>
      </c>
      <c r="B85" s="1" t="n">
        <v>43945</v>
      </c>
      <c r="C85" s="0" t="n">
        <v>377</v>
      </c>
      <c r="D85" s="0" t="n">
        <v>18</v>
      </c>
      <c r="E85" s="0" t="n">
        <v>25</v>
      </c>
      <c r="F85" s="0" t="n">
        <v>0</v>
      </c>
      <c r="G85" s="0" t="n">
        <v>47</v>
      </c>
      <c r="H85" s="0" t="n">
        <v>305</v>
      </c>
      <c r="I85" s="0" t="n">
        <v>0</v>
      </c>
      <c r="J85" s="0" t="n">
        <v>4</v>
      </c>
      <c r="K85" s="0" t="n">
        <v>0.3</v>
      </c>
    </row>
    <row r="86" customFormat="false" ht="13.5" hidden="false" customHeight="false" outlineLevel="0" collapsed="false">
      <c r="A86" s="0" t="s">
        <v>98</v>
      </c>
      <c r="B86" s="1" t="n">
        <v>43946</v>
      </c>
      <c r="C86" s="0" t="n">
        <v>394</v>
      </c>
      <c r="D86" s="0" t="n">
        <v>17</v>
      </c>
      <c r="E86" s="0" t="n">
        <v>25</v>
      </c>
      <c r="F86" s="0" t="n">
        <v>0</v>
      </c>
      <c r="G86" s="0" t="n">
        <v>48</v>
      </c>
      <c r="H86" s="0" t="n">
        <v>321</v>
      </c>
      <c r="I86" s="0" t="n">
        <v>0</v>
      </c>
      <c r="J86" s="0" t="n">
        <v>4</v>
      </c>
      <c r="K86" s="0" t="n">
        <v>0.3</v>
      </c>
    </row>
    <row r="87" customFormat="false" ht="13.5" hidden="false" customHeight="false" outlineLevel="0" collapsed="false">
      <c r="A87" s="0" t="s">
        <v>98</v>
      </c>
      <c r="B87" s="1" t="n">
        <v>43947</v>
      </c>
      <c r="C87" s="0" t="n">
        <v>416</v>
      </c>
      <c r="D87" s="0" t="n">
        <v>22</v>
      </c>
      <c r="E87" s="0" t="n">
        <v>28</v>
      </c>
      <c r="F87" s="0" t="n">
        <v>3</v>
      </c>
      <c r="G87" s="0" t="n">
        <v>49</v>
      </c>
      <c r="H87" s="0" t="n">
        <v>339</v>
      </c>
      <c r="I87" s="0" t="n">
        <v>0</v>
      </c>
      <c r="J87" s="0" t="n">
        <v>5</v>
      </c>
      <c r="K87" s="0" t="n">
        <v>0.3</v>
      </c>
    </row>
    <row r="88" customFormat="false" ht="13.5" hidden="false" customHeight="false" outlineLevel="0" collapsed="false">
      <c r="A88" s="0" t="s">
        <v>98</v>
      </c>
      <c r="B88" s="1" t="n">
        <v>43948</v>
      </c>
      <c r="C88" s="0" t="n">
        <v>442</v>
      </c>
      <c r="D88" s="0" t="n">
        <v>26</v>
      </c>
      <c r="E88" s="0" t="n">
        <v>28</v>
      </c>
      <c r="F88" s="0" t="n">
        <v>0</v>
      </c>
      <c r="G88" s="0" t="n">
        <v>50</v>
      </c>
      <c r="H88" s="0" t="n">
        <v>364</v>
      </c>
      <c r="I88" s="0" t="n">
        <v>0</v>
      </c>
      <c r="J88" s="0" t="n">
        <v>5</v>
      </c>
      <c r="K88" s="0" t="n">
        <v>0.3</v>
      </c>
    </row>
    <row r="89" customFormat="false" ht="13.5" hidden="false" customHeight="false" outlineLevel="0" collapsed="false">
      <c r="A89" s="0" t="s">
        <v>98</v>
      </c>
      <c r="B89" s="1" t="n">
        <v>43949</v>
      </c>
      <c r="C89" s="0" t="n">
        <v>459</v>
      </c>
      <c r="D89" s="0" t="n">
        <v>17</v>
      </c>
      <c r="E89" s="0" t="n">
        <v>28</v>
      </c>
      <c r="F89" s="0" t="n">
        <v>0</v>
      </c>
      <c r="G89" s="0" t="n">
        <v>50</v>
      </c>
      <c r="H89" s="0" t="n">
        <v>381</v>
      </c>
      <c r="I89" s="0" t="n">
        <v>0</v>
      </c>
      <c r="J89" s="0" t="n">
        <v>5</v>
      </c>
      <c r="K89" s="0" t="n">
        <v>0.3</v>
      </c>
    </row>
    <row r="90" customFormat="false" ht="13.5" hidden="false" customHeight="false" outlineLevel="0" collapsed="false">
      <c r="A90" s="0" t="s">
        <v>98</v>
      </c>
      <c r="B90" s="1" t="n">
        <v>43950</v>
      </c>
      <c r="C90" s="0" t="n">
        <v>471</v>
      </c>
      <c r="D90" s="0" t="n">
        <v>12</v>
      </c>
      <c r="E90" s="0" t="n">
        <v>30</v>
      </c>
      <c r="F90" s="0" t="n">
        <v>2</v>
      </c>
      <c r="G90" s="0" t="n">
        <v>56</v>
      </c>
      <c r="H90" s="0" t="n">
        <v>385</v>
      </c>
      <c r="I90" s="0" t="n">
        <v>0</v>
      </c>
      <c r="J90" s="0" t="n">
        <v>5</v>
      </c>
      <c r="K90" s="0" t="n">
        <v>0.3</v>
      </c>
    </row>
    <row r="91" customFormat="false" ht="13.5" hidden="false" customHeight="false" outlineLevel="0" collapsed="false">
      <c r="A91" s="0" t="s">
        <v>98</v>
      </c>
      <c r="B91" s="1" t="n">
        <v>43951</v>
      </c>
      <c r="C91" s="0" t="n">
        <v>491</v>
      </c>
      <c r="D91" s="0" t="n">
        <v>20</v>
      </c>
      <c r="E91" s="0" t="n">
        <v>30</v>
      </c>
      <c r="F91" s="0" t="n">
        <v>0</v>
      </c>
      <c r="G91" s="0" t="n">
        <v>59</v>
      </c>
      <c r="H91" s="0" t="n">
        <v>402</v>
      </c>
      <c r="I91" s="0" t="n">
        <v>0</v>
      </c>
      <c r="J91" s="0" t="n">
        <v>5</v>
      </c>
      <c r="K91" s="0" t="n">
        <v>0.3</v>
      </c>
    </row>
    <row r="92" customFormat="false" ht="13.5" hidden="false" customHeight="false" outlineLevel="0" collapsed="false">
      <c r="A92" s="0" t="s">
        <v>98</v>
      </c>
      <c r="B92" s="1" t="n">
        <v>43952</v>
      </c>
      <c r="C92" s="0" t="n">
        <v>500</v>
      </c>
      <c r="D92" s="0" t="n">
        <v>9</v>
      </c>
      <c r="E92" s="0" t="n">
        <v>31</v>
      </c>
      <c r="F92" s="0" t="n">
        <v>1</v>
      </c>
      <c r="G92" s="0" t="n">
        <v>65</v>
      </c>
      <c r="H92" s="0" t="n">
        <v>404</v>
      </c>
      <c r="I92" s="0" t="n">
        <v>0</v>
      </c>
      <c r="J92" s="0" t="n">
        <v>6</v>
      </c>
      <c r="K92" s="0" t="n">
        <v>0.3</v>
      </c>
    </row>
    <row r="93" customFormat="false" ht="13.5" hidden="false" customHeight="false" outlineLevel="0" collapsed="false">
      <c r="A93" s="0" t="s">
        <v>98</v>
      </c>
      <c r="B93" s="1" t="n">
        <v>43953</v>
      </c>
      <c r="C93" s="0" t="n">
        <v>572</v>
      </c>
      <c r="D93" s="0" t="n">
        <v>72</v>
      </c>
      <c r="E93" s="0" t="n">
        <v>31</v>
      </c>
      <c r="F93" s="0" t="n">
        <v>0</v>
      </c>
      <c r="G93" s="0" t="n">
        <v>73</v>
      </c>
      <c r="H93" s="0" t="n">
        <v>468</v>
      </c>
      <c r="I93" s="0" t="n">
        <v>0</v>
      </c>
      <c r="J93" s="0" t="n">
        <v>6</v>
      </c>
      <c r="K93" s="0" t="n">
        <v>0.3</v>
      </c>
    </row>
    <row r="94" customFormat="false" ht="13.5" hidden="false" customHeight="false" outlineLevel="0" collapsed="false">
      <c r="A94" s="0" t="s">
        <v>98</v>
      </c>
      <c r="B94" s="1" t="n">
        <v>43954</v>
      </c>
      <c r="C94" s="0" t="n">
        <v>604</v>
      </c>
      <c r="D94" s="0" t="n">
        <v>32</v>
      </c>
      <c r="E94" s="0" t="n">
        <v>32</v>
      </c>
      <c r="F94" s="0" t="n">
        <v>1</v>
      </c>
      <c r="G94" s="0" t="n">
        <v>75</v>
      </c>
      <c r="H94" s="0" t="n">
        <v>497</v>
      </c>
      <c r="I94" s="0" t="n">
        <v>0</v>
      </c>
      <c r="J94" s="0" t="n">
        <v>7</v>
      </c>
      <c r="K94" s="0" t="n">
        <v>0.4</v>
      </c>
    </row>
    <row r="95" customFormat="false" ht="13.5" hidden="false" customHeight="false" outlineLevel="0" collapsed="false">
      <c r="A95" s="0" t="s">
        <v>98</v>
      </c>
      <c r="B95" s="1" t="n">
        <v>43955</v>
      </c>
      <c r="C95" s="0" t="n">
        <v>674</v>
      </c>
      <c r="D95" s="0" t="n">
        <v>70</v>
      </c>
      <c r="E95" s="0" t="n">
        <v>33</v>
      </c>
      <c r="F95" s="0" t="n">
        <v>1</v>
      </c>
      <c r="G95" s="0" t="n">
        <v>75</v>
      </c>
      <c r="H95" s="0" t="n">
        <v>566</v>
      </c>
      <c r="I95" s="0" t="n">
        <v>0</v>
      </c>
      <c r="J95" s="0" t="n">
        <v>8</v>
      </c>
      <c r="K95" s="0" t="n">
        <v>0.4</v>
      </c>
    </row>
    <row r="96" customFormat="false" ht="13.5" hidden="false" customHeight="false" outlineLevel="0" collapsed="false">
      <c r="A96" s="0" t="s">
        <v>98</v>
      </c>
      <c r="B96" s="1" t="n">
        <v>43956</v>
      </c>
      <c r="C96" s="0" t="n">
        <v>682</v>
      </c>
      <c r="D96" s="0" t="n">
        <v>8</v>
      </c>
      <c r="E96" s="0" t="n">
        <v>34</v>
      </c>
      <c r="F96" s="0" t="n">
        <v>1</v>
      </c>
      <c r="G96" s="0" t="n">
        <v>80</v>
      </c>
      <c r="H96" s="0" t="n">
        <v>568</v>
      </c>
      <c r="I96" s="0" t="n">
        <v>0</v>
      </c>
      <c r="J96" s="0" t="n">
        <v>8</v>
      </c>
      <c r="K96" s="0" t="n">
        <v>0.4</v>
      </c>
    </row>
    <row r="97" customFormat="false" ht="13.5" hidden="false" customHeight="false" outlineLevel="0" collapsed="false">
      <c r="A97" s="0" t="s">
        <v>98</v>
      </c>
      <c r="B97" s="1" t="n">
        <v>43957</v>
      </c>
      <c r="C97" s="0" t="n">
        <v>705</v>
      </c>
      <c r="D97" s="0" t="n">
        <v>23</v>
      </c>
      <c r="E97" s="0" t="n">
        <v>34</v>
      </c>
      <c r="F97" s="0" t="n">
        <v>0</v>
      </c>
      <c r="G97" s="0" t="n">
        <v>90</v>
      </c>
      <c r="H97" s="0" t="n">
        <v>581</v>
      </c>
      <c r="I97" s="0" t="n">
        <v>0</v>
      </c>
      <c r="J97" s="0" t="n">
        <v>8</v>
      </c>
      <c r="K97" s="0" t="n">
        <v>0.4</v>
      </c>
    </row>
    <row r="98" customFormat="false" ht="13.5" hidden="false" customHeight="false" outlineLevel="0" collapsed="false">
      <c r="A98" s="0" t="s">
        <v>98</v>
      </c>
      <c r="B98" s="1" t="n">
        <v>43958</v>
      </c>
      <c r="C98" s="0" t="n">
        <v>797</v>
      </c>
      <c r="D98" s="0" t="n">
        <v>92</v>
      </c>
      <c r="E98" s="0" t="n">
        <v>35</v>
      </c>
      <c r="F98" s="0" t="n">
        <v>1</v>
      </c>
      <c r="G98" s="0" t="n">
        <v>92</v>
      </c>
      <c r="H98" s="0" t="n">
        <v>670</v>
      </c>
      <c r="I98" s="0" t="n">
        <v>0</v>
      </c>
      <c r="J98" s="0" t="n">
        <v>9</v>
      </c>
      <c r="K98" s="0" t="n">
        <v>0.4</v>
      </c>
    </row>
    <row r="99" customFormat="false" ht="13.5" hidden="false" customHeight="false" outlineLevel="0" collapsed="false">
      <c r="A99" s="0" t="s">
        <v>98</v>
      </c>
      <c r="B99" s="1" t="n">
        <v>43959</v>
      </c>
      <c r="C99" s="0" t="n">
        <v>863</v>
      </c>
      <c r="D99" s="0" t="n">
        <v>66</v>
      </c>
      <c r="E99" s="0" t="n">
        <v>36</v>
      </c>
      <c r="F99" s="0" t="n">
        <v>1</v>
      </c>
      <c r="G99" s="0" t="n">
        <v>103</v>
      </c>
      <c r="H99" s="0" t="n">
        <v>724</v>
      </c>
      <c r="I99" s="0" t="n">
        <v>0</v>
      </c>
      <c r="J99" s="0" t="n">
        <v>10</v>
      </c>
      <c r="K99" s="0" t="n">
        <v>0.4</v>
      </c>
    </row>
    <row r="100" customFormat="false" ht="13.5" hidden="false" customHeight="false" outlineLevel="0" collapsed="false">
      <c r="A100" s="0" t="s">
        <v>98</v>
      </c>
      <c r="B100" s="1" t="n">
        <v>43960</v>
      </c>
      <c r="C100" s="0" t="n">
        <v>897</v>
      </c>
      <c r="D100" s="0" t="n">
        <v>34</v>
      </c>
      <c r="E100" s="0" t="n">
        <v>36</v>
      </c>
      <c r="F100" s="0" t="n">
        <v>0</v>
      </c>
      <c r="G100" s="0" t="n">
        <v>119</v>
      </c>
      <c r="H100" s="0" t="n">
        <v>742</v>
      </c>
      <c r="I100" s="0" t="n">
        <v>0</v>
      </c>
      <c r="J100" s="0" t="n">
        <v>10</v>
      </c>
      <c r="K100" s="0" t="n">
        <v>0.4</v>
      </c>
    </row>
    <row r="101" customFormat="false" ht="13.5" hidden="false" customHeight="false" outlineLevel="0" collapsed="false">
      <c r="A101" s="0" t="s">
        <v>98</v>
      </c>
      <c r="B101" s="1" t="n">
        <v>43961</v>
      </c>
      <c r="C101" s="0" t="n">
        <v>937</v>
      </c>
      <c r="D101" s="0" t="n">
        <v>40</v>
      </c>
      <c r="E101" s="0" t="n">
        <v>39</v>
      </c>
      <c r="F101" s="0" t="n">
        <v>3</v>
      </c>
      <c r="G101" s="0" t="n">
        <v>130</v>
      </c>
      <c r="H101" s="0" t="n">
        <v>768</v>
      </c>
      <c r="I101" s="0" t="n">
        <v>0</v>
      </c>
      <c r="J101" s="0" t="n">
        <v>10</v>
      </c>
      <c r="K101" s="0" t="n">
        <v>0.4</v>
      </c>
    </row>
    <row r="102" customFormat="false" ht="13.5" hidden="false" customHeight="false" outlineLevel="0" collapsed="false">
      <c r="A102" s="0" t="s">
        <v>98</v>
      </c>
      <c r="B102" s="1" t="n">
        <v>43962</v>
      </c>
      <c r="C102" s="0" t="n">
        <v>991</v>
      </c>
      <c r="D102" s="0" t="n">
        <v>54</v>
      </c>
      <c r="E102" s="0" t="n">
        <v>41</v>
      </c>
      <c r="F102" s="0" t="n">
        <v>2</v>
      </c>
      <c r="G102" s="0" t="n">
        <v>136</v>
      </c>
      <c r="H102" s="0" t="n">
        <v>814</v>
      </c>
      <c r="I102" s="0" t="n">
        <v>0</v>
      </c>
      <c r="J102" s="0" t="n">
        <v>11</v>
      </c>
      <c r="K102" s="0" t="n">
        <v>0.5</v>
      </c>
    </row>
    <row r="103" customFormat="false" ht="13.5" hidden="false" customHeight="false" outlineLevel="0" collapsed="false">
      <c r="A103" s="0" t="s">
        <v>98</v>
      </c>
      <c r="B103" s="1" t="n">
        <v>43963</v>
      </c>
      <c r="C103" s="0" t="n">
        <v>1024</v>
      </c>
      <c r="D103" s="0" t="n">
        <v>33</v>
      </c>
      <c r="E103" s="0" t="n">
        <v>41</v>
      </c>
      <c r="F103" s="0" t="n">
        <v>0</v>
      </c>
      <c r="G103" s="0" t="n">
        <v>141</v>
      </c>
      <c r="H103" s="0" t="n">
        <v>842</v>
      </c>
      <c r="I103" s="0" t="n">
        <v>0</v>
      </c>
      <c r="J103" s="0" t="n">
        <v>11</v>
      </c>
      <c r="K103" s="0" t="n">
        <v>0.5</v>
      </c>
    </row>
    <row r="104" customFormat="false" ht="13.5" hidden="false" customHeight="false" outlineLevel="0" collapsed="false">
      <c r="A104" s="0" t="s">
        <v>98</v>
      </c>
      <c r="B104" s="1" t="n">
        <v>43964</v>
      </c>
      <c r="C104" s="0" t="n">
        <v>1102</v>
      </c>
      <c r="D104" s="0" t="n">
        <v>78</v>
      </c>
      <c r="E104" s="0" t="n">
        <v>44</v>
      </c>
      <c r="F104" s="0" t="n">
        <v>3</v>
      </c>
      <c r="G104" s="0" t="n">
        <v>146</v>
      </c>
      <c r="H104" s="0" t="n">
        <v>912</v>
      </c>
      <c r="I104" s="0" t="n">
        <v>0</v>
      </c>
      <c r="J104" s="0" t="n">
        <v>12</v>
      </c>
      <c r="K104" s="0" t="n">
        <v>0.5</v>
      </c>
    </row>
    <row r="105" customFormat="false" ht="13.5" hidden="false" customHeight="false" outlineLevel="0" collapsed="false">
      <c r="A105" s="0" t="s">
        <v>98</v>
      </c>
      <c r="B105" s="1" t="n">
        <v>43965</v>
      </c>
      <c r="C105" s="0" t="n">
        <v>1169</v>
      </c>
      <c r="D105" s="0" t="n">
        <v>67</v>
      </c>
      <c r="E105" s="0" t="n">
        <v>50</v>
      </c>
      <c r="F105" s="0" t="n">
        <v>6</v>
      </c>
      <c r="G105" s="0" t="n">
        <v>148</v>
      </c>
      <c r="H105" s="0" t="n">
        <v>971</v>
      </c>
      <c r="I105" s="0" t="n">
        <v>0</v>
      </c>
      <c r="J105" s="0" t="n">
        <v>13</v>
      </c>
      <c r="K105" s="0" t="n">
        <v>0.6</v>
      </c>
    </row>
    <row r="106" customFormat="false" ht="13.5" hidden="false" customHeight="false" outlineLevel="0" collapsed="false">
      <c r="A106" s="0" t="s">
        <v>98</v>
      </c>
      <c r="B106" s="1" t="n">
        <v>43966</v>
      </c>
      <c r="C106" s="0" t="n">
        <v>1242</v>
      </c>
      <c r="D106" s="0" t="n">
        <v>73</v>
      </c>
      <c r="E106" s="0" t="n">
        <v>50</v>
      </c>
      <c r="F106" s="0" t="n">
        <v>0</v>
      </c>
      <c r="G106" s="0" t="n">
        <v>157</v>
      </c>
      <c r="H106" s="0" t="n">
        <v>1035</v>
      </c>
      <c r="I106" s="0" t="n">
        <v>0</v>
      </c>
      <c r="J106" s="0" t="n">
        <v>14</v>
      </c>
      <c r="K106" s="0" t="n">
        <v>0.6</v>
      </c>
    </row>
    <row r="107" customFormat="false" ht="13.5" hidden="false" customHeight="false" outlineLevel="0" collapsed="false">
      <c r="A107" s="0" t="s">
        <v>98</v>
      </c>
      <c r="B107" s="1" t="n">
        <v>43967</v>
      </c>
      <c r="C107" s="0" t="n">
        <v>1298</v>
      </c>
      <c r="D107" s="0" t="n">
        <v>56</v>
      </c>
      <c r="E107" s="0" t="n">
        <v>50</v>
      </c>
      <c r="F107" s="0" t="n">
        <v>0</v>
      </c>
      <c r="G107" s="0" t="n">
        <v>212</v>
      </c>
      <c r="H107" s="0" t="n">
        <v>1036</v>
      </c>
      <c r="I107" s="0" t="n">
        <v>0</v>
      </c>
      <c r="J107" s="0" t="n">
        <v>15</v>
      </c>
      <c r="K107" s="0" t="n">
        <v>0.6</v>
      </c>
    </row>
    <row r="108" customFormat="false" ht="13.5" hidden="false" customHeight="false" outlineLevel="0" collapsed="false">
      <c r="A108" s="0" t="s">
        <v>98</v>
      </c>
      <c r="B108" s="1" t="n">
        <v>43968</v>
      </c>
      <c r="C108" s="0" t="n">
        <v>1370</v>
      </c>
      <c r="D108" s="0" t="n">
        <v>72</v>
      </c>
      <c r="E108" s="0" t="n">
        <v>61</v>
      </c>
      <c r="F108" s="0" t="n">
        <v>11</v>
      </c>
      <c r="G108" s="0" t="n">
        <v>229</v>
      </c>
      <c r="H108" s="0" t="n">
        <v>1080</v>
      </c>
      <c r="I108" s="0" t="n">
        <v>0</v>
      </c>
      <c r="J108" s="0" t="n">
        <v>15</v>
      </c>
      <c r="K108" s="0" t="n">
        <v>0.7</v>
      </c>
    </row>
    <row r="109" customFormat="false" ht="13.5" hidden="false" customHeight="false" outlineLevel="0" collapsed="false">
      <c r="A109" s="0" t="s">
        <v>98</v>
      </c>
      <c r="B109" s="1" t="n">
        <v>43969</v>
      </c>
      <c r="C109" s="0" t="n">
        <v>1455</v>
      </c>
      <c r="D109" s="0" t="n">
        <v>85</v>
      </c>
      <c r="E109" s="0" t="n">
        <v>61</v>
      </c>
      <c r="F109" s="0" t="n">
        <v>0</v>
      </c>
      <c r="G109" s="0" t="n">
        <v>270</v>
      </c>
      <c r="H109" s="0" t="n">
        <v>1124</v>
      </c>
      <c r="I109" s="0" t="n">
        <v>0</v>
      </c>
      <c r="J109" s="0" t="n">
        <v>16</v>
      </c>
      <c r="K109" s="0" t="n">
        <v>0.7</v>
      </c>
    </row>
    <row r="110" customFormat="false" ht="13.5" hidden="false" customHeight="false" outlineLevel="0" collapsed="false">
      <c r="A110" s="0" t="s">
        <v>98</v>
      </c>
      <c r="B110" s="1" t="n">
        <v>43970</v>
      </c>
      <c r="C110" s="0" t="n">
        <v>1538</v>
      </c>
      <c r="D110" s="0" t="n">
        <v>83</v>
      </c>
      <c r="E110" s="0" t="n">
        <v>61</v>
      </c>
      <c r="F110" s="0" t="n">
        <v>0</v>
      </c>
      <c r="G110" s="0" t="n">
        <v>272</v>
      </c>
      <c r="H110" s="0" t="n">
        <v>1205</v>
      </c>
      <c r="I110" s="0" t="n">
        <v>0</v>
      </c>
      <c r="J110" s="0" t="n">
        <v>17</v>
      </c>
      <c r="K110" s="0" t="n">
        <v>0.7</v>
      </c>
    </row>
    <row r="111" customFormat="false" ht="13.5" hidden="false" customHeight="false" outlineLevel="0" collapsed="false">
      <c r="A111" s="0" t="s">
        <v>98</v>
      </c>
      <c r="B111" s="1" t="n">
        <v>43971</v>
      </c>
      <c r="C111" s="0" t="n">
        <v>1629</v>
      </c>
      <c r="D111" s="0" t="n">
        <v>91</v>
      </c>
      <c r="E111" s="0" t="n">
        <v>61</v>
      </c>
      <c r="F111" s="0" t="n">
        <v>0</v>
      </c>
      <c r="G111" s="0" t="n">
        <v>290</v>
      </c>
      <c r="H111" s="0" t="n">
        <v>1278</v>
      </c>
      <c r="I111" s="0" t="n">
        <v>0</v>
      </c>
      <c r="J111" s="0" t="n">
        <v>18</v>
      </c>
      <c r="K111" s="0" t="n">
        <v>0.7</v>
      </c>
    </row>
    <row r="112" customFormat="false" ht="13.5" hidden="false" customHeight="false" outlineLevel="0" collapsed="false">
      <c r="A112" s="0" t="s">
        <v>98</v>
      </c>
      <c r="B112" s="1" t="n">
        <v>43972</v>
      </c>
      <c r="C112" s="0" t="n">
        <v>1731</v>
      </c>
      <c r="D112" s="0" t="n">
        <v>102</v>
      </c>
      <c r="E112" s="0" t="n">
        <v>61</v>
      </c>
      <c r="F112" s="0" t="n">
        <v>0</v>
      </c>
      <c r="G112" s="0" t="n">
        <v>302</v>
      </c>
      <c r="H112" s="0" t="n">
        <v>1368</v>
      </c>
      <c r="I112" s="0" t="n">
        <v>0</v>
      </c>
      <c r="J112" s="0" t="n">
        <v>19</v>
      </c>
      <c r="K112" s="0" t="n">
        <v>0.7</v>
      </c>
    </row>
    <row r="113" customFormat="false" ht="13.5" hidden="false" customHeight="false" outlineLevel="0" collapsed="false">
      <c r="A113" s="0" t="s">
        <v>98</v>
      </c>
      <c r="B113" s="1" t="n">
        <v>43973</v>
      </c>
      <c r="C113" s="0" t="n">
        <v>1835</v>
      </c>
      <c r="D113" s="0" t="n">
        <v>104</v>
      </c>
      <c r="E113" s="0" t="n">
        <v>61</v>
      </c>
      <c r="F113" s="0" t="n">
        <v>0</v>
      </c>
      <c r="G113" s="0" t="n">
        <v>303</v>
      </c>
      <c r="H113" s="0" t="n">
        <v>1471</v>
      </c>
      <c r="I113" s="0" t="n">
        <v>0</v>
      </c>
      <c r="J113" s="0" t="n">
        <v>21</v>
      </c>
      <c r="K113" s="0" t="n">
        <v>0.7</v>
      </c>
    </row>
    <row r="114" customFormat="false" ht="13.5" hidden="false" customHeight="false" outlineLevel="0" collapsed="false">
      <c r="A114" s="0" t="s">
        <v>98</v>
      </c>
      <c r="B114" s="1" t="n">
        <v>43974</v>
      </c>
      <c r="C114" s="0" t="n">
        <v>1945</v>
      </c>
      <c r="D114" s="0" t="n">
        <v>110</v>
      </c>
      <c r="E114" s="0" t="n">
        <v>63</v>
      </c>
      <c r="F114" s="0" t="n">
        <v>2</v>
      </c>
      <c r="G114" s="0" t="n">
        <v>312</v>
      </c>
      <c r="H114" s="0" t="n">
        <v>1570</v>
      </c>
      <c r="I114" s="0" t="n">
        <v>0</v>
      </c>
      <c r="J114" s="0" t="n">
        <v>22</v>
      </c>
      <c r="K114" s="0" t="n">
        <v>0.7</v>
      </c>
    </row>
    <row r="115" customFormat="false" ht="13.5" hidden="false" customHeight="false" outlineLevel="0" collapsed="false">
      <c r="A115" s="0" t="s">
        <v>98</v>
      </c>
      <c r="B115" s="1" t="n">
        <v>43975</v>
      </c>
      <c r="C115" s="0" t="n">
        <v>2025</v>
      </c>
      <c r="D115" s="0" t="n">
        <v>80</v>
      </c>
      <c r="E115" s="0" t="n">
        <v>63</v>
      </c>
      <c r="F115" s="0" t="n">
        <v>0</v>
      </c>
      <c r="G115" s="0" t="n">
        <v>312</v>
      </c>
      <c r="H115" s="0" t="n">
        <v>1650</v>
      </c>
      <c r="I115" s="0" t="n">
        <v>0</v>
      </c>
      <c r="J115" s="0" t="n">
        <v>23</v>
      </c>
      <c r="K115" s="0" t="n">
        <v>0.7</v>
      </c>
    </row>
    <row r="116" customFormat="false" ht="13.5" hidden="false" customHeight="false" outlineLevel="0" collapsed="false">
      <c r="A116" s="0" t="s">
        <v>98</v>
      </c>
      <c r="B116" s="1" t="n">
        <v>43976</v>
      </c>
      <c r="C116" s="0" t="n">
        <v>2141</v>
      </c>
      <c r="D116" s="0" t="n">
        <v>116</v>
      </c>
      <c r="E116" s="0" t="n">
        <v>63</v>
      </c>
      <c r="F116" s="0" t="n">
        <v>0</v>
      </c>
      <c r="G116" s="0" t="n">
        <v>317</v>
      </c>
      <c r="H116" s="0" t="n">
        <v>1761</v>
      </c>
      <c r="I116" s="0" t="n">
        <v>0</v>
      </c>
      <c r="J116" s="0" t="n">
        <v>24</v>
      </c>
      <c r="K116" s="0" t="n">
        <v>0.7</v>
      </c>
    </row>
    <row r="117" customFormat="false" ht="13.5" hidden="false" customHeight="false" outlineLevel="0" collapsed="false">
      <c r="A117" s="0" t="s">
        <v>98</v>
      </c>
      <c r="B117" s="1" t="n">
        <v>43977</v>
      </c>
      <c r="C117" s="0" t="n">
        <v>2297</v>
      </c>
      <c r="D117" s="0" t="n">
        <v>156</v>
      </c>
      <c r="E117" s="0" t="n">
        <v>67</v>
      </c>
      <c r="F117" s="0" t="n">
        <v>4</v>
      </c>
      <c r="G117" s="0" t="n">
        <v>337</v>
      </c>
      <c r="H117" s="0" t="n">
        <v>1893</v>
      </c>
      <c r="I117" s="0" t="n">
        <v>0</v>
      </c>
      <c r="J117" s="0" t="n">
        <v>26</v>
      </c>
      <c r="K117" s="0" t="n">
        <v>0.8</v>
      </c>
    </row>
    <row r="118" customFormat="false" ht="13.5" hidden="false" customHeight="false" outlineLevel="0" collapsed="false">
      <c r="A118" s="0" t="s">
        <v>98</v>
      </c>
      <c r="B118" s="1" t="n">
        <v>43978</v>
      </c>
      <c r="C118" s="0" t="n">
        <v>2403</v>
      </c>
      <c r="D118" s="0" t="n">
        <v>106</v>
      </c>
      <c r="E118" s="0" t="n">
        <v>68</v>
      </c>
      <c r="F118" s="0" t="n">
        <v>1</v>
      </c>
      <c r="G118" s="0" t="n">
        <v>340</v>
      </c>
      <c r="H118" s="0" t="n">
        <v>1995</v>
      </c>
      <c r="I118" s="0" t="n">
        <v>0</v>
      </c>
      <c r="J118" s="0" t="n">
        <v>27</v>
      </c>
      <c r="K118" s="0" t="n">
        <v>0.8</v>
      </c>
    </row>
    <row r="119" customFormat="false" ht="13.5" hidden="false" customHeight="false" outlineLevel="0" collapsed="false">
      <c r="A119" s="0" t="s">
        <v>98</v>
      </c>
      <c r="B119" s="1" t="n">
        <v>43979</v>
      </c>
      <c r="C119" s="0" t="n">
        <v>2546</v>
      </c>
      <c r="D119" s="0" t="n">
        <v>143</v>
      </c>
      <c r="E119" s="0" t="n">
        <v>68</v>
      </c>
      <c r="F119" s="0" t="n">
        <v>0</v>
      </c>
      <c r="G119" s="0" t="n">
        <v>365</v>
      </c>
      <c r="H119" s="0" t="n">
        <v>2113</v>
      </c>
      <c r="I119" s="0" t="n">
        <v>0</v>
      </c>
      <c r="J119" s="0" t="n">
        <v>29</v>
      </c>
      <c r="K119" s="0" t="n">
        <v>0.8</v>
      </c>
    </row>
    <row r="120" customFormat="false" ht="13.5" hidden="false" customHeight="false" outlineLevel="0" collapsed="false">
      <c r="A120" s="0" t="s">
        <v>98</v>
      </c>
      <c r="B120" s="1" t="n">
        <v>43980</v>
      </c>
      <c r="C120" s="0" t="n">
        <v>2660</v>
      </c>
      <c r="D120" s="0" t="n">
        <v>114</v>
      </c>
      <c r="E120" s="0" t="n">
        <v>69</v>
      </c>
      <c r="F120" s="0" t="n">
        <v>1</v>
      </c>
      <c r="G120" s="0" t="n">
        <v>381</v>
      </c>
      <c r="H120" s="0" t="n">
        <v>2210</v>
      </c>
      <c r="I120" s="0" t="n">
        <v>0</v>
      </c>
      <c r="J120" s="0" t="n">
        <v>30</v>
      </c>
      <c r="K120" s="0" t="n">
        <v>0.8</v>
      </c>
    </row>
    <row r="121" customFormat="false" ht="13.5" hidden="false" customHeight="false" outlineLevel="0" collapsed="false">
      <c r="A121" s="0" t="s">
        <v>98</v>
      </c>
      <c r="B121" s="1" t="n">
        <v>43981</v>
      </c>
      <c r="C121" s="0" t="n">
        <v>2833</v>
      </c>
      <c r="D121" s="0" t="n">
        <v>173</v>
      </c>
      <c r="E121" s="0" t="n">
        <v>69</v>
      </c>
      <c r="F121" s="0" t="n">
        <v>0</v>
      </c>
      <c r="G121" s="0" t="n">
        <v>400</v>
      </c>
      <c r="H121" s="0" t="n">
        <v>2364</v>
      </c>
      <c r="I121" s="0" t="n">
        <v>0</v>
      </c>
      <c r="J121" s="0" t="n">
        <v>32</v>
      </c>
      <c r="K121" s="0" t="n">
        <v>0.8</v>
      </c>
    </row>
    <row r="122" customFormat="false" ht="13.5" hidden="false" customHeight="false" outlineLevel="0" collapsed="false">
      <c r="A122" s="0" t="s">
        <v>98</v>
      </c>
      <c r="B122" s="1" t="n">
        <v>43982</v>
      </c>
      <c r="C122" s="0" t="e">
        <f aca="false">sheet1!avk123</f>
        <v>#NAME?</v>
      </c>
      <c r="D122" s="0" t="e">
        <f aca="false">sheet1!avl123</f>
        <v>#NAME?</v>
      </c>
      <c r="E122" s="0" t="e">
        <f aca="false">sheet1!avm123</f>
        <v>#NAME?</v>
      </c>
      <c r="F122" s="0" t="e">
        <f aca="false">sheet1!avn123</f>
        <v>#NAME?</v>
      </c>
      <c r="G122" s="0" t="e">
        <f aca="false">sheet1!avo123</f>
        <v>#NAME?</v>
      </c>
      <c r="H122" s="0" t="e">
        <f aca="false">sheet1!avp123</f>
        <v>#NAME?</v>
      </c>
      <c r="I122" s="0" t="e">
        <f aca="false">sheet1!avq123</f>
        <v>#NAME?</v>
      </c>
      <c r="J122" s="0" t="e">
        <f aca="false">sheet1!avr123</f>
        <v>#NAME?</v>
      </c>
      <c r="K122" s="0" t="e">
        <f aca="false">sheet1!avs123</f>
        <v>#NAME?</v>
      </c>
    </row>
    <row r="123" customFormat="false" ht="13.5" hidden="false" customHeight="false" outlineLevel="0" collapsed="false">
      <c r="A123" s="0" t="s">
        <v>98</v>
      </c>
      <c r="B123" s="1" t="n">
        <v>43983</v>
      </c>
      <c r="C123" s="0" t="e">
        <f aca="false">sheet1!avk124</f>
        <v>#NAME?</v>
      </c>
      <c r="D123" s="0" t="e">
        <f aca="false">sheet1!avl124</f>
        <v>#NAME?</v>
      </c>
      <c r="E123" s="0" t="e">
        <f aca="false">sheet1!avm124</f>
        <v>#NAME?</v>
      </c>
      <c r="F123" s="0" t="e">
        <f aca="false">sheet1!avn124</f>
        <v>#NAME?</v>
      </c>
      <c r="G123" s="0" t="e">
        <f aca="false">sheet1!avo124</f>
        <v>#NAME?</v>
      </c>
      <c r="H123" s="0" t="e">
        <f aca="false">sheet1!avp124</f>
        <v>#NAME?</v>
      </c>
      <c r="I123" s="0" t="e">
        <f aca="false">sheet1!avq124</f>
        <v>#NAME?</v>
      </c>
      <c r="J123" s="0" t="e">
        <f aca="false">sheet1!avr124</f>
        <v>#NAME?</v>
      </c>
      <c r="K123" s="0" t="e">
        <f aca="false">sheet1!avs124</f>
        <v>#NAME?</v>
      </c>
    </row>
    <row r="124" customFormat="false" ht="13.5" hidden="false" customHeight="false" outlineLevel="0" collapsed="false">
      <c r="A124" s="0" t="s">
        <v>98</v>
      </c>
      <c r="B124" s="1" t="n">
        <v>43984</v>
      </c>
      <c r="C124" s="0" t="e">
        <f aca="false">sheet1!avk125</f>
        <v>#NAME?</v>
      </c>
      <c r="D124" s="0" t="e">
        <f aca="false">sheet1!avl125</f>
        <v>#NAME?</v>
      </c>
      <c r="E124" s="0" t="e">
        <f aca="false">sheet1!avm125</f>
        <v>#NAME?</v>
      </c>
      <c r="F124" s="0" t="e">
        <f aca="false">sheet1!avn125</f>
        <v>#NAME?</v>
      </c>
      <c r="G124" s="0" t="e">
        <f aca="false">sheet1!avo125</f>
        <v>#NAME?</v>
      </c>
      <c r="H124" s="0" t="e">
        <f aca="false">sheet1!avp125</f>
        <v>#NAME?</v>
      </c>
      <c r="I124" s="0" t="e">
        <f aca="false">sheet1!avq125</f>
        <v>#NAME?</v>
      </c>
      <c r="J124" s="0" t="e">
        <f aca="false">sheet1!avr125</f>
        <v>#NAME?</v>
      </c>
      <c r="K124" s="0" t="e">
        <f aca="false">sheet1!avs125</f>
        <v>#NAME?</v>
      </c>
    </row>
    <row r="125" customFormat="false" ht="13.5" hidden="false" customHeight="false" outlineLevel="0" collapsed="false">
      <c r="A125" s="0" t="s">
        <v>98</v>
      </c>
      <c r="B125" s="1" t="n">
        <v>43985</v>
      </c>
      <c r="C125" s="0" t="e">
        <f aca="false">sheet1!avk126</f>
        <v>#NAME?</v>
      </c>
      <c r="D125" s="0" t="e">
        <f aca="false">sheet1!avl126</f>
        <v>#NAME?</v>
      </c>
      <c r="E125" s="0" t="e">
        <f aca="false">sheet1!avm126</f>
        <v>#NAME?</v>
      </c>
      <c r="F125" s="0" t="e">
        <f aca="false">sheet1!avn126</f>
        <v>#NAME?</v>
      </c>
      <c r="G125" s="0" t="e">
        <f aca="false">sheet1!avo126</f>
        <v>#NAME?</v>
      </c>
      <c r="H125" s="0" t="e">
        <f aca="false">sheet1!avp126</f>
        <v>#NAME?</v>
      </c>
      <c r="I125" s="0" t="e">
        <f aca="false">sheet1!avq126</f>
        <v>#NAME?</v>
      </c>
      <c r="J125" s="0" t="e">
        <f aca="false">sheet1!avr126</f>
        <v>#NAME?</v>
      </c>
      <c r="K125" s="0" t="e">
        <f aca="false">sheet1!avs126</f>
        <v>#NAME?</v>
      </c>
    </row>
    <row r="126" customFormat="false" ht="13.5" hidden="false" customHeight="false" outlineLevel="0" collapsed="false">
      <c r="A126" s="0" t="s">
        <v>98</v>
      </c>
      <c r="B126" s="1" t="n">
        <v>43986</v>
      </c>
      <c r="C126" s="0" t="e">
        <f aca="false">sheet1!avk127</f>
        <v>#NAME?</v>
      </c>
      <c r="D126" s="0" t="e">
        <f aca="false">sheet1!avl127</f>
        <v>#NAME?</v>
      </c>
      <c r="E126" s="0" t="e">
        <f aca="false">sheet1!avm127</f>
        <v>#NAME?</v>
      </c>
      <c r="F126" s="0" t="e">
        <f aca="false">sheet1!avn127</f>
        <v>#NAME?</v>
      </c>
      <c r="G126" s="0" t="e">
        <f aca="false">sheet1!avo127</f>
        <v>#NAME?</v>
      </c>
      <c r="H126" s="0" t="e">
        <f aca="false">sheet1!avp127</f>
        <v>#NAME?</v>
      </c>
      <c r="I126" s="0" t="e">
        <f aca="false">sheet1!avq127</f>
        <v>#NAME?</v>
      </c>
      <c r="J126" s="0" t="e">
        <f aca="false">sheet1!avr127</f>
        <v>#NAME?</v>
      </c>
      <c r="K126" s="0" t="e">
        <f aca="false">sheet1!avs127</f>
        <v>#NAME?</v>
      </c>
    </row>
    <row r="127" customFormat="false" ht="13.5" hidden="false" customHeight="false" outlineLevel="0" collapsed="false">
      <c r="A127" s="0" t="s">
        <v>98</v>
      </c>
      <c r="B127" s="1" t="n">
        <v>43987</v>
      </c>
      <c r="C127" s="0" t="e">
        <f aca="false">sheet1!avk128</f>
        <v>#NAME?</v>
      </c>
      <c r="D127" s="0" t="e">
        <f aca="false">sheet1!avl128</f>
        <v>#NAME?</v>
      </c>
      <c r="E127" s="0" t="e">
        <f aca="false">sheet1!avm128</f>
        <v>#NAME?</v>
      </c>
      <c r="F127" s="0" t="e">
        <f aca="false">sheet1!avn128</f>
        <v>#NAME?</v>
      </c>
      <c r="G127" s="0" t="e">
        <f aca="false">sheet1!avo128</f>
        <v>#NAME?</v>
      </c>
      <c r="H127" s="0" t="e">
        <f aca="false">sheet1!avp128</f>
        <v>#NAME?</v>
      </c>
      <c r="I127" s="0" t="e">
        <f aca="false">sheet1!avq128</f>
        <v>#NAME?</v>
      </c>
      <c r="J127" s="0" t="e">
        <f aca="false">sheet1!avr128</f>
        <v>#NAME?</v>
      </c>
      <c r="K127" s="0" t="e">
        <f aca="false">sheet1!avs128</f>
        <v>#NAME?</v>
      </c>
    </row>
    <row r="128" customFormat="false" ht="13.5" hidden="false" customHeight="false" outlineLevel="0" collapsed="false">
      <c r="A128" s="0" t="s">
        <v>98</v>
      </c>
      <c r="B128" s="1" t="n">
        <v>43988</v>
      </c>
      <c r="C128" s="0" t="e">
        <f aca="false">sheet1!avk129</f>
        <v>#NAME?</v>
      </c>
      <c r="D128" s="0" t="e">
        <f aca="false">sheet1!avl129</f>
        <v>#NAME?</v>
      </c>
      <c r="E128" s="0" t="e">
        <f aca="false">sheet1!avm129</f>
        <v>#NAME?</v>
      </c>
      <c r="F128" s="0" t="e">
        <f aca="false">sheet1!avn129</f>
        <v>#NAME?</v>
      </c>
      <c r="G128" s="0" t="e">
        <f aca="false">sheet1!avo129</f>
        <v>#NAME?</v>
      </c>
      <c r="H128" s="0" t="e">
        <f aca="false">sheet1!avp129</f>
        <v>#NAME?</v>
      </c>
      <c r="I128" s="0" t="e">
        <f aca="false">sheet1!avq129</f>
        <v>#NAME?</v>
      </c>
      <c r="J128" s="0" t="e">
        <f aca="false">sheet1!avr129</f>
        <v>#NAME?</v>
      </c>
      <c r="K128" s="0" t="e">
        <f aca="false">sheet1!avs129</f>
        <v>#NAME?</v>
      </c>
    </row>
    <row r="129" customFormat="false" ht="13.5" hidden="false" customHeight="false" outlineLevel="0" collapsed="false">
      <c r="A129" s="0" t="s">
        <v>98</v>
      </c>
      <c r="B129" s="1" t="n">
        <v>43989</v>
      </c>
      <c r="C129" s="0" t="e">
        <f aca="false">sheet1!avk130</f>
        <v>#NAME?</v>
      </c>
      <c r="D129" s="0" t="e">
        <f aca="false">sheet1!avl130</f>
        <v>#NAME?</v>
      </c>
      <c r="E129" s="0" t="e">
        <f aca="false">sheet1!avm130</f>
        <v>#NAME?</v>
      </c>
      <c r="F129" s="0" t="e">
        <f aca="false">sheet1!avn130</f>
        <v>#NAME?</v>
      </c>
      <c r="G129" s="0" t="e">
        <f aca="false">sheet1!avo130</f>
        <v>#NAME?</v>
      </c>
      <c r="H129" s="0" t="e">
        <f aca="false">sheet1!avp130</f>
        <v>#NAME?</v>
      </c>
      <c r="I129" s="0" t="e">
        <f aca="false">sheet1!avq130</f>
        <v>#NAME?</v>
      </c>
      <c r="J129" s="0" t="e">
        <f aca="false">sheet1!avr130</f>
        <v>#NAME?</v>
      </c>
      <c r="K129" s="0" t="e">
        <f aca="false">sheet1!avs130</f>
        <v>#NAME?</v>
      </c>
    </row>
    <row r="130" customFormat="false" ht="13.5" hidden="false" customHeight="false" outlineLevel="0" collapsed="false">
      <c r="A130" s="0" t="s">
        <v>98</v>
      </c>
      <c r="B130" s="1" t="n">
        <v>43990</v>
      </c>
      <c r="C130" s="0" t="e">
        <f aca="false">sheet1!avk131</f>
        <v>#NAME?</v>
      </c>
      <c r="D130" s="0" t="e">
        <f aca="false">sheet1!avl131</f>
        <v>#NAME?</v>
      </c>
      <c r="E130" s="0" t="e">
        <f aca="false">sheet1!avm131</f>
        <v>#NAME?</v>
      </c>
      <c r="F130" s="0" t="e">
        <f aca="false">sheet1!avn131</f>
        <v>#NAME?</v>
      </c>
      <c r="G130" s="0" t="e">
        <f aca="false">sheet1!avo131</f>
        <v>#NAME?</v>
      </c>
      <c r="H130" s="0" t="e">
        <f aca="false">sheet1!avp131</f>
        <v>#NAME?</v>
      </c>
      <c r="I130" s="0" t="e">
        <f aca="false">sheet1!avq131</f>
        <v>#NAME?</v>
      </c>
      <c r="J130" s="0" t="e">
        <f aca="false">sheet1!avr131</f>
        <v>#NAME?</v>
      </c>
      <c r="K130" s="0" t="e">
        <f aca="false">sheet1!avs131</f>
        <v>#NAME?</v>
      </c>
    </row>
    <row r="131" customFormat="false" ht="13.5" hidden="false" customHeight="false" outlineLevel="0" collapsed="false">
      <c r="A131" s="0" t="s">
        <v>98</v>
      </c>
      <c r="B131" s="1" t="n">
        <v>43991</v>
      </c>
      <c r="C131" s="0" t="e">
        <f aca="false">sheet1!avk132</f>
        <v>#NAME?</v>
      </c>
      <c r="D131" s="0" t="e">
        <f aca="false">sheet1!avl132</f>
        <v>#NAME?</v>
      </c>
      <c r="E131" s="0" t="e">
        <f aca="false">sheet1!avm132</f>
        <v>#NAME?</v>
      </c>
      <c r="F131" s="0" t="e">
        <f aca="false">sheet1!avn132</f>
        <v>#NAME?</v>
      </c>
      <c r="G131" s="0" t="e">
        <f aca="false">sheet1!avo132</f>
        <v>#NAME?</v>
      </c>
      <c r="H131" s="0" t="e">
        <f aca="false">sheet1!avp132</f>
        <v>#NAME?</v>
      </c>
      <c r="I131" s="0" t="e">
        <f aca="false">sheet1!avq132</f>
        <v>#NAME?</v>
      </c>
      <c r="J131" s="0" t="e">
        <f aca="false">sheet1!avr132</f>
        <v>#NAME?</v>
      </c>
      <c r="K131" s="0" t="e">
        <f aca="false">sheet1!avs132</f>
        <v>#NAME?</v>
      </c>
    </row>
    <row r="132" customFormat="false" ht="13.5" hidden="false" customHeight="false" outlineLevel="0" collapsed="false">
      <c r="A132" s="0" t="s">
        <v>98</v>
      </c>
      <c r="B132" s="1" t="n">
        <v>43992</v>
      </c>
      <c r="C132" s="0" t="e">
        <f aca="false">sheet1!avk133</f>
        <v>#NAME?</v>
      </c>
      <c r="D132" s="0" t="e">
        <f aca="false">sheet1!avl133</f>
        <v>#NAME?</v>
      </c>
      <c r="E132" s="0" t="e">
        <f aca="false">sheet1!avm133</f>
        <v>#NAME?</v>
      </c>
      <c r="F132" s="0" t="e">
        <f aca="false">sheet1!avn133</f>
        <v>#NAME?</v>
      </c>
      <c r="G132" s="0" t="e">
        <f aca="false">sheet1!avo133</f>
        <v>#NAME?</v>
      </c>
      <c r="H132" s="0" t="e">
        <f aca="false">sheet1!avp133</f>
        <v>#NAME?</v>
      </c>
      <c r="I132" s="0" t="e">
        <f aca="false">sheet1!avq133</f>
        <v>#NAME?</v>
      </c>
      <c r="J132" s="0" t="e">
        <f aca="false">sheet1!avr133</f>
        <v>#NAME?</v>
      </c>
      <c r="K132" s="0" t="e">
        <f aca="false">sheet1!avs133</f>
        <v>#NAME?</v>
      </c>
    </row>
    <row r="133" customFormat="false" ht="13.5" hidden="false" customHeight="false" outlineLevel="0" collapsed="false">
      <c r="A133" s="0" t="s">
        <v>98</v>
      </c>
      <c r="B133" s="1" t="n">
        <v>43993</v>
      </c>
      <c r="C133" s="0" t="e">
        <f aca="false">sheet1!avk134</f>
        <v>#NAME?</v>
      </c>
      <c r="D133" s="0" t="e">
        <f aca="false">sheet1!avl134</f>
        <v>#NAME?</v>
      </c>
      <c r="E133" s="0" t="e">
        <f aca="false">sheet1!avm134</f>
        <v>#NAME?</v>
      </c>
      <c r="F133" s="0" t="e">
        <f aca="false">sheet1!avn134</f>
        <v>#NAME?</v>
      </c>
      <c r="G133" s="0" t="e">
        <f aca="false">sheet1!avo134</f>
        <v>#NAME?</v>
      </c>
      <c r="H133" s="0" t="e">
        <f aca="false">sheet1!avp134</f>
        <v>#NAME?</v>
      </c>
      <c r="I133" s="0" t="e">
        <f aca="false">sheet1!avq134</f>
        <v>#NAME?</v>
      </c>
      <c r="J133" s="0" t="e">
        <f aca="false">sheet1!avr134</f>
        <v>#NAME?</v>
      </c>
      <c r="K133" s="0" t="e">
        <f aca="false">sheet1!avs134</f>
        <v>#NAME?</v>
      </c>
    </row>
    <row r="134" customFormat="false" ht="13.5" hidden="false" customHeight="false" outlineLevel="0" collapsed="false">
      <c r="A134" s="0" t="s">
        <v>98</v>
      </c>
      <c r="B134" s="1" t="n">
        <v>43994</v>
      </c>
      <c r="C134" s="0" t="e">
        <f aca="false">sheet1!avk135</f>
        <v>#NAME?</v>
      </c>
      <c r="D134" s="0" t="e">
        <f aca="false">sheet1!avl135</f>
        <v>#NAME?</v>
      </c>
      <c r="E134" s="0" t="e">
        <f aca="false">sheet1!avm135</f>
        <v>#NAME?</v>
      </c>
      <c r="F134" s="0" t="e">
        <f aca="false">sheet1!avn135</f>
        <v>#NAME?</v>
      </c>
      <c r="G134" s="0" t="e">
        <f aca="false">sheet1!avo135</f>
        <v>#NAME?</v>
      </c>
      <c r="H134" s="0" t="e">
        <f aca="false">sheet1!avp135</f>
        <v>#NAME?</v>
      </c>
      <c r="I134" s="0" t="e">
        <f aca="false">sheet1!avq135</f>
        <v>#NAME?</v>
      </c>
      <c r="J134" s="0" t="e">
        <f aca="false">sheet1!avr135</f>
        <v>#NAME?</v>
      </c>
      <c r="K134" s="0" t="e">
        <f aca="false">sheet1!avs135</f>
        <v>#NAME?</v>
      </c>
    </row>
    <row r="135" customFormat="false" ht="13.5" hidden="false" customHeight="false" outlineLevel="0" collapsed="false">
      <c r="A135" s="0" t="s">
        <v>98</v>
      </c>
      <c r="B135" s="1" t="n">
        <v>43995</v>
      </c>
      <c r="C135" s="0" t="e">
        <f aca="false">sheet1!avk136</f>
        <v>#NAME?</v>
      </c>
      <c r="D135" s="0" t="e">
        <f aca="false">sheet1!avl136</f>
        <v>#NAME?</v>
      </c>
      <c r="E135" s="0" t="e">
        <f aca="false">sheet1!avm136</f>
        <v>#NAME?</v>
      </c>
      <c r="F135" s="0" t="e">
        <f aca="false">sheet1!avn136</f>
        <v>#NAME?</v>
      </c>
      <c r="G135" s="0" t="e">
        <f aca="false">sheet1!avo136</f>
        <v>#NAME?</v>
      </c>
      <c r="H135" s="0" t="e">
        <f aca="false">sheet1!avp136</f>
        <v>#NAME?</v>
      </c>
      <c r="I135" s="0" t="e">
        <f aca="false">sheet1!avq136</f>
        <v>#NAME?</v>
      </c>
      <c r="J135" s="0" t="e">
        <f aca="false">sheet1!avr136</f>
        <v>#NAME?</v>
      </c>
      <c r="K135" s="0" t="e">
        <f aca="false">sheet1!avs136</f>
        <v>#NAME?</v>
      </c>
    </row>
    <row r="136" customFormat="false" ht="13.5" hidden="false" customHeight="false" outlineLevel="0" collapsed="false">
      <c r="A136" s="0" t="s">
        <v>98</v>
      </c>
      <c r="B136" s="1" t="n">
        <v>43996</v>
      </c>
      <c r="C136" s="0" t="e">
        <f aca="false">sheet1!avk137</f>
        <v>#NAME?</v>
      </c>
      <c r="D136" s="0" t="e">
        <f aca="false">sheet1!avl137</f>
        <v>#NAME?</v>
      </c>
      <c r="E136" s="0" t="e">
        <f aca="false">sheet1!avm137</f>
        <v>#NAME?</v>
      </c>
      <c r="F136" s="0" t="e">
        <f aca="false">sheet1!avn137</f>
        <v>#NAME?</v>
      </c>
      <c r="G136" s="0" t="e">
        <f aca="false">sheet1!avo137</f>
        <v>#NAME?</v>
      </c>
      <c r="H136" s="0" t="e">
        <f aca="false">sheet1!avp137</f>
        <v>#NAME?</v>
      </c>
      <c r="I136" s="0" t="e">
        <f aca="false">sheet1!avq137</f>
        <v>#NAME?</v>
      </c>
      <c r="J136" s="0" t="e">
        <f aca="false">sheet1!avr137</f>
        <v>#NAME?</v>
      </c>
      <c r="K136" s="0" t="e">
        <f aca="false">sheet1!avs137</f>
        <v>#NAME?</v>
      </c>
    </row>
    <row r="137" customFormat="false" ht="13.5" hidden="false" customHeight="false" outlineLevel="0" collapsed="false">
      <c r="A137" s="0" t="s">
        <v>98</v>
      </c>
      <c r="B137" s="1" t="n">
        <v>43997</v>
      </c>
      <c r="C137" s="0" t="e">
        <f aca="false">sheet1!avk138</f>
        <v>#NAME?</v>
      </c>
      <c r="D137" s="0" t="e">
        <f aca="false">sheet1!avl138</f>
        <v>#NAME?</v>
      </c>
      <c r="E137" s="0" t="e">
        <f aca="false">sheet1!avm138</f>
        <v>#NAME?</v>
      </c>
      <c r="F137" s="0" t="e">
        <f aca="false">sheet1!avn138</f>
        <v>#NAME?</v>
      </c>
      <c r="G137" s="0" t="e">
        <f aca="false">sheet1!avo138</f>
        <v>#NAME?</v>
      </c>
      <c r="H137" s="0" t="e">
        <f aca="false">sheet1!avp138</f>
        <v>#NAME?</v>
      </c>
      <c r="I137" s="0" t="n">
        <v>0</v>
      </c>
      <c r="J137" s="0" t="e">
        <f aca="false">sheet1!avr138</f>
        <v>#NAME?</v>
      </c>
      <c r="K137" s="0" t="e">
        <f aca="false">sheet1!avs138</f>
        <v>#NAME?</v>
      </c>
    </row>
    <row r="138" customFormat="false" ht="13.5" hidden="false" customHeight="false" outlineLevel="0" collapsed="false">
      <c r="A138" s="0" t="s">
        <v>98</v>
      </c>
      <c r="B138" s="1" t="n">
        <v>43998</v>
      </c>
      <c r="C138" s="0" t="e">
        <f aca="false">sheet1!avk139</f>
        <v>#NAME?</v>
      </c>
      <c r="D138" s="0" t="e">
        <f aca="false">sheet1!avl139</f>
        <v>#NAME?</v>
      </c>
      <c r="E138" s="0" t="e">
        <f aca="false">sheet1!avm139</f>
        <v>#NAME?</v>
      </c>
      <c r="F138" s="0" t="e">
        <f aca="false">sheet1!avn139</f>
        <v>#NAME?</v>
      </c>
      <c r="G138" s="0" t="e">
        <f aca="false">sheet1!avo139</f>
        <v>#NAME?</v>
      </c>
      <c r="H138" s="0" t="e">
        <f aca="false">sheet1!avp139</f>
        <v>#NAME?</v>
      </c>
      <c r="I138" s="0" t="e">
        <f aca="false">sheet1!avq139</f>
        <v>#NAME?</v>
      </c>
      <c r="J138" s="0" t="e">
        <f aca="false">sheet1!avr139</f>
        <v>#NAME?</v>
      </c>
      <c r="K138" s="0" t="e">
        <f aca="false">sheet1!avs139</f>
        <v>#NAME?</v>
      </c>
    </row>
    <row r="139" customFormat="false" ht="13.5" hidden="false" customHeight="false" outlineLevel="0" collapsed="false">
      <c r="A139" s="0" t="s">
        <v>98</v>
      </c>
      <c r="B139" s="1" t="n">
        <v>43999</v>
      </c>
      <c r="C139" s="0" t="e">
        <f aca="false">sheet1!avk140</f>
        <v>#NAME?</v>
      </c>
      <c r="D139" s="0" t="e">
        <f aca="false">sheet1!avl140</f>
        <v>#NAME?</v>
      </c>
      <c r="E139" s="0" t="e">
        <f aca="false">sheet1!avm140</f>
        <v>#NAME?</v>
      </c>
      <c r="F139" s="0" t="e">
        <f aca="false">sheet1!avn140</f>
        <v>#NAME?</v>
      </c>
      <c r="G139" s="0" t="e">
        <f aca="false">sheet1!avo140</f>
        <v>#NAME?</v>
      </c>
      <c r="H139" s="0" t="e">
        <f aca="false">sheet1!avp140</f>
        <v>#NAME?</v>
      </c>
      <c r="I139" s="0" t="e">
        <f aca="false">sheet1!avq140</f>
        <v>#NAME?</v>
      </c>
      <c r="J139" s="0" t="e">
        <f aca="false">sheet1!avr140</f>
        <v>#NAME?</v>
      </c>
      <c r="K139" s="0" t="e">
        <f aca="false">sheet1!avs140</f>
        <v>#NAME?</v>
      </c>
    </row>
    <row r="140" customFormat="false" ht="13.5" hidden="false" customHeight="false" outlineLevel="0" collapsed="false">
      <c r="A140" s="0" t="s">
        <v>98</v>
      </c>
      <c r="B140" s="1" t="n">
        <v>44000</v>
      </c>
      <c r="C140" s="0" t="e">
        <f aca="false">sheet1!avk141</f>
        <v>#NAME?</v>
      </c>
      <c r="D140" s="0" t="e">
        <f aca="false">sheet1!avl141</f>
        <v>#NAME?</v>
      </c>
      <c r="E140" s="0" t="e">
        <f aca="false">sheet1!avm141</f>
        <v>#NAME?</v>
      </c>
      <c r="F140" s="0" t="e">
        <f aca="false">sheet1!avn141</f>
        <v>#NAME?</v>
      </c>
      <c r="G140" s="0" t="e">
        <f aca="false">sheet1!avo141</f>
        <v>#NAME?</v>
      </c>
      <c r="H140" s="0" t="e">
        <f aca="false">sheet1!avp141</f>
        <v>#NAME?</v>
      </c>
      <c r="I140" s="0" t="e">
        <f aca="false">sheet1!avq141</f>
        <v>#NAME?</v>
      </c>
      <c r="J140" s="0" t="e">
        <f aca="false">sheet1!avr141</f>
        <v>#NAME?</v>
      </c>
      <c r="K140" s="0" t="e">
        <f aca="false">sheet1!avs141</f>
        <v>#NAME?</v>
      </c>
    </row>
    <row r="141" customFormat="false" ht="13.5" hidden="false" customHeight="false" outlineLevel="0" collapsed="false">
      <c r="A141" s="0" t="s">
        <v>98</v>
      </c>
      <c r="B141" s="1" t="n">
        <v>44001</v>
      </c>
      <c r="C141" s="0" t="e">
        <f aca="false">sheet1!avk142</f>
        <v>#NAME?</v>
      </c>
      <c r="D141" s="0" t="e">
        <f aca="false">sheet1!avl142</f>
        <v>#NAME?</v>
      </c>
      <c r="E141" s="0" t="e">
        <f aca="false">sheet1!avm142</f>
        <v>#NAME?</v>
      </c>
      <c r="F141" s="0" t="e">
        <f aca="false">sheet1!avn142</f>
        <v>#NAME?</v>
      </c>
      <c r="G141" s="0" t="e">
        <f aca="false">sheet1!avo142</f>
        <v>#NAME?</v>
      </c>
      <c r="H141" s="0" t="e">
        <f aca="false">sheet1!avp142</f>
        <v>#NAME?</v>
      </c>
      <c r="I141" s="0" t="e">
        <f aca="false">sheet1!avq142</f>
        <v>#NAME?</v>
      </c>
      <c r="J141" s="0" t="e">
        <f aca="false">sheet1!avr142</f>
        <v>#NAME?</v>
      </c>
      <c r="K141" s="0" t="e">
        <f aca="false">sheet1!avs142</f>
        <v>#NAME?</v>
      </c>
    </row>
    <row r="142" customFormat="false" ht="13.5" hidden="false" customHeight="false" outlineLevel="0" collapsed="false">
      <c r="A142" s="0" t="s">
        <v>98</v>
      </c>
      <c r="B142" s="1" t="n">
        <v>44002</v>
      </c>
      <c r="C142" s="0" t="e">
        <f aca="false">sheet1!avk143</f>
        <v>#NAME?</v>
      </c>
      <c r="D142" s="0" t="e">
        <f aca="false">sheet1!avl143</f>
        <v>#NAME?</v>
      </c>
      <c r="E142" s="0" t="e">
        <f aca="false">sheet1!avm143</f>
        <v>#NAME?</v>
      </c>
      <c r="F142" s="0" t="e">
        <f aca="false">sheet1!avn143</f>
        <v>#NAME?</v>
      </c>
      <c r="G142" s="0" t="e">
        <f aca="false">sheet1!avo143</f>
        <v>#NAME?</v>
      </c>
      <c r="H142" s="0" t="e">
        <f aca="false">sheet1!avp143</f>
        <v>#NAME?</v>
      </c>
      <c r="I142" s="0" t="e">
        <f aca="false">sheet1!avq143</f>
        <v>#NAME?</v>
      </c>
      <c r="J142" s="0" t="e">
        <f aca="false">sheet1!avr143</f>
        <v>#NAME?</v>
      </c>
      <c r="K142" s="0" t="e">
        <f aca="false">sheet1!avs143</f>
        <v>#NAME?</v>
      </c>
    </row>
    <row r="143" customFormat="false" ht="13.5" hidden="false" customHeight="false" outlineLevel="0" collapsed="false">
      <c r="A143" s="0" t="s">
        <v>98</v>
      </c>
      <c r="B143" s="1" t="n">
        <v>44003</v>
      </c>
      <c r="C143" s="0" t="e">
        <f aca="false">sheet1!avk144</f>
        <v>#NAME?</v>
      </c>
      <c r="D143" s="0" t="e">
        <f aca="false">sheet1!avl144</f>
        <v>#NAME?</v>
      </c>
      <c r="E143" s="0" t="e">
        <f aca="false">sheet1!avm144</f>
        <v>#NAME?</v>
      </c>
      <c r="F143" s="0" t="e">
        <f aca="false">sheet1!avn144</f>
        <v>#NAME?</v>
      </c>
      <c r="G143" s="0" t="e">
        <f aca="false">sheet1!avo144</f>
        <v>#NAME?</v>
      </c>
      <c r="H143" s="0" t="e">
        <f aca="false">sheet1!avp144</f>
        <v>#NAME?</v>
      </c>
      <c r="I143" s="0" t="e">
        <f aca="false">sheet1!avq144</f>
        <v>#NAME?</v>
      </c>
      <c r="J143" s="0" t="e">
        <f aca="false">sheet1!avr144</f>
        <v>#NAME?</v>
      </c>
      <c r="K143" s="0" t="e">
        <f aca="false">sheet1!avs144</f>
        <v>#NAME?</v>
      </c>
    </row>
    <row r="144" customFormat="false" ht="13.5" hidden="false" customHeight="false" outlineLevel="0" collapsed="false">
      <c r="A144" s="0" t="s">
        <v>98</v>
      </c>
      <c r="B144" s="1" t="n">
        <v>44004</v>
      </c>
      <c r="C144" s="0" t="e">
        <f aca="false">sheet1!avk145</f>
        <v>#NAME?</v>
      </c>
      <c r="D144" s="0" t="e">
        <f aca="false">sheet1!avl145</f>
        <v>#NAME?</v>
      </c>
      <c r="E144" s="0" t="e">
        <f aca="false">sheet1!avm145</f>
        <v>#NAME?</v>
      </c>
      <c r="F144" s="0" t="e">
        <f aca="false">sheet1!avn145</f>
        <v>#NAME?</v>
      </c>
      <c r="G144" s="0" t="e">
        <f aca="false">sheet1!avo145</f>
        <v>#NAME?</v>
      </c>
      <c r="H144" s="0" t="e">
        <f aca="false">sheet1!avp145</f>
        <v>#NAME?</v>
      </c>
      <c r="I144" s="0" t="e">
        <f aca="false">sheet1!avq145</f>
        <v>#NAME?</v>
      </c>
      <c r="J144" s="0" t="e">
        <f aca="false">sheet1!avr145</f>
        <v>#NAME?</v>
      </c>
      <c r="K144" s="0" t="e">
        <f aca="false">sheet1!avs145</f>
        <v>#NAME?</v>
      </c>
    </row>
    <row r="145" customFormat="false" ht="13.5" hidden="false" customHeight="false" outlineLevel="0" collapsed="false">
      <c r="A145" s="0" t="s">
        <v>98</v>
      </c>
      <c r="B145" s="1" t="n">
        <v>44005</v>
      </c>
      <c r="C145" s="0" t="e">
        <f aca="false">sheet1!avk146</f>
        <v>#NAME?</v>
      </c>
      <c r="D145" s="0" t="e">
        <f aca="false">sheet1!avl146</f>
        <v>#NAME?</v>
      </c>
      <c r="E145" s="0" t="e">
        <f aca="false">sheet1!avm146</f>
        <v>#NAME?</v>
      </c>
      <c r="F145" s="0" t="e">
        <f aca="false">sheet1!avn146</f>
        <v>#NAME?</v>
      </c>
      <c r="G145" s="0" t="e">
        <f aca="false">sheet1!avo146</f>
        <v>#NAME?</v>
      </c>
      <c r="H145" s="0" t="e">
        <f aca="false">sheet1!avp146</f>
        <v>#NAME?</v>
      </c>
      <c r="I145" s="0" t="e">
        <f aca="false">sheet1!avq146</f>
        <v>#NAME?</v>
      </c>
      <c r="J145" s="0" t="e">
        <f aca="false">sheet1!avr146</f>
        <v>#NAME?</v>
      </c>
      <c r="K145" s="0" t="e">
        <f aca="false">sheet1!avs146</f>
        <v>#NAME?</v>
      </c>
    </row>
    <row r="146" customFormat="false" ht="13.5" hidden="false" customHeight="false" outlineLevel="0" collapsed="false">
      <c r="A146" s="0" t="s">
        <v>98</v>
      </c>
      <c r="B146" s="1" t="n">
        <v>44006</v>
      </c>
      <c r="C146" s="0" t="e">
        <f aca="false">sheet1!avk147</f>
        <v>#NAME?</v>
      </c>
      <c r="D146" s="0" t="e">
        <f aca="false">sheet1!avl147</f>
        <v>#NAME?</v>
      </c>
      <c r="E146" s="0" t="e">
        <f aca="false">sheet1!avm147</f>
        <v>#NAME?</v>
      </c>
      <c r="F146" s="0" t="e">
        <f aca="false">sheet1!avn147</f>
        <v>#NAME?</v>
      </c>
      <c r="G146" s="0" t="e">
        <f aca="false">sheet1!avo147</f>
        <v>#NAME?</v>
      </c>
      <c r="H146" s="0" t="e">
        <f aca="false">sheet1!avp147</f>
        <v>#NAME?</v>
      </c>
      <c r="I146" s="0" t="e">
        <f aca="false">sheet1!avq147</f>
        <v>#NAME?</v>
      </c>
      <c r="J146" s="0" t="e">
        <f aca="false">sheet1!avr147</f>
        <v>#NAME?</v>
      </c>
      <c r="K146" s="0" t="e">
        <f aca="false">sheet1!avs147</f>
        <v>#NAME?</v>
      </c>
    </row>
    <row r="147" customFormat="false" ht="13.5" hidden="false" customHeight="false" outlineLevel="0" collapsed="false">
      <c r="A147" s="0" t="s">
        <v>98</v>
      </c>
      <c r="B147" s="1" t="n">
        <v>44007</v>
      </c>
      <c r="C147" s="0" t="e">
        <f aca="false">sheet1!avk148</f>
        <v>#NAME?</v>
      </c>
      <c r="D147" s="0" t="e">
        <f aca="false">sheet1!avl148</f>
        <v>#NAME?</v>
      </c>
      <c r="E147" s="0" t="e">
        <f aca="false">sheet1!avm148</f>
        <v>#NAME?</v>
      </c>
      <c r="F147" s="0" t="e">
        <f aca="false">sheet1!avn148</f>
        <v>#NAME?</v>
      </c>
      <c r="G147" s="0" t="e">
        <f aca="false">sheet1!avo148</f>
        <v>#NAME?</v>
      </c>
      <c r="H147" s="0" t="e">
        <f aca="false">sheet1!avp148</f>
        <v>#NAME?</v>
      </c>
      <c r="I147" s="0" t="e">
        <f aca="false">sheet1!avq148</f>
        <v>#NAME?</v>
      </c>
      <c r="J147" s="0" t="e">
        <f aca="false">sheet1!avr148</f>
        <v>#NAME?</v>
      </c>
      <c r="K147" s="0" t="e">
        <f aca="false">sheet1!avs148</f>
        <v>#NAME?</v>
      </c>
    </row>
    <row r="148" customFormat="false" ht="13.5" hidden="false" customHeight="false" outlineLevel="0" collapsed="false">
      <c r="A148" s="0" t="s">
        <v>98</v>
      </c>
      <c r="B148" s="1" t="n">
        <v>44008</v>
      </c>
      <c r="C148" s="0" t="e">
        <f aca="false">sheet1!avk149</f>
        <v>#NAME?</v>
      </c>
      <c r="D148" s="0" t="e">
        <f aca="false">sheet1!avl149</f>
        <v>#NAME?</v>
      </c>
      <c r="E148" s="0" t="e">
        <f aca="false">sheet1!avm149</f>
        <v>#NAME?</v>
      </c>
      <c r="F148" s="0" t="e">
        <f aca="false">sheet1!avn149</f>
        <v>#NAME?</v>
      </c>
      <c r="G148" s="0" t="e">
        <f aca="false">sheet1!avo149</f>
        <v>#NAME?</v>
      </c>
      <c r="H148" s="0" t="e">
        <f aca="false">sheet1!avp149</f>
        <v>#NAME?</v>
      </c>
      <c r="I148" s="0" t="e">
        <f aca="false">sheet1!avq149</f>
        <v>#NAME?</v>
      </c>
      <c r="J148" s="0" t="e">
        <f aca="false">sheet1!avr149</f>
        <v>#NAME?</v>
      </c>
      <c r="K148" s="0" t="e">
        <f aca="false">sheet1!avs149</f>
        <v>#NAME?</v>
      </c>
    </row>
    <row r="149" customFormat="false" ht="13.5" hidden="false" customHeight="false" outlineLevel="0" collapsed="false">
      <c r="A149" s="0" t="s">
        <v>98</v>
      </c>
      <c r="B149" s="1" t="n">
        <v>44009</v>
      </c>
      <c r="C149" s="0" t="e">
        <f aca="false">sheet1!avk150</f>
        <v>#NAME?</v>
      </c>
      <c r="D149" s="0" t="e">
        <f aca="false">sheet1!avl150</f>
        <v>#NAME?</v>
      </c>
      <c r="E149" s="0" t="e">
        <f aca="false">sheet1!avm150</f>
        <v>#NAME?</v>
      </c>
      <c r="F149" s="0" t="e">
        <f aca="false">sheet1!avn150</f>
        <v>#NAME?</v>
      </c>
      <c r="G149" s="0" t="e">
        <f aca="false">sheet1!avo150</f>
        <v>#NAME?</v>
      </c>
      <c r="H149" s="0" t="e">
        <f aca="false">sheet1!avp150</f>
        <v>#NAME?</v>
      </c>
      <c r="I149" s="0" t="e">
        <f aca="false">sheet1!avq150</f>
        <v>#NAME?</v>
      </c>
      <c r="J149" s="0" t="e">
        <f aca="false">sheet1!avr150</f>
        <v>#NAME?</v>
      </c>
      <c r="K149" s="0" t="e">
        <f aca="false">sheet1!avs150</f>
        <v>#NAME?</v>
      </c>
    </row>
    <row r="150" customFormat="false" ht="13.5" hidden="false" customHeight="false" outlineLevel="0" collapsed="false">
      <c r="A150" s="0" t="s">
        <v>98</v>
      </c>
      <c r="B150" s="1" t="n">
        <v>44010</v>
      </c>
      <c r="C150" s="0" t="e">
        <f aca="false">sheet1!avk151</f>
        <v>#NAME?</v>
      </c>
      <c r="D150" s="0" t="e">
        <f aca="false">sheet1!avl151</f>
        <v>#NAME?</v>
      </c>
      <c r="E150" s="0" t="e">
        <f aca="false">sheet1!avm151</f>
        <v>#NAME?</v>
      </c>
      <c r="F150" s="0" t="e">
        <f aca="false">sheet1!avn151</f>
        <v>#NAME?</v>
      </c>
      <c r="G150" s="0" t="e">
        <f aca="false">sheet1!avo151</f>
        <v>#NAME?</v>
      </c>
      <c r="H150" s="0" t="e">
        <f aca="false">sheet1!avp151</f>
        <v>#NAME?</v>
      </c>
      <c r="I150" s="0" t="e">
        <f aca="false">sheet1!avq151</f>
        <v>#NAME?</v>
      </c>
      <c r="J150" s="0" t="e">
        <f aca="false">sheet1!avr151</f>
        <v>#NAME?</v>
      </c>
      <c r="K150" s="0" t="e">
        <f aca="false">sheet1!avs151</f>
        <v>#NAME?</v>
      </c>
    </row>
    <row r="151" customFormat="false" ht="13.5" hidden="false" customHeight="false" outlineLevel="0" collapsed="false">
      <c r="A151" s="0" t="s">
        <v>98</v>
      </c>
      <c r="B151" s="1" t="n">
        <v>44011</v>
      </c>
      <c r="C151" s="0" t="e">
        <f aca="false">sheet1!avk152</f>
        <v>#NAME?</v>
      </c>
      <c r="D151" s="0" t="e">
        <f aca="false">sheet1!avl152</f>
        <v>#NAME?</v>
      </c>
      <c r="E151" s="0" t="e">
        <f aca="false">sheet1!avm152</f>
        <v>#NAME?</v>
      </c>
      <c r="F151" s="0" t="e">
        <f aca="false">sheet1!avn152</f>
        <v>#NAME?</v>
      </c>
      <c r="G151" s="0" t="e">
        <f aca="false">sheet1!avo152</f>
        <v>#NAME?</v>
      </c>
      <c r="H151" s="0" t="e">
        <f aca="false">sheet1!avp152</f>
        <v>#NAME?</v>
      </c>
      <c r="I151" s="0" t="e">
        <f aca="false">sheet1!avq152</f>
        <v>#NAME?</v>
      </c>
      <c r="J151" s="0" t="e">
        <f aca="false">sheet1!avr152</f>
        <v>#NAME?</v>
      </c>
      <c r="K151" s="0" t="e">
        <f aca="false">sheet1!avs152</f>
        <v>#NAME?</v>
      </c>
    </row>
    <row r="152" customFormat="false" ht="13.5" hidden="false" customHeight="false" outlineLevel="0" collapsed="false">
      <c r="A152" s="0" t="s">
        <v>98</v>
      </c>
      <c r="B152" s="1" t="n">
        <v>44012</v>
      </c>
      <c r="C152" s="0" t="e">
        <f aca="false">sheet1!avk153</f>
        <v>#NAME?</v>
      </c>
      <c r="D152" s="0" t="e">
        <f aca="false">sheet1!avl153</f>
        <v>#NAME?</v>
      </c>
      <c r="E152" s="0" t="e">
        <f aca="false">sheet1!avm153</f>
        <v>#NAME?</v>
      </c>
      <c r="F152" s="0" t="e">
        <f aca="false">sheet1!avn153</f>
        <v>#NAME?</v>
      </c>
      <c r="G152" s="0" t="e">
        <f aca="false">sheet1!avo153</f>
        <v>#NAME?</v>
      </c>
      <c r="H152" s="0" t="e">
        <f aca="false">sheet1!avp153</f>
        <v>#NAME?</v>
      </c>
      <c r="I152" s="0" t="e">
        <f aca="false">sheet1!avq153</f>
        <v>#NAME?</v>
      </c>
      <c r="J152" s="0" t="e">
        <f aca="false">sheet1!avr153</f>
        <v>#NAME?</v>
      </c>
      <c r="K152" s="0" t="e">
        <f aca="false">sheet1!avs153</f>
        <v>#NAME?</v>
      </c>
    </row>
    <row r="153" customFormat="false" ht="13.5" hidden="false" customHeight="false" outlineLevel="0" collapsed="false">
      <c r="A153" s="0" t="s">
        <v>98</v>
      </c>
      <c r="B153" s="1" t="n">
        <v>44013</v>
      </c>
      <c r="C153" s="0" t="e">
        <f aca="false">sheet1!avk154</f>
        <v>#NAME?</v>
      </c>
      <c r="D153" s="0" t="e">
        <f aca="false">sheet1!avl154</f>
        <v>#NAME?</v>
      </c>
      <c r="E153" s="0" t="e">
        <f aca="false">sheet1!avm154</f>
        <v>#NAME?</v>
      </c>
      <c r="F153" s="0" t="e">
        <f aca="false">sheet1!avn154</f>
        <v>#NAME?</v>
      </c>
      <c r="G153" s="0" t="e">
        <f aca="false">sheet1!avo154</f>
        <v>#NAME?</v>
      </c>
      <c r="H153" s="0" t="e">
        <f aca="false">sheet1!avp154</f>
        <v>#NAME?</v>
      </c>
      <c r="I153" s="0" t="e">
        <f aca="false">sheet1!avq154</f>
        <v>#NAME?</v>
      </c>
      <c r="J153" s="0" t="e">
        <f aca="false">sheet1!avr154</f>
        <v>#NAME?</v>
      </c>
      <c r="K153" s="0" t="e">
        <f aca="false">sheet1!avs154</f>
        <v>#NAME?</v>
      </c>
    </row>
    <row r="154" customFormat="false" ht="13.5" hidden="false" customHeight="false" outlineLevel="0" collapsed="false">
      <c r="A154" s="0" t="s">
        <v>98</v>
      </c>
      <c r="B154" s="1" t="n">
        <v>44014</v>
      </c>
      <c r="C154" s="0" t="e">
        <f aca="false">sheet1!avk155</f>
        <v>#NAME?</v>
      </c>
      <c r="D154" s="0" t="e">
        <f aca="false">sheet1!avl155</f>
        <v>#NAME?</v>
      </c>
      <c r="E154" s="0" t="e">
        <f aca="false">sheet1!avm155</f>
        <v>#NAME?</v>
      </c>
      <c r="F154" s="0" t="e">
        <f aca="false">sheet1!avn155</f>
        <v>#NAME?</v>
      </c>
      <c r="G154" s="0" t="e">
        <f aca="false">sheet1!avo155</f>
        <v>#NAME?</v>
      </c>
      <c r="H154" s="0" t="e">
        <f aca="false">sheet1!avp155</f>
        <v>#NAME?</v>
      </c>
      <c r="I154" s="0" t="e">
        <f aca="false">sheet1!avq155</f>
        <v>#NAME?</v>
      </c>
      <c r="J154" s="0" t="e">
        <f aca="false">sheet1!avr155</f>
        <v>#NAME?</v>
      </c>
      <c r="K154" s="0" t="e">
        <f aca="false">sheet1!avs155</f>
        <v>#NAME?</v>
      </c>
    </row>
    <row r="155" customFormat="false" ht="13.5" hidden="false" customHeight="false" outlineLevel="0" collapsed="false">
      <c r="A155" s="0" t="s">
        <v>98</v>
      </c>
      <c r="B155" s="1" t="n">
        <v>44015</v>
      </c>
      <c r="C155" s="0" t="e">
        <f aca="false">sheet1!avk156</f>
        <v>#NAME?</v>
      </c>
      <c r="D155" s="0" t="e">
        <f aca="false">sheet1!avl156</f>
        <v>#NAME?</v>
      </c>
      <c r="E155" s="0" t="e">
        <f aca="false">sheet1!avm156</f>
        <v>#NAME?</v>
      </c>
      <c r="F155" s="0" t="e">
        <f aca="false">sheet1!avn156</f>
        <v>#NAME?</v>
      </c>
      <c r="G155" s="0" t="e">
        <f aca="false">sheet1!avo156</f>
        <v>#NAME?</v>
      </c>
      <c r="H155" s="0" t="e">
        <f aca="false">sheet1!avp156</f>
        <v>#NAME?</v>
      </c>
      <c r="I155" s="0" t="e">
        <f aca="false">sheet1!avq156</f>
        <v>#NAME?</v>
      </c>
      <c r="J155" s="0" t="e">
        <f aca="false">sheet1!avr156</f>
        <v>#NAME?</v>
      </c>
      <c r="K155" s="0" t="e">
        <f aca="false">sheet1!avs156</f>
        <v>#NAME?</v>
      </c>
    </row>
    <row r="156" customFormat="false" ht="13.5" hidden="false" customHeight="false" outlineLevel="0" collapsed="false">
      <c r="A156" s="0" t="s">
        <v>98</v>
      </c>
      <c r="B156" s="1" t="n">
        <v>44016</v>
      </c>
      <c r="C156" s="0" t="e">
        <f aca="false">sheet1!avk157</f>
        <v>#NAME?</v>
      </c>
      <c r="D156" s="0" t="e">
        <f aca="false">sheet1!avl157</f>
        <v>#NAME?</v>
      </c>
      <c r="E156" s="0" t="e">
        <f aca="false">sheet1!avm157</f>
        <v>#NAME?</v>
      </c>
      <c r="F156" s="0" t="e">
        <f aca="false">sheet1!avn157</f>
        <v>#NAME?</v>
      </c>
      <c r="G156" s="0" t="e">
        <f aca="false">sheet1!avo157</f>
        <v>#NAME?</v>
      </c>
      <c r="H156" s="0" t="e">
        <f aca="false">sheet1!avp157</f>
        <v>#NAME?</v>
      </c>
      <c r="I156" s="0" t="e">
        <f aca="false">sheet1!avq157</f>
        <v>#NAME?</v>
      </c>
      <c r="J156" s="0" t="e">
        <f aca="false">sheet1!avr157</f>
        <v>#NAME?</v>
      </c>
      <c r="K156" s="0" t="e">
        <f aca="false">sheet1!avs157</f>
        <v>#NAME?</v>
      </c>
    </row>
    <row r="157" customFormat="false" ht="13.5" hidden="false" customHeight="false" outlineLevel="0" collapsed="false">
      <c r="A157" s="0" t="s">
        <v>98</v>
      </c>
      <c r="B157" s="1" t="n">
        <v>44017</v>
      </c>
      <c r="C157" s="0" t="e">
        <f aca="false">sheet1!avk158</f>
        <v>#NAME?</v>
      </c>
      <c r="D157" s="0" t="e">
        <f aca="false">sheet1!avl158</f>
        <v>#NAME?</v>
      </c>
      <c r="E157" s="0" t="e">
        <f aca="false">sheet1!avm158</f>
        <v>#NAME?</v>
      </c>
      <c r="F157" s="0" t="e">
        <f aca="false">sheet1!avn158</f>
        <v>#NAME?</v>
      </c>
      <c r="G157" s="0" t="e">
        <f aca="false">sheet1!avo158</f>
        <v>#NAME?</v>
      </c>
      <c r="H157" s="0" t="e">
        <f aca="false">sheet1!avp158</f>
        <v>#NAME?</v>
      </c>
      <c r="I157" s="0" t="e">
        <f aca="false">sheet1!avq158</f>
        <v>#NAME?</v>
      </c>
      <c r="J157" s="0" t="e">
        <f aca="false">sheet1!avr158</f>
        <v>#NAME?</v>
      </c>
      <c r="K157" s="0" t="e">
        <f aca="false">sheet1!avs158</f>
        <v>#NAME?</v>
      </c>
    </row>
    <row r="158" customFormat="false" ht="13.5" hidden="false" customHeight="false" outlineLevel="0" collapsed="false">
      <c r="A158" s="0" t="s">
        <v>98</v>
      </c>
      <c r="B158" s="1" t="n">
        <v>44018</v>
      </c>
      <c r="C158" s="0" t="e">
        <f aca="false">sheet1!avk159</f>
        <v>#NAME?</v>
      </c>
      <c r="D158" s="0" t="e">
        <f aca="false">sheet1!avl159</f>
        <v>#NAME?</v>
      </c>
      <c r="E158" s="0" t="e">
        <f aca="false">sheet1!avm159</f>
        <v>#NAME?</v>
      </c>
      <c r="F158" s="0" t="e">
        <f aca="false">sheet1!avn159</f>
        <v>#NAME?</v>
      </c>
      <c r="G158" s="0" t="e">
        <f aca="false">sheet1!avo159</f>
        <v>#NAME?</v>
      </c>
      <c r="H158" s="0" t="e">
        <f aca="false">sheet1!avp159</f>
        <v>#NAME?</v>
      </c>
      <c r="I158" s="0" t="e">
        <f aca="false">sheet1!avq159</f>
        <v>#NAME?</v>
      </c>
      <c r="J158" s="0" t="e">
        <f aca="false">sheet1!avr159</f>
        <v>#NAME?</v>
      </c>
      <c r="K158" s="0" t="e">
        <f aca="false">sheet1!avs159</f>
        <v>#NAME?</v>
      </c>
    </row>
    <row r="159" customFormat="false" ht="13.5" hidden="false" customHeight="false" outlineLevel="0" collapsed="false">
      <c r="A159" s="0" t="s">
        <v>98</v>
      </c>
      <c r="B159" s="1" t="n">
        <v>44019</v>
      </c>
      <c r="C159" s="0" t="e">
        <f aca="false">sheet1!avk160</f>
        <v>#NAME?</v>
      </c>
      <c r="D159" s="0" t="e">
        <f aca="false">sheet1!avl160</f>
        <v>#NAME?</v>
      </c>
      <c r="E159" s="0" t="e">
        <f aca="false">sheet1!avm160</f>
        <v>#NAME?</v>
      </c>
      <c r="F159" s="0" t="e">
        <f aca="false">sheet1!avn160</f>
        <v>#NAME?</v>
      </c>
      <c r="G159" s="0" t="e">
        <f aca="false">sheet1!avo160</f>
        <v>#NAME?</v>
      </c>
      <c r="H159" s="0" t="e">
        <f aca="false">sheet1!avp160</f>
        <v>#NAME?</v>
      </c>
      <c r="I159" s="0" t="e">
        <f aca="false">sheet1!avq160</f>
        <v>#NAME?</v>
      </c>
      <c r="J159" s="0" t="e">
        <f aca="false">sheet1!avr160</f>
        <v>#NAME?</v>
      </c>
      <c r="K159" s="0" t="e">
        <f aca="false">sheet1!avs160</f>
        <v>#NAME?</v>
      </c>
    </row>
    <row r="160" customFormat="false" ht="13.5" hidden="false" customHeight="false" outlineLevel="0" collapsed="false">
      <c r="A160" s="0" t="s">
        <v>98</v>
      </c>
      <c r="B160" s="1" t="n">
        <v>44020</v>
      </c>
      <c r="C160" s="0" t="e">
        <f aca="false">sheet1!avk161</f>
        <v>#NAME?</v>
      </c>
      <c r="D160" s="0" t="e">
        <f aca="false">sheet1!avl161</f>
        <v>#NAME?</v>
      </c>
      <c r="E160" s="0" t="e">
        <f aca="false">sheet1!avm161</f>
        <v>#NAME?</v>
      </c>
      <c r="F160" s="0" t="e">
        <f aca="false">sheet1!avn161</f>
        <v>#NAME?</v>
      </c>
      <c r="G160" s="0" t="e">
        <f aca="false">sheet1!avo161</f>
        <v>#NAME?</v>
      </c>
      <c r="H160" s="0" t="e">
        <f aca="false">sheet1!avp161</f>
        <v>#NAME?</v>
      </c>
      <c r="I160" s="0" t="e">
        <f aca="false">sheet1!avq161</f>
        <v>#NAME?</v>
      </c>
      <c r="J160" s="0" t="e">
        <f aca="false">sheet1!avr161</f>
        <v>#NAME?</v>
      </c>
      <c r="K160" s="0" t="e">
        <f aca="false">sheet1!avs161</f>
        <v>#NAME?</v>
      </c>
    </row>
    <row r="161" customFormat="false" ht="13.5" hidden="false" customHeight="false" outlineLevel="0" collapsed="false">
      <c r="A161" s="0" t="s">
        <v>98</v>
      </c>
      <c r="B161" s="1" t="n">
        <v>44021</v>
      </c>
      <c r="C161" s="0" t="e">
        <f aca="false">sheet1!avk162</f>
        <v>#NAME?</v>
      </c>
      <c r="D161" s="0" t="e">
        <f aca="false">sheet1!avl162</f>
        <v>#NAME?</v>
      </c>
      <c r="E161" s="0" t="e">
        <f aca="false">sheet1!avm162</f>
        <v>#NAME?</v>
      </c>
      <c r="F161" s="0" t="e">
        <f aca="false">sheet1!avn162</f>
        <v>#NAME?</v>
      </c>
      <c r="G161" s="0" t="e">
        <f aca="false">sheet1!avo162</f>
        <v>#NAME?</v>
      </c>
      <c r="H161" s="0" t="e">
        <f aca="false">sheet1!avp162</f>
        <v>#NAME?</v>
      </c>
      <c r="I161" s="0" t="e">
        <f aca="false">sheet1!avq162</f>
        <v>#NAME?</v>
      </c>
      <c r="J161" s="0" t="e">
        <f aca="false">sheet1!avr162</f>
        <v>#NAME?</v>
      </c>
      <c r="K161" s="0" t="e">
        <f aca="false">sheet1!avs162</f>
        <v>#NAME?</v>
      </c>
    </row>
    <row r="162" customFormat="false" ht="13.5" hidden="false" customHeight="false" outlineLevel="0" collapsed="false">
      <c r="A162" s="0" t="s">
        <v>98</v>
      </c>
      <c r="B162" s="1" t="n">
        <v>44022</v>
      </c>
      <c r="C162" s="0" t="e">
        <f aca="false">sheet1!avk163</f>
        <v>#NAME?</v>
      </c>
      <c r="D162" s="0" t="e">
        <f aca="false">sheet1!avl163</f>
        <v>#NAME?</v>
      </c>
      <c r="E162" s="0" t="e">
        <f aca="false">sheet1!avm163</f>
        <v>#NAME?</v>
      </c>
      <c r="F162" s="0" t="e">
        <f aca="false">sheet1!avn163</f>
        <v>#NAME?</v>
      </c>
      <c r="G162" s="0" t="e">
        <f aca="false">sheet1!avo163</f>
        <v>#NAME?</v>
      </c>
      <c r="H162" s="0" t="e">
        <f aca="false">sheet1!avp163</f>
        <v>#NAME?</v>
      </c>
      <c r="I162" s="0" t="e">
        <f aca="false">sheet1!avq163</f>
        <v>#NAME?</v>
      </c>
      <c r="J162" s="0" t="e">
        <f aca="false">sheet1!avr163</f>
        <v>#NAME?</v>
      </c>
      <c r="K162" s="0" t="e">
        <f aca="false">sheet1!avs163</f>
        <v>#NAME?</v>
      </c>
    </row>
    <row r="163" customFormat="false" ht="13.5" hidden="false" customHeight="false" outlineLevel="0" collapsed="false">
      <c r="A163" s="0" t="s">
        <v>98</v>
      </c>
      <c r="B163" s="1" t="n">
        <v>44023</v>
      </c>
      <c r="C163" s="0" t="e">
        <f aca="false">sheet1!avk164</f>
        <v>#NAME?</v>
      </c>
      <c r="D163" s="0" t="e">
        <f aca="false">sheet1!avl164</f>
        <v>#NAME?</v>
      </c>
      <c r="E163" s="0" t="e">
        <f aca="false">sheet1!avm164</f>
        <v>#NAME?</v>
      </c>
      <c r="F163" s="0" t="e">
        <f aca="false">sheet1!avn164</f>
        <v>#NAME?</v>
      </c>
      <c r="G163" s="0" t="e">
        <f aca="false">sheet1!avo164</f>
        <v>#NAME?</v>
      </c>
      <c r="H163" s="0" t="e">
        <f aca="false">sheet1!avp164</f>
        <v>#NAME?</v>
      </c>
      <c r="I163" s="0" t="e">
        <f aca="false">sheet1!avq164</f>
        <v>#NAME?</v>
      </c>
      <c r="J163" s="0" t="e">
        <f aca="false">sheet1!avr164</f>
        <v>#NAME?</v>
      </c>
      <c r="K163" s="0" t="e">
        <f aca="false">sheet1!avs164</f>
        <v>#NAME?</v>
      </c>
    </row>
    <row r="164" customFormat="false" ht="13.5" hidden="false" customHeight="false" outlineLevel="0" collapsed="false">
      <c r="A164" s="0" t="s">
        <v>98</v>
      </c>
      <c r="B164" s="1" t="n">
        <v>44024</v>
      </c>
      <c r="C164" s="0" t="e">
        <f aca="false">sheet1!avk165</f>
        <v>#NAME?</v>
      </c>
      <c r="D164" s="0" t="e">
        <f aca="false">sheet1!avl165</f>
        <v>#NAME?</v>
      </c>
      <c r="E164" s="0" t="e">
        <f aca="false">sheet1!avm165</f>
        <v>#NAME?</v>
      </c>
      <c r="F164" s="0" t="e">
        <f aca="false">sheet1!avn165</f>
        <v>#NAME?</v>
      </c>
      <c r="G164" s="0" t="e">
        <f aca="false">sheet1!avo165</f>
        <v>#NAME?</v>
      </c>
      <c r="H164" s="0" t="e">
        <f aca="false">sheet1!avp165</f>
        <v>#NAME?</v>
      </c>
      <c r="I164" s="0" t="e">
        <f aca="false">sheet1!avq165</f>
        <v>#NAME?</v>
      </c>
      <c r="J164" s="0" t="e">
        <f aca="false">sheet1!avr165</f>
        <v>#NAME?</v>
      </c>
      <c r="K164" s="0" t="e">
        <f aca="false">sheet1!avs165</f>
        <v>#NAME?</v>
      </c>
    </row>
    <row r="165" customFormat="false" ht="13.5" hidden="false" customHeight="false" outlineLevel="0" collapsed="false">
      <c r="A165" s="0" t="s">
        <v>98</v>
      </c>
      <c r="B165" s="1" t="n">
        <v>44025</v>
      </c>
      <c r="C165" s="0" t="e">
        <f aca="false">sheet1!avk166</f>
        <v>#NAME?</v>
      </c>
      <c r="D165" s="0" t="e">
        <f aca="false">sheet1!avl166</f>
        <v>#NAME?</v>
      </c>
      <c r="E165" s="0" t="e">
        <f aca="false">sheet1!avm166</f>
        <v>#NAME?</v>
      </c>
      <c r="F165" s="0" t="e">
        <f aca="false">sheet1!avn166</f>
        <v>#NAME?</v>
      </c>
      <c r="G165" s="0" t="e">
        <f aca="false">sheet1!avo166</f>
        <v>#NAME?</v>
      </c>
      <c r="H165" s="0" t="e">
        <f aca="false">sheet1!avp166</f>
        <v>#NAME?</v>
      </c>
      <c r="I165" s="0" t="e">
        <f aca="false">sheet1!avq166</f>
        <v>#NAME?</v>
      </c>
      <c r="J165" s="0" t="e">
        <f aca="false">sheet1!avr166</f>
        <v>#NAME?</v>
      </c>
      <c r="K165" s="0" t="e">
        <f aca="false">sheet1!avs166</f>
        <v>#NAME?</v>
      </c>
    </row>
    <row r="166" customFormat="false" ht="13.5" hidden="false" customHeight="false" outlineLevel="0" collapsed="false">
      <c r="A166" s="0" t="s">
        <v>98</v>
      </c>
      <c r="B166" s="1" t="n">
        <v>44026</v>
      </c>
      <c r="C166" s="0" t="e">
        <f aca="false">sheet1!avk167</f>
        <v>#NAME?</v>
      </c>
      <c r="D166" s="0" t="e">
        <f aca="false">sheet1!avl167</f>
        <v>#NAME?</v>
      </c>
      <c r="E166" s="0" t="e">
        <f aca="false">sheet1!avm167</f>
        <v>#NAME?</v>
      </c>
      <c r="F166" s="0" t="e">
        <f aca="false">sheet1!avn167</f>
        <v>#NAME?</v>
      </c>
      <c r="G166" s="0" t="e">
        <f aca="false">sheet1!avo167</f>
        <v>#NAME?</v>
      </c>
      <c r="H166" s="0" t="e">
        <f aca="false">sheet1!avp167</f>
        <v>#NAME?</v>
      </c>
      <c r="I166" s="0" t="e">
        <f aca="false">sheet1!avq167</f>
        <v>#NAME?</v>
      </c>
      <c r="J166" s="0" t="e">
        <f aca="false">sheet1!avr167</f>
        <v>#NAME?</v>
      </c>
      <c r="K166" s="0" t="e">
        <f aca="false">sheet1!avs167</f>
        <v>#NAME?</v>
      </c>
    </row>
    <row r="167" customFormat="false" ht="13.5" hidden="false" customHeight="false" outlineLevel="0" collapsed="false">
      <c r="A167" s="0" t="s">
        <v>98</v>
      </c>
      <c r="B167" s="1" t="n">
        <v>44027</v>
      </c>
      <c r="C167" s="0" t="e">
        <f aca="false">sheet1!avk168</f>
        <v>#NAME?</v>
      </c>
      <c r="D167" s="0" t="e">
        <f aca="false">sheet1!avl168</f>
        <v>#NAME?</v>
      </c>
      <c r="E167" s="0" t="e">
        <f aca="false">sheet1!avm168</f>
        <v>#NAME?</v>
      </c>
      <c r="F167" s="0" t="e">
        <f aca="false">sheet1!avn168</f>
        <v>#NAME?</v>
      </c>
      <c r="G167" s="0" t="e">
        <f aca="false">sheet1!avo168</f>
        <v>#NAME?</v>
      </c>
      <c r="H167" s="0" t="e">
        <f aca="false">sheet1!avp168</f>
        <v>#NAME?</v>
      </c>
      <c r="I167" s="0" t="e">
        <f aca="false">sheet1!avq168</f>
        <v>#NAME?</v>
      </c>
      <c r="J167" s="0" t="e">
        <f aca="false">sheet1!avr168</f>
        <v>#NAME?</v>
      </c>
      <c r="K167" s="0" t="e">
        <f aca="false">sheet1!avs168</f>
        <v>#NAME?</v>
      </c>
    </row>
    <row r="168" customFormat="false" ht="13.5" hidden="false" customHeight="false" outlineLevel="0" collapsed="false">
      <c r="A168" s="0" t="s">
        <v>98</v>
      </c>
      <c r="B168" s="1" t="n">
        <v>44028</v>
      </c>
      <c r="C168" s="0" t="e">
        <f aca="false">sheet1!avk169</f>
        <v>#NAME?</v>
      </c>
      <c r="D168" s="0" t="e">
        <f aca="false">sheet1!avl169</f>
        <v>#NAME?</v>
      </c>
      <c r="E168" s="0" t="e">
        <f aca="false">sheet1!avm169</f>
        <v>#NAME?</v>
      </c>
      <c r="F168" s="0" t="e">
        <f aca="false">sheet1!avn169</f>
        <v>#NAME?</v>
      </c>
      <c r="G168" s="0" t="e">
        <f aca="false">sheet1!avo169</f>
        <v>#NAME?</v>
      </c>
      <c r="H168" s="0" t="e">
        <f aca="false">sheet1!avp169</f>
        <v>#NAME?</v>
      </c>
      <c r="I168" s="0" t="e">
        <f aca="false">sheet1!avq169</f>
        <v>#NAME?</v>
      </c>
      <c r="J168" s="0" t="e">
        <f aca="false">sheet1!avr169</f>
        <v>#NAME?</v>
      </c>
      <c r="K168" s="0" t="e">
        <f aca="false">sheet1!avs169</f>
        <v>#NAME?</v>
      </c>
    </row>
    <row r="169" customFormat="false" ht="13.5" hidden="false" customHeight="false" outlineLevel="0" collapsed="false">
      <c r="A169" s="0" t="s">
        <v>98</v>
      </c>
      <c r="B169" s="1" t="n">
        <v>44029</v>
      </c>
      <c r="C169" s="0" t="e">
        <f aca="false">sheet1!avk170</f>
        <v>#NAME?</v>
      </c>
      <c r="D169" s="0" t="e">
        <f aca="false">sheet1!avl170</f>
        <v>#NAME?</v>
      </c>
      <c r="E169" s="0" t="e">
        <f aca="false">sheet1!avm170</f>
        <v>#NAME?</v>
      </c>
      <c r="F169" s="0" t="e">
        <f aca="false">sheet1!avn170</f>
        <v>#NAME?</v>
      </c>
      <c r="G169" s="0" t="e">
        <f aca="false">sheet1!avo170</f>
        <v>#NAME?</v>
      </c>
      <c r="H169" s="0" t="e">
        <f aca="false">sheet1!avp170</f>
        <v>#NAME?</v>
      </c>
      <c r="I169" s="0" t="e">
        <f aca="false">sheet1!avq170</f>
        <v>#NAME?</v>
      </c>
      <c r="J169" s="0" t="e">
        <f aca="false">sheet1!avr170</f>
        <v>#NAME?</v>
      </c>
      <c r="K169" s="0" t="e">
        <f aca="false">sheet1!avs170</f>
        <v>#NAME?</v>
      </c>
    </row>
    <row r="170" customFormat="false" ht="13.5" hidden="false" customHeight="false" outlineLevel="0" collapsed="false">
      <c r="A170" s="0" t="s">
        <v>98</v>
      </c>
      <c r="B170" s="1" t="n">
        <v>44030</v>
      </c>
      <c r="C170" s="0" t="e">
        <f aca="false">sheet1!avk171</f>
        <v>#NAME?</v>
      </c>
      <c r="D170" s="0" t="e">
        <f aca="false">sheet1!avl171</f>
        <v>#NAME?</v>
      </c>
      <c r="E170" s="0" t="e">
        <f aca="false">sheet1!avm171</f>
        <v>#NAME?</v>
      </c>
      <c r="F170" s="0" t="e">
        <f aca="false">sheet1!avn171</f>
        <v>#NAME?</v>
      </c>
      <c r="G170" s="0" t="e">
        <f aca="false">sheet1!avo171</f>
        <v>#NAME?</v>
      </c>
      <c r="H170" s="0" t="e">
        <f aca="false">sheet1!avp171</f>
        <v>#NAME?</v>
      </c>
      <c r="I170" s="0" t="e">
        <f aca="false">sheet1!avq171</f>
        <v>#NAME?</v>
      </c>
      <c r="J170" s="0" t="e">
        <f aca="false">sheet1!avr171</f>
        <v>#NAME?</v>
      </c>
      <c r="K170" s="0" t="e">
        <f aca="false">sheet1!avs171</f>
        <v>#NAME?</v>
      </c>
    </row>
    <row r="171" customFormat="false" ht="13.5" hidden="false" customHeight="false" outlineLevel="0" collapsed="false">
      <c r="A171" s="0" t="s">
        <v>98</v>
      </c>
      <c r="B171" s="1" t="n">
        <v>44031</v>
      </c>
      <c r="C171" s="0" t="e">
        <f aca="false">sheet1!avk172</f>
        <v>#NAME?</v>
      </c>
      <c r="D171" s="0" t="e">
        <f aca="false">sheet1!avl172</f>
        <v>#NAME?</v>
      </c>
      <c r="E171" s="0" t="e">
        <f aca="false">sheet1!avm172</f>
        <v>#NAME?</v>
      </c>
      <c r="F171" s="0" t="e">
        <f aca="false">sheet1!avn172</f>
        <v>#NAME?</v>
      </c>
      <c r="G171" s="0" t="e">
        <f aca="false">sheet1!avo172</f>
        <v>#NAME?</v>
      </c>
      <c r="H171" s="0" t="e">
        <f aca="false">sheet1!avp172</f>
        <v>#NAME?</v>
      </c>
      <c r="I171" s="0" t="e">
        <f aca="false">sheet1!avq172</f>
        <v>#NAME?</v>
      </c>
      <c r="J171" s="0" t="e">
        <f aca="false">sheet1!avr172</f>
        <v>#NAME?</v>
      </c>
      <c r="K171" s="0" t="e">
        <f aca="false">sheet1!avs172</f>
        <v>#NAME?</v>
      </c>
    </row>
    <row r="172" customFormat="false" ht="13.5" hidden="false" customHeight="false" outlineLevel="0" collapsed="false">
      <c r="A172" s="0" t="s">
        <v>98</v>
      </c>
      <c r="B172" s="1" t="n">
        <v>44032</v>
      </c>
      <c r="C172" s="0" t="e">
        <f aca="false">sheet1!avk173</f>
        <v>#NAME?</v>
      </c>
      <c r="D172" s="0" t="e">
        <f aca="false">sheet1!avl173</f>
        <v>#NAME?</v>
      </c>
      <c r="E172" s="0" t="e">
        <f aca="false">sheet1!avm173</f>
        <v>#NAME?</v>
      </c>
      <c r="F172" s="0" t="e">
        <f aca="false">sheet1!avn173</f>
        <v>#NAME?</v>
      </c>
      <c r="G172" s="0" t="e">
        <f aca="false">sheet1!avo173</f>
        <v>#NAME?</v>
      </c>
      <c r="H172" s="0" t="e">
        <f aca="false">sheet1!avp173</f>
        <v>#NAME?</v>
      </c>
      <c r="I172" s="0" t="e">
        <f aca="false">sheet1!avq173</f>
        <v>#NAME?</v>
      </c>
      <c r="J172" s="0" t="e">
        <f aca="false">sheet1!avr173</f>
        <v>#NAME?</v>
      </c>
      <c r="K172" s="0" t="e">
        <f aca="false">sheet1!avs173</f>
        <v>#NAME?</v>
      </c>
    </row>
    <row r="173" customFormat="false" ht="13.5" hidden="false" customHeight="false" outlineLevel="0" collapsed="false">
      <c r="A173" s="0" t="s">
        <v>98</v>
      </c>
      <c r="B173" s="1" t="n">
        <v>44033</v>
      </c>
      <c r="C173" s="0" t="e">
        <f aca="false">sheet1!avk174</f>
        <v>#NAME?</v>
      </c>
      <c r="D173" s="0" t="e">
        <f aca="false">sheet1!avl174</f>
        <v>#NAME?</v>
      </c>
      <c r="E173" s="0" t="e">
        <f aca="false">sheet1!avm174</f>
        <v>#NAME?</v>
      </c>
      <c r="F173" s="0" t="e">
        <f aca="false">sheet1!avn174</f>
        <v>#NAME?</v>
      </c>
      <c r="G173" s="0" t="e">
        <f aca="false">sheet1!avo174</f>
        <v>#NAME?</v>
      </c>
      <c r="H173" s="0" t="e">
        <f aca="false">sheet1!avp174</f>
        <v>#NAME?</v>
      </c>
      <c r="I173" s="0" t="e">
        <f aca="false">sheet1!avq174</f>
        <v>#NAME?</v>
      </c>
      <c r="J173" s="0" t="e">
        <f aca="false">sheet1!avr174</f>
        <v>#NAME?</v>
      </c>
      <c r="K173" s="0" t="e">
        <f aca="false">sheet1!avs174</f>
        <v>#NAME?</v>
      </c>
    </row>
    <row r="174" customFormat="false" ht="13.5" hidden="false" customHeight="false" outlineLevel="0" collapsed="false">
      <c r="A174" s="0" t="s">
        <v>98</v>
      </c>
      <c r="B174" s="1" t="n">
        <v>44034</v>
      </c>
      <c r="C174" s="0" t="e">
        <f aca="false">sheet1!avk175</f>
        <v>#NAME?</v>
      </c>
      <c r="D174" s="0" t="e">
        <f aca="false">sheet1!avl175</f>
        <v>#NAME?</v>
      </c>
      <c r="E174" s="0" t="e">
        <f aca="false">sheet1!avm175</f>
        <v>#NAME?</v>
      </c>
      <c r="F174" s="0" t="e">
        <f aca="false">sheet1!avn175</f>
        <v>#NAME?</v>
      </c>
      <c r="G174" s="0" t="e">
        <f aca="false">sheet1!avo175</f>
        <v>#NAME?</v>
      </c>
      <c r="H174" s="0" t="e">
        <f aca="false">sheet1!avp175</f>
        <v>#NAME?</v>
      </c>
      <c r="I174" s="0" t="e">
        <f aca="false">sheet1!avq175</f>
        <v>#NAME?</v>
      </c>
      <c r="J174" s="0" t="e">
        <f aca="false">sheet1!avr175</f>
        <v>#NAME?</v>
      </c>
      <c r="K174" s="0" t="e">
        <f aca="false">sheet1!avs175</f>
        <v>#NAME?</v>
      </c>
    </row>
    <row r="175" customFormat="false" ht="13.5" hidden="false" customHeight="false" outlineLevel="0" collapsed="false">
      <c r="A175" s="0" t="s">
        <v>98</v>
      </c>
      <c r="B175" s="1" t="n">
        <v>44035</v>
      </c>
      <c r="C175" s="0" t="e">
        <f aca="false">sheet1!avk176</f>
        <v>#NAME?</v>
      </c>
      <c r="D175" s="0" t="e">
        <f aca="false">sheet1!avl176</f>
        <v>#NAME?</v>
      </c>
      <c r="E175" s="0" t="e">
        <f aca="false">sheet1!avm176</f>
        <v>#NAME?</v>
      </c>
      <c r="F175" s="0" t="e">
        <f aca="false">sheet1!avn176</f>
        <v>#NAME?</v>
      </c>
      <c r="G175" s="0" t="e">
        <f aca="false">sheet1!avo176</f>
        <v>#NAME?</v>
      </c>
      <c r="H175" s="0" t="e">
        <f aca="false">sheet1!avp176</f>
        <v>#NAME?</v>
      </c>
      <c r="I175" s="0" t="e">
        <f aca="false">sheet1!avq176</f>
        <v>#NAME?</v>
      </c>
      <c r="J175" s="0" t="e">
        <f aca="false">sheet1!avr176</f>
        <v>#NAME?</v>
      </c>
      <c r="K175" s="0" t="e">
        <f aca="false">sheet1!avs176</f>
        <v>#NAME?</v>
      </c>
    </row>
    <row r="176" customFormat="false" ht="13.5" hidden="false" customHeight="false" outlineLevel="0" collapsed="false">
      <c r="A176" s="0" t="s">
        <v>98</v>
      </c>
      <c r="B176" s="1" t="n">
        <v>44036</v>
      </c>
      <c r="C176" s="0" t="e">
        <f aca="false">sheet1!avk177</f>
        <v>#NAME?</v>
      </c>
      <c r="D176" s="0" t="e">
        <f aca="false">sheet1!avl177</f>
        <v>#NAME?</v>
      </c>
      <c r="E176" s="0" t="e">
        <f aca="false">sheet1!avm177</f>
        <v>#NAME?</v>
      </c>
      <c r="F176" s="0" t="e">
        <f aca="false">sheet1!avn177</f>
        <v>#NAME?</v>
      </c>
      <c r="G176" s="0" t="e">
        <f aca="false">sheet1!avo177</f>
        <v>#NAME?</v>
      </c>
      <c r="H176" s="0" t="e">
        <f aca="false">sheet1!avp177</f>
        <v>#NAME?</v>
      </c>
      <c r="I176" s="0" t="e">
        <f aca="false">sheet1!avq177</f>
        <v>#NAME?</v>
      </c>
      <c r="J176" s="0" t="e">
        <f aca="false">sheet1!avr177</f>
        <v>#NAME?</v>
      </c>
      <c r="K176" s="0" t="e">
        <f aca="false">sheet1!avs177</f>
        <v>#NAME?</v>
      </c>
    </row>
    <row r="177" customFormat="false" ht="13.5" hidden="false" customHeight="false" outlineLevel="0" collapsed="false">
      <c r="A177" s="0" t="s">
        <v>98</v>
      </c>
      <c r="B177" s="1" t="n">
        <v>44037</v>
      </c>
      <c r="C177" s="0" t="e">
        <f aca="false">sheet1!avk178</f>
        <v>#NAME?</v>
      </c>
      <c r="D177" s="0" t="e">
        <f aca="false">sheet1!avl178</f>
        <v>#NAME?</v>
      </c>
      <c r="E177" s="0" t="e">
        <f aca="false">sheet1!avm178</f>
        <v>#NAME?</v>
      </c>
      <c r="F177" s="0" t="e">
        <f aca="false">sheet1!avn178</f>
        <v>#NAME?</v>
      </c>
      <c r="G177" s="0" t="e">
        <f aca="false">sheet1!avo178</f>
        <v>#NAME?</v>
      </c>
      <c r="H177" s="0" t="e">
        <f aca="false">sheet1!avp178</f>
        <v>#NAME?</v>
      </c>
      <c r="I177" s="0" t="e">
        <f aca="false">sheet1!avq178</f>
        <v>#NAME?</v>
      </c>
      <c r="J177" s="0" t="e">
        <f aca="false">sheet1!avr178</f>
        <v>#NAME?</v>
      </c>
      <c r="K177" s="0" t="e">
        <f aca="false">sheet1!avs178</f>
        <v>#NAME?</v>
      </c>
    </row>
    <row r="178" customFormat="false" ht="13.5" hidden="false" customHeight="false" outlineLevel="0" collapsed="false">
      <c r="A178" s="0" t="s">
        <v>98</v>
      </c>
      <c r="B178" s="1" t="n">
        <v>44038</v>
      </c>
      <c r="C178" s="0" t="e">
        <f aca="false">sheet1!avk179</f>
        <v>#NAME?</v>
      </c>
      <c r="D178" s="0" t="e">
        <f aca="false">sheet1!avl179</f>
        <v>#NAME?</v>
      </c>
      <c r="E178" s="0" t="e">
        <f aca="false">sheet1!avm179</f>
        <v>#NAME?</v>
      </c>
      <c r="F178" s="0" t="e">
        <f aca="false">sheet1!avn179</f>
        <v>#NAME?</v>
      </c>
      <c r="G178" s="0" t="e">
        <f aca="false">sheet1!avo179</f>
        <v>#NAME?</v>
      </c>
      <c r="H178" s="0" t="e">
        <f aca="false">sheet1!avp179</f>
        <v>#NAME?</v>
      </c>
      <c r="I178" s="0" t="e">
        <f aca="false">sheet1!avq179</f>
        <v>#NAME?</v>
      </c>
      <c r="J178" s="0" t="e">
        <f aca="false">sheet1!avr179</f>
        <v>#NAME?</v>
      </c>
      <c r="K178" s="0" t="e">
        <f aca="false">sheet1!avs179</f>
        <v>#NAME?</v>
      </c>
    </row>
    <row r="179" customFormat="false" ht="13.5" hidden="false" customHeight="false" outlineLevel="0" collapsed="false">
      <c r="A179" s="0" t="s">
        <v>98</v>
      </c>
      <c r="B179" s="1" t="n">
        <v>44039</v>
      </c>
      <c r="C179" s="0" t="e">
        <f aca="false">sheet1!avk180</f>
        <v>#NAME?</v>
      </c>
      <c r="D179" s="0" t="e">
        <f aca="false">sheet1!avl180</f>
        <v>#NAME?</v>
      </c>
      <c r="E179" s="0" t="e">
        <f aca="false">sheet1!avm180</f>
        <v>#NAME?</v>
      </c>
      <c r="F179" s="0" t="e">
        <f aca="false">sheet1!avn180</f>
        <v>#NAME?</v>
      </c>
      <c r="G179" s="0" t="e">
        <f aca="false">sheet1!avo180</f>
        <v>#NAME?</v>
      </c>
      <c r="H179" s="0" t="e">
        <f aca="false">sheet1!avp180</f>
        <v>#NAME?</v>
      </c>
      <c r="I179" s="0" t="e">
        <f aca="false">sheet1!avq180</f>
        <v>#NAME?</v>
      </c>
      <c r="J179" s="0" t="e">
        <f aca="false">sheet1!avr180</f>
        <v>#NAME?</v>
      </c>
      <c r="K179" s="0" t="e">
        <f aca="false">sheet1!avs180</f>
        <v>#NAME?</v>
      </c>
    </row>
    <row r="180" customFormat="false" ht="13.5" hidden="false" customHeight="false" outlineLevel="0" collapsed="false">
      <c r="A180" s="0" t="s">
        <v>98</v>
      </c>
      <c r="B180" s="1" t="n">
        <v>44040</v>
      </c>
      <c r="C180" s="0" t="e">
        <f aca="false">sheet1!avk181</f>
        <v>#NAME?</v>
      </c>
      <c r="D180" s="0" t="e">
        <f aca="false">sheet1!avl181</f>
        <v>#NAME?</v>
      </c>
      <c r="E180" s="0" t="e">
        <f aca="false">sheet1!avm181</f>
        <v>#NAME?</v>
      </c>
      <c r="F180" s="0" t="e">
        <f aca="false">sheet1!avn181</f>
        <v>#NAME?</v>
      </c>
      <c r="G180" s="0" t="e">
        <f aca="false">sheet1!avo181</f>
        <v>#NAME?</v>
      </c>
      <c r="H180" s="0" t="e">
        <f aca="false">sheet1!avp181</f>
        <v>#NAME?</v>
      </c>
      <c r="I180" s="0" t="e">
        <f aca="false">sheet1!avq181</f>
        <v>#NAME?</v>
      </c>
      <c r="J180" s="0" t="e">
        <f aca="false">sheet1!avr181</f>
        <v>#NAME?</v>
      </c>
      <c r="K180" s="0" t="e">
        <f aca="false">sheet1!avs181</f>
        <v>#NAME?</v>
      </c>
    </row>
    <row r="181" customFormat="false" ht="13.5" hidden="false" customHeight="false" outlineLevel="0" collapsed="false">
      <c r="A181" s="0" t="s">
        <v>98</v>
      </c>
      <c r="B181" s="1" t="n">
        <v>44041</v>
      </c>
      <c r="C181" s="0" t="e">
        <f aca="false">sheet1!avk182</f>
        <v>#NAME?</v>
      </c>
      <c r="D181" s="0" t="e">
        <f aca="false">sheet1!avl182</f>
        <v>#NAME?</v>
      </c>
      <c r="E181" s="0" t="e">
        <f aca="false">sheet1!avm182</f>
        <v>#NAME?</v>
      </c>
      <c r="F181" s="0" t="e">
        <f aca="false">sheet1!avn182</f>
        <v>#NAME?</v>
      </c>
      <c r="G181" s="0" t="e">
        <f aca="false">sheet1!avo182</f>
        <v>#NAME?</v>
      </c>
      <c r="H181" s="0" t="e">
        <f aca="false">sheet1!avp182</f>
        <v>#NAME?</v>
      </c>
      <c r="I181" s="0" t="e">
        <f aca="false">sheet1!avq182</f>
        <v>#NAME?</v>
      </c>
      <c r="J181" s="0" t="e">
        <f aca="false">sheet1!avr182</f>
        <v>#NAME?</v>
      </c>
      <c r="K181" s="0" t="e">
        <f aca="false">sheet1!avs182</f>
        <v>#NAME?</v>
      </c>
    </row>
    <row r="182" customFormat="false" ht="13.5" hidden="false" customHeight="false" outlineLevel="0" collapsed="false">
      <c r="A182" s="0" t="s">
        <v>98</v>
      </c>
      <c r="B182" s="1" t="n">
        <v>44042</v>
      </c>
      <c r="C182" s="0" t="e">
        <f aca="false">sheet1!avk183</f>
        <v>#NAME?</v>
      </c>
      <c r="D182" s="0" t="e">
        <f aca="false">sheet1!avl183</f>
        <v>#NAME?</v>
      </c>
      <c r="E182" s="0" t="e">
        <f aca="false">sheet1!avm183</f>
        <v>#NAME?</v>
      </c>
      <c r="F182" s="0" t="e">
        <f aca="false">sheet1!avn183</f>
        <v>#NAME?</v>
      </c>
      <c r="G182" s="0" t="e">
        <f aca="false">sheet1!avo183</f>
        <v>#NAME?</v>
      </c>
      <c r="H182" s="0" t="e">
        <f aca="false">sheet1!avp183</f>
        <v>#NAME?</v>
      </c>
      <c r="I182" s="0" t="e">
        <f aca="false">sheet1!avq183</f>
        <v>#NAME?</v>
      </c>
      <c r="J182" s="0" t="e">
        <f aca="false">sheet1!avr183</f>
        <v>#NAME?</v>
      </c>
      <c r="K182" s="0" t="e">
        <f aca="false">sheet1!avs183</f>
        <v>#NAME?</v>
      </c>
    </row>
    <row r="183" customFormat="false" ht="13.5" hidden="false" customHeight="false" outlineLevel="0" collapsed="false">
      <c r="A183" s="0" t="s">
        <v>98</v>
      </c>
      <c r="B183" s="1" t="n">
        <v>44043</v>
      </c>
      <c r="C183" s="0" t="e">
        <f aca="false">sheet1!avk184</f>
        <v>#NAME?</v>
      </c>
      <c r="D183" s="0" t="e">
        <f aca="false">sheet1!avl184</f>
        <v>#NAME?</v>
      </c>
      <c r="E183" s="0" t="e">
        <f aca="false">sheet1!avm184</f>
        <v>#NAME?</v>
      </c>
      <c r="F183" s="0" t="e">
        <f aca="false">sheet1!avn184</f>
        <v>#NAME?</v>
      </c>
      <c r="G183" s="0" t="e">
        <f aca="false">sheet1!avo184</f>
        <v>#NAME?</v>
      </c>
      <c r="H183" s="0" t="e">
        <f aca="false">sheet1!avp184</f>
        <v>#NAME?</v>
      </c>
      <c r="I183" s="0" t="e">
        <f aca="false">sheet1!avq184</f>
        <v>#NAME?</v>
      </c>
      <c r="J183" s="0" t="e">
        <f aca="false">sheet1!avr184</f>
        <v>#NAME?</v>
      </c>
      <c r="K183" s="0" t="e">
        <f aca="false">sheet1!avs184</f>
        <v>#NAME?</v>
      </c>
    </row>
    <row r="184" customFormat="false" ht="13.5" hidden="false" customHeight="false" outlineLevel="0" collapsed="false">
      <c r="A184" s="0" t="s">
        <v>98</v>
      </c>
      <c r="B184" s="1" t="n">
        <v>44044</v>
      </c>
      <c r="C184" s="0" t="e">
        <f aca="false">sheet1!avk185</f>
        <v>#NAME?</v>
      </c>
      <c r="D184" s="0" t="e">
        <f aca="false">sheet1!avl185</f>
        <v>#NAME?</v>
      </c>
      <c r="E184" s="0" t="e">
        <f aca="false">sheet1!avm185</f>
        <v>#NAME?</v>
      </c>
      <c r="F184" s="0" t="e">
        <f aca="false">sheet1!avn185</f>
        <v>#NAME?</v>
      </c>
      <c r="G184" s="0" t="e">
        <f aca="false">sheet1!avo185</f>
        <v>#NAME?</v>
      </c>
      <c r="H184" s="0" t="e">
        <f aca="false">sheet1!avp185</f>
        <v>#NAME?</v>
      </c>
      <c r="I184" s="0" t="e">
        <f aca="false">sheet1!avq185</f>
        <v>#NAME?</v>
      </c>
      <c r="J184" s="0" t="e">
        <f aca="false">sheet1!avr185</f>
        <v>#NAME?</v>
      </c>
      <c r="K184" s="0" t="e">
        <f aca="false">sheet1!avs185</f>
        <v>#NAME?</v>
      </c>
    </row>
    <row r="185" customFormat="false" ht="13.5" hidden="false" customHeight="false" outlineLevel="0" collapsed="false">
      <c r="A185" s="0" t="s">
        <v>98</v>
      </c>
      <c r="B185" s="1" t="n">
        <v>44045</v>
      </c>
      <c r="C185" s="0" t="e">
        <f aca="false">sheet1!avk186</f>
        <v>#NAME?</v>
      </c>
      <c r="D185" s="0" t="e">
        <f aca="false">sheet1!avl186</f>
        <v>#NAME?</v>
      </c>
      <c r="E185" s="0" t="e">
        <f aca="false">sheet1!avm186</f>
        <v>#NAME?</v>
      </c>
      <c r="F185" s="0" t="e">
        <f aca="false">sheet1!avn186</f>
        <v>#NAME?</v>
      </c>
      <c r="G185" s="0" t="e">
        <f aca="false">sheet1!avo186</f>
        <v>#NAME?</v>
      </c>
      <c r="H185" s="0" t="e">
        <f aca="false">sheet1!avp186</f>
        <v>#NAME?</v>
      </c>
      <c r="I185" s="0" t="e">
        <f aca="false">sheet1!avq186</f>
        <v>#NAME?</v>
      </c>
      <c r="J185" s="0" t="e">
        <f aca="false">sheet1!avr186</f>
        <v>#NAME?</v>
      </c>
      <c r="K185" s="0" t="e">
        <f aca="false">sheet1!avs186</f>
        <v>#NAME?</v>
      </c>
    </row>
    <row r="186" customFormat="false" ht="13.5" hidden="false" customHeight="false" outlineLevel="0" collapsed="false">
      <c r="A186" s="0" t="s">
        <v>98</v>
      </c>
      <c r="B186" s="1" t="n">
        <v>44046</v>
      </c>
      <c r="C186" s="0" t="e">
        <f aca="false">sheet1!avk187</f>
        <v>#NAME?</v>
      </c>
      <c r="D186" s="0" t="e">
        <f aca="false">sheet1!avl187</f>
        <v>#NAME?</v>
      </c>
      <c r="E186" s="0" t="e">
        <f aca="false">sheet1!avm187</f>
        <v>#NAME?</v>
      </c>
      <c r="F186" s="0" t="e">
        <f aca="false">sheet1!avn187</f>
        <v>#NAME?</v>
      </c>
      <c r="G186" s="0" t="e">
        <f aca="false">sheet1!avo187</f>
        <v>#NAME?</v>
      </c>
      <c r="H186" s="0" t="e">
        <f aca="false">sheet1!avp187</f>
        <v>#NAME?</v>
      </c>
      <c r="I186" s="0" t="e">
        <f aca="false">sheet1!avq187</f>
        <v>#NAME?</v>
      </c>
      <c r="J186" s="0" t="e">
        <f aca="false">sheet1!avr187</f>
        <v>#NAME?</v>
      </c>
      <c r="K186" s="0" t="e">
        <f aca="false">sheet1!avs187</f>
        <v>#NAME?</v>
      </c>
    </row>
    <row r="187" customFormat="false" ht="13.5" hidden="false" customHeight="false" outlineLevel="0" collapsed="false">
      <c r="A187" s="0" t="s">
        <v>98</v>
      </c>
      <c r="B187" s="1" t="n">
        <v>44047</v>
      </c>
      <c r="C187" s="0" t="e">
        <f aca="false">sheet1!avk188</f>
        <v>#NAME?</v>
      </c>
      <c r="D187" s="0" t="e">
        <f aca="false">sheet1!avl188</f>
        <v>#NAME?</v>
      </c>
      <c r="E187" s="0" t="e">
        <f aca="false">sheet1!avm188</f>
        <v>#NAME?</v>
      </c>
      <c r="F187" s="0" t="e">
        <f aca="false">sheet1!avn188</f>
        <v>#NAME?</v>
      </c>
      <c r="G187" s="0" t="e">
        <f aca="false">sheet1!avo188</f>
        <v>#NAME?</v>
      </c>
      <c r="H187" s="0" t="e">
        <f aca="false">sheet1!avp188</f>
        <v>#NAME?</v>
      </c>
      <c r="I187" s="0" t="e">
        <f aca="false">sheet1!avq188</f>
        <v>#NAME?</v>
      </c>
      <c r="J187" s="0" t="e">
        <f aca="false">sheet1!avr188</f>
        <v>#NAME?</v>
      </c>
      <c r="K187" s="0" t="e">
        <f aca="false">sheet1!avs188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6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99</v>
      </c>
      <c r="B2" s="1" t="n">
        <v>43862</v>
      </c>
    </row>
    <row r="3" customFormat="false" ht="13.5" hidden="false" customHeight="false" outlineLevel="0" collapsed="false">
      <c r="A3" s="0" t="s">
        <v>99</v>
      </c>
      <c r="B3" s="1" t="n">
        <v>43863</v>
      </c>
    </row>
    <row r="4" customFormat="false" ht="13.5" hidden="false" customHeight="false" outlineLevel="0" collapsed="false">
      <c r="A4" s="0" t="s">
        <v>99</v>
      </c>
      <c r="B4" s="1" t="n">
        <v>43864</v>
      </c>
    </row>
    <row r="5" customFormat="false" ht="13.5" hidden="false" customHeight="false" outlineLevel="0" collapsed="false">
      <c r="A5" s="0" t="s">
        <v>99</v>
      </c>
      <c r="B5" s="1" t="n">
        <v>43865</v>
      </c>
    </row>
    <row r="6" customFormat="false" ht="13.5" hidden="false" customHeight="false" outlineLevel="0" collapsed="false">
      <c r="A6" s="0" t="s">
        <v>99</v>
      </c>
      <c r="B6" s="1" t="n">
        <v>43866</v>
      </c>
    </row>
    <row r="7" customFormat="false" ht="13.5" hidden="false" customHeight="false" outlineLevel="0" collapsed="false">
      <c r="A7" s="0" t="s">
        <v>99</v>
      </c>
      <c r="B7" s="1" t="n">
        <v>43867</v>
      </c>
    </row>
    <row r="8" customFormat="false" ht="13.5" hidden="false" customHeight="false" outlineLevel="0" collapsed="false">
      <c r="A8" s="0" t="s">
        <v>99</v>
      </c>
      <c r="B8" s="1" t="n">
        <v>43868</v>
      </c>
    </row>
    <row r="9" customFormat="false" ht="13.5" hidden="false" customHeight="false" outlineLevel="0" collapsed="false">
      <c r="A9" s="0" t="s">
        <v>99</v>
      </c>
      <c r="B9" s="1" t="n">
        <v>43869</v>
      </c>
    </row>
    <row r="10" customFormat="false" ht="13.5" hidden="false" customHeight="false" outlineLevel="0" collapsed="false">
      <c r="A10" s="0" t="s">
        <v>99</v>
      </c>
      <c r="B10" s="1" t="n">
        <v>43870</v>
      </c>
    </row>
    <row r="11" customFormat="false" ht="13.5" hidden="false" customHeight="false" outlineLevel="0" collapsed="false">
      <c r="A11" s="0" t="s">
        <v>99</v>
      </c>
      <c r="B11" s="1" t="n">
        <v>43871</v>
      </c>
    </row>
    <row r="12" customFormat="false" ht="13.5" hidden="false" customHeight="false" outlineLevel="0" collapsed="false">
      <c r="A12" s="0" t="s">
        <v>99</v>
      </c>
      <c r="B12" s="1" t="n">
        <v>43872</v>
      </c>
    </row>
    <row r="13" customFormat="false" ht="13.5" hidden="false" customHeight="false" outlineLevel="0" collapsed="false">
      <c r="A13" s="0" t="s">
        <v>99</v>
      </c>
      <c r="B13" s="1" t="n">
        <v>43873</v>
      </c>
    </row>
    <row r="14" customFormat="false" ht="13.5" hidden="false" customHeight="false" outlineLevel="0" collapsed="false">
      <c r="A14" s="0" t="s">
        <v>99</v>
      </c>
      <c r="B14" s="1" t="n">
        <v>43874</v>
      </c>
    </row>
    <row r="15" customFormat="false" ht="13.5" hidden="false" customHeight="false" outlineLevel="0" collapsed="false">
      <c r="A15" s="0" t="s">
        <v>99</v>
      </c>
      <c r="B15" s="1" t="n">
        <v>43875</v>
      </c>
    </row>
    <row r="16" customFormat="false" ht="13.5" hidden="false" customHeight="false" outlineLevel="0" collapsed="false">
      <c r="A16" s="0" t="s">
        <v>99</v>
      </c>
      <c r="B16" s="1" t="n">
        <v>43876</v>
      </c>
    </row>
    <row r="17" customFormat="false" ht="13.5" hidden="false" customHeight="false" outlineLevel="0" collapsed="false">
      <c r="A17" s="0" t="s">
        <v>99</v>
      </c>
      <c r="B17" s="1" t="n">
        <v>43877</v>
      </c>
    </row>
    <row r="18" customFormat="false" ht="13.5" hidden="false" customHeight="false" outlineLevel="0" collapsed="false">
      <c r="A18" s="0" t="s">
        <v>99</v>
      </c>
      <c r="B18" s="1" t="n">
        <v>43878</v>
      </c>
    </row>
    <row r="19" customFormat="false" ht="13.5" hidden="false" customHeight="false" outlineLevel="0" collapsed="false">
      <c r="A19" s="0" t="s">
        <v>99</v>
      </c>
      <c r="B19" s="1" t="n">
        <v>43879</v>
      </c>
    </row>
    <row r="20" customFormat="false" ht="13.5" hidden="false" customHeight="false" outlineLevel="0" collapsed="false">
      <c r="A20" s="0" t="s">
        <v>99</v>
      </c>
      <c r="B20" s="1" t="n">
        <v>43880</v>
      </c>
    </row>
    <row r="21" customFormat="false" ht="13.5" hidden="false" customHeight="false" outlineLevel="0" collapsed="false">
      <c r="A21" s="0" t="s">
        <v>99</v>
      </c>
      <c r="B21" s="1" t="n">
        <v>43881</v>
      </c>
    </row>
    <row r="22" customFormat="false" ht="13.5" hidden="false" customHeight="false" outlineLevel="0" collapsed="false">
      <c r="A22" s="0" t="s">
        <v>99</v>
      </c>
      <c r="B22" s="1" t="n">
        <v>43882</v>
      </c>
    </row>
    <row r="23" customFormat="false" ht="13.5" hidden="false" customHeight="false" outlineLevel="0" collapsed="false">
      <c r="A23" s="0" t="s">
        <v>99</v>
      </c>
      <c r="B23" s="1" t="n">
        <v>43883</v>
      </c>
    </row>
    <row r="24" customFormat="false" ht="13.5" hidden="false" customHeight="false" outlineLevel="0" collapsed="false">
      <c r="A24" s="0" t="s">
        <v>99</v>
      </c>
      <c r="B24" s="1" t="n">
        <v>43884</v>
      </c>
    </row>
    <row r="25" customFormat="false" ht="13.5" hidden="false" customHeight="false" outlineLevel="0" collapsed="false">
      <c r="A25" s="0" t="s">
        <v>99</v>
      </c>
      <c r="B25" s="1" t="n">
        <v>43885</v>
      </c>
    </row>
    <row r="26" customFormat="false" ht="13.5" hidden="false" customHeight="false" outlineLevel="0" collapsed="false">
      <c r="A26" s="0" t="s">
        <v>99</v>
      </c>
      <c r="B26" s="1" t="n">
        <v>43886</v>
      </c>
    </row>
    <row r="27" customFormat="false" ht="13.5" hidden="false" customHeight="false" outlineLevel="0" collapsed="false">
      <c r="A27" s="0" t="s">
        <v>99</v>
      </c>
      <c r="B27" s="1" t="n">
        <v>43887</v>
      </c>
    </row>
    <row r="28" customFormat="false" ht="13.5" hidden="false" customHeight="false" outlineLevel="0" collapsed="false">
      <c r="A28" s="0" t="s">
        <v>99</v>
      </c>
      <c r="B28" s="1" t="n">
        <v>43888</v>
      </c>
    </row>
    <row r="29" customFormat="false" ht="13.5" hidden="false" customHeight="false" outlineLevel="0" collapsed="false">
      <c r="A29" s="0" t="s">
        <v>99</v>
      </c>
      <c r="B29" s="1" t="n">
        <v>43889</v>
      </c>
    </row>
    <row r="30" customFormat="false" ht="13.5" hidden="false" customHeight="false" outlineLevel="0" collapsed="false">
      <c r="A30" s="0" t="s">
        <v>99</v>
      </c>
      <c r="B30" s="1" t="n">
        <v>43890</v>
      </c>
    </row>
    <row r="31" customFormat="false" ht="13.5" hidden="false" customHeight="false" outlineLevel="0" collapsed="false">
      <c r="A31" s="0" t="s">
        <v>99</v>
      </c>
      <c r="B31" s="1" t="n">
        <v>43891</v>
      </c>
    </row>
    <row r="32" customFormat="false" ht="13.5" hidden="false" customHeight="false" outlineLevel="0" collapsed="false">
      <c r="A32" s="0" t="s">
        <v>99</v>
      </c>
      <c r="B32" s="1" t="n">
        <v>43892</v>
      </c>
    </row>
    <row r="33" customFormat="false" ht="13.5" hidden="false" customHeight="false" outlineLevel="0" collapsed="false">
      <c r="A33" s="0" t="s">
        <v>99</v>
      </c>
      <c r="B33" s="1" t="n">
        <v>43893</v>
      </c>
    </row>
    <row r="34" customFormat="false" ht="13.5" hidden="false" customHeight="false" outlineLevel="0" collapsed="false">
      <c r="A34" s="0" t="s">
        <v>99</v>
      </c>
      <c r="B34" s="1" t="n">
        <v>43894</v>
      </c>
    </row>
    <row r="35" customFormat="false" ht="13.5" hidden="false" customHeight="false" outlineLevel="0" collapsed="false">
      <c r="A35" s="0" t="s">
        <v>99</v>
      </c>
      <c r="B35" s="1" t="n">
        <v>43895</v>
      </c>
    </row>
    <row r="36" customFormat="false" ht="13.5" hidden="false" customHeight="false" outlineLevel="0" collapsed="false">
      <c r="A36" s="0" t="s">
        <v>99</v>
      </c>
      <c r="B36" s="1" t="n">
        <v>43896</v>
      </c>
    </row>
    <row r="37" customFormat="false" ht="13.5" hidden="false" customHeight="false" outlineLevel="0" collapsed="false">
      <c r="A37" s="0" t="s">
        <v>99</v>
      </c>
      <c r="B37" s="1" t="n">
        <v>43897</v>
      </c>
      <c r="C37" s="0" t="n">
        <v>3</v>
      </c>
      <c r="D37" s="0" t="n">
        <v>3</v>
      </c>
      <c r="H37" s="0" t="n">
        <v>3</v>
      </c>
    </row>
    <row r="38" customFormat="false" ht="13.5" hidden="false" customHeight="false" outlineLevel="0" collapsed="false">
      <c r="A38" s="0" t="s">
        <v>99</v>
      </c>
      <c r="B38" s="1" t="n">
        <v>43898</v>
      </c>
      <c r="C38" s="0" t="n">
        <v>3</v>
      </c>
      <c r="D38" s="0" t="n">
        <v>0</v>
      </c>
      <c r="H38" s="0" t="n">
        <v>3</v>
      </c>
      <c r="J38" s="0" t="n">
        <v>1.4</v>
      </c>
    </row>
    <row r="39" customFormat="false" ht="13.5" hidden="false" customHeight="false" outlineLevel="0" collapsed="false">
      <c r="A39" s="0" t="s">
        <v>99</v>
      </c>
      <c r="B39" s="1" t="n">
        <v>43899</v>
      </c>
      <c r="C39" s="0" t="n">
        <v>3</v>
      </c>
      <c r="D39" s="0" t="n">
        <v>0</v>
      </c>
      <c r="H39" s="0" t="n">
        <v>3</v>
      </c>
      <c r="J39" s="0" t="n">
        <v>1.4</v>
      </c>
    </row>
    <row r="40" customFormat="false" ht="13.5" hidden="false" customHeight="false" outlineLevel="0" collapsed="false">
      <c r="A40" s="0" t="s">
        <v>99</v>
      </c>
      <c r="B40" s="1" t="n">
        <v>43900</v>
      </c>
      <c r="C40" s="0" t="n">
        <v>4</v>
      </c>
      <c r="D40" s="0" t="n">
        <v>1</v>
      </c>
      <c r="H40" s="0" t="n">
        <v>4</v>
      </c>
      <c r="J40" s="0" t="n">
        <v>1.9</v>
      </c>
    </row>
    <row r="41" customFormat="false" ht="13.5" hidden="false" customHeight="false" outlineLevel="0" collapsed="false">
      <c r="A41" s="0" t="s">
        <v>99</v>
      </c>
      <c r="B41" s="1" t="n">
        <v>43901</v>
      </c>
      <c r="C41" s="0" t="n">
        <v>7</v>
      </c>
      <c r="D41" s="0" t="n">
        <v>3</v>
      </c>
      <c r="H41" s="0" t="n">
        <v>7</v>
      </c>
      <c r="J41" s="0" t="n">
        <v>3.4</v>
      </c>
    </row>
    <row r="42" customFormat="false" ht="13.5" hidden="false" customHeight="false" outlineLevel="0" collapsed="false">
      <c r="A42" s="0" t="s">
        <v>99</v>
      </c>
      <c r="B42" s="1" t="n">
        <v>43902</v>
      </c>
      <c r="C42" s="0" t="n">
        <v>7</v>
      </c>
      <c r="D42" s="0" t="n">
        <v>0</v>
      </c>
      <c r="H42" s="0" t="n">
        <v>7</v>
      </c>
      <c r="J42" s="0" t="n">
        <v>3.4</v>
      </c>
    </row>
    <row r="43" customFormat="false" ht="13.5" hidden="false" customHeight="false" outlineLevel="0" collapsed="false">
      <c r="A43" s="0" t="s">
        <v>99</v>
      </c>
      <c r="B43" s="1" t="n">
        <v>43903</v>
      </c>
      <c r="C43" s="0" t="n">
        <v>9</v>
      </c>
      <c r="D43" s="0" t="n">
        <v>2</v>
      </c>
      <c r="G43" s="0" t="n">
        <v>1</v>
      </c>
      <c r="H43" s="0" t="n">
        <v>8</v>
      </c>
      <c r="J43" s="0" t="n">
        <v>4.3</v>
      </c>
    </row>
    <row r="44" customFormat="false" ht="13.5" hidden="false" customHeight="false" outlineLevel="0" collapsed="false">
      <c r="A44" s="0" t="s">
        <v>99</v>
      </c>
      <c r="B44" s="1" t="n">
        <v>43904</v>
      </c>
      <c r="C44" s="0" t="n">
        <v>13</v>
      </c>
      <c r="D44" s="0" t="n">
        <v>4</v>
      </c>
      <c r="G44" s="0" t="n">
        <v>1</v>
      </c>
      <c r="H44" s="0" t="n">
        <v>13</v>
      </c>
      <c r="J44" s="0" t="n">
        <v>6.7</v>
      </c>
    </row>
    <row r="45" customFormat="false" ht="13.5" hidden="false" customHeight="false" outlineLevel="0" collapsed="false">
      <c r="A45" s="0" t="s">
        <v>99</v>
      </c>
      <c r="B45" s="1" t="n">
        <v>43905</v>
      </c>
      <c r="C45" s="0" t="n">
        <v>13</v>
      </c>
      <c r="D45" s="0" t="n">
        <v>0</v>
      </c>
      <c r="G45" s="0" t="n">
        <v>1</v>
      </c>
      <c r="H45" s="0" t="n">
        <v>12</v>
      </c>
      <c r="J45" s="0" t="n">
        <v>6.2</v>
      </c>
    </row>
    <row r="46" customFormat="false" ht="13.5" hidden="false" customHeight="false" outlineLevel="0" collapsed="false">
      <c r="A46" s="0" t="s">
        <v>99</v>
      </c>
      <c r="B46" s="1" t="n">
        <v>43906</v>
      </c>
      <c r="C46" s="0" t="n">
        <v>19</v>
      </c>
      <c r="D46" s="0" t="n">
        <v>6</v>
      </c>
      <c r="G46" s="0" t="n">
        <v>1</v>
      </c>
      <c r="H46" s="0" t="n">
        <v>18</v>
      </c>
      <c r="J46" s="0" t="n">
        <v>9.1</v>
      </c>
    </row>
    <row r="47" customFormat="false" ht="13.5" hidden="false" customHeight="false" outlineLevel="0" collapsed="false">
      <c r="A47" s="0" t="s">
        <v>99</v>
      </c>
      <c r="B47" s="1" t="n">
        <v>43907</v>
      </c>
      <c r="C47" s="0" t="n">
        <v>24</v>
      </c>
      <c r="D47" s="0" t="n">
        <v>5</v>
      </c>
      <c r="G47" s="0" t="n">
        <v>1</v>
      </c>
      <c r="H47" s="0" t="n">
        <v>23</v>
      </c>
      <c r="J47" s="0" t="n">
        <v>11.5</v>
      </c>
    </row>
    <row r="48" customFormat="false" ht="13.5" hidden="false" customHeight="false" outlineLevel="0" collapsed="false">
      <c r="A48" s="0" t="s">
        <v>99</v>
      </c>
      <c r="B48" s="1" t="n">
        <v>43908</v>
      </c>
      <c r="C48" s="0" t="n">
        <v>31</v>
      </c>
      <c r="D48" s="0" t="n">
        <v>7</v>
      </c>
      <c r="G48" s="0" t="n">
        <v>1</v>
      </c>
      <c r="H48" s="0" t="n">
        <v>30</v>
      </c>
      <c r="I48" s="0" t="n">
        <v>1</v>
      </c>
      <c r="J48" s="0" t="n">
        <v>14.9</v>
      </c>
    </row>
    <row r="49" customFormat="false" ht="13.5" hidden="false" customHeight="false" outlineLevel="0" collapsed="false">
      <c r="A49" s="0" t="s">
        <v>99</v>
      </c>
      <c r="B49" s="1" t="n">
        <v>43909</v>
      </c>
      <c r="C49" s="0" t="n">
        <v>43</v>
      </c>
      <c r="D49" s="0" t="n">
        <v>12</v>
      </c>
      <c r="G49" s="0" t="n">
        <v>1</v>
      </c>
      <c r="H49" s="0" t="n">
        <v>42</v>
      </c>
      <c r="I49" s="0" t="n">
        <v>1</v>
      </c>
      <c r="J49" s="0" t="n">
        <v>21</v>
      </c>
    </row>
    <row r="50" customFormat="false" ht="13.5" hidden="false" customHeight="false" outlineLevel="0" collapsed="false">
      <c r="A50" s="0" t="s">
        <v>99</v>
      </c>
      <c r="B50" s="1" t="n">
        <v>43910</v>
      </c>
      <c r="C50" s="0" t="n">
        <v>50</v>
      </c>
      <c r="D50" s="0" t="n">
        <v>7</v>
      </c>
      <c r="G50" s="0" t="n">
        <v>1</v>
      </c>
      <c r="H50" s="0" t="n">
        <v>49</v>
      </c>
      <c r="I50" s="0" t="n">
        <v>1</v>
      </c>
      <c r="J50" s="0" t="n">
        <v>24</v>
      </c>
    </row>
    <row r="51" customFormat="false" ht="13.5" hidden="false" customHeight="false" outlineLevel="0" collapsed="false">
      <c r="A51" s="0" t="s">
        <v>99</v>
      </c>
      <c r="B51" s="1" t="n">
        <v>43911</v>
      </c>
      <c r="C51" s="0" t="n">
        <v>77</v>
      </c>
      <c r="D51" s="0" t="n">
        <v>27</v>
      </c>
      <c r="G51" s="0" t="n">
        <v>1</v>
      </c>
      <c r="H51" s="0" t="n">
        <v>76</v>
      </c>
      <c r="I51" s="0" t="n">
        <v>1</v>
      </c>
      <c r="J51" s="0" t="n">
        <v>37</v>
      </c>
    </row>
    <row r="52" customFormat="false" ht="13.5" hidden="false" customHeight="false" outlineLevel="0" collapsed="false">
      <c r="A52" s="0" t="s">
        <v>99</v>
      </c>
      <c r="B52" s="1" t="n">
        <v>43912</v>
      </c>
      <c r="C52" s="0" t="n">
        <v>85</v>
      </c>
      <c r="D52" s="0" t="n">
        <v>8</v>
      </c>
      <c r="G52" s="0" t="n">
        <v>1</v>
      </c>
      <c r="H52" s="0" t="n">
        <v>84</v>
      </c>
      <c r="I52" s="0" t="n">
        <v>1</v>
      </c>
      <c r="J52" s="0" t="n">
        <v>41</v>
      </c>
    </row>
    <row r="53" customFormat="false" ht="13.5" hidden="false" customHeight="false" outlineLevel="0" collapsed="false">
      <c r="A53" s="0" t="s">
        <v>99</v>
      </c>
      <c r="B53" s="1" t="n">
        <v>43913</v>
      </c>
      <c r="C53" s="0" t="n">
        <v>115</v>
      </c>
      <c r="D53" s="0" t="n">
        <v>30</v>
      </c>
      <c r="E53" s="0" t="n">
        <v>1</v>
      </c>
      <c r="F53" s="0" t="n">
        <v>1</v>
      </c>
      <c r="G53" s="0" t="n">
        <v>1</v>
      </c>
      <c r="H53" s="0" t="n">
        <v>113</v>
      </c>
      <c r="I53" s="0" t="n">
        <v>1</v>
      </c>
      <c r="J53" s="0" t="n">
        <v>55</v>
      </c>
    </row>
    <row r="54" customFormat="false" ht="13.5" hidden="false" customHeight="false" outlineLevel="0" collapsed="false">
      <c r="A54" s="0" t="s">
        <v>99</v>
      </c>
      <c r="B54" s="1" t="n">
        <v>43914</v>
      </c>
      <c r="C54" s="0" t="n">
        <v>136</v>
      </c>
      <c r="D54" s="0" t="n">
        <v>21</v>
      </c>
      <c r="E54" s="0" t="n">
        <v>2</v>
      </c>
      <c r="F54" s="0" t="n">
        <v>1</v>
      </c>
      <c r="G54" s="0" t="n">
        <v>1</v>
      </c>
      <c r="H54" s="0" t="n">
        <v>133</v>
      </c>
      <c r="I54" s="0" t="n">
        <v>1</v>
      </c>
      <c r="J54" s="0" t="n">
        <v>65</v>
      </c>
    </row>
    <row r="55" customFormat="false" ht="13.5" hidden="false" customHeight="false" outlineLevel="0" collapsed="false">
      <c r="A55" s="0" t="s">
        <v>99</v>
      </c>
      <c r="B55" s="1" t="n">
        <v>43915</v>
      </c>
      <c r="C55" s="0" t="n">
        <v>148</v>
      </c>
      <c r="D55" s="0" t="n">
        <v>12</v>
      </c>
      <c r="E55" s="0" t="n">
        <v>2</v>
      </c>
      <c r="F55" s="0" t="n">
        <v>0</v>
      </c>
      <c r="G55" s="0" t="n">
        <v>1</v>
      </c>
      <c r="H55" s="0" t="n">
        <v>145</v>
      </c>
      <c r="I55" s="0" t="n">
        <v>1</v>
      </c>
      <c r="J55" s="0" t="n">
        <v>71</v>
      </c>
      <c r="K55" s="0" t="n">
        <v>1</v>
      </c>
    </row>
    <row r="56" customFormat="false" ht="13.5" hidden="false" customHeight="false" outlineLevel="0" collapsed="false">
      <c r="A56" s="0" t="s">
        <v>99</v>
      </c>
      <c r="B56" s="1" t="n">
        <v>43916</v>
      </c>
      <c r="C56" s="0" t="n">
        <v>177</v>
      </c>
      <c r="D56" s="0" t="n">
        <v>29</v>
      </c>
      <c r="E56" s="0" t="n">
        <v>3</v>
      </c>
      <c r="F56" s="0" t="n">
        <v>1</v>
      </c>
      <c r="G56" s="0" t="n">
        <v>1</v>
      </c>
      <c r="H56" s="0" t="n">
        <v>173</v>
      </c>
      <c r="I56" s="0" t="n">
        <v>1</v>
      </c>
      <c r="J56" s="0" t="n">
        <v>85</v>
      </c>
      <c r="K56" s="0" t="n">
        <v>1</v>
      </c>
    </row>
    <row r="57" customFormat="false" ht="13.5" hidden="false" customHeight="false" outlineLevel="0" collapsed="false">
      <c r="A57" s="0" t="s">
        <v>99</v>
      </c>
      <c r="B57" s="1" t="n">
        <v>43917</v>
      </c>
      <c r="C57" s="0" t="n">
        <v>201</v>
      </c>
      <c r="D57" s="0" t="n">
        <v>24</v>
      </c>
      <c r="E57" s="0" t="n">
        <v>3</v>
      </c>
      <c r="F57" s="0" t="n">
        <v>0</v>
      </c>
      <c r="G57" s="0" t="n">
        <v>3</v>
      </c>
      <c r="H57" s="0" t="n">
        <v>195</v>
      </c>
      <c r="I57" s="0" t="n">
        <v>1</v>
      </c>
      <c r="J57" s="0" t="n">
        <v>96</v>
      </c>
      <c r="K57" s="0" t="n">
        <v>1</v>
      </c>
    </row>
    <row r="58" customFormat="false" ht="13.5" hidden="false" customHeight="false" outlineLevel="0" collapsed="false">
      <c r="A58" s="0" t="s">
        <v>99</v>
      </c>
      <c r="B58" s="1" t="n">
        <v>43918</v>
      </c>
      <c r="C58" s="0" t="n">
        <v>219</v>
      </c>
      <c r="D58" s="0" t="n">
        <v>18</v>
      </c>
      <c r="E58" s="0" t="n">
        <v>3</v>
      </c>
      <c r="F58" s="0" t="n">
        <v>0</v>
      </c>
      <c r="G58" s="0" t="n">
        <v>3</v>
      </c>
      <c r="H58" s="0" t="n">
        <v>213</v>
      </c>
      <c r="I58" s="0" t="n">
        <v>1</v>
      </c>
      <c r="J58" s="0" t="n">
        <v>105</v>
      </c>
      <c r="K58" s="0" t="n">
        <v>1</v>
      </c>
    </row>
    <row r="59" customFormat="false" ht="13.5" hidden="false" customHeight="false" outlineLevel="0" collapsed="false">
      <c r="A59" s="0" t="s">
        <v>99</v>
      </c>
      <c r="B59" s="1" t="n">
        <v>43919</v>
      </c>
      <c r="C59" s="0" t="n">
        <v>241</v>
      </c>
      <c r="D59" s="0" t="n">
        <v>22</v>
      </c>
      <c r="E59" s="0" t="n">
        <v>4</v>
      </c>
      <c r="F59" s="0" t="n">
        <v>1</v>
      </c>
      <c r="G59" s="0" t="n">
        <v>3</v>
      </c>
      <c r="H59" s="0" t="n">
        <v>234</v>
      </c>
      <c r="I59" s="0" t="n">
        <v>1</v>
      </c>
      <c r="J59" s="0" t="n">
        <v>116</v>
      </c>
      <c r="K59" s="0" t="n">
        <v>2</v>
      </c>
    </row>
    <row r="60" customFormat="false" ht="13.5" hidden="false" customHeight="false" outlineLevel="0" collapsed="false">
      <c r="A60" s="0" t="s">
        <v>99</v>
      </c>
      <c r="B60" s="1" t="n">
        <v>43920</v>
      </c>
      <c r="C60" s="0" t="n">
        <v>259</v>
      </c>
      <c r="D60" s="0" t="n">
        <v>18</v>
      </c>
      <c r="E60" s="0" t="n">
        <v>6</v>
      </c>
      <c r="F60" s="0" t="n">
        <v>2</v>
      </c>
      <c r="G60" s="0" t="n">
        <v>3</v>
      </c>
      <c r="H60" s="0" t="n">
        <v>250</v>
      </c>
      <c r="I60" s="0" t="n">
        <v>1</v>
      </c>
      <c r="J60" s="0" t="n">
        <v>124</v>
      </c>
      <c r="K60" s="0" t="n">
        <v>3</v>
      </c>
    </row>
    <row r="61" customFormat="false" ht="13.5" hidden="false" customHeight="false" outlineLevel="0" collapsed="false">
      <c r="A61" s="0" t="s">
        <v>99</v>
      </c>
      <c r="B61" s="1" t="n">
        <v>43921</v>
      </c>
      <c r="C61" s="0" t="n">
        <v>285</v>
      </c>
      <c r="D61" s="0" t="n">
        <v>26</v>
      </c>
      <c r="E61" s="0" t="n">
        <v>7</v>
      </c>
      <c r="F61" s="0" t="n">
        <v>1</v>
      </c>
      <c r="G61" s="0" t="n">
        <v>12</v>
      </c>
      <c r="H61" s="0" t="n">
        <v>266</v>
      </c>
      <c r="I61" s="0" t="n">
        <v>1</v>
      </c>
      <c r="J61" s="0" t="n">
        <v>137</v>
      </c>
      <c r="K61" s="0" t="n">
        <v>3</v>
      </c>
    </row>
    <row r="62" customFormat="false" ht="13.5" hidden="false" customHeight="false" outlineLevel="0" collapsed="false">
      <c r="A62" s="0" t="s">
        <v>99</v>
      </c>
      <c r="B62" s="1" t="n">
        <v>43922</v>
      </c>
      <c r="C62" s="0" t="n">
        <v>329</v>
      </c>
      <c r="D62" s="0" t="n">
        <v>44</v>
      </c>
      <c r="E62" s="0" t="n">
        <v>9</v>
      </c>
      <c r="F62" s="0" t="n">
        <v>2</v>
      </c>
      <c r="G62" s="0" t="n">
        <v>12</v>
      </c>
      <c r="H62" s="0" t="n">
        <v>308</v>
      </c>
      <c r="I62" s="0" t="n">
        <v>4</v>
      </c>
      <c r="J62" s="0" t="n">
        <v>158</v>
      </c>
      <c r="K62" s="0" t="n">
        <v>4</v>
      </c>
    </row>
    <row r="63" customFormat="false" ht="13.5" hidden="false" customHeight="false" outlineLevel="0" collapsed="false">
      <c r="A63" s="0" t="s">
        <v>99</v>
      </c>
      <c r="B63" s="1" t="n">
        <v>43923</v>
      </c>
      <c r="C63" s="0" t="n">
        <v>354</v>
      </c>
      <c r="D63" s="0" t="n">
        <v>25</v>
      </c>
      <c r="E63" s="0" t="n">
        <v>11</v>
      </c>
      <c r="F63" s="0" t="n">
        <v>2</v>
      </c>
      <c r="G63" s="0" t="n">
        <v>17</v>
      </c>
      <c r="H63" s="0" t="n">
        <v>326</v>
      </c>
      <c r="I63" s="0" t="n">
        <v>4</v>
      </c>
      <c r="J63" s="0" t="n">
        <v>170</v>
      </c>
      <c r="K63" s="0" t="n">
        <v>5</v>
      </c>
    </row>
    <row r="64" customFormat="false" ht="13.5" hidden="false" customHeight="false" outlineLevel="0" collapsed="false">
      <c r="A64" s="0" t="s">
        <v>99</v>
      </c>
      <c r="B64" s="1" t="n">
        <v>43924</v>
      </c>
      <c r="C64" s="0" t="n">
        <v>384</v>
      </c>
      <c r="D64" s="0" t="n">
        <v>30</v>
      </c>
      <c r="E64" s="0" t="n">
        <v>11</v>
      </c>
      <c r="F64" s="0" t="n">
        <v>0</v>
      </c>
      <c r="G64" s="0" t="n">
        <v>17</v>
      </c>
      <c r="H64" s="0" t="n">
        <v>356</v>
      </c>
      <c r="I64" s="0" t="n">
        <v>4</v>
      </c>
      <c r="J64" s="0" t="n">
        <v>184</v>
      </c>
      <c r="K64" s="0" t="n">
        <v>5</v>
      </c>
    </row>
    <row r="65" customFormat="false" ht="13.5" hidden="false" customHeight="false" outlineLevel="0" collapsed="false">
      <c r="A65" s="0" t="s">
        <v>99</v>
      </c>
      <c r="B65" s="1" t="n">
        <v>43925</v>
      </c>
      <c r="C65" s="0" t="n">
        <v>430</v>
      </c>
      <c r="D65" s="0" t="n">
        <v>46</v>
      </c>
      <c r="E65" s="0" t="n">
        <v>12</v>
      </c>
      <c r="F65" s="0" t="n">
        <v>1</v>
      </c>
      <c r="G65" s="0" t="n">
        <v>20</v>
      </c>
      <c r="H65" s="0" t="n">
        <v>398</v>
      </c>
      <c r="I65" s="0" t="n">
        <v>8</v>
      </c>
      <c r="J65" s="0" t="n">
        <v>206</v>
      </c>
      <c r="K65" s="0" t="n">
        <v>6</v>
      </c>
    </row>
    <row r="66" customFormat="false" ht="13.5" hidden="false" customHeight="false" outlineLevel="0" collapsed="false">
      <c r="A66" s="0" t="s">
        <v>99</v>
      </c>
      <c r="B66" s="1" t="n">
        <v>43926</v>
      </c>
      <c r="C66" s="0" t="n">
        <v>483</v>
      </c>
      <c r="D66" s="0" t="n">
        <v>53</v>
      </c>
      <c r="E66" s="0" t="n">
        <v>17</v>
      </c>
      <c r="F66" s="0" t="n">
        <v>5</v>
      </c>
      <c r="G66" s="0" t="n">
        <v>20</v>
      </c>
      <c r="H66" s="0" t="n">
        <v>446</v>
      </c>
      <c r="I66" s="0" t="n">
        <v>11</v>
      </c>
      <c r="J66" s="0" t="n">
        <v>232</v>
      </c>
      <c r="K66" s="0" t="n">
        <v>8</v>
      </c>
      <c r="L66" s="0" t="n">
        <v>4920</v>
      </c>
      <c r="M66" s="0" t="n">
        <v>2362</v>
      </c>
    </row>
    <row r="67" customFormat="false" ht="13.5" hidden="false" customHeight="false" outlineLevel="0" collapsed="false">
      <c r="A67" s="0" t="s">
        <v>99</v>
      </c>
      <c r="B67" s="1" t="n">
        <v>43927</v>
      </c>
      <c r="C67" s="0" t="n">
        <v>555</v>
      </c>
      <c r="D67" s="0" t="n">
        <v>72</v>
      </c>
      <c r="E67" s="0" t="n">
        <v>18</v>
      </c>
      <c r="F67" s="0" t="n">
        <v>1</v>
      </c>
      <c r="G67" s="0" t="n">
        <v>23</v>
      </c>
      <c r="H67" s="0" t="n">
        <v>514</v>
      </c>
      <c r="I67" s="0" t="n">
        <v>15</v>
      </c>
      <c r="J67" s="0" t="n">
        <v>266</v>
      </c>
      <c r="K67" s="0" t="n">
        <v>9</v>
      </c>
      <c r="L67" s="0" t="n">
        <v>4920</v>
      </c>
      <c r="M67" s="0" t="n">
        <v>2362</v>
      </c>
    </row>
    <row r="68" customFormat="false" ht="13.5" hidden="false" customHeight="false" outlineLevel="0" collapsed="false">
      <c r="A68" s="0" t="s">
        <v>99</v>
      </c>
      <c r="B68" s="1" t="n">
        <v>43928</v>
      </c>
      <c r="C68" s="0" t="n">
        <v>570</v>
      </c>
      <c r="D68" s="0" t="n">
        <v>15</v>
      </c>
      <c r="E68" s="0" t="n">
        <v>23</v>
      </c>
      <c r="F68" s="0" t="n">
        <v>5</v>
      </c>
      <c r="G68" s="0" t="n">
        <v>30</v>
      </c>
      <c r="H68" s="0" t="n">
        <v>517</v>
      </c>
      <c r="I68" s="0" t="n">
        <v>15</v>
      </c>
      <c r="J68" s="0" t="n">
        <v>274</v>
      </c>
      <c r="K68" s="0" t="n">
        <v>11</v>
      </c>
      <c r="L68" s="0" t="n">
        <v>5291</v>
      </c>
      <c r="M68" s="0" t="n">
        <v>2540</v>
      </c>
    </row>
    <row r="69" customFormat="false" ht="13.5" hidden="false" customHeight="false" outlineLevel="0" collapsed="false">
      <c r="A69" s="0" t="s">
        <v>99</v>
      </c>
      <c r="B69" s="1" t="n">
        <v>43929</v>
      </c>
      <c r="C69" s="0" t="n">
        <v>599</v>
      </c>
      <c r="D69" s="0" t="n">
        <v>29</v>
      </c>
      <c r="E69" s="0" t="n">
        <v>26</v>
      </c>
      <c r="F69" s="0" t="n">
        <v>3</v>
      </c>
      <c r="G69" s="0" t="n">
        <v>30</v>
      </c>
      <c r="H69" s="0" t="n">
        <v>543</v>
      </c>
      <c r="I69" s="0" t="n">
        <v>15</v>
      </c>
      <c r="J69" s="0" t="n">
        <v>288</v>
      </c>
      <c r="K69" s="0" t="n">
        <v>12</v>
      </c>
      <c r="L69" s="0" t="n">
        <v>5879</v>
      </c>
      <c r="M69" s="0" t="n">
        <v>2822</v>
      </c>
    </row>
    <row r="70" customFormat="false" ht="13.5" hidden="false" customHeight="false" outlineLevel="0" collapsed="false">
      <c r="A70" s="0" t="s">
        <v>99</v>
      </c>
      <c r="B70" s="1" t="n">
        <v>43930</v>
      </c>
      <c r="C70" s="0" t="n">
        <v>617</v>
      </c>
      <c r="D70" s="0" t="n">
        <v>18</v>
      </c>
      <c r="E70" s="0" t="n">
        <v>29</v>
      </c>
      <c r="F70" s="0" t="n">
        <v>3</v>
      </c>
      <c r="G70" s="0" t="n">
        <v>35</v>
      </c>
      <c r="H70" s="0" t="n">
        <v>553</v>
      </c>
      <c r="I70" s="0" t="n">
        <v>15</v>
      </c>
      <c r="J70" s="0" t="n">
        <v>296</v>
      </c>
      <c r="K70" s="0" t="n">
        <v>14</v>
      </c>
      <c r="L70" s="0" t="n">
        <v>6230</v>
      </c>
      <c r="M70" s="0" t="n">
        <v>2990</v>
      </c>
    </row>
    <row r="71" customFormat="false" ht="13.5" hidden="false" customHeight="false" outlineLevel="0" collapsed="false">
      <c r="A71" s="0" t="s">
        <v>99</v>
      </c>
      <c r="B71" s="1" t="n">
        <v>43931</v>
      </c>
      <c r="C71" s="0" t="n">
        <v>663</v>
      </c>
      <c r="D71" s="0" t="n">
        <v>46</v>
      </c>
      <c r="E71" s="0" t="n">
        <v>30</v>
      </c>
      <c r="F71" s="0" t="n">
        <v>1</v>
      </c>
      <c r="G71" s="0" t="n">
        <v>37</v>
      </c>
      <c r="H71" s="0" t="n">
        <v>596</v>
      </c>
      <c r="I71" s="0" t="n">
        <v>15</v>
      </c>
      <c r="J71" s="0" t="n">
        <v>318</v>
      </c>
      <c r="K71" s="0" t="n">
        <v>14</v>
      </c>
      <c r="L71" s="0" t="n">
        <v>6571</v>
      </c>
      <c r="M71" s="0" t="n">
        <v>3154</v>
      </c>
    </row>
    <row r="72" customFormat="false" ht="13.5" hidden="false" customHeight="false" outlineLevel="0" collapsed="false">
      <c r="A72" s="0" t="s">
        <v>99</v>
      </c>
      <c r="B72" s="1" t="n">
        <v>43932</v>
      </c>
      <c r="C72" s="0" t="n">
        <v>711</v>
      </c>
      <c r="D72" s="0" t="n">
        <v>48</v>
      </c>
      <c r="E72" s="0" t="n">
        <v>32</v>
      </c>
      <c r="F72" s="0" t="n">
        <v>2</v>
      </c>
      <c r="G72" s="0" t="n">
        <v>41</v>
      </c>
      <c r="H72" s="0" t="n">
        <v>638</v>
      </c>
      <c r="I72" s="0" t="n">
        <v>15</v>
      </c>
      <c r="J72" s="0" t="n">
        <v>341</v>
      </c>
      <c r="K72" s="0" t="n">
        <v>15</v>
      </c>
      <c r="L72" s="0" t="n">
        <v>6571</v>
      </c>
      <c r="M72" s="0" t="n">
        <v>3154</v>
      </c>
    </row>
    <row r="73" customFormat="false" ht="13.5" hidden="false" customHeight="false" outlineLevel="0" collapsed="false">
      <c r="A73" s="0" t="s">
        <v>99</v>
      </c>
      <c r="B73" s="1" t="n">
        <v>43933</v>
      </c>
      <c r="C73" s="0" t="n">
        <v>760</v>
      </c>
      <c r="D73" s="0" t="n">
        <v>49</v>
      </c>
      <c r="E73" s="0" t="n">
        <v>34</v>
      </c>
      <c r="F73" s="0" t="n">
        <v>2</v>
      </c>
      <c r="G73" s="0" t="n">
        <v>41</v>
      </c>
      <c r="H73" s="0" t="n">
        <v>685</v>
      </c>
      <c r="I73" s="0" t="n">
        <v>15</v>
      </c>
      <c r="J73" s="0" t="n">
        <v>365</v>
      </c>
      <c r="K73" s="0" t="n">
        <v>16</v>
      </c>
      <c r="L73" s="0" t="n">
        <v>7653</v>
      </c>
      <c r="M73" s="0" t="n">
        <v>3673</v>
      </c>
    </row>
    <row r="74" customFormat="false" ht="13.5" hidden="false" customHeight="false" outlineLevel="0" collapsed="false">
      <c r="A74" s="0" t="s">
        <v>99</v>
      </c>
      <c r="B74" s="1" t="n">
        <v>43934</v>
      </c>
      <c r="C74" s="0" t="n">
        <v>828</v>
      </c>
      <c r="D74" s="0" t="n">
        <v>68</v>
      </c>
      <c r="E74" s="0" t="n">
        <v>34</v>
      </c>
      <c r="F74" s="0" t="n">
        <v>0</v>
      </c>
      <c r="G74" s="0" t="n">
        <v>41</v>
      </c>
      <c r="H74" s="0" t="n">
        <v>753</v>
      </c>
      <c r="I74" s="0" t="n">
        <v>15</v>
      </c>
      <c r="J74" s="0" t="n">
        <v>397</v>
      </c>
      <c r="K74" s="0" t="n">
        <v>16</v>
      </c>
      <c r="L74" s="0" t="n">
        <v>8057</v>
      </c>
      <c r="M74" s="0" t="n">
        <v>3867</v>
      </c>
    </row>
    <row r="75" customFormat="false" ht="13.5" hidden="false" customHeight="false" outlineLevel="0" collapsed="false">
      <c r="A75" s="0" t="s">
        <v>99</v>
      </c>
      <c r="B75" s="1" t="n">
        <v>43935</v>
      </c>
      <c r="C75" s="0" t="n">
        <v>854</v>
      </c>
      <c r="D75" s="0" t="n">
        <v>26</v>
      </c>
      <c r="E75" s="0" t="n">
        <v>38</v>
      </c>
      <c r="F75" s="0" t="n">
        <v>4</v>
      </c>
      <c r="G75" s="0" t="n">
        <v>44</v>
      </c>
      <c r="H75" s="0" t="n">
        <v>772</v>
      </c>
      <c r="I75" s="0" t="n">
        <v>15</v>
      </c>
      <c r="J75" s="0" t="n">
        <v>410</v>
      </c>
      <c r="K75" s="0" t="n">
        <v>18</v>
      </c>
      <c r="L75" s="0" t="n">
        <v>8552</v>
      </c>
      <c r="M75" s="0" t="n">
        <v>4105</v>
      </c>
    </row>
    <row r="76" customFormat="false" ht="13.5" hidden="false" customHeight="false" outlineLevel="0" collapsed="false">
      <c r="A76" s="0" t="s">
        <v>99</v>
      </c>
      <c r="B76" s="1" t="n">
        <v>43936</v>
      </c>
      <c r="C76" s="0" t="n">
        <v>908</v>
      </c>
      <c r="D76" s="0" t="n">
        <v>54</v>
      </c>
      <c r="E76" s="0" t="n">
        <v>44</v>
      </c>
      <c r="F76" s="0" t="n">
        <v>6</v>
      </c>
      <c r="G76" s="0" t="n">
        <v>86</v>
      </c>
      <c r="H76" s="0" t="n">
        <v>778</v>
      </c>
      <c r="I76" s="0" t="n">
        <v>15</v>
      </c>
      <c r="J76" s="0" t="n">
        <v>436</v>
      </c>
      <c r="K76" s="0" t="n">
        <v>21</v>
      </c>
      <c r="L76" s="0" t="n">
        <v>9262</v>
      </c>
      <c r="M76" s="0" t="n">
        <v>4446</v>
      </c>
    </row>
    <row r="77" customFormat="false" ht="13.5" hidden="false" customHeight="false" outlineLevel="0" collapsed="false">
      <c r="A77" s="0" t="s">
        <v>99</v>
      </c>
      <c r="B77" s="1" t="n">
        <v>43937</v>
      </c>
      <c r="C77" s="0" t="n">
        <v>974</v>
      </c>
      <c r="D77" s="0" t="n">
        <v>66</v>
      </c>
      <c r="E77" s="0" t="n">
        <v>45</v>
      </c>
      <c r="F77" s="0" t="n">
        <v>1</v>
      </c>
      <c r="G77" s="0" t="n">
        <v>98</v>
      </c>
      <c r="H77" s="0" t="n">
        <v>831</v>
      </c>
      <c r="I77" s="0" t="n">
        <v>15</v>
      </c>
      <c r="J77" s="0" t="n">
        <v>468</v>
      </c>
      <c r="K77" s="0" t="n">
        <v>22</v>
      </c>
      <c r="L77" s="0" t="n">
        <v>9262</v>
      </c>
      <c r="M77" s="0" t="n">
        <v>4446</v>
      </c>
    </row>
    <row r="78" customFormat="false" ht="13.5" hidden="false" customHeight="false" outlineLevel="0" collapsed="false">
      <c r="A78" s="0" t="s">
        <v>99</v>
      </c>
      <c r="B78" s="1" t="n">
        <v>43938</v>
      </c>
      <c r="C78" s="0" t="n">
        <v>1081</v>
      </c>
      <c r="D78" s="0" t="n">
        <v>107</v>
      </c>
      <c r="E78" s="0" t="n">
        <v>46</v>
      </c>
      <c r="F78" s="0" t="n">
        <v>1</v>
      </c>
      <c r="G78" s="0" t="n">
        <v>121</v>
      </c>
      <c r="H78" s="0" t="n">
        <v>914</v>
      </c>
      <c r="I78" s="0" t="n">
        <v>15</v>
      </c>
      <c r="J78" s="0" t="n">
        <v>519</v>
      </c>
      <c r="K78" s="0" t="n">
        <v>22</v>
      </c>
      <c r="L78" s="0" t="n">
        <v>10422</v>
      </c>
      <c r="M78" s="0" t="n">
        <v>5002</v>
      </c>
    </row>
    <row r="79" customFormat="false" ht="13.5" hidden="false" customHeight="false" outlineLevel="0" collapsed="false">
      <c r="A79" s="0" t="s">
        <v>99</v>
      </c>
      <c r="B79" s="1" t="n">
        <v>43939</v>
      </c>
      <c r="C79" s="0" t="n">
        <v>1117</v>
      </c>
      <c r="D79" s="0" t="n">
        <v>36</v>
      </c>
      <c r="E79" s="0" t="n">
        <v>49</v>
      </c>
      <c r="F79" s="0" t="n">
        <v>3</v>
      </c>
      <c r="G79" s="0" t="n">
        <v>139</v>
      </c>
      <c r="H79" s="0" t="n">
        <v>929</v>
      </c>
      <c r="I79" s="0" t="n">
        <v>15</v>
      </c>
      <c r="J79" s="0" t="n">
        <v>536</v>
      </c>
      <c r="K79" s="0" t="n">
        <v>24</v>
      </c>
      <c r="L79" s="0" t="n">
        <v>10859</v>
      </c>
      <c r="M79" s="0" t="n">
        <v>5212</v>
      </c>
    </row>
    <row r="80" customFormat="false" ht="13.5" hidden="false" customHeight="false" outlineLevel="0" collapsed="false">
      <c r="A80" s="0" t="s">
        <v>99</v>
      </c>
      <c r="B80" s="1" t="n">
        <v>43940</v>
      </c>
      <c r="C80" s="0" t="n">
        <v>1170</v>
      </c>
      <c r="D80" s="0" t="n">
        <v>53</v>
      </c>
      <c r="E80" s="0" t="n">
        <v>49</v>
      </c>
      <c r="F80" s="0" t="n">
        <v>0</v>
      </c>
      <c r="G80" s="0" t="n">
        <v>164</v>
      </c>
      <c r="H80" s="0" t="n">
        <v>957</v>
      </c>
      <c r="I80" s="0" t="n">
        <v>15</v>
      </c>
      <c r="J80" s="0" t="n">
        <v>562</v>
      </c>
      <c r="K80" s="0" t="n">
        <v>24</v>
      </c>
      <c r="L80" s="0" t="n">
        <v>11556</v>
      </c>
      <c r="M80" s="0" t="n">
        <v>5547</v>
      </c>
    </row>
    <row r="81" customFormat="false" ht="13.5" hidden="false" customHeight="false" outlineLevel="0" collapsed="false">
      <c r="A81" s="0" t="s">
        <v>99</v>
      </c>
      <c r="B81" s="1" t="n">
        <v>43941</v>
      </c>
      <c r="C81" s="0" t="n">
        <v>1207</v>
      </c>
      <c r="D81" s="0" t="n">
        <v>37</v>
      </c>
      <c r="E81" s="0" t="n">
        <v>51</v>
      </c>
      <c r="F81" s="0" t="n">
        <v>2</v>
      </c>
      <c r="G81" s="0" t="n">
        <v>179</v>
      </c>
      <c r="H81" s="0" t="n">
        <v>977</v>
      </c>
      <c r="I81" s="0" t="n">
        <v>15</v>
      </c>
      <c r="J81" s="0" t="n">
        <v>579</v>
      </c>
      <c r="K81" s="0" t="n">
        <v>24</v>
      </c>
      <c r="L81" s="0" t="n">
        <v>11870</v>
      </c>
      <c r="M81" s="0" t="n">
        <v>5697</v>
      </c>
    </row>
    <row r="82" customFormat="false" ht="13.5" hidden="false" customHeight="false" outlineLevel="0" collapsed="false">
      <c r="A82" s="0" t="s">
        <v>99</v>
      </c>
      <c r="B82" s="1" t="n">
        <v>43942</v>
      </c>
      <c r="C82" s="0" t="n">
        <v>1225</v>
      </c>
      <c r="D82" s="0" t="n">
        <v>18</v>
      </c>
      <c r="E82" s="0" t="n">
        <v>54</v>
      </c>
      <c r="F82" s="0" t="n">
        <v>3</v>
      </c>
      <c r="G82" s="0" t="n">
        <v>200</v>
      </c>
      <c r="H82" s="0" t="n">
        <v>971</v>
      </c>
      <c r="I82" s="0" t="n">
        <v>9</v>
      </c>
      <c r="J82" s="0" t="n">
        <v>588</v>
      </c>
      <c r="K82" s="0" t="n">
        <v>26</v>
      </c>
      <c r="L82" s="0" t="n">
        <v>11870</v>
      </c>
      <c r="M82" s="0" t="n">
        <v>5697</v>
      </c>
    </row>
    <row r="83" customFormat="false" ht="13.5" hidden="false" customHeight="false" outlineLevel="0" collapsed="false">
      <c r="A83" s="0" t="s">
        <v>99</v>
      </c>
      <c r="B83" s="1" t="n">
        <v>43943</v>
      </c>
      <c r="C83" s="0" t="n">
        <v>1231</v>
      </c>
      <c r="D83" s="0" t="n">
        <v>6</v>
      </c>
      <c r="E83" s="0" t="n">
        <v>55</v>
      </c>
      <c r="F83" s="0" t="n">
        <v>1</v>
      </c>
      <c r="G83" s="0" t="n">
        <v>224</v>
      </c>
      <c r="H83" s="0" t="n">
        <v>952</v>
      </c>
      <c r="I83" s="0" t="n">
        <v>9</v>
      </c>
      <c r="J83" s="0" t="n">
        <v>591</v>
      </c>
      <c r="K83" s="0" t="n">
        <v>26</v>
      </c>
      <c r="L83" s="0" t="n">
        <v>12340</v>
      </c>
      <c r="M83" s="0" t="n">
        <v>5923</v>
      </c>
    </row>
    <row r="84" customFormat="false" ht="13.5" hidden="false" customHeight="false" outlineLevel="0" collapsed="false">
      <c r="A84" s="0" t="s">
        <v>99</v>
      </c>
      <c r="B84" s="1" t="n">
        <v>43944</v>
      </c>
      <c r="C84" s="0" t="n">
        <v>1259</v>
      </c>
      <c r="D84" s="0" t="n">
        <v>28</v>
      </c>
      <c r="E84" s="0" t="n">
        <v>56</v>
      </c>
      <c r="F84" s="0" t="n">
        <v>1</v>
      </c>
      <c r="G84" s="0" t="n">
        <v>272</v>
      </c>
      <c r="H84" s="0" t="n">
        <v>931</v>
      </c>
      <c r="I84" s="0" t="n">
        <v>8</v>
      </c>
      <c r="J84" s="0" t="n">
        <v>604</v>
      </c>
      <c r="K84" s="0" t="n">
        <v>27</v>
      </c>
      <c r="L84" s="0" t="n">
        <v>13000</v>
      </c>
      <c r="M84" s="0" t="n">
        <v>6240</v>
      </c>
    </row>
    <row r="85" customFormat="false" ht="13.5" hidden="false" customHeight="false" outlineLevel="0" collapsed="false">
      <c r="A85" s="0" t="s">
        <v>99</v>
      </c>
      <c r="B85" s="1" t="n">
        <v>43945</v>
      </c>
      <c r="C85" s="0" t="n">
        <v>1300</v>
      </c>
      <c r="D85" s="0" t="n">
        <v>41</v>
      </c>
      <c r="E85" s="0" t="n">
        <v>56</v>
      </c>
      <c r="F85" s="0" t="n">
        <v>0</v>
      </c>
      <c r="G85" s="0" t="n">
        <v>301</v>
      </c>
      <c r="H85" s="0" t="n">
        <v>943</v>
      </c>
      <c r="I85" s="0" t="n">
        <v>14</v>
      </c>
      <c r="J85" s="0" t="n">
        <v>624</v>
      </c>
      <c r="K85" s="0" t="n">
        <v>27</v>
      </c>
      <c r="L85" s="0" t="n">
        <v>13649</v>
      </c>
      <c r="M85" s="0" t="n">
        <v>6551</v>
      </c>
    </row>
    <row r="86" customFormat="false" ht="13.5" hidden="false" customHeight="false" outlineLevel="0" collapsed="false">
      <c r="A86" s="0" t="s">
        <v>99</v>
      </c>
      <c r="B86" s="1" t="n">
        <v>43946</v>
      </c>
      <c r="C86" s="0" t="n">
        <v>1326</v>
      </c>
      <c r="D86" s="0" t="n">
        <v>26</v>
      </c>
      <c r="E86" s="0" t="n">
        <v>57</v>
      </c>
      <c r="F86" s="0" t="n">
        <v>1</v>
      </c>
      <c r="G86" s="0" t="n">
        <v>337</v>
      </c>
      <c r="H86" s="0" t="n">
        <v>932</v>
      </c>
      <c r="I86" s="0" t="n">
        <v>14</v>
      </c>
      <c r="J86" s="0" t="n">
        <v>636</v>
      </c>
      <c r="K86" s="0" t="n">
        <v>27</v>
      </c>
      <c r="L86" s="0" t="n">
        <v>13649</v>
      </c>
      <c r="M86" s="0" t="n">
        <v>6551</v>
      </c>
    </row>
    <row r="87" customFormat="false" ht="13.5" hidden="false" customHeight="false" outlineLevel="0" collapsed="false">
      <c r="A87" s="0" t="s">
        <v>99</v>
      </c>
      <c r="B87" s="1" t="n">
        <v>43947</v>
      </c>
      <c r="C87" s="0" t="n">
        <v>1367</v>
      </c>
      <c r="D87" s="0" t="n">
        <v>41</v>
      </c>
      <c r="E87" s="0" t="n">
        <v>59</v>
      </c>
      <c r="F87" s="0" t="n">
        <v>2</v>
      </c>
      <c r="G87" s="0" t="n">
        <v>374</v>
      </c>
      <c r="H87" s="0" t="n">
        <v>934</v>
      </c>
      <c r="I87" s="0" t="n">
        <v>14</v>
      </c>
      <c r="J87" s="0" t="n">
        <v>656</v>
      </c>
      <c r="K87" s="0" t="n">
        <v>28</v>
      </c>
      <c r="L87" s="0" t="n">
        <v>14758</v>
      </c>
      <c r="M87" s="0" t="n">
        <v>7084</v>
      </c>
    </row>
    <row r="88" customFormat="false" ht="13.5" hidden="false" customHeight="false" outlineLevel="0" collapsed="false">
      <c r="A88" s="0" t="s">
        <v>99</v>
      </c>
      <c r="B88" s="1" t="n">
        <v>43948</v>
      </c>
      <c r="C88" s="0" t="n">
        <v>1386</v>
      </c>
      <c r="D88" s="0" t="n">
        <v>19</v>
      </c>
      <c r="E88" s="0" t="n">
        <v>61</v>
      </c>
      <c r="F88" s="0" t="n">
        <v>2</v>
      </c>
      <c r="G88" s="0" t="n">
        <v>500</v>
      </c>
      <c r="H88" s="0" t="n">
        <v>825</v>
      </c>
      <c r="I88" s="0" t="n">
        <v>13</v>
      </c>
      <c r="J88" s="0" t="n">
        <v>665</v>
      </c>
      <c r="K88" s="0" t="n">
        <v>29</v>
      </c>
      <c r="L88" s="0" t="n">
        <v>15120</v>
      </c>
      <c r="M88" s="0" t="n">
        <v>7257</v>
      </c>
    </row>
    <row r="89" customFormat="false" ht="13.5" hidden="false" customHeight="false" outlineLevel="0" collapsed="false">
      <c r="A89" s="0" t="s">
        <v>99</v>
      </c>
      <c r="B89" s="1" t="n">
        <v>43949</v>
      </c>
      <c r="C89" s="0" t="n">
        <v>1399</v>
      </c>
      <c r="D89" s="0" t="n">
        <v>13</v>
      </c>
      <c r="E89" s="0" t="n">
        <v>65</v>
      </c>
      <c r="F89" s="0" t="n">
        <v>4</v>
      </c>
      <c r="G89" s="0" t="n">
        <v>553</v>
      </c>
      <c r="H89" s="0" t="n">
        <v>781</v>
      </c>
      <c r="I89" s="0" t="n">
        <v>13</v>
      </c>
      <c r="J89" s="0" t="n">
        <v>672</v>
      </c>
      <c r="K89" s="0" t="n">
        <v>31</v>
      </c>
      <c r="L89" s="0" t="n">
        <v>15120</v>
      </c>
      <c r="M89" s="0" t="n">
        <v>7257</v>
      </c>
    </row>
    <row r="90" customFormat="false" ht="13.5" hidden="false" customHeight="false" outlineLevel="0" collapsed="false">
      <c r="A90" s="0" t="s">
        <v>99</v>
      </c>
      <c r="B90" s="1" t="n">
        <v>43950</v>
      </c>
      <c r="C90" s="0" t="n">
        <v>1421</v>
      </c>
      <c r="D90" s="0" t="n">
        <v>22</v>
      </c>
      <c r="E90" s="0" t="n">
        <v>71</v>
      </c>
      <c r="F90" s="0" t="n">
        <v>6</v>
      </c>
      <c r="G90" s="0" t="n">
        <v>589</v>
      </c>
      <c r="H90" s="0" t="n">
        <v>761</v>
      </c>
      <c r="I90" s="0" t="n">
        <v>13</v>
      </c>
      <c r="J90" s="0" t="n">
        <v>682</v>
      </c>
      <c r="K90" s="0" t="n">
        <v>34</v>
      </c>
      <c r="L90" s="0" t="n">
        <v>15771</v>
      </c>
      <c r="M90" s="0" t="n">
        <v>7570</v>
      </c>
    </row>
    <row r="91" customFormat="false" ht="13.5" hidden="false" customHeight="false" outlineLevel="0" collapsed="false">
      <c r="A91" s="0" t="s">
        <v>99</v>
      </c>
      <c r="B91" s="1" t="n">
        <v>43951</v>
      </c>
      <c r="C91" s="0" t="n">
        <v>1442</v>
      </c>
      <c r="D91" s="0" t="n">
        <v>21</v>
      </c>
      <c r="E91" s="0" t="n">
        <v>73</v>
      </c>
      <c r="F91" s="0" t="n">
        <v>2</v>
      </c>
      <c r="G91" s="0" t="n">
        <v>627</v>
      </c>
      <c r="H91" s="0" t="n">
        <v>742</v>
      </c>
      <c r="I91" s="0" t="n">
        <v>13</v>
      </c>
      <c r="J91" s="0" t="n">
        <v>692</v>
      </c>
      <c r="K91" s="0" t="n">
        <v>35</v>
      </c>
      <c r="L91" s="0" t="n">
        <v>16050</v>
      </c>
      <c r="M91" s="0" t="n">
        <v>7704</v>
      </c>
    </row>
    <row r="92" customFormat="false" ht="13.5" hidden="false" customHeight="false" outlineLevel="0" collapsed="false">
      <c r="A92" s="0" t="s">
        <v>99</v>
      </c>
      <c r="B92" s="1" t="n">
        <v>43952</v>
      </c>
      <c r="C92" s="0" t="n">
        <v>1465</v>
      </c>
      <c r="D92" s="0" t="n">
        <v>23</v>
      </c>
      <c r="E92" s="0" t="n">
        <v>77</v>
      </c>
      <c r="F92" s="0" t="n">
        <v>4</v>
      </c>
      <c r="G92" s="0" t="n">
        <v>738</v>
      </c>
      <c r="H92" s="0" t="n">
        <v>650</v>
      </c>
      <c r="I92" s="0" t="n">
        <v>13</v>
      </c>
      <c r="J92" s="0" t="n">
        <v>703</v>
      </c>
      <c r="K92" s="0" t="n">
        <v>37</v>
      </c>
      <c r="L92" s="0" t="n">
        <v>16050</v>
      </c>
      <c r="M92" s="0" t="n">
        <v>7704</v>
      </c>
    </row>
    <row r="93" customFormat="false" ht="13.5" hidden="false" customHeight="false" outlineLevel="0" collapsed="false">
      <c r="A93" s="0" t="s">
        <v>99</v>
      </c>
      <c r="B93" s="1" t="n">
        <v>43953</v>
      </c>
      <c r="C93" s="0" t="n">
        <v>1494</v>
      </c>
      <c r="D93" s="0" t="n">
        <v>29</v>
      </c>
      <c r="E93" s="0" t="n">
        <v>81</v>
      </c>
      <c r="F93" s="0" t="n">
        <v>4</v>
      </c>
      <c r="G93" s="0" t="n">
        <v>807</v>
      </c>
      <c r="H93" s="0" t="n">
        <v>606</v>
      </c>
      <c r="I93" s="0" t="n">
        <v>13</v>
      </c>
      <c r="J93" s="0" t="n">
        <v>717</v>
      </c>
      <c r="K93" s="0" t="n">
        <v>39</v>
      </c>
      <c r="L93" s="0" t="n">
        <v>16798</v>
      </c>
      <c r="M93" s="0" t="n">
        <v>8063</v>
      </c>
    </row>
    <row r="94" customFormat="false" ht="13.5" hidden="false" customHeight="false" outlineLevel="0" collapsed="false">
      <c r="A94" s="0" t="s">
        <v>99</v>
      </c>
      <c r="B94" s="1" t="n">
        <v>43954</v>
      </c>
      <c r="C94" s="0" t="n">
        <v>1506</v>
      </c>
      <c r="D94" s="0" t="n">
        <v>12</v>
      </c>
      <c r="E94" s="0" t="n">
        <v>82</v>
      </c>
      <c r="F94" s="0" t="n">
        <v>1</v>
      </c>
      <c r="G94" s="0" t="n">
        <v>852</v>
      </c>
      <c r="H94" s="0" t="n">
        <v>572</v>
      </c>
      <c r="I94" s="0" t="n">
        <v>21</v>
      </c>
      <c r="J94" s="0" t="n">
        <v>723</v>
      </c>
      <c r="K94" s="0" t="n">
        <v>39</v>
      </c>
      <c r="L94" s="0" t="n">
        <v>16997</v>
      </c>
      <c r="M94" s="0" t="n">
        <v>8158</v>
      </c>
    </row>
    <row r="95" customFormat="false" ht="13.5" hidden="false" customHeight="false" outlineLevel="0" collapsed="false">
      <c r="A95" s="0" t="s">
        <v>99</v>
      </c>
      <c r="B95" s="1" t="n">
        <v>43955</v>
      </c>
      <c r="C95" s="0" t="n">
        <v>1511</v>
      </c>
      <c r="D95" s="0" t="n">
        <v>5</v>
      </c>
      <c r="E95" s="0" t="n">
        <v>84</v>
      </c>
      <c r="F95" s="0" t="n">
        <v>2</v>
      </c>
      <c r="G95" s="0" t="n">
        <v>945</v>
      </c>
      <c r="H95" s="0" t="n">
        <v>482</v>
      </c>
      <c r="I95" s="0" t="n">
        <v>21</v>
      </c>
      <c r="J95" s="0" t="n">
        <v>725</v>
      </c>
      <c r="K95" s="0" t="n">
        <v>40</v>
      </c>
      <c r="L95" s="0" t="n">
        <v>17246</v>
      </c>
      <c r="M95" s="0" t="n">
        <v>8278</v>
      </c>
    </row>
    <row r="96" customFormat="false" ht="13.5" hidden="false" customHeight="false" outlineLevel="0" collapsed="false">
      <c r="A96" s="0" t="s">
        <v>99</v>
      </c>
      <c r="B96" s="1" t="n">
        <v>43956</v>
      </c>
      <c r="C96" s="0" t="n">
        <v>1518</v>
      </c>
      <c r="D96" s="0" t="n">
        <v>7</v>
      </c>
      <c r="E96" s="0" t="n">
        <v>85</v>
      </c>
      <c r="F96" s="0" t="n">
        <v>1</v>
      </c>
      <c r="G96" s="0" t="n">
        <v>992</v>
      </c>
      <c r="H96" s="0" t="n">
        <v>441</v>
      </c>
      <c r="I96" s="0" t="n">
        <v>21</v>
      </c>
      <c r="J96" s="0" t="n">
        <v>729</v>
      </c>
      <c r="K96" s="0" t="n">
        <v>41</v>
      </c>
      <c r="L96" s="0" t="n">
        <v>17359</v>
      </c>
      <c r="M96" s="0" t="n">
        <v>8332</v>
      </c>
    </row>
    <row r="97" customFormat="false" ht="13.5" hidden="false" customHeight="false" outlineLevel="0" collapsed="false">
      <c r="A97" s="0" t="s">
        <v>99</v>
      </c>
      <c r="B97" s="1" t="n">
        <v>43957</v>
      </c>
      <c r="C97" s="0" t="n">
        <v>1526</v>
      </c>
      <c r="D97" s="0" t="n">
        <v>8</v>
      </c>
      <c r="E97" s="0" t="n">
        <v>86</v>
      </c>
      <c r="F97" s="0" t="n">
        <v>1</v>
      </c>
      <c r="G97" s="0" t="n">
        <v>1013</v>
      </c>
      <c r="H97" s="0" t="n">
        <v>427</v>
      </c>
      <c r="I97" s="0" t="n">
        <v>21</v>
      </c>
      <c r="J97" s="0" t="n">
        <v>732</v>
      </c>
      <c r="K97" s="0" t="n">
        <v>41</v>
      </c>
      <c r="L97" s="0" t="n">
        <v>17359</v>
      </c>
      <c r="M97" s="0" t="n">
        <v>8332</v>
      </c>
    </row>
    <row r="98" customFormat="false" ht="13.5" hidden="false" customHeight="false" outlineLevel="0" collapsed="false">
      <c r="A98" s="0" t="s">
        <v>99</v>
      </c>
      <c r="B98" s="1" t="n">
        <v>43958</v>
      </c>
      <c r="C98" s="0" t="n">
        <v>1539</v>
      </c>
      <c r="D98" s="0" t="n">
        <v>13</v>
      </c>
      <c r="E98" s="0" t="n">
        <v>88</v>
      </c>
      <c r="F98" s="0" t="n">
        <v>2</v>
      </c>
      <c r="G98" s="0" t="n">
        <v>1057</v>
      </c>
      <c r="H98" s="0" t="n">
        <v>394</v>
      </c>
      <c r="I98" s="0" t="n">
        <v>21</v>
      </c>
      <c r="J98" s="0" t="n">
        <v>739</v>
      </c>
      <c r="K98" s="0" t="n">
        <v>42</v>
      </c>
      <c r="L98" s="0" t="n">
        <v>17836</v>
      </c>
      <c r="M98" s="0" t="n">
        <v>8561</v>
      </c>
    </row>
    <row r="99" customFormat="false" ht="13.5" hidden="false" customHeight="false" outlineLevel="0" collapsed="false">
      <c r="A99" s="0" t="s">
        <v>99</v>
      </c>
      <c r="B99" s="1" t="n">
        <v>43959</v>
      </c>
      <c r="C99" s="0" t="n">
        <v>1572</v>
      </c>
      <c r="D99" s="0" t="n">
        <v>33</v>
      </c>
      <c r="E99" s="0" t="n">
        <v>89</v>
      </c>
      <c r="F99" s="0" t="n">
        <v>1</v>
      </c>
      <c r="G99" s="0" t="n">
        <v>1079</v>
      </c>
      <c r="H99" s="0" t="n">
        <v>404</v>
      </c>
      <c r="I99" s="0" t="n">
        <v>21</v>
      </c>
      <c r="J99" s="0" t="n">
        <v>755</v>
      </c>
      <c r="K99" s="0" t="n">
        <v>43</v>
      </c>
      <c r="L99" s="0" t="n">
        <v>18168</v>
      </c>
      <c r="M99" s="0" t="n">
        <v>8720</v>
      </c>
    </row>
    <row r="100" customFormat="false" ht="13.5" hidden="false" customHeight="false" outlineLevel="0" collapsed="false">
      <c r="A100" s="0" t="s">
        <v>99</v>
      </c>
      <c r="B100" s="1" t="n">
        <v>43960</v>
      </c>
      <c r="C100" s="0" t="n">
        <v>1586</v>
      </c>
      <c r="D100" s="0" t="n">
        <v>14</v>
      </c>
      <c r="E100" s="0" t="n">
        <v>90</v>
      </c>
      <c r="F100" s="0" t="n">
        <v>1</v>
      </c>
      <c r="G100" s="0" t="n">
        <v>1099</v>
      </c>
      <c r="H100" s="0" t="n">
        <v>397</v>
      </c>
      <c r="I100" s="0" t="n">
        <v>21</v>
      </c>
      <c r="J100" s="0" t="n">
        <v>761</v>
      </c>
      <c r="K100" s="0" t="n">
        <v>43</v>
      </c>
      <c r="L100" s="0" t="n">
        <v>18410</v>
      </c>
      <c r="M100" s="0" t="n">
        <v>8837</v>
      </c>
    </row>
    <row r="101" customFormat="false" ht="13.5" hidden="false" customHeight="false" outlineLevel="0" collapsed="false">
      <c r="A101" s="0" t="s">
        <v>99</v>
      </c>
      <c r="B101" s="1" t="n">
        <v>43961</v>
      </c>
      <c r="C101" s="0" t="n">
        <v>1622</v>
      </c>
      <c r="D101" s="0" t="n">
        <v>36</v>
      </c>
      <c r="E101" s="0" t="n">
        <v>91</v>
      </c>
      <c r="F101" s="0" t="n">
        <v>1</v>
      </c>
      <c r="G101" s="0" t="n">
        <v>1112</v>
      </c>
      <c r="H101" s="0" t="n">
        <v>419</v>
      </c>
      <c r="I101" s="0" t="n">
        <v>21</v>
      </c>
      <c r="J101" s="0" t="n">
        <v>779</v>
      </c>
      <c r="K101" s="0" t="n">
        <v>44</v>
      </c>
      <c r="L101" s="0" t="n">
        <v>18821</v>
      </c>
      <c r="M101" s="0" t="n">
        <v>9034</v>
      </c>
    </row>
    <row r="102" customFormat="false" ht="13.5" hidden="false" customHeight="false" outlineLevel="0" collapsed="false">
      <c r="A102" s="0" t="s">
        <v>99</v>
      </c>
      <c r="B102" s="1" t="n">
        <v>43962</v>
      </c>
      <c r="C102" s="0" t="n">
        <v>1642</v>
      </c>
      <c r="D102" s="0" t="n">
        <v>20</v>
      </c>
      <c r="E102" s="0" t="n">
        <v>91</v>
      </c>
      <c r="F102" s="0" t="n">
        <v>0</v>
      </c>
      <c r="G102" s="0" t="n">
        <v>1136</v>
      </c>
      <c r="H102" s="0" t="n">
        <v>415</v>
      </c>
      <c r="I102" s="0" t="n">
        <v>21</v>
      </c>
      <c r="J102" s="0" t="n">
        <v>788</v>
      </c>
      <c r="K102" s="0" t="n">
        <v>44</v>
      </c>
      <c r="L102" s="0" t="n">
        <v>18821</v>
      </c>
      <c r="M102" s="0" t="n">
        <v>9034</v>
      </c>
    </row>
    <row r="103" customFormat="false" ht="13.5" hidden="false" customHeight="false" outlineLevel="0" collapsed="false">
      <c r="A103" s="0" t="s">
        <v>99</v>
      </c>
      <c r="B103" s="1" t="n">
        <v>43963</v>
      </c>
      <c r="C103" s="0" t="n">
        <v>1664</v>
      </c>
      <c r="D103" s="0" t="n">
        <v>22</v>
      </c>
      <c r="E103" s="0" t="n">
        <v>91</v>
      </c>
      <c r="F103" s="0" t="n">
        <v>0</v>
      </c>
      <c r="G103" s="0" t="n">
        <v>1200</v>
      </c>
      <c r="H103" s="0" t="n">
        <v>373</v>
      </c>
      <c r="I103" s="0" t="n">
        <v>21</v>
      </c>
      <c r="J103" s="0" t="n">
        <v>799</v>
      </c>
      <c r="K103" s="0" t="n">
        <v>44</v>
      </c>
      <c r="L103" s="0" t="n">
        <v>19241</v>
      </c>
      <c r="M103" s="0" t="n">
        <v>9235</v>
      </c>
    </row>
    <row r="104" customFormat="false" ht="13.5" hidden="false" customHeight="false" outlineLevel="0" collapsed="false">
      <c r="A104" s="0" t="s">
        <v>99</v>
      </c>
      <c r="B104" s="1" t="n">
        <v>43964</v>
      </c>
      <c r="C104" s="0" t="n">
        <v>1674</v>
      </c>
      <c r="D104" s="0" t="n">
        <v>10</v>
      </c>
      <c r="E104" s="0" t="n">
        <v>92</v>
      </c>
      <c r="F104" s="0" t="n">
        <v>1</v>
      </c>
      <c r="G104" s="0" t="n">
        <v>1205</v>
      </c>
      <c r="H104" s="0" t="n">
        <v>377</v>
      </c>
      <c r="I104" s="0" t="n">
        <v>21</v>
      </c>
      <c r="J104" s="0" t="n">
        <v>804</v>
      </c>
      <c r="K104" s="0" t="n">
        <v>44</v>
      </c>
      <c r="L104" s="0" t="n">
        <v>19430</v>
      </c>
      <c r="M104" s="0" t="n">
        <v>9326</v>
      </c>
    </row>
    <row r="105" customFormat="false" ht="13.5" hidden="false" customHeight="false" outlineLevel="0" collapsed="false">
      <c r="A105" s="0" t="s">
        <v>99</v>
      </c>
      <c r="B105" s="1" t="n">
        <v>43965</v>
      </c>
      <c r="C105" s="0" t="n">
        <v>1694</v>
      </c>
      <c r="D105" s="0" t="n">
        <v>20</v>
      </c>
      <c r="E105" s="0" t="n">
        <v>95</v>
      </c>
      <c r="F105" s="0" t="n">
        <v>3</v>
      </c>
      <c r="G105" s="0" t="n">
        <v>1229</v>
      </c>
      <c r="H105" s="0" t="n">
        <v>370</v>
      </c>
      <c r="I105" s="0" t="n">
        <v>21</v>
      </c>
      <c r="J105" s="0" t="n">
        <v>813</v>
      </c>
      <c r="K105" s="0" t="n">
        <v>46</v>
      </c>
      <c r="L105" s="0" t="n">
        <v>19739</v>
      </c>
      <c r="M105" s="0" t="n">
        <v>9475</v>
      </c>
    </row>
    <row r="106" customFormat="false" ht="13.5" hidden="false" customHeight="false" outlineLevel="0" collapsed="false">
      <c r="A106" s="0" t="s">
        <v>99</v>
      </c>
      <c r="B106" s="1" t="n">
        <v>43966</v>
      </c>
      <c r="C106" s="0" t="n">
        <v>1723</v>
      </c>
      <c r="D106" s="0" t="n">
        <v>29</v>
      </c>
      <c r="E106" s="0" t="n">
        <v>95</v>
      </c>
      <c r="F106" s="0" t="n">
        <v>0</v>
      </c>
      <c r="G106" s="0" t="n">
        <v>1235</v>
      </c>
      <c r="H106" s="0" t="n">
        <v>393</v>
      </c>
      <c r="I106" s="0" t="n">
        <v>21</v>
      </c>
      <c r="J106" s="0" t="n">
        <v>827</v>
      </c>
      <c r="K106" s="0" t="n">
        <v>46</v>
      </c>
      <c r="L106" s="0" t="n">
        <v>20088</v>
      </c>
      <c r="M106" s="0" t="n">
        <v>9642</v>
      </c>
    </row>
    <row r="107" customFormat="false" ht="13.5" hidden="false" customHeight="false" outlineLevel="0" collapsed="false">
      <c r="A107" s="0" t="s">
        <v>99</v>
      </c>
      <c r="B107" s="1" t="n">
        <v>43967</v>
      </c>
      <c r="C107" s="0" t="n">
        <v>1740</v>
      </c>
      <c r="D107" s="0" t="n">
        <v>17</v>
      </c>
      <c r="E107" s="0" t="n">
        <v>97</v>
      </c>
      <c r="F107" s="0" t="n">
        <v>2</v>
      </c>
      <c r="G107" s="0" t="n">
        <v>1251</v>
      </c>
      <c r="H107" s="0" t="n">
        <v>392</v>
      </c>
      <c r="I107" s="0" t="n">
        <v>21</v>
      </c>
      <c r="J107" s="0" t="n">
        <v>835</v>
      </c>
      <c r="K107" s="0" t="n">
        <v>47</v>
      </c>
      <c r="L107" s="0" t="n">
        <v>20548</v>
      </c>
      <c r="M107" s="0" t="n">
        <v>9863</v>
      </c>
    </row>
    <row r="108" customFormat="false" ht="13.5" hidden="false" customHeight="false" outlineLevel="0" collapsed="false">
      <c r="A108" s="0" t="s">
        <v>99</v>
      </c>
      <c r="B108" s="1" t="n">
        <v>43968</v>
      </c>
      <c r="C108" s="0" t="n">
        <v>1762</v>
      </c>
      <c r="D108" s="0" t="n">
        <v>22</v>
      </c>
      <c r="E108" s="0" t="n">
        <v>98</v>
      </c>
      <c r="F108" s="0" t="n">
        <v>1</v>
      </c>
      <c r="G108" s="0" t="n">
        <v>1267</v>
      </c>
      <c r="H108" s="0" t="n">
        <v>397</v>
      </c>
      <c r="I108" s="0" t="n">
        <v>21</v>
      </c>
      <c r="J108" s="0" t="n">
        <v>846</v>
      </c>
      <c r="K108" s="0" t="n">
        <v>47</v>
      </c>
      <c r="L108" s="0" t="n">
        <v>21010</v>
      </c>
      <c r="M108" s="0" t="n">
        <v>10085</v>
      </c>
    </row>
    <row r="109" customFormat="false" ht="13.5" hidden="false" customHeight="false" outlineLevel="0" collapsed="false">
      <c r="A109" s="0" t="s">
        <v>99</v>
      </c>
      <c r="B109" s="1" t="n">
        <v>43969</v>
      </c>
      <c r="C109" s="0" t="n">
        <v>1792</v>
      </c>
      <c r="D109" s="0" t="n">
        <v>30</v>
      </c>
      <c r="E109" s="0" t="n">
        <v>101</v>
      </c>
      <c r="F109" s="0" t="n">
        <v>3</v>
      </c>
      <c r="G109" s="0" t="n">
        <v>1293</v>
      </c>
      <c r="H109" s="0" t="n">
        <v>398</v>
      </c>
      <c r="I109" s="0" t="n">
        <v>21</v>
      </c>
      <c r="J109" s="0" t="n">
        <v>860</v>
      </c>
      <c r="K109" s="0" t="n">
        <v>48</v>
      </c>
      <c r="L109" s="0" t="n">
        <v>21436</v>
      </c>
      <c r="M109" s="0" t="n">
        <v>10289</v>
      </c>
    </row>
    <row r="110" customFormat="false" ht="13.5" hidden="false" customHeight="false" outlineLevel="0" collapsed="false">
      <c r="A110" s="0" t="s">
        <v>99</v>
      </c>
      <c r="B110" s="1" t="n">
        <v>43970</v>
      </c>
      <c r="C110" s="0" t="n">
        <v>1817</v>
      </c>
      <c r="D110" s="0" t="n">
        <v>25</v>
      </c>
      <c r="E110" s="0" t="n">
        <v>104</v>
      </c>
      <c r="F110" s="0" t="n">
        <v>3</v>
      </c>
      <c r="G110" s="0" t="n">
        <v>1301</v>
      </c>
      <c r="H110" s="0" t="n">
        <v>412</v>
      </c>
      <c r="I110" s="0" t="n">
        <v>21</v>
      </c>
      <c r="J110" s="0" t="n">
        <v>872</v>
      </c>
      <c r="K110" s="0" t="n">
        <v>50</v>
      </c>
      <c r="L110" s="0" t="n">
        <v>21722</v>
      </c>
      <c r="M110" s="0" t="n">
        <v>10426</v>
      </c>
    </row>
    <row r="111" customFormat="false" ht="13.5" hidden="false" customHeight="false" outlineLevel="0" collapsed="false">
      <c r="A111" s="0" t="s">
        <v>99</v>
      </c>
      <c r="B111" s="1" t="n">
        <v>43971</v>
      </c>
      <c r="C111" s="0" t="n">
        <v>1839</v>
      </c>
      <c r="D111" s="0" t="n">
        <v>22</v>
      </c>
      <c r="E111" s="0" t="n">
        <v>106</v>
      </c>
      <c r="F111" s="0" t="n">
        <v>2</v>
      </c>
      <c r="G111" s="0" t="n">
        <v>1351</v>
      </c>
      <c r="H111" s="0" t="n">
        <v>382</v>
      </c>
      <c r="I111" s="0" t="n">
        <v>21</v>
      </c>
      <c r="J111" s="0" t="n">
        <v>883</v>
      </c>
      <c r="K111" s="0" t="n">
        <v>51</v>
      </c>
      <c r="L111" s="0" t="n">
        <v>22255</v>
      </c>
      <c r="M111" s="0" t="n">
        <v>10682</v>
      </c>
    </row>
    <row r="112" customFormat="false" ht="13.5" hidden="false" customHeight="false" outlineLevel="0" collapsed="false">
      <c r="A112" s="0" t="s">
        <v>99</v>
      </c>
      <c r="B112" s="1" t="n">
        <v>43972</v>
      </c>
      <c r="C112" s="0" t="n">
        <v>1858</v>
      </c>
      <c r="D112" s="0" t="n">
        <v>19</v>
      </c>
      <c r="E112" s="0" t="n">
        <v>110</v>
      </c>
      <c r="F112" s="0" t="n">
        <v>4</v>
      </c>
      <c r="G112" s="0" t="n">
        <v>1367</v>
      </c>
      <c r="H112" s="0" t="n">
        <v>381</v>
      </c>
      <c r="I112" s="0" t="n">
        <v>21</v>
      </c>
      <c r="J112" s="0" t="n">
        <v>892</v>
      </c>
      <c r="K112" s="0" t="n">
        <v>53</v>
      </c>
      <c r="L112" s="0" t="n">
        <v>22767</v>
      </c>
      <c r="M112" s="0" t="n">
        <v>10928</v>
      </c>
    </row>
    <row r="113" customFormat="false" ht="13.5" hidden="false" customHeight="false" outlineLevel="0" collapsed="false">
      <c r="A113" s="0" t="s">
        <v>99</v>
      </c>
      <c r="B113" s="1" t="n">
        <v>43973</v>
      </c>
      <c r="C113" s="0" t="n">
        <v>1898</v>
      </c>
      <c r="D113" s="0" t="n">
        <v>40</v>
      </c>
      <c r="E113" s="0" t="n">
        <v>111</v>
      </c>
      <c r="F113" s="0" t="n">
        <v>1</v>
      </c>
      <c r="G113" s="0" t="n">
        <v>1378</v>
      </c>
      <c r="H113" s="0" t="n">
        <v>409</v>
      </c>
      <c r="I113" s="0" t="n">
        <v>21</v>
      </c>
      <c r="J113" s="0" t="n">
        <v>911</v>
      </c>
      <c r="K113" s="0" t="n">
        <v>53</v>
      </c>
      <c r="L113" s="0" t="n">
        <v>23316</v>
      </c>
      <c r="M113" s="0" t="n">
        <v>11191</v>
      </c>
    </row>
    <row r="114" customFormat="false" ht="13.5" hidden="false" customHeight="false" outlineLevel="0" collapsed="false">
      <c r="A114" s="0" t="s">
        <v>99</v>
      </c>
      <c r="B114" s="1" t="n">
        <v>43974</v>
      </c>
      <c r="C114" s="0" t="n">
        <v>1921</v>
      </c>
      <c r="D114" s="0" t="n">
        <v>23</v>
      </c>
      <c r="E114" s="0" t="n">
        <v>112</v>
      </c>
      <c r="F114" s="0" t="n">
        <v>1</v>
      </c>
      <c r="G114" s="0" t="n">
        <v>1387</v>
      </c>
      <c r="H114" s="0" t="n">
        <v>422</v>
      </c>
      <c r="I114" s="0" t="n">
        <v>21</v>
      </c>
      <c r="J114" s="0" t="n">
        <v>922</v>
      </c>
      <c r="K114" s="0" t="n">
        <v>54</v>
      </c>
      <c r="L114" s="0" t="n">
        <v>24018</v>
      </c>
      <c r="M114" s="0" t="n">
        <v>11528</v>
      </c>
    </row>
    <row r="115" customFormat="false" ht="13.5" hidden="false" customHeight="false" outlineLevel="0" collapsed="false">
      <c r="A115" s="0" t="s">
        <v>99</v>
      </c>
      <c r="B115" s="1" t="n">
        <v>43975</v>
      </c>
      <c r="C115" s="0" t="n">
        <v>1941</v>
      </c>
      <c r="D115" s="0" t="n">
        <v>20</v>
      </c>
      <c r="E115" s="0" t="n">
        <v>113</v>
      </c>
      <c r="F115" s="0" t="n">
        <v>1</v>
      </c>
      <c r="G115" s="0" t="n">
        <v>1411</v>
      </c>
      <c r="H115" s="0" t="n">
        <v>417</v>
      </c>
      <c r="I115" s="0" t="n">
        <v>21</v>
      </c>
      <c r="J115" s="0" t="n">
        <v>932</v>
      </c>
      <c r="K115" s="0" t="n">
        <v>54</v>
      </c>
      <c r="L115" s="0" t="n">
        <v>24762</v>
      </c>
      <c r="M115" s="0" t="n">
        <v>11885</v>
      </c>
    </row>
    <row r="116" customFormat="false" ht="13.5" hidden="false" customHeight="false" outlineLevel="0" collapsed="false">
      <c r="A116" s="0" t="s">
        <v>99</v>
      </c>
      <c r="B116" s="1" t="n">
        <v>43976</v>
      </c>
      <c r="C116" s="0" t="n">
        <v>1978</v>
      </c>
      <c r="D116" s="0" t="n">
        <v>37</v>
      </c>
      <c r="E116" s="0" t="n">
        <v>113</v>
      </c>
      <c r="F116" s="0" t="n">
        <v>0</v>
      </c>
      <c r="G116" s="0" t="n">
        <v>1422</v>
      </c>
      <c r="H116" s="0" t="n">
        <v>443</v>
      </c>
      <c r="I116" s="0" t="n">
        <v>21</v>
      </c>
      <c r="J116" s="0" t="n">
        <v>949</v>
      </c>
      <c r="K116" s="0" t="n">
        <v>54</v>
      </c>
      <c r="L116" s="0" t="n">
        <v>25270</v>
      </c>
      <c r="M116" s="0" t="n">
        <v>12129</v>
      </c>
    </row>
    <row r="117" customFormat="false" ht="13.5" hidden="false" customHeight="false" outlineLevel="0" collapsed="false">
      <c r="A117" s="0" t="s">
        <v>99</v>
      </c>
      <c r="B117" s="1" t="n">
        <v>43977</v>
      </c>
      <c r="C117" s="0" t="n">
        <v>1999</v>
      </c>
      <c r="D117" s="0" t="n">
        <v>21</v>
      </c>
      <c r="E117" s="0" t="n">
        <v>113</v>
      </c>
      <c r="F117" s="0" t="n">
        <v>0</v>
      </c>
      <c r="G117" s="0" t="n">
        <v>1439</v>
      </c>
      <c r="H117" s="0" t="n">
        <v>447</v>
      </c>
      <c r="I117" s="0" t="n">
        <v>21</v>
      </c>
      <c r="J117" s="0" t="n">
        <v>959</v>
      </c>
      <c r="K117" s="0" t="n">
        <v>54</v>
      </c>
      <c r="L117" s="0" t="n">
        <v>25528</v>
      </c>
      <c r="M117" s="0" t="n">
        <v>12253</v>
      </c>
    </row>
    <row r="118" customFormat="false" ht="13.5" hidden="false" customHeight="false" outlineLevel="0" collapsed="false">
      <c r="A118" s="0" t="s">
        <v>99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99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99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99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99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99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99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99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99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99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99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99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99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99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99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99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99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99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99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99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99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99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99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99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99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99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99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99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99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99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99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99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99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99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99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99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99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99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99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99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99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99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99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99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99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99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99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99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99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99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99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99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99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99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99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99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99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99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99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99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99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99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99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99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99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99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99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99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99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99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100</v>
      </c>
      <c r="B2" s="1" t="n">
        <v>43862</v>
      </c>
    </row>
    <row r="3" customFormat="false" ht="13.5" hidden="false" customHeight="false" outlineLevel="0" collapsed="false">
      <c r="A3" s="0" t="s">
        <v>100</v>
      </c>
      <c r="B3" s="1" t="n">
        <v>43863</v>
      </c>
    </row>
    <row r="4" customFormat="false" ht="13.5" hidden="false" customHeight="false" outlineLevel="0" collapsed="false">
      <c r="A4" s="0" t="s">
        <v>100</v>
      </c>
      <c r="B4" s="1" t="n">
        <v>43864</v>
      </c>
    </row>
    <row r="5" customFormat="false" ht="13.5" hidden="false" customHeight="false" outlineLevel="0" collapsed="false">
      <c r="A5" s="0" t="s">
        <v>100</v>
      </c>
      <c r="B5" s="1" t="n">
        <v>43865</v>
      </c>
    </row>
    <row r="6" customFormat="false" ht="13.5" hidden="false" customHeight="false" outlineLevel="0" collapsed="false">
      <c r="A6" s="0" t="s">
        <v>100</v>
      </c>
      <c r="B6" s="1" t="n">
        <v>43866</v>
      </c>
    </row>
    <row r="7" customFormat="false" ht="13.5" hidden="false" customHeight="false" outlineLevel="0" collapsed="false">
      <c r="A7" s="0" t="s">
        <v>100</v>
      </c>
      <c r="B7" s="1" t="n">
        <v>43867</v>
      </c>
    </row>
    <row r="8" customFormat="false" ht="13.5" hidden="false" customHeight="false" outlineLevel="0" collapsed="false">
      <c r="A8" s="0" t="s">
        <v>100</v>
      </c>
      <c r="B8" s="1" t="n">
        <v>43868</v>
      </c>
    </row>
    <row r="9" customFormat="false" ht="13.5" hidden="false" customHeight="false" outlineLevel="0" collapsed="false">
      <c r="A9" s="0" t="s">
        <v>100</v>
      </c>
      <c r="B9" s="1" t="n">
        <v>43869</v>
      </c>
    </row>
    <row r="10" customFormat="false" ht="13.5" hidden="false" customHeight="false" outlineLevel="0" collapsed="false">
      <c r="A10" s="0" t="s">
        <v>100</v>
      </c>
      <c r="B10" s="1" t="n">
        <v>43870</v>
      </c>
    </row>
    <row r="11" customFormat="false" ht="13.5" hidden="false" customHeight="false" outlineLevel="0" collapsed="false">
      <c r="A11" s="0" t="s">
        <v>100</v>
      </c>
      <c r="B11" s="1" t="n">
        <v>43871</v>
      </c>
    </row>
    <row r="12" customFormat="false" ht="13.5" hidden="false" customHeight="false" outlineLevel="0" collapsed="false">
      <c r="A12" s="0" t="s">
        <v>100</v>
      </c>
      <c r="B12" s="1" t="n">
        <v>43872</v>
      </c>
    </row>
    <row r="13" customFormat="false" ht="13.5" hidden="false" customHeight="false" outlineLevel="0" collapsed="false">
      <c r="A13" s="0" t="s">
        <v>100</v>
      </c>
      <c r="B13" s="1" t="n">
        <v>43873</v>
      </c>
    </row>
    <row r="14" customFormat="false" ht="13.5" hidden="false" customHeight="false" outlineLevel="0" collapsed="false">
      <c r="A14" s="0" t="s">
        <v>100</v>
      </c>
      <c r="B14" s="1" t="n">
        <v>43874</v>
      </c>
    </row>
    <row r="15" customFormat="false" ht="13.5" hidden="false" customHeight="false" outlineLevel="0" collapsed="false">
      <c r="A15" s="0" t="s">
        <v>100</v>
      </c>
      <c r="B15" s="1" t="n">
        <v>43875</v>
      </c>
    </row>
    <row r="16" customFormat="false" ht="13.5" hidden="false" customHeight="false" outlineLevel="0" collapsed="false">
      <c r="A16" s="0" t="s">
        <v>100</v>
      </c>
      <c r="B16" s="1" t="n">
        <v>43876</v>
      </c>
    </row>
    <row r="17" customFormat="false" ht="13.5" hidden="false" customHeight="false" outlineLevel="0" collapsed="false">
      <c r="A17" s="0" t="s">
        <v>100</v>
      </c>
      <c r="B17" s="1" t="n">
        <v>43877</v>
      </c>
    </row>
    <row r="18" customFormat="false" ht="13.5" hidden="false" customHeight="false" outlineLevel="0" collapsed="false">
      <c r="A18" s="0" t="s">
        <v>100</v>
      </c>
      <c r="B18" s="1" t="n">
        <v>43878</v>
      </c>
    </row>
    <row r="19" customFormat="false" ht="13.5" hidden="false" customHeight="false" outlineLevel="0" collapsed="false">
      <c r="A19" s="0" t="s">
        <v>100</v>
      </c>
      <c r="B19" s="1" t="n">
        <v>43879</v>
      </c>
    </row>
    <row r="20" customFormat="false" ht="13.5" hidden="false" customHeight="false" outlineLevel="0" collapsed="false">
      <c r="A20" s="0" t="s">
        <v>100</v>
      </c>
      <c r="B20" s="1" t="n">
        <v>43880</v>
      </c>
    </row>
    <row r="21" customFormat="false" ht="13.5" hidden="false" customHeight="false" outlineLevel="0" collapsed="false">
      <c r="A21" s="0" t="s">
        <v>100</v>
      </c>
      <c r="B21" s="1" t="n">
        <v>43881</v>
      </c>
    </row>
    <row r="22" customFormat="false" ht="13.5" hidden="false" customHeight="false" outlineLevel="0" collapsed="false">
      <c r="A22" s="0" t="s">
        <v>100</v>
      </c>
      <c r="B22" s="1" t="n">
        <v>43882</v>
      </c>
    </row>
    <row r="23" customFormat="false" ht="13.5" hidden="false" customHeight="false" outlineLevel="0" collapsed="false">
      <c r="A23" s="0" t="s">
        <v>100</v>
      </c>
      <c r="B23" s="1" t="n">
        <v>43883</v>
      </c>
    </row>
    <row r="24" customFormat="false" ht="13.5" hidden="false" customHeight="false" outlineLevel="0" collapsed="false">
      <c r="A24" s="0" t="s">
        <v>100</v>
      </c>
      <c r="B24" s="1" t="n">
        <v>43884</v>
      </c>
    </row>
    <row r="25" customFormat="false" ht="13.5" hidden="false" customHeight="false" outlineLevel="0" collapsed="false">
      <c r="A25" s="0" t="s">
        <v>100</v>
      </c>
      <c r="B25" s="1" t="n">
        <v>43885</v>
      </c>
    </row>
    <row r="26" customFormat="false" ht="13.5" hidden="false" customHeight="false" outlineLevel="0" collapsed="false">
      <c r="A26" s="0" t="s">
        <v>100</v>
      </c>
      <c r="B26" s="1" t="n">
        <v>43886</v>
      </c>
    </row>
    <row r="27" customFormat="false" ht="13.5" hidden="false" customHeight="false" outlineLevel="0" collapsed="false">
      <c r="A27" s="0" t="s">
        <v>100</v>
      </c>
      <c r="B27" s="1" t="n">
        <v>43887</v>
      </c>
    </row>
    <row r="28" customFormat="false" ht="13.5" hidden="false" customHeight="false" outlineLevel="0" collapsed="false">
      <c r="A28" s="0" t="s">
        <v>100</v>
      </c>
      <c r="B28" s="1" t="n">
        <v>43888</v>
      </c>
    </row>
    <row r="29" customFormat="false" ht="13.5" hidden="false" customHeight="false" outlineLevel="0" collapsed="false">
      <c r="A29" s="0" t="s">
        <v>100</v>
      </c>
      <c r="B29" s="1" t="n">
        <v>43889</v>
      </c>
    </row>
    <row r="30" customFormat="false" ht="13.5" hidden="false" customHeight="false" outlineLevel="0" collapsed="false">
      <c r="A30" s="0" t="s">
        <v>100</v>
      </c>
      <c r="B30" s="1" t="n">
        <v>43890</v>
      </c>
    </row>
    <row r="31" customFormat="false" ht="13.5" hidden="false" customHeight="false" outlineLevel="0" collapsed="false">
      <c r="A31" s="0" t="s">
        <v>100</v>
      </c>
      <c r="B31" s="1" t="n">
        <v>43891</v>
      </c>
    </row>
    <row r="32" customFormat="false" ht="13.5" hidden="false" customHeight="false" outlineLevel="0" collapsed="false">
      <c r="A32" s="0" t="s">
        <v>100</v>
      </c>
      <c r="B32" s="1" t="n">
        <v>43892</v>
      </c>
    </row>
    <row r="33" customFormat="false" ht="13.5" hidden="false" customHeight="false" outlineLevel="0" collapsed="false">
      <c r="A33" s="0" t="s">
        <v>100</v>
      </c>
      <c r="B33" s="1" t="n">
        <v>43893</v>
      </c>
    </row>
    <row r="34" customFormat="false" ht="13.5" hidden="false" customHeight="false" outlineLevel="0" collapsed="false">
      <c r="A34" s="0" t="s">
        <v>100</v>
      </c>
      <c r="B34" s="1" t="n">
        <v>43894</v>
      </c>
    </row>
    <row r="35" customFormat="false" ht="13.5" hidden="false" customHeight="false" outlineLevel="0" collapsed="false">
      <c r="A35" s="0" t="s">
        <v>100</v>
      </c>
      <c r="B35" s="1" t="n">
        <v>43895</v>
      </c>
    </row>
    <row r="36" customFormat="false" ht="13.5" hidden="false" customHeight="false" outlineLevel="0" collapsed="false">
      <c r="A36" s="0" t="s">
        <v>100</v>
      </c>
      <c r="B36" s="1" t="n">
        <v>43896</v>
      </c>
    </row>
    <row r="37" customFormat="false" ht="13.5" hidden="false" customHeight="false" outlineLevel="0" collapsed="false">
      <c r="A37" s="0" t="s">
        <v>100</v>
      </c>
      <c r="B37" s="1" t="n">
        <v>43897</v>
      </c>
    </row>
    <row r="38" customFormat="false" ht="13.5" hidden="false" customHeight="false" outlineLevel="0" collapsed="false">
      <c r="A38" s="0" t="s">
        <v>100</v>
      </c>
      <c r="B38" s="1" t="n">
        <v>43898</v>
      </c>
    </row>
    <row r="39" customFormat="false" ht="13.5" hidden="false" customHeight="false" outlineLevel="0" collapsed="false">
      <c r="A39" s="0" t="s">
        <v>100</v>
      </c>
      <c r="B39" s="1" t="n">
        <v>43899</v>
      </c>
    </row>
    <row r="40" customFormat="false" ht="13.5" hidden="false" customHeight="false" outlineLevel="0" collapsed="false">
      <c r="A40" s="0" t="s">
        <v>100</v>
      </c>
      <c r="B40" s="1" t="n">
        <v>43900</v>
      </c>
    </row>
    <row r="41" customFormat="false" ht="13.5" hidden="false" customHeight="false" outlineLevel="0" collapsed="false">
      <c r="A41" s="0" t="s">
        <v>100</v>
      </c>
      <c r="B41" s="1" t="n">
        <v>43901</v>
      </c>
    </row>
    <row r="42" customFormat="false" ht="13.5" hidden="false" customHeight="false" outlineLevel="0" collapsed="false">
      <c r="A42" s="0" t="s">
        <v>100</v>
      </c>
      <c r="B42" s="1" t="n">
        <v>43902</v>
      </c>
    </row>
    <row r="43" customFormat="false" ht="13.5" hidden="false" customHeight="false" outlineLevel="0" collapsed="false">
      <c r="A43" s="0" t="s">
        <v>100</v>
      </c>
      <c r="B43" s="1" t="n">
        <v>43903</v>
      </c>
    </row>
    <row r="44" customFormat="false" ht="13.5" hidden="false" customHeight="false" outlineLevel="0" collapsed="false">
      <c r="A44" s="0" t="s">
        <v>100</v>
      </c>
      <c r="B44" s="1" t="n">
        <v>43904</v>
      </c>
      <c r="C44" s="0" t="n">
        <v>1</v>
      </c>
      <c r="D44" s="0" t="n">
        <v>1</v>
      </c>
      <c r="H44" s="0" t="n">
        <v>1</v>
      </c>
      <c r="J44" s="0" t="n">
        <v>0.4</v>
      </c>
    </row>
    <row r="45" customFormat="false" ht="13.5" hidden="false" customHeight="false" outlineLevel="0" collapsed="false">
      <c r="A45" s="0" t="s">
        <v>100</v>
      </c>
      <c r="B45" s="1" t="n">
        <v>43905</v>
      </c>
      <c r="C45" s="0" t="n">
        <v>1</v>
      </c>
      <c r="D45" s="0" t="n">
        <v>0</v>
      </c>
      <c r="H45" s="0" t="n">
        <v>1</v>
      </c>
      <c r="J45" s="0" t="n">
        <v>0.4</v>
      </c>
    </row>
    <row r="46" customFormat="false" ht="13.5" hidden="false" customHeight="false" outlineLevel="0" collapsed="false">
      <c r="A46" s="0" t="s">
        <v>100</v>
      </c>
      <c r="B46" s="1" t="n">
        <v>43906</v>
      </c>
      <c r="C46" s="0" t="n">
        <v>1</v>
      </c>
      <c r="D46" s="0" t="n">
        <v>0</v>
      </c>
      <c r="H46" s="0" t="n">
        <v>1</v>
      </c>
      <c r="J46" s="0" t="n">
        <v>0.4</v>
      </c>
    </row>
    <row r="47" customFormat="false" ht="13.5" hidden="false" customHeight="false" outlineLevel="0" collapsed="false">
      <c r="A47" s="0" t="s">
        <v>100</v>
      </c>
      <c r="B47" s="1" t="n">
        <v>43907</v>
      </c>
      <c r="C47" s="0" t="n">
        <v>1</v>
      </c>
      <c r="D47" s="0" t="n">
        <v>0</v>
      </c>
      <c r="H47" s="0" t="n">
        <v>1</v>
      </c>
      <c r="J47" s="0" t="n">
        <v>0.4</v>
      </c>
    </row>
    <row r="48" customFormat="false" ht="13.5" hidden="false" customHeight="false" outlineLevel="0" collapsed="false">
      <c r="A48" s="0" t="s">
        <v>100</v>
      </c>
      <c r="B48" s="1" t="n">
        <v>43908</v>
      </c>
      <c r="C48" s="0" t="n">
        <v>1</v>
      </c>
      <c r="D48" s="0" t="n">
        <v>0</v>
      </c>
      <c r="H48" s="0" t="n">
        <v>1</v>
      </c>
      <c r="J48" s="0" t="n">
        <v>0.4</v>
      </c>
    </row>
    <row r="49" customFormat="false" ht="13.5" hidden="false" customHeight="false" outlineLevel="0" collapsed="false">
      <c r="A49" s="0" t="s">
        <v>100</v>
      </c>
      <c r="B49" s="1" t="n">
        <v>43909</v>
      </c>
      <c r="C49" s="0" t="n">
        <v>3</v>
      </c>
      <c r="D49" s="0" t="n">
        <v>2</v>
      </c>
      <c r="H49" s="0" t="n">
        <v>3</v>
      </c>
      <c r="J49" s="0" t="n">
        <v>1</v>
      </c>
    </row>
    <row r="50" customFormat="false" ht="13.5" hidden="false" customHeight="false" outlineLevel="0" collapsed="false">
      <c r="A50" s="0" t="s">
        <v>100</v>
      </c>
      <c r="B50" s="1" t="n">
        <v>43910</v>
      </c>
      <c r="C50" s="0" t="n">
        <v>3</v>
      </c>
      <c r="D50" s="0" t="n">
        <v>0</v>
      </c>
      <c r="H50" s="0" t="n">
        <v>3</v>
      </c>
      <c r="J50" s="0" t="n">
        <v>1</v>
      </c>
    </row>
    <row r="51" customFormat="false" ht="13.5" hidden="false" customHeight="false" outlineLevel="0" collapsed="false">
      <c r="A51" s="0" t="s">
        <v>100</v>
      </c>
      <c r="B51" s="1" t="n">
        <v>43911</v>
      </c>
      <c r="C51" s="0" t="n">
        <v>4</v>
      </c>
      <c r="D51" s="0" t="n">
        <v>1</v>
      </c>
      <c r="E51" s="0" t="n">
        <v>1</v>
      </c>
      <c r="F51" s="0" t="n">
        <v>1</v>
      </c>
      <c r="H51" s="0" t="n">
        <v>3</v>
      </c>
      <c r="J51" s="0" t="n">
        <v>2</v>
      </c>
    </row>
    <row r="52" customFormat="false" ht="13.5" hidden="false" customHeight="false" outlineLevel="0" collapsed="false">
      <c r="A52" s="0" t="s">
        <v>100</v>
      </c>
      <c r="B52" s="1" t="n">
        <v>43912</v>
      </c>
      <c r="C52" s="0" t="n">
        <v>5</v>
      </c>
      <c r="D52" s="0" t="n">
        <v>1</v>
      </c>
      <c r="E52" s="0" t="n">
        <v>1</v>
      </c>
      <c r="F52" s="0" t="n">
        <v>0</v>
      </c>
      <c r="H52" s="0" t="n">
        <v>4</v>
      </c>
      <c r="J52" s="0" t="n">
        <v>2</v>
      </c>
    </row>
    <row r="53" customFormat="false" ht="13.5" hidden="false" customHeight="false" outlineLevel="0" collapsed="false">
      <c r="A53" s="0" t="s">
        <v>100</v>
      </c>
      <c r="B53" s="1" t="n">
        <v>43913</v>
      </c>
      <c r="C53" s="0" t="n">
        <v>5</v>
      </c>
      <c r="D53" s="0" t="n">
        <v>0</v>
      </c>
      <c r="E53" s="0" t="n">
        <v>1</v>
      </c>
      <c r="F53" s="0" t="n">
        <v>0</v>
      </c>
      <c r="H53" s="0" t="n">
        <v>4</v>
      </c>
      <c r="J53" s="0" t="n">
        <v>2</v>
      </c>
    </row>
    <row r="54" customFormat="false" ht="13.5" hidden="false" customHeight="false" outlineLevel="0" collapsed="false">
      <c r="A54" s="0" t="s">
        <v>100</v>
      </c>
      <c r="B54" s="1" t="n">
        <v>43914</v>
      </c>
      <c r="C54" s="0" t="n">
        <v>5</v>
      </c>
      <c r="D54" s="0" t="n">
        <v>0</v>
      </c>
      <c r="E54" s="0" t="n">
        <v>1</v>
      </c>
      <c r="F54" s="0" t="n">
        <v>0</v>
      </c>
      <c r="H54" s="0" t="n">
        <v>4</v>
      </c>
      <c r="J54" s="0" t="n">
        <v>2</v>
      </c>
    </row>
    <row r="55" customFormat="false" ht="13.5" hidden="false" customHeight="false" outlineLevel="0" collapsed="false">
      <c r="A55" s="0" t="s">
        <v>100</v>
      </c>
      <c r="B55" s="1" t="n">
        <v>43915</v>
      </c>
      <c r="C55" s="0" t="n">
        <v>6</v>
      </c>
      <c r="D55" s="0" t="n">
        <v>1</v>
      </c>
      <c r="E55" s="0" t="n">
        <v>1</v>
      </c>
      <c r="F55" s="0" t="n">
        <v>0</v>
      </c>
      <c r="H55" s="0" t="n">
        <v>5</v>
      </c>
      <c r="J55" s="0" t="n">
        <v>3</v>
      </c>
      <c r="K55" s="0" t="n">
        <v>0.4</v>
      </c>
    </row>
    <row r="56" customFormat="false" ht="13.5" hidden="false" customHeight="false" outlineLevel="0" collapsed="false">
      <c r="A56" s="0" t="s">
        <v>100</v>
      </c>
      <c r="B56" s="1" t="n">
        <v>43916</v>
      </c>
      <c r="C56" s="0" t="n">
        <v>6</v>
      </c>
      <c r="D56" s="0" t="n">
        <v>0</v>
      </c>
      <c r="E56" s="0" t="n">
        <v>1</v>
      </c>
      <c r="F56" s="0" t="n">
        <v>0</v>
      </c>
      <c r="H56" s="0" t="n">
        <v>5</v>
      </c>
      <c r="J56" s="0" t="n">
        <v>3</v>
      </c>
      <c r="K56" s="0" t="n">
        <v>0.4</v>
      </c>
    </row>
    <row r="57" customFormat="false" ht="13.5" hidden="false" customHeight="false" outlineLevel="0" collapsed="false">
      <c r="A57" s="0" t="s">
        <v>100</v>
      </c>
      <c r="B57" s="1" t="n">
        <v>43917</v>
      </c>
      <c r="C57" s="0" t="n">
        <v>7</v>
      </c>
      <c r="D57" s="0" t="n">
        <v>1</v>
      </c>
      <c r="E57" s="0" t="n">
        <v>1</v>
      </c>
      <c r="F57" s="0" t="n">
        <v>0</v>
      </c>
      <c r="H57" s="0" t="n">
        <v>6</v>
      </c>
      <c r="J57" s="0" t="n">
        <v>3</v>
      </c>
      <c r="K57" s="0" t="n">
        <v>0.4</v>
      </c>
    </row>
    <row r="58" customFormat="false" ht="13.5" hidden="false" customHeight="false" outlineLevel="0" collapsed="false">
      <c r="A58" s="0" t="s">
        <v>100</v>
      </c>
      <c r="B58" s="1" t="n">
        <v>43918</v>
      </c>
      <c r="C58" s="0" t="n">
        <v>7</v>
      </c>
      <c r="D58" s="0" t="n">
        <v>0</v>
      </c>
      <c r="E58" s="0" t="n">
        <v>1</v>
      </c>
      <c r="F58" s="0" t="n">
        <v>0</v>
      </c>
      <c r="H58" s="0" t="n">
        <v>6</v>
      </c>
      <c r="J58" s="0" t="n">
        <v>3</v>
      </c>
      <c r="K58" s="0" t="n">
        <v>0.4</v>
      </c>
    </row>
    <row r="59" customFormat="false" ht="13.5" hidden="false" customHeight="false" outlineLevel="0" collapsed="false">
      <c r="A59" s="0" t="s">
        <v>100</v>
      </c>
      <c r="B59" s="1" t="n">
        <v>43919</v>
      </c>
      <c r="C59" s="0" t="n">
        <v>7</v>
      </c>
      <c r="D59" s="0" t="n">
        <v>0</v>
      </c>
      <c r="E59" s="0" t="n">
        <v>1</v>
      </c>
      <c r="F59" s="0" t="n">
        <v>0</v>
      </c>
      <c r="H59" s="0" t="n">
        <v>6</v>
      </c>
      <c r="J59" s="0" t="n">
        <v>3</v>
      </c>
      <c r="K59" s="0" t="n">
        <v>0.4</v>
      </c>
    </row>
    <row r="60" customFormat="false" ht="13.5" hidden="false" customHeight="false" outlineLevel="0" collapsed="false">
      <c r="A60" s="0" t="s">
        <v>100</v>
      </c>
      <c r="B60" s="1" t="n">
        <v>43920</v>
      </c>
      <c r="C60" s="0" t="n">
        <v>7</v>
      </c>
      <c r="D60" s="0" t="n">
        <v>0</v>
      </c>
      <c r="E60" s="0" t="n">
        <v>1</v>
      </c>
      <c r="F60" s="0" t="n">
        <v>0</v>
      </c>
      <c r="H60" s="0" t="n">
        <v>6</v>
      </c>
      <c r="J60" s="0" t="n">
        <v>3</v>
      </c>
      <c r="K60" s="0" t="n">
        <v>0.4</v>
      </c>
    </row>
    <row r="61" customFormat="false" ht="13.5" hidden="false" customHeight="false" outlineLevel="0" collapsed="false">
      <c r="A61" s="0" t="s">
        <v>100</v>
      </c>
      <c r="B61" s="1" t="n">
        <v>43921</v>
      </c>
      <c r="C61" s="0" t="n">
        <v>7</v>
      </c>
      <c r="D61" s="0" t="n">
        <v>0</v>
      </c>
      <c r="E61" s="0" t="n">
        <v>1</v>
      </c>
      <c r="F61" s="0" t="n">
        <v>0</v>
      </c>
      <c r="H61" s="0" t="n">
        <v>6</v>
      </c>
      <c r="J61" s="0" t="n">
        <v>3</v>
      </c>
      <c r="K61" s="0" t="n">
        <v>0.4</v>
      </c>
    </row>
    <row r="62" customFormat="false" ht="13.5" hidden="false" customHeight="false" outlineLevel="0" collapsed="false">
      <c r="A62" s="0" t="s">
        <v>100</v>
      </c>
      <c r="B62" s="1" t="n">
        <v>43922</v>
      </c>
      <c r="C62" s="0" t="n">
        <v>16</v>
      </c>
      <c r="D62" s="0" t="n">
        <v>9</v>
      </c>
      <c r="E62" s="0" t="n">
        <v>1</v>
      </c>
      <c r="F62" s="0" t="n">
        <v>0</v>
      </c>
      <c r="H62" s="0" t="n">
        <v>15</v>
      </c>
      <c r="J62" s="0" t="n">
        <v>7</v>
      </c>
      <c r="K62" s="0" t="n">
        <v>0.4</v>
      </c>
    </row>
    <row r="63" customFormat="false" ht="13.5" hidden="false" customHeight="false" outlineLevel="0" collapsed="false">
      <c r="A63" s="0" t="s">
        <v>100</v>
      </c>
      <c r="B63" s="1" t="n">
        <v>43923</v>
      </c>
      <c r="C63" s="0" t="n">
        <v>18</v>
      </c>
      <c r="D63" s="0" t="n">
        <v>2</v>
      </c>
      <c r="E63" s="0" t="n">
        <v>1</v>
      </c>
      <c r="F63" s="0" t="n">
        <v>0</v>
      </c>
      <c r="H63" s="0" t="n">
        <v>17</v>
      </c>
      <c r="J63" s="0" t="n">
        <v>8</v>
      </c>
      <c r="K63" s="0" t="n">
        <v>0.4</v>
      </c>
    </row>
    <row r="64" customFormat="false" ht="13.5" hidden="false" customHeight="false" outlineLevel="0" collapsed="false">
      <c r="A64" s="0" t="s">
        <v>100</v>
      </c>
      <c r="B64" s="1" t="n">
        <v>43924</v>
      </c>
      <c r="C64" s="0" t="n">
        <v>21</v>
      </c>
      <c r="D64" s="0" t="n">
        <v>3</v>
      </c>
      <c r="E64" s="0" t="n">
        <v>1</v>
      </c>
      <c r="F64" s="0" t="n">
        <v>0</v>
      </c>
      <c r="H64" s="0" t="n">
        <v>20</v>
      </c>
      <c r="J64" s="0" t="n">
        <v>9</v>
      </c>
      <c r="K64" s="0" t="n">
        <v>0.4</v>
      </c>
    </row>
    <row r="65" customFormat="false" ht="13.5" hidden="false" customHeight="false" outlineLevel="0" collapsed="false">
      <c r="A65" s="0" t="s">
        <v>100</v>
      </c>
      <c r="B65" s="1" t="n">
        <v>43925</v>
      </c>
      <c r="C65" s="0" t="n">
        <v>21</v>
      </c>
      <c r="D65" s="0" t="n">
        <v>0</v>
      </c>
      <c r="E65" s="0" t="n">
        <v>1</v>
      </c>
      <c r="F65" s="0" t="n">
        <v>0</v>
      </c>
      <c r="G65" s="0" t="n">
        <v>1</v>
      </c>
      <c r="H65" s="0" t="n">
        <v>19</v>
      </c>
      <c r="J65" s="0" t="n">
        <v>9</v>
      </c>
      <c r="K65" s="0" t="n">
        <v>0.4</v>
      </c>
    </row>
    <row r="66" customFormat="false" ht="13.5" hidden="false" customHeight="false" outlineLevel="0" collapsed="false">
      <c r="A66" s="0" t="s">
        <v>100</v>
      </c>
      <c r="B66" s="1" t="n">
        <v>43926</v>
      </c>
      <c r="C66" s="0" t="n">
        <v>21</v>
      </c>
      <c r="D66" s="0" t="n">
        <v>0</v>
      </c>
      <c r="E66" s="0" t="n">
        <v>1</v>
      </c>
      <c r="F66" s="0" t="n">
        <v>0</v>
      </c>
      <c r="G66" s="0" t="n">
        <v>1</v>
      </c>
      <c r="H66" s="0" t="n">
        <v>19</v>
      </c>
      <c r="J66" s="0" t="n">
        <v>9</v>
      </c>
      <c r="K66" s="0" t="n">
        <v>0.4</v>
      </c>
    </row>
    <row r="67" customFormat="false" ht="13.5" hidden="false" customHeight="false" outlineLevel="0" collapsed="false">
      <c r="A67" s="0" t="s">
        <v>100</v>
      </c>
      <c r="B67" s="1" t="n">
        <v>43927</v>
      </c>
      <c r="C67" s="0" t="n">
        <v>21</v>
      </c>
      <c r="D67" s="0" t="n">
        <v>0</v>
      </c>
      <c r="E67" s="0" t="n">
        <v>1</v>
      </c>
      <c r="F67" s="0" t="n">
        <v>0</v>
      </c>
      <c r="G67" s="0" t="n">
        <v>1</v>
      </c>
      <c r="H67" s="0" t="n">
        <v>19</v>
      </c>
      <c r="J67" s="0" t="n">
        <v>9</v>
      </c>
      <c r="K67" s="0" t="n">
        <v>0.4</v>
      </c>
    </row>
    <row r="68" customFormat="false" ht="13.5" hidden="false" customHeight="false" outlineLevel="0" collapsed="false">
      <c r="A68" s="0" t="s">
        <v>100</v>
      </c>
      <c r="B68" s="1" t="n">
        <v>43928</v>
      </c>
      <c r="C68" s="0" t="n">
        <v>24</v>
      </c>
      <c r="D68" s="0" t="n">
        <v>3</v>
      </c>
      <c r="E68" s="0" t="n">
        <v>1</v>
      </c>
      <c r="F68" s="0" t="n">
        <v>0</v>
      </c>
      <c r="G68" s="0" t="n">
        <v>1</v>
      </c>
      <c r="H68" s="0" t="n">
        <v>22</v>
      </c>
      <c r="J68" s="0" t="n">
        <v>11</v>
      </c>
      <c r="K68" s="0" t="n">
        <v>0.4</v>
      </c>
    </row>
    <row r="69" customFormat="false" ht="13.5" hidden="false" customHeight="false" outlineLevel="0" collapsed="false">
      <c r="A69" s="0" t="s">
        <v>100</v>
      </c>
      <c r="B69" s="1" t="n">
        <v>43929</v>
      </c>
      <c r="C69" s="0" t="n">
        <v>30</v>
      </c>
      <c r="D69" s="0" t="n">
        <v>6</v>
      </c>
      <c r="E69" s="0" t="n">
        <v>1</v>
      </c>
      <c r="F69" s="0" t="n">
        <v>0</v>
      </c>
      <c r="G69" s="0" t="n">
        <v>1</v>
      </c>
      <c r="H69" s="0" t="n">
        <v>28</v>
      </c>
      <c r="J69" s="0" t="n">
        <v>13</v>
      </c>
      <c r="K69" s="0" t="n">
        <v>0.4</v>
      </c>
    </row>
    <row r="70" customFormat="false" ht="13.5" hidden="false" customHeight="false" outlineLevel="0" collapsed="false">
      <c r="A70" s="0" t="s">
        <v>100</v>
      </c>
      <c r="B70" s="1" t="n">
        <v>43930</v>
      </c>
      <c r="C70" s="0" t="n">
        <v>30</v>
      </c>
      <c r="D70" s="0" t="n">
        <v>0</v>
      </c>
      <c r="E70" s="0" t="n">
        <v>1</v>
      </c>
      <c r="F70" s="0" t="n">
        <v>0</v>
      </c>
      <c r="G70" s="0" t="n">
        <v>1</v>
      </c>
      <c r="H70" s="0" t="n">
        <v>28</v>
      </c>
      <c r="J70" s="0" t="n">
        <v>13</v>
      </c>
      <c r="K70" s="0" t="n">
        <v>0.4</v>
      </c>
    </row>
    <row r="71" customFormat="false" ht="13.5" hidden="false" customHeight="false" outlineLevel="0" collapsed="false">
      <c r="A71" s="0" t="s">
        <v>100</v>
      </c>
      <c r="B71" s="1" t="n">
        <v>43931</v>
      </c>
      <c r="C71" s="0" t="n">
        <v>44</v>
      </c>
      <c r="D71" s="0" t="n">
        <v>14</v>
      </c>
      <c r="E71" s="0" t="n">
        <v>1</v>
      </c>
      <c r="F71" s="0" t="n">
        <v>0</v>
      </c>
      <c r="G71" s="0" t="n">
        <v>1</v>
      </c>
      <c r="H71" s="0" t="n">
        <v>42</v>
      </c>
      <c r="J71" s="0" t="n">
        <v>20</v>
      </c>
      <c r="K71" s="0" t="n">
        <v>0.4</v>
      </c>
    </row>
    <row r="72" customFormat="false" ht="13.5" hidden="false" customHeight="false" outlineLevel="0" collapsed="false">
      <c r="A72" s="0" t="s">
        <v>100</v>
      </c>
      <c r="B72" s="1" t="n">
        <v>43932</v>
      </c>
      <c r="C72" s="0" t="n">
        <v>44</v>
      </c>
      <c r="D72" s="0" t="n">
        <v>0</v>
      </c>
      <c r="E72" s="0" t="n">
        <v>1</v>
      </c>
      <c r="F72" s="0" t="n">
        <v>0</v>
      </c>
      <c r="G72" s="0" t="n">
        <v>1</v>
      </c>
      <c r="H72" s="0" t="n">
        <v>42</v>
      </c>
      <c r="J72" s="0" t="n">
        <v>20</v>
      </c>
      <c r="K72" s="0" t="n">
        <v>0.4</v>
      </c>
    </row>
    <row r="73" customFormat="false" ht="13.5" hidden="false" customHeight="false" outlineLevel="0" collapsed="false">
      <c r="A73" s="0" t="s">
        <v>100</v>
      </c>
      <c r="B73" s="1" t="n">
        <v>43933</v>
      </c>
      <c r="C73" s="0" t="n">
        <v>46</v>
      </c>
      <c r="D73" s="0" t="n">
        <v>2</v>
      </c>
      <c r="E73" s="0" t="n">
        <v>1</v>
      </c>
      <c r="F73" s="0" t="n">
        <v>0</v>
      </c>
      <c r="G73" s="0" t="n">
        <v>1</v>
      </c>
      <c r="H73" s="0" t="n">
        <v>44</v>
      </c>
      <c r="J73" s="0" t="n">
        <v>21</v>
      </c>
      <c r="K73" s="0" t="n">
        <v>0.4</v>
      </c>
    </row>
    <row r="74" customFormat="false" ht="13.5" hidden="false" customHeight="false" outlineLevel="0" collapsed="false">
      <c r="A74" s="0" t="s">
        <v>100</v>
      </c>
      <c r="B74" s="1" t="n">
        <v>43934</v>
      </c>
      <c r="C74" s="0" t="n">
        <v>49</v>
      </c>
      <c r="D74" s="0" t="n">
        <v>3</v>
      </c>
      <c r="E74" s="0" t="n">
        <v>1</v>
      </c>
      <c r="F74" s="0" t="n">
        <v>0</v>
      </c>
      <c r="G74" s="0" t="n">
        <v>1</v>
      </c>
      <c r="H74" s="0" t="n">
        <v>47</v>
      </c>
      <c r="J74" s="0" t="n">
        <v>22</v>
      </c>
      <c r="K74" s="0" t="n">
        <v>0.4</v>
      </c>
    </row>
    <row r="75" customFormat="false" ht="13.5" hidden="false" customHeight="false" outlineLevel="0" collapsed="false">
      <c r="A75" s="0" t="s">
        <v>100</v>
      </c>
      <c r="B75" s="1" t="n">
        <v>43935</v>
      </c>
      <c r="C75" s="0" t="n">
        <v>57</v>
      </c>
      <c r="D75" s="0" t="n">
        <v>8</v>
      </c>
      <c r="E75" s="0" t="n">
        <v>1</v>
      </c>
      <c r="F75" s="0" t="n">
        <v>0</v>
      </c>
      <c r="G75" s="0" t="n">
        <v>1</v>
      </c>
      <c r="H75" s="0" t="n">
        <v>55</v>
      </c>
      <c r="I75" s="0" t="n">
        <v>0</v>
      </c>
      <c r="J75" s="0" t="n">
        <v>26</v>
      </c>
      <c r="K75" s="0" t="n">
        <v>0.4</v>
      </c>
    </row>
    <row r="76" customFormat="false" ht="13.5" hidden="false" customHeight="false" outlineLevel="0" collapsed="false">
      <c r="A76" s="0" t="s">
        <v>100</v>
      </c>
      <c r="B76" s="1" t="n">
        <v>43936</v>
      </c>
      <c r="C76" s="0" t="n">
        <v>57</v>
      </c>
      <c r="D76" s="0" t="n">
        <v>0</v>
      </c>
      <c r="E76" s="0" t="n">
        <v>1</v>
      </c>
      <c r="F76" s="0" t="n">
        <v>0</v>
      </c>
      <c r="G76" s="0" t="n">
        <v>1</v>
      </c>
      <c r="H76" s="0" t="n">
        <v>55</v>
      </c>
      <c r="I76" s="0" t="n">
        <v>0</v>
      </c>
      <c r="J76" s="0" t="n">
        <v>26</v>
      </c>
      <c r="K76" s="0" t="n">
        <v>0.4</v>
      </c>
    </row>
    <row r="77" customFormat="false" ht="13.5" hidden="false" customHeight="false" outlineLevel="0" collapsed="false">
      <c r="A77" s="0" t="s">
        <v>100</v>
      </c>
      <c r="B77" s="1" t="n">
        <v>43937</v>
      </c>
      <c r="C77" s="0" t="n">
        <v>80</v>
      </c>
      <c r="D77" s="0" t="n">
        <v>23</v>
      </c>
      <c r="E77" s="0" t="n">
        <v>1</v>
      </c>
      <c r="F77" s="0" t="n">
        <v>0</v>
      </c>
      <c r="G77" s="0" t="n">
        <v>4</v>
      </c>
      <c r="H77" s="0" t="n">
        <v>75</v>
      </c>
      <c r="I77" s="0" t="n">
        <v>0</v>
      </c>
      <c r="J77" s="0" t="n">
        <v>36</v>
      </c>
      <c r="K77" s="0" t="n">
        <v>0.4</v>
      </c>
    </row>
    <row r="78" customFormat="false" ht="13.5" hidden="false" customHeight="false" outlineLevel="0" collapsed="false">
      <c r="A78" s="0" t="s">
        <v>100</v>
      </c>
      <c r="B78" s="1" t="n">
        <v>43938</v>
      </c>
      <c r="C78" s="0" t="n">
        <v>80</v>
      </c>
      <c r="D78" s="0" t="n">
        <v>0</v>
      </c>
      <c r="E78" s="0" t="n">
        <v>1</v>
      </c>
      <c r="F78" s="0" t="n">
        <v>0</v>
      </c>
      <c r="G78" s="0" t="n">
        <v>4</v>
      </c>
      <c r="H78" s="0" t="n">
        <v>75</v>
      </c>
      <c r="I78" s="0" t="n">
        <v>0</v>
      </c>
      <c r="J78" s="0" t="n">
        <v>36</v>
      </c>
      <c r="K78" s="0" t="n">
        <v>0.4</v>
      </c>
    </row>
    <row r="79" customFormat="false" ht="13.5" hidden="false" customHeight="false" outlineLevel="0" collapsed="false">
      <c r="A79" s="0" t="s">
        <v>100</v>
      </c>
      <c r="B79" s="1" t="n">
        <v>43939</v>
      </c>
      <c r="C79" s="0" t="n">
        <v>108</v>
      </c>
      <c r="D79" s="0" t="n">
        <v>28</v>
      </c>
      <c r="E79" s="0" t="n">
        <v>1</v>
      </c>
      <c r="F79" s="0" t="n">
        <v>0</v>
      </c>
      <c r="G79" s="0" t="n">
        <v>7</v>
      </c>
      <c r="H79" s="0" t="n">
        <v>100</v>
      </c>
      <c r="I79" s="0" t="n">
        <v>0</v>
      </c>
      <c r="J79" s="0" t="n">
        <v>49</v>
      </c>
      <c r="K79" s="0" t="n">
        <v>0.4</v>
      </c>
      <c r="L79" s="0" t="n">
        <v>572</v>
      </c>
      <c r="M79" s="0" t="n">
        <v>257</v>
      </c>
    </row>
    <row r="80" customFormat="false" ht="13.5" hidden="false" customHeight="false" outlineLevel="0" collapsed="false">
      <c r="A80" s="0" t="s">
        <v>100</v>
      </c>
      <c r="B80" s="1" t="n">
        <v>43940</v>
      </c>
      <c r="C80" s="0" t="n">
        <v>108</v>
      </c>
      <c r="D80" s="0" t="n">
        <v>0</v>
      </c>
      <c r="E80" s="0" t="n">
        <v>1</v>
      </c>
      <c r="F80" s="0" t="n">
        <v>0</v>
      </c>
      <c r="G80" s="0" t="n">
        <v>7</v>
      </c>
      <c r="H80" s="0" t="n">
        <v>100</v>
      </c>
      <c r="I80" s="0" t="n">
        <v>0</v>
      </c>
      <c r="J80" s="0" t="n">
        <v>49</v>
      </c>
      <c r="K80" s="0" t="n">
        <v>0.4</v>
      </c>
      <c r="L80" s="0" t="n">
        <v>572</v>
      </c>
      <c r="M80" s="0" t="n">
        <v>257</v>
      </c>
    </row>
    <row r="81" customFormat="false" ht="13.5" hidden="false" customHeight="false" outlineLevel="0" collapsed="false">
      <c r="A81" s="0" t="s">
        <v>100</v>
      </c>
      <c r="B81" s="1" t="n">
        <v>43941</v>
      </c>
      <c r="C81" s="0" t="n">
        <v>109</v>
      </c>
      <c r="D81" s="0" t="n">
        <v>1</v>
      </c>
      <c r="E81" s="0" t="n">
        <v>1</v>
      </c>
      <c r="F81" s="0" t="n">
        <v>0</v>
      </c>
      <c r="G81" s="0" t="n">
        <v>7</v>
      </c>
      <c r="H81" s="0" t="n">
        <v>101</v>
      </c>
      <c r="I81" s="0" t="n">
        <v>0</v>
      </c>
      <c r="J81" s="0" t="n">
        <v>49</v>
      </c>
      <c r="K81" s="0" t="n">
        <v>0.4</v>
      </c>
      <c r="L81" s="0" t="n">
        <v>572</v>
      </c>
      <c r="M81" s="0" t="n">
        <v>257</v>
      </c>
    </row>
    <row r="82" customFormat="false" ht="13.5" hidden="false" customHeight="false" outlineLevel="0" collapsed="false">
      <c r="A82" s="0" t="s">
        <v>100</v>
      </c>
      <c r="B82" s="1" t="n">
        <v>43942</v>
      </c>
      <c r="C82" s="0" t="n">
        <v>109</v>
      </c>
      <c r="D82" s="0" t="n">
        <v>0</v>
      </c>
      <c r="E82" s="0" t="n">
        <v>1</v>
      </c>
      <c r="F82" s="0" t="n">
        <v>0</v>
      </c>
      <c r="G82" s="0" t="n">
        <v>7</v>
      </c>
      <c r="H82" s="0" t="n">
        <v>101</v>
      </c>
      <c r="I82" s="0" t="n">
        <v>0</v>
      </c>
      <c r="J82" s="0" t="n">
        <v>49</v>
      </c>
      <c r="K82" s="0" t="n">
        <v>0.4</v>
      </c>
      <c r="L82" s="0" t="n">
        <v>572</v>
      </c>
      <c r="M82" s="0" t="n">
        <v>257</v>
      </c>
    </row>
    <row r="83" customFormat="false" ht="13.5" hidden="false" customHeight="false" outlineLevel="0" collapsed="false">
      <c r="A83" s="0" t="s">
        <v>100</v>
      </c>
      <c r="B83" s="1" t="n">
        <v>43943</v>
      </c>
      <c r="C83" s="0" t="n">
        <v>156</v>
      </c>
      <c r="D83" s="0" t="n">
        <v>47</v>
      </c>
      <c r="E83" s="0" t="n">
        <v>1</v>
      </c>
      <c r="F83" s="0" t="n">
        <v>0</v>
      </c>
      <c r="G83" s="0" t="n">
        <v>16</v>
      </c>
      <c r="H83" s="0" t="n">
        <v>139</v>
      </c>
      <c r="I83" s="0" t="n">
        <v>2</v>
      </c>
      <c r="J83" s="0" t="n">
        <v>70</v>
      </c>
      <c r="K83" s="0" t="n">
        <v>0.4</v>
      </c>
      <c r="L83" s="0" t="n">
        <v>572</v>
      </c>
      <c r="M83" s="0" t="n">
        <v>257</v>
      </c>
    </row>
    <row r="84" customFormat="false" ht="13.5" hidden="false" customHeight="false" outlineLevel="0" collapsed="false">
      <c r="A84" s="0" t="s">
        <v>100</v>
      </c>
      <c r="B84" s="1" t="n">
        <v>43944</v>
      </c>
      <c r="C84" s="0" t="n">
        <v>166</v>
      </c>
      <c r="D84" s="0" t="n">
        <v>10</v>
      </c>
      <c r="E84" s="0" t="n">
        <v>1</v>
      </c>
      <c r="F84" s="0" t="n">
        <v>0</v>
      </c>
      <c r="G84" s="0" t="n">
        <v>24</v>
      </c>
      <c r="H84" s="0" t="n">
        <v>141</v>
      </c>
      <c r="I84" s="0" t="n">
        <v>2</v>
      </c>
      <c r="J84" s="0" t="n">
        <v>75</v>
      </c>
      <c r="K84" s="0" t="n">
        <v>0.4</v>
      </c>
      <c r="L84" s="0" t="n">
        <v>572</v>
      </c>
      <c r="M84" s="0" t="n">
        <v>257</v>
      </c>
    </row>
    <row r="85" customFormat="false" ht="13.5" hidden="false" customHeight="false" outlineLevel="0" collapsed="false">
      <c r="A85" s="0" t="s">
        <v>100</v>
      </c>
      <c r="B85" s="1" t="n">
        <v>43945</v>
      </c>
      <c r="C85" s="0" t="n">
        <v>167</v>
      </c>
      <c r="D85" s="0" t="n">
        <v>1</v>
      </c>
      <c r="E85" s="0" t="n">
        <v>2</v>
      </c>
      <c r="F85" s="0" t="n">
        <v>1</v>
      </c>
      <c r="G85" s="0" t="n">
        <v>24</v>
      </c>
      <c r="H85" s="0" t="n">
        <v>141</v>
      </c>
      <c r="I85" s="0" t="n">
        <v>1</v>
      </c>
      <c r="J85" s="0" t="n">
        <v>75</v>
      </c>
      <c r="K85" s="0" t="n">
        <v>0.9</v>
      </c>
      <c r="L85" s="0" t="n">
        <v>572</v>
      </c>
      <c r="M85" s="0" t="n">
        <v>257</v>
      </c>
    </row>
    <row r="86" customFormat="false" ht="13.5" hidden="false" customHeight="false" outlineLevel="0" collapsed="false">
      <c r="A86" s="0" t="s">
        <v>100</v>
      </c>
      <c r="B86" s="1" t="n">
        <v>43946</v>
      </c>
      <c r="C86" s="0" t="n">
        <v>172</v>
      </c>
      <c r="D86" s="0" t="n">
        <v>5</v>
      </c>
      <c r="E86" s="0" t="n">
        <v>3</v>
      </c>
      <c r="F86" s="0" t="n">
        <v>1</v>
      </c>
      <c r="G86" s="0" t="n">
        <v>26</v>
      </c>
      <c r="H86" s="0" t="n">
        <v>143</v>
      </c>
      <c r="I86" s="0" t="n">
        <v>1</v>
      </c>
      <c r="J86" s="0" t="n">
        <v>77</v>
      </c>
      <c r="K86" s="0" t="n">
        <v>1</v>
      </c>
      <c r="L86" s="0" t="n">
        <v>572</v>
      </c>
      <c r="M86" s="0" t="n">
        <v>257</v>
      </c>
    </row>
    <row r="87" customFormat="false" ht="13.5" hidden="false" customHeight="false" outlineLevel="0" collapsed="false">
      <c r="A87" s="0" t="s">
        <v>100</v>
      </c>
      <c r="B87" s="1" t="n">
        <v>43947</v>
      </c>
      <c r="C87" s="0" t="n">
        <v>172</v>
      </c>
      <c r="D87" s="0" t="n">
        <v>0</v>
      </c>
      <c r="E87" s="0" t="n">
        <v>3</v>
      </c>
      <c r="F87" s="0" t="n">
        <v>0</v>
      </c>
      <c r="G87" s="0" t="n">
        <v>26</v>
      </c>
      <c r="H87" s="0" t="n">
        <v>143</v>
      </c>
      <c r="I87" s="0" t="n">
        <v>1</v>
      </c>
      <c r="J87" s="0" t="n">
        <v>77</v>
      </c>
      <c r="K87" s="0" t="n">
        <v>1</v>
      </c>
      <c r="L87" s="0" t="n">
        <v>572</v>
      </c>
      <c r="M87" s="0" t="n">
        <v>257</v>
      </c>
    </row>
    <row r="88" customFormat="false" ht="13.5" hidden="false" customHeight="false" outlineLevel="0" collapsed="false">
      <c r="A88" s="0" t="s">
        <v>100</v>
      </c>
      <c r="B88" s="1" t="n">
        <v>43948</v>
      </c>
      <c r="C88" s="0" t="n">
        <v>176</v>
      </c>
      <c r="D88" s="0" t="n">
        <v>4</v>
      </c>
      <c r="E88" s="0" t="n">
        <v>3</v>
      </c>
      <c r="F88" s="0" t="n">
        <v>0</v>
      </c>
      <c r="G88" s="0" t="n">
        <v>30</v>
      </c>
      <c r="H88" s="0" t="n">
        <v>143</v>
      </c>
      <c r="I88" s="0" t="n">
        <v>1</v>
      </c>
      <c r="J88" s="0" t="n">
        <v>79</v>
      </c>
      <c r="K88" s="0" t="n">
        <v>1</v>
      </c>
      <c r="L88" s="0" t="n">
        <v>572</v>
      </c>
      <c r="M88" s="0" t="n">
        <v>257</v>
      </c>
    </row>
    <row r="89" customFormat="false" ht="13.5" hidden="false" customHeight="false" outlineLevel="0" collapsed="false">
      <c r="A89" s="0" t="s">
        <v>100</v>
      </c>
      <c r="B89" s="1" t="n">
        <v>43949</v>
      </c>
      <c r="C89" s="0" t="n">
        <v>176</v>
      </c>
      <c r="D89" s="0" t="n">
        <v>0</v>
      </c>
      <c r="E89" s="0" t="n">
        <v>3</v>
      </c>
      <c r="F89" s="0" t="n">
        <v>0</v>
      </c>
      <c r="G89" s="0" t="n">
        <v>30</v>
      </c>
      <c r="H89" s="0" t="n">
        <v>143</v>
      </c>
      <c r="I89" s="0" t="n">
        <v>1</v>
      </c>
      <c r="J89" s="0" t="n">
        <v>79</v>
      </c>
      <c r="K89" s="0" t="n">
        <v>1</v>
      </c>
      <c r="L89" s="0" t="n">
        <v>572</v>
      </c>
      <c r="M89" s="0" t="n">
        <v>257</v>
      </c>
    </row>
    <row r="90" customFormat="false" ht="13.5" hidden="false" customHeight="false" outlineLevel="0" collapsed="false">
      <c r="A90" s="0" t="s">
        <v>100</v>
      </c>
      <c r="B90" s="1" t="n">
        <v>43950</v>
      </c>
      <c r="C90" s="0" t="n">
        <v>238</v>
      </c>
      <c r="D90" s="0" t="n">
        <v>62</v>
      </c>
      <c r="E90" s="0" t="n">
        <v>3</v>
      </c>
      <c r="F90" s="0" t="n">
        <v>0</v>
      </c>
      <c r="G90" s="0" t="n">
        <v>53</v>
      </c>
      <c r="H90" s="0" t="n">
        <v>182</v>
      </c>
      <c r="I90" s="0" t="n">
        <v>1</v>
      </c>
      <c r="J90" s="0" t="n">
        <v>107</v>
      </c>
      <c r="K90" s="0" t="n">
        <v>1</v>
      </c>
      <c r="L90" s="0" t="n">
        <v>724</v>
      </c>
      <c r="M90" s="0" t="n">
        <v>325</v>
      </c>
    </row>
    <row r="91" customFormat="false" ht="13.5" hidden="false" customHeight="false" outlineLevel="0" collapsed="false">
      <c r="A91" s="0" t="s">
        <v>100</v>
      </c>
      <c r="B91" s="1" t="n">
        <v>43951</v>
      </c>
      <c r="C91" s="0" t="n">
        <v>238</v>
      </c>
      <c r="D91" s="0" t="n">
        <v>0</v>
      </c>
      <c r="E91" s="0" t="n">
        <v>3</v>
      </c>
      <c r="F91" s="0" t="n">
        <v>0</v>
      </c>
      <c r="G91" s="0" t="n">
        <v>53</v>
      </c>
      <c r="H91" s="0" t="n">
        <v>182</v>
      </c>
      <c r="I91" s="0" t="n">
        <v>1</v>
      </c>
      <c r="J91" s="0" t="n">
        <v>107</v>
      </c>
      <c r="K91" s="0" t="n">
        <v>1</v>
      </c>
      <c r="L91" s="0" t="n">
        <v>724</v>
      </c>
      <c r="M91" s="0" t="n">
        <v>325</v>
      </c>
    </row>
    <row r="92" customFormat="false" ht="13.5" hidden="false" customHeight="false" outlineLevel="0" collapsed="false">
      <c r="A92" s="0" t="s">
        <v>100</v>
      </c>
      <c r="B92" s="1" t="n">
        <v>43952</v>
      </c>
      <c r="C92" s="0" t="n">
        <v>276</v>
      </c>
      <c r="D92" s="0" t="n">
        <v>38</v>
      </c>
      <c r="E92" s="0" t="n">
        <v>3</v>
      </c>
      <c r="F92" s="0" t="n">
        <v>0</v>
      </c>
      <c r="G92" s="0" t="n">
        <v>67</v>
      </c>
      <c r="H92" s="0" t="n">
        <v>206</v>
      </c>
      <c r="I92" s="0" t="n">
        <v>1</v>
      </c>
      <c r="J92" s="0" t="n">
        <v>124</v>
      </c>
      <c r="K92" s="0" t="n">
        <v>1</v>
      </c>
      <c r="L92" s="0" t="n">
        <v>724</v>
      </c>
      <c r="M92" s="0" t="n">
        <v>325</v>
      </c>
    </row>
    <row r="93" customFormat="false" ht="13.5" hidden="false" customHeight="false" outlineLevel="0" collapsed="false">
      <c r="A93" s="0" t="s">
        <v>100</v>
      </c>
      <c r="B93" s="1" t="n">
        <v>43953</v>
      </c>
      <c r="C93" s="0" t="n">
        <v>276</v>
      </c>
      <c r="D93" s="0" t="n">
        <v>0</v>
      </c>
      <c r="E93" s="0" t="n">
        <v>3</v>
      </c>
      <c r="F93" s="0" t="n">
        <v>0</v>
      </c>
      <c r="G93" s="0" t="n">
        <v>67</v>
      </c>
      <c r="H93" s="0" t="n">
        <v>206</v>
      </c>
      <c r="I93" s="0" t="n">
        <v>1</v>
      </c>
      <c r="J93" s="0" t="n">
        <v>124</v>
      </c>
      <c r="K93" s="0" t="n">
        <v>1</v>
      </c>
      <c r="L93" s="0" t="n">
        <v>724</v>
      </c>
      <c r="M93" s="0" t="n">
        <v>325</v>
      </c>
    </row>
    <row r="94" customFormat="false" ht="13.5" hidden="false" customHeight="false" outlineLevel="0" collapsed="false">
      <c r="A94" s="0" t="s">
        <v>100</v>
      </c>
      <c r="B94" s="1" t="n">
        <v>43954</v>
      </c>
      <c r="C94" s="0" t="n">
        <v>335</v>
      </c>
      <c r="D94" s="0" t="n">
        <v>59</v>
      </c>
      <c r="E94" s="0" t="n">
        <v>5</v>
      </c>
      <c r="F94" s="0" t="n">
        <v>2</v>
      </c>
      <c r="G94" s="0" t="n">
        <v>85</v>
      </c>
      <c r="H94" s="0" t="n">
        <v>245</v>
      </c>
      <c r="I94" s="0" t="n">
        <v>1</v>
      </c>
      <c r="J94" s="0" t="n">
        <v>151</v>
      </c>
      <c r="K94" s="0" t="n">
        <v>2</v>
      </c>
      <c r="L94" s="0" t="n">
        <v>724</v>
      </c>
      <c r="M94" s="0" t="n">
        <v>325</v>
      </c>
    </row>
    <row r="95" customFormat="false" ht="13.5" hidden="false" customHeight="false" outlineLevel="0" collapsed="false">
      <c r="A95" s="0" t="s">
        <v>100</v>
      </c>
      <c r="B95" s="1" t="n">
        <v>43955</v>
      </c>
      <c r="C95" s="0" t="n">
        <v>335</v>
      </c>
      <c r="D95" s="0" t="n">
        <v>0</v>
      </c>
      <c r="E95" s="0" t="n">
        <v>5</v>
      </c>
      <c r="F95" s="0" t="n">
        <v>0</v>
      </c>
      <c r="G95" s="0" t="n">
        <v>85</v>
      </c>
      <c r="H95" s="0" t="n">
        <v>245</v>
      </c>
      <c r="I95" s="0" t="n">
        <v>1</v>
      </c>
      <c r="J95" s="0" t="n">
        <v>151</v>
      </c>
      <c r="K95" s="0" t="n">
        <v>2</v>
      </c>
      <c r="L95" s="0" t="n">
        <v>724</v>
      </c>
      <c r="M95" s="0" t="n">
        <v>325</v>
      </c>
    </row>
    <row r="96" customFormat="false" ht="13.5" hidden="false" customHeight="false" outlineLevel="0" collapsed="false">
      <c r="A96" s="0" t="s">
        <v>100</v>
      </c>
      <c r="B96" s="1" t="n">
        <v>43956</v>
      </c>
      <c r="C96" s="0" t="n">
        <v>367</v>
      </c>
      <c r="D96" s="0" t="n">
        <v>32</v>
      </c>
      <c r="E96" s="0" t="n">
        <v>6</v>
      </c>
      <c r="F96" s="0" t="n">
        <v>1</v>
      </c>
      <c r="G96" s="0" t="n">
        <v>93</v>
      </c>
      <c r="H96" s="0" t="n">
        <v>268</v>
      </c>
      <c r="I96" s="0" t="n">
        <v>1</v>
      </c>
      <c r="J96" s="0" t="n">
        <v>165</v>
      </c>
      <c r="K96" s="0" t="n">
        <v>3</v>
      </c>
      <c r="L96" s="0" t="n">
        <v>724</v>
      </c>
      <c r="M96" s="0" t="n">
        <v>325</v>
      </c>
    </row>
    <row r="97" customFormat="false" ht="13.5" hidden="false" customHeight="false" outlineLevel="0" collapsed="false">
      <c r="A97" s="0" t="s">
        <v>100</v>
      </c>
      <c r="B97" s="1" t="n">
        <v>43957</v>
      </c>
      <c r="C97" s="0" t="n">
        <v>367</v>
      </c>
      <c r="D97" s="0" t="n">
        <v>0</v>
      </c>
      <c r="E97" s="0" t="n">
        <v>6</v>
      </c>
      <c r="F97" s="0" t="n">
        <v>0</v>
      </c>
      <c r="G97" s="0" t="n">
        <v>93</v>
      </c>
      <c r="H97" s="0" t="n">
        <v>268</v>
      </c>
      <c r="I97" s="0" t="n">
        <v>1</v>
      </c>
      <c r="J97" s="0" t="n">
        <v>165</v>
      </c>
      <c r="K97" s="0" t="n">
        <v>3</v>
      </c>
      <c r="L97" s="0" t="n">
        <v>724</v>
      </c>
      <c r="M97" s="0" t="n">
        <v>325</v>
      </c>
    </row>
    <row r="98" customFormat="false" ht="13.5" hidden="false" customHeight="false" outlineLevel="0" collapsed="false">
      <c r="A98" s="0" t="s">
        <v>100</v>
      </c>
      <c r="B98" s="1" t="n">
        <v>43958</v>
      </c>
      <c r="C98" s="0" t="n">
        <v>397</v>
      </c>
      <c r="D98" s="0" t="n">
        <v>30</v>
      </c>
      <c r="E98" s="0" t="n">
        <v>6</v>
      </c>
      <c r="F98" s="0" t="n">
        <v>0</v>
      </c>
      <c r="G98" s="0" t="n">
        <v>93</v>
      </c>
      <c r="H98" s="0" t="n">
        <v>298</v>
      </c>
      <c r="I98" s="0" t="n">
        <v>1</v>
      </c>
      <c r="J98" s="0" t="n">
        <v>178</v>
      </c>
      <c r="K98" s="0" t="n">
        <v>3</v>
      </c>
      <c r="L98" s="0" t="n">
        <v>724</v>
      </c>
      <c r="M98" s="0" t="n">
        <v>325</v>
      </c>
    </row>
    <row r="99" customFormat="false" ht="13.5" hidden="false" customHeight="false" outlineLevel="0" collapsed="false">
      <c r="A99" s="0" t="s">
        <v>100</v>
      </c>
      <c r="B99" s="1" t="n">
        <v>43959</v>
      </c>
      <c r="C99" s="0" t="n">
        <v>504</v>
      </c>
      <c r="D99" s="0" t="n">
        <v>107</v>
      </c>
      <c r="E99" s="0" t="n">
        <v>8</v>
      </c>
      <c r="F99" s="0" t="n">
        <v>2</v>
      </c>
      <c r="G99" s="0" t="n">
        <v>110</v>
      </c>
      <c r="H99" s="0" t="n">
        <v>386</v>
      </c>
      <c r="I99" s="0" t="n">
        <v>1</v>
      </c>
      <c r="J99" s="0" t="n">
        <v>226</v>
      </c>
      <c r="K99" s="0" t="n">
        <v>4</v>
      </c>
      <c r="L99" s="0" t="n">
        <v>724</v>
      </c>
      <c r="M99" s="0" t="n">
        <v>325</v>
      </c>
    </row>
    <row r="100" customFormat="false" ht="13.5" hidden="false" customHeight="false" outlineLevel="0" collapsed="false">
      <c r="A100" s="0" t="s">
        <v>100</v>
      </c>
      <c r="B100" s="1" t="n">
        <v>43960</v>
      </c>
      <c r="C100" s="0" t="n">
        <v>504</v>
      </c>
      <c r="D100" s="0" t="n">
        <v>0</v>
      </c>
      <c r="E100" s="0" t="n">
        <v>8</v>
      </c>
      <c r="F100" s="0" t="n">
        <v>0</v>
      </c>
      <c r="G100" s="0" t="n">
        <v>110</v>
      </c>
      <c r="H100" s="0" t="n">
        <v>386</v>
      </c>
      <c r="I100" s="0" t="n">
        <v>1</v>
      </c>
      <c r="J100" s="0" t="n">
        <v>226</v>
      </c>
      <c r="K100" s="0" t="n">
        <v>4</v>
      </c>
      <c r="L100" s="0" t="n">
        <v>724</v>
      </c>
      <c r="M100" s="0" t="n">
        <v>325</v>
      </c>
    </row>
    <row r="101" customFormat="false" ht="13.5" hidden="false" customHeight="false" outlineLevel="0" collapsed="false">
      <c r="A101" s="0" t="s">
        <v>100</v>
      </c>
      <c r="B101" s="1" t="n">
        <v>43961</v>
      </c>
      <c r="C101" s="0" t="n">
        <v>661</v>
      </c>
      <c r="D101" s="0" t="n">
        <v>157</v>
      </c>
      <c r="E101" s="0" t="n">
        <v>8</v>
      </c>
      <c r="F101" s="0" t="n">
        <v>0</v>
      </c>
      <c r="G101" s="0" t="n">
        <v>110</v>
      </c>
      <c r="H101" s="0" t="n">
        <v>543</v>
      </c>
      <c r="I101" s="0" t="n">
        <v>1</v>
      </c>
      <c r="J101" s="0" t="n">
        <v>297</v>
      </c>
      <c r="K101" s="0" t="n">
        <v>4</v>
      </c>
      <c r="L101" s="0" t="n">
        <v>724</v>
      </c>
      <c r="M101" s="0" t="n">
        <v>325</v>
      </c>
    </row>
    <row r="102" customFormat="false" ht="13.5" hidden="false" customHeight="false" outlineLevel="0" collapsed="false">
      <c r="A102" s="0" t="s">
        <v>100</v>
      </c>
      <c r="B102" s="1" t="n">
        <v>43962</v>
      </c>
      <c r="C102" s="0" t="n">
        <v>661</v>
      </c>
      <c r="D102" s="0" t="n">
        <v>0</v>
      </c>
      <c r="E102" s="0" t="n">
        <v>8</v>
      </c>
      <c r="F102" s="0" t="n">
        <v>0</v>
      </c>
      <c r="G102" s="0" t="n">
        <v>110</v>
      </c>
      <c r="H102" s="0" t="n">
        <v>543</v>
      </c>
      <c r="I102" s="0" t="n">
        <v>1</v>
      </c>
      <c r="J102" s="0" t="n">
        <v>297</v>
      </c>
      <c r="K102" s="0" t="n">
        <v>4</v>
      </c>
      <c r="L102" s="0" t="n">
        <v>724</v>
      </c>
      <c r="M102" s="0" t="n">
        <v>325</v>
      </c>
    </row>
    <row r="103" customFormat="false" ht="13.5" hidden="false" customHeight="false" outlineLevel="0" collapsed="false">
      <c r="A103" s="0" t="s">
        <v>100</v>
      </c>
      <c r="B103" s="1" t="n">
        <v>43963</v>
      </c>
      <c r="C103" s="0" t="n">
        <v>661</v>
      </c>
      <c r="D103" s="0" t="n">
        <v>0</v>
      </c>
      <c r="E103" s="0" t="n">
        <v>8</v>
      </c>
      <c r="F103" s="0" t="n">
        <v>0</v>
      </c>
      <c r="G103" s="0" t="n">
        <v>110</v>
      </c>
      <c r="H103" s="0" t="n">
        <v>543</v>
      </c>
      <c r="I103" s="0" t="n">
        <v>1</v>
      </c>
      <c r="J103" s="0" t="n">
        <v>297</v>
      </c>
      <c r="K103" s="0" t="n">
        <v>4</v>
      </c>
      <c r="L103" s="0" t="n">
        <v>724</v>
      </c>
      <c r="M103" s="0" t="n">
        <v>325</v>
      </c>
    </row>
    <row r="104" customFormat="false" ht="13.5" hidden="false" customHeight="false" outlineLevel="0" collapsed="false">
      <c r="A104" s="0" t="s">
        <v>100</v>
      </c>
      <c r="B104" s="1" t="n">
        <v>43964</v>
      </c>
      <c r="C104" s="0" t="n">
        <v>863</v>
      </c>
      <c r="D104" s="0" t="n">
        <v>202</v>
      </c>
      <c r="E104" s="0" t="n">
        <v>9</v>
      </c>
      <c r="F104" s="0" t="n">
        <v>1</v>
      </c>
      <c r="G104" s="0" t="n">
        <v>137</v>
      </c>
      <c r="H104" s="0" t="n">
        <v>717</v>
      </c>
      <c r="I104" s="0" t="n">
        <v>1</v>
      </c>
      <c r="J104" s="0" t="n">
        <v>388</v>
      </c>
      <c r="K104" s="0" t="n">
        <v>4</v>
      </c>
      <c r="L104" s="0" t="n">
        <v>5530</v>
      </c>
      <c r="M104" s="0" t="n">
        <v>2485</v>
      </c>
    </row>
    <row r="105" customFormat="false" ht="13.5" hidden="false" customHeight="false" outlineLevel="0" collapsed="false">
      <c r="A105" s="0" t="s">
        <v>100</v>
      </c>
      <c r="B105" s="1" t="n">
        <v>43965</v>
      </c>
      <c r="C105" s="0" t="n">
        <v>863</v>
      </c>
      <c r="D105" s="0" t="n">
        <v>0</v>
      </c>
      <c r="E105" s="0" t="n">
        <v>9</v>
      </c>
      <c r="F105" s="0" t="n">
        <v>0</v>
      </c>
      <c r="G105" s="0" t="n">
        <v>137</v>
      </c>
      <c r="H105" s="0" t="n">
        <v>717</v>
      </c>
      <c r="I105" s="0" t="n">
        <v>1</v>
      </c>
      <c r="J105" s="0" t="n">
        <v>388</v>
      </c>
      <c r="K105" s="0" t="n">
        <v>4</v>
      </c>
      <c r="L105" s="0" t="n">
        <v>5530</v>
      </c>
      <c r="M105" s="0" t="n">
        <v>2485</v>
      </c>
    </row>
    <row r="106" customFormat="false" ht="13.5" hidden="false" customHeight="false" outlineLevel="0" collapsed="false">
      <c r="A106" s="0" t="s">
        <v>100</v>
      </c>
      <c r="B106" s="1" t="n">
        <v>43966</v>
      </c>
      <c r="C106" s="0" t="n">
        <v>1004</v>
      </c>
      <c r="D106" s="0" t="n">
        <v>141</v>
      </c>
      <c r="E106" s="0" t="n">
        <v>9</v>
      </c>
      <c r="F106" s="0" t="n">
        <v>0</v>
      </c>
      <c r="G106" s="0" t="n">
        <v>152</v>
      </c>
      <c r="H106" s="0" t="n">
        <v>843</v>
      </c>
      <c r="I106" s="0" t="n">
        <v>13</v>
      </c>
      <c r="J106" s="0" t="n">
        <v>451</v>
      </c>
      <c r="K106" s="0" t="n">
        <v>4</v>
      </c>
      <c r="L106" s="0" t="n">
        <v>5530</v>
      </c>
      <c r="M106" s="0" t="n">
        <v>2485</v>
      </c>
    </row>
    <row r="107" customFormat="false" ht="13.5" hidden="false" customHeight="false" outlineLevel="0" collapsed="false">
      <c r="A107" s="0" t="s">
        <v>100</v>
      </c>
      <c r="B107" s="1" t="n">
        <v>43967</v>
      </c>
      <c r="C107" s="0" t="n">
        <v>1104</v>
      </c>
      <c r="D107" s="0" t="n">
        <v>100</v>
      </c>
      <c r="E107" s="0" t="n">
        <v>10</v>
      </c>
      <c r="F107" s="0" t="n">
        <v>1</v>
      </c>
      <c r="G107" s="0" t="n">
        <v>182</v>
      </c>
      <c r="H107" s="0" t="n">
        <v>912</v>
      </c>
      <c r="I107" s="0" t="n">
        <v>11</v>
      </c>
      <c r="J107" s="0" t="n">
        <v>498</v>
      </c>
      <c r="K107" s="0" t="n">
        <v>5</v>
      </c>
      <c r="L107" s="0" t="n">
        <v>6617</v>
      </c>
      <c r="M107" s="0" t="n">
        <v>2983</v>
      </c>
    </row>
    <row r="108" customFormat="false" ht="13.5" hidden="false" customHeight="false" outlineLevel="0" collapsed="false">
      <c r="A108" s="0" t="s">
        <v>100</v>
      </c>
      <c r="B108" s="1" t="n">
        <v>43968</v>
      </c>
      <c r="C108" s="0" t="n">
        <v>1320</v>
      </c>
      <c r="D108" s="0" t="n">
        <v>216</v>
      </c>
      <c r="E108" s="0" t="n">
        <v>11</v>
      </c>
      <c r="F108" s="0" t="n">
        <v>1</v>
      </c>
      <c r="G108" s="0" t="n">
        <v>244</v>
      </c>
      <c r="H108" s="0" t="n">
        <v>1065</v>
      </c>
      <c r="I108" s="0" t="n">
        <v>11</v>
      </c>
      <c r="J108" s="0" t="n">
        <v>595</v>
      </c>
      <c r="K108" s="0" t="n">
        <v>5</v>
      </c>
      <c r="L108" s="0" t="n">
        <v>7050</v>
      </c>
      <c r="M108" s="0" t="n">
        <v>3178</v>
      </c>
    </row>
    <row r="109" customFormat="false" ht="13.5" hidden="false" customHeight="false" outlineLevel="0" collapsed="false">
      <c r="A109" s="0" t="s">
        <v>100</v>
      </c>
      <c r="B109" s="1" t="n">
        <v>43969</v>
      </c>
      <c r="C109" s="0" t="n">
        <v>1320</v>
      </c>
      <c r="D109" s="0" t="n">
        <v>0</v>
      </c>
      <c r="E109" s="0" t="n">
        <v>11</v>
      </c>
      <c r="F109" s="0" t="n">
        <v>0</v>
      </c>
      <c r="G109" s="0" t="n">
        <v>244</v>
      </c>
      <c r="H109" s="0" t="n">
        <v>1065</v>
      </c>
      <c r="I109" s="0" t="n">
        <v>10</v>
      </c>
      <c r="J109" s="0" t="n">
        <v>595</v>
      </c>
      <c r="K109" s="0" t="n">
        <v>5</v>
      </c>
      <c r="L109" s="0" t="n">
        <v>7445</v>
      </c>
      <c r="M109" s="0" t="n">
        <v>3355</v>
      </c>
    </row>
    <row r="110" customFormat="false" ht="13.5" hidden="false" customHeight="false" outlineLevel="0" collapsed="false">
      <c r="A110" s="0" t="s">
        <v>100</v>
      </c>
      <c r="B110" s="1" t="n">
        <v>43970</v>
      </c>
      <c r="C110" s="0" t="n">
        <v>1320</v>
      </c>
      <c r="D110" s="0" t="n">
        <v>0</v>
      </c>
      <c r="E110" s="0" t="n">
        <v>11</v>
      </c>
      <c r="F110" s="0" t="n">
        <v>0</v>
      </c>
      <c r="G110" s="0" t="n">
        <v>244</v>
      </c>
      <c r="H110" s="0" t="n">
        <v>1065</v>
      </c>
      <c r="I110" s="0" t="n">
        <v>10</v>
      </c>
      <c r="J110" s="0" t="n">
        <v>595</v>
      </c>
      <c r="K110" s="0" t="n">
        <v>5</v>
      </c>
      <c r="L110" s="0" t="n">
        <v>7445</v>
      </c>
      <c r="M110" s="0" t="n">
        <v>3355</v>
      </c>
    </row>
    <row r="111" customFormat="false" ht="13.5" hidden="false" customHeight="false" outlineLevel="0" collapsed="false">
      <c r="A111" s="0" t="s">
        <v>100</v>
      </c>
      <c r="B111" s="1" t="n">
        <v>43971</v>
      </c>
      <c r="C111" s="0" t="n">
        <v>1502</v>
      </c>
      <c r="D111" s="0" t="n">
        <v>182</v>
      </c>
      <c r="E111" s="0" t="n">
        <v>12</v>
      </c>
      <c r="F111" s="0" t="n">
        <v>1</v>
      </c>
      <c r="G111" s="0" t="n">
        <v>318</v>
      </c>
      <c r="H111" s="0" t="n">
        <v>1172</v>
      </c>
      <c r="I111" s="0" t="n">
        <v>9</v>
      </c>
      <c r="J111" s="0" t="n">
        <v>677</v>
      </c>
      <c r="K111" s="0" t="n">
        <v>5</v>
      </c>
      <c r="L111" s="0" t="n">
        <v>7966</v>
      </c>
      <c r="M111" s="0" t="n">
        <v>3590</v>
      </c>
    </row>
    <row r="112" customFormat="false" ht="13.5" hidden="false" customHeight="false" outlineLevel="0" collapsed="false">
      <c r="A112" s="0" t="s">
        <v>100</v>
      </c>
      <c r="B112" s="1" t="n">
        <v>43972</v>
      </c>
      <c r="C112" s="0" t="n">
        <v>1567</v>
      </c>
      <c r="D112" s="0" t="n">
        <v>65</v>
      </c>
      <c r="E112" s="0" t="n">
        <v>12</v>
      </c>
      <c r="F112" s="0" t="n">
        <v>0</v>
      </c>
      <c r="G112" s="0" t="n">
        <v>365</v>
      </c>
      <c r="H112" s="0" t="n">
        <v>1190</v>
      </c>
      <c r="I112" s="0" t="n">
        <v>9</v>
      </c>
      <c r="J112" s="0" t="n">
        <v>706</v>
      </c>
      <c r="K112" s="0" t="n">
        <v>5</v>
      </c>
      <c r="L112" s="0" t="n">
        <v>7966</v>
      </c>
      <c r="M112" s="0" t="n">
        <v>3590</v>
      </c>
    </row>
    <row r="113" customFormat="false" ht="13.5" hidden="false" customHeight="false" outlineLevel="0" collapsed="false">
      <c r="A113" s="0" t="s">
        <v>100</v>
      </c>
      <c r="B113" s="1" t="n">
        <v>43973</v>
      </c>
      <c r="C113" s="0" t="n">
        <v>1567</v>
      </c>
      <c r="D113" s="0" t="n">
        <v>0</v>
      </c>
      <c r="E113" s="0" t="n">
        <v>12</v>
      </c>
      <c r="F113" s="0" t="n">
        <v>0</v>
      </c>
      <c r="G113" s="0" t="n">
        <v>365</v>
      </c>
      <c r="H113" s="0" t="n">
        <v>1190</v>
      </c>
      <c r="I113" s="0" t="n">
        <v>6</v>
      </c>
      <c r="J113" s="0" t="n">
        <v>706</v>
      </c>
      <c r="K113" s="0" t="n">
        <v>5</v>
      </c>
      <c r="L113" s="0" t="n">
        <v>8622</v>
      </c>
      <c r="M113" s="0" t="n">
        <v>3885</v>
      </c>
    </row>
    <row r="114" customFormat="false" ht="13.5" hidden="false" customHeight="false" outlineLevel="0" collapsed="false">
      <c r="A114" s="0" t="s">
        <v>100</v>
      </c>
      <c r="B114" s="1" t="n">
        <v>43974</v>
      </c>
      <c r="C114" s="0" t="n">
        <v>1728</v>
      </c>
      <c r="D114" s="0" t="n">
        <v>161</v>
      </c>
      <c r="E114" s="0" t="n">
        <v>12</v>
      </c>
      <c r="F114" s="0" t="n">
        <v>0</v>
      </c>
      <c r="G114" s="0" t="n">
        <v>402</v>
      </c>
      <c r="H114" s="0" t="n">
        <v>1314</v>
      </c>
      <c r="I114" s="0" t="n">
        <v>6</v>
      </c>
      <c r="J114" s="0" t="n">
        <v>779</v>
      </c>
      <c r="K114" s="0" t="n">
        <v>5</v>
      </c>
      <c r="L114" s="0" t="n">
        <v>8622</v>
      </c>
      <c r="M114" s="0" t="n">
        <v>3885</v>
      </c>
    </row>
    <row r="115" customFormat="false" ht="13.5" hidden="false" customHeight="false" outlineLevel="0" collapsed="false">
      <c r="A115" s="0" t="s">
        <v>100</v>
      </c>
      <c r="B115" s="1" t="n">
        <v>43975</v>
      </c>
      <c r="C115" s="0" t="n">
        <v>1728</v>
      </c>
      <c r="D115" s="0" t="n">
        <v>0</v>
      </c>
      <c r="E115" s="0" t="n">
        <v>12</v>
      </c>
      <c r="F115" s="0" t="n">
        <v>0</v>
      </c>
      <c r="G115" s="0" t="n">
        <v>402</v>
      </c>
      <c r="H115" s="0" t="n">
        <v>1314</v>
      </c>
      <c r="I115" s="0" t="n">
        <v>6</v>
      </c>
      <c r="J115" s="0" t="n">
        <v>779</v>
      </c>
      <c r="K115" s="0" t="n">
        <v>5</v>
      </c>
      <c r="L115" s="0" t="n">
        <v>8622</v>
      </c>
      <c r="M115" s="0" t="n">
        <v>3884</v>
      </c>
    </row>
    <row r="116" customFormat="false" ht="13.5" hidden="false" customHeight="false" outlineLevel="0" collapsed="false">
      <c r="A116" s="0" t="s">
        <v>100</v>
      </c>
      <c r="B116" s="1" t="n">
        <v>43976</v>
      </c>
      <c r="C116" s="0" t="n">
        <v>1934</v>
      </c>
      <c r="D116" s="0" t="n">
        <v>206</v>
      </c>
      <c r="E116" s="0" t="n">
        <v>12</v>
      </c>
      <c r="F116" s="0" t="n">
        <v>0</v>
      </c>
      <c r="G116" s="0" t="n">
        <v>459</v>
      </c>
      <c r="H116" s="0" t="n">
        <v>1463</v>
      </c>
      <c r="I116" s="0" t="n">
        <v>10</v>
      </c>
      <c r="J116" s="0" t="n">
        <v>871</v>
      </c>
      <c r="K116" s="0" t="n">
        <v>5</v>
      </c>
      <c r="L116" s="0" t="n">
        <v>9908</v>
      </c>
      <c r="M116" s="0" t="n">
        <v>4464</v>
      </c>
    </row>
    <row r="117" customFormat="false" ht="13.5" hidden="false" customHeight="false" outlineLevel="0" collapsed="false">
      <c r="A117" s="0" t="s">
        <v>100</v>
      </c>
      <c r="B117" s="1" t="n">
        <v>43977</v>
      </c>
      <c r="C117" s="0" t="n">
        <v>1934</v>
      </c>
      <c r="D117" s="0" t="n">
        <v>0</v>
      </c>
      <c r="E117" s="0" t="n">
        <v>12</v>
      </c>
      <c r="F117" s="0" t="n">
        <v>0</v>
      </c>
      <c r="G117" s="0" t="n">
        <v>459</v>
      </c>
      <c r="H117" s="0" t="n">
        <v>1463</v>
      </c>
      <c r="I117" s="0" t="n">
        <v>10</v>
      </c>
      <c r="J117" s="0" t="n">
        <v>871</v>
      </c>
      <c r="K117" s="0" t="n">
        <v>5</v>
      </c>
      <c r="L117" s="0" t="n">
        <v>9908</v>
      </c>
      <c r="M117" s="0" t="n">
        <v>4463</v>
      </c>
    </row>
    <row r="118" customFormat="false" ht="13.5" hidden="false" customHeight="false" outlineLevel="0" collapsed="false">
      <c r="A118" s="0" t="s">
        <v>100</v>
      </c>
      <c r="B118" s="1" t="n">
        <v>43978</v>
      </c>
      <c r="C118" s="0" t="n">
        <v>2238</v>
      </c>
      <c r="D118" s="0" t="n">
        <v>304</v>
      </c>
      <c r="E118" s="0" t="n">
        <v>14</v>
      </c>
      <c r="F118" s="0" t="n">
        <v>2</v>
      </c>
      <c r="G118" s="0" t="n">
        <v>593</v>
      </c>
      <c r="H118" s="0" t="n">
        <v>1631</v>
      </c>
      <c r="I118" s="0" t="n">
        <v>11</v>
      </c>
      <c r="J118" s="0" t="n">
        <v>1008</v>
      </c>
      <c r="K118" s="0" t="n">
        <v>6</v>
      </c>
      <c r="L118" s="0" t="n">
        <v>10683</v>
      </c>
      <c r="M118" s="0" t="n">
        <v>4812</v>
      </c>
    </row>
    <row r="119" customFormat="false" ht="13.5" hidden="false" customHeight="false" outlineLevel="0" collapsed="false">
      <c r="A119" s="0" t="s">
        <v>100</v>
      </c>
      <c r="B119" s="1" t="n">
        <v>43979</v>
      </c>
      <c r="C119" s="0" t="n">
        <v>2319</v>
      </c>
      <c r="D119" s="0" t="n">
        <v>81</v>
      </c>
      <c r="E119" s="0" t="n">
        <v>14</v>
      </c>
      <c r="F119" s="0" t="n">
        <v>0</v>
      </c>
      <c r="G119" s="0" t="n">
        <v>631</v>
      </c>
      <c r="H119" s="0" t="n">
        <v>1674</v>
      </c>
      <c r="I119" s="0" t="n">
        <v>11</v>
      </c>
      <c r="J119" s="0" t="n">
        <v>1044</v>
      </c>
      <c r="K119" s="0" t="n">
        <v>6</v>
      </c>
      <c r="L119" s="0" t="n">
        <v>11340</v>
      </c>
      <c r="M119" s="0" t="n">
        <v>5108</v>
      </c>
    </row>
    <row r="120" customFormat="false" ht="13.5" hidden="false" customHeight="false" outlineLevel="0" collapsed="false">
      <c r="A120" s="0" t="s">
        <v>100</v>
      </c>
      <c r="B120" s="1" t="n">
        <v>43980</v>
      </c>
      <c r="C120" s="0" t="n">
        <v>2319</v>
      </c>
      <c r="D120" s="0" t="n">
        <v>0</v>
      </c>
      <c r="E120" s="0" t="n">
        <v>14</v>
      </c>
      <c r="F120" s="0" t="n">
        <v>0</v>
      </c>
      <c r="G120" s="0" t="n">
        <v>631</v>
      </c>
      <c r="H120" s="0" t="n">
        <v>1674</v>
      </c>
      <c r="I120" s="0" t="n">
        <v>12</v>
      </c>
      <c r="J120" s="0" t="n">
        <v>1044</v>
      </c>
      <c r="K120" s="0" t="n">
        <v>6</v>
      </c>
      <c r="L120" s="0" t="n">
        <v>12060</v>
      </c>
      <c r="M120" s="0" t="n">
        <v>5432</v>
      </c>
    </row>
    <row r="121" customFormat="false" ht="13.5" hidden="false" customHeight="false" outlineLevel="0" collapsed="false">
      <c r="A121" s="0" t="s">
        <v>100</v>
      </c>
      <c r="B121" s="1" t="n">
        <v>43981</v>
      </c>
      <c r="C121" s="0" t="n">
        <v>2431</v>
      </c>
      <c r="D121" s="0" t="n">
        <v>112</v>
      </c>
      <c r="E121" s="0" t="n">
        <v>14</v>
      </c>
      <c r="F121" s="0" t="n">
        <v>0</v>
      </c>
      <c r="G121" s="0" t="n">
        <v>668</v>
      </c>
      <c r="H121" s="0" t="n">
        <v>1749</v>
      </c>
      <c r="I121" s="0" t="n">
        <v>15</v>
      </c>
      <c r="J121" s="0" t="n">
        <v>1095</v>
      </c>
      <c r="K121" s="0" t="n">
        <v>6</v>
      </c>
      <c r="L121" s="0" t="n">
        <v>12669</v>
      </c>
      <c r="M121" s="0" t="n">
        <v>5705</v>
      </c>
    </row>
    <row r="122" customFormat="false" ht="13.5" hidden="false" customHeight="false" outlineLevel="0" collapsed="false">
      <c r="A122" s="0" t="s">
        <v>100</v>
      </c>
      <c r="B122" s="1" t="n">
        <v>43982</v>
      </c>
      <c r="C122" s="0" t="e">
        <f aca="false">sheet1!avv123</f>
        <v>#NAME?</v>
      </c>
      <c r="D122" s="0" t="e">
        <f aca="false">sheet1!avw123</f>
        <v>#NAME?</v>
      </c>
      <c r="E122" s="0" t="e">
        <f aca="false">sheet1!avx123</f>
        <v>#NAME?</v>
      </c>
      <c r="F122" s="0" t="e">
        <f aca="false">sheet1!avy123</f>
        <v>#NAME?</v>
      </c>
      <c r="G122" s="0" t="e">
        <f aca="false">sheet1!avz123</f>
        <v>#NAME?</v>
      </c>
      <c r="H122" s="0" t="e">
        <f aca="false">sheet1!awa123</f>
        <v>#NAME?</v>
      </c>
      <c r="I122" s="0" t="e">
        <f aca="false">sheet1!awb123</f>
        <v>#NAME?</v>
      </c>
      <c r="J122" s="0" t="e">
        <f aca="false">sheet1!awc123</f>
        <v>#NAME?</v>
      </c>
      <c r="K122" s="0" t="e">
        <f aca="false">sheet1!awd123</f>
        <v>#NAME?</v>
      </c>
      <c r="L122" s="0" t="e">
        <f aca="false">sheet1!awe123</f>
        <v>#NAME?</v>
      </c>
      <c r="M122" s="0" t="e">
        <f aca="false">sheet1!awf123</f>
        <v>#NAME?</v>
      </c>
    </row>
    <row r="123" customFormat="false" ht="13.5" hidden="false" customHeight="false" outlineLevel="0" collapsed="false">
      <c r="A123" s="0" t="s">
        <v>100</v>
      </c>
      <c r="B123" s="1" t="n">
        <v>43983</v>
      </c>
      <c r="C123" s="0" t="e">
        <f aca="false">sheet1!avv124</f>
        <v>#NAME?</v>
      </c>
      <c r="D123" s="0" t="e">
        <f aca="false">sheet1!avw124</f>
        <v>#NAME?</v>
      </c>
      <c r="E123" s="0" t="e">
        <f aca="false">sheet1!avx124</f>
        <v>#NAME?</v>
      </c>
      <c r="F123" s="0" t="e">
        <f aca="false">sheet1!avy124</f>
        <v>#NAME?</v>
      </c>
      <c r="G123" s="0" t="e">
        <f aca="false">sheet1!avz124</f>
        <v>#NAME?</v>
      </c>
      <c r="H123" s="0" t="e">
        <f aca="false">sheet1!awa124</f>
        <v>#NAME?</v>
      </c>
      <c r="I123" s="0" t="e">
        <f aca="false">sheet1!awb124</f>
        <v>#NAME?</v>
      </c>
      <c r="J123" s="0" t="e">
        <f aca="false">sheet1!awc124</f>
        <v>#NAME?</v>
      </c>
      <c r="K123" s="0" t="e">
        <f aca="false">sheet1!awd124</f>
        <v>#NAME?</v>
      </c>
      <c r="L123" s="0" t="e">
        <f aca="false">sheet1!awe124</f>
        <v>#NAME?</v>
      </c>
      <c r="M123" s="0" t="e">
        <f aca="false">sheet1!awf124</f>
        <v>#NAME?</v>
      </c>
    </row>
    <row r="124" customFormat="false" ht="13.5" hidden="false" customHeight="false" outlineLevel="0" collapsed="false">
      <c r="A124" s="0" t="s">
        <v>100</v>
      </c>
      <c r="B124" s="1" t="n">
        <v>43984</v>
      </c>
      <c r="C124" s="0" t="e">
        <f aca="false">sheet1!avv125</f>
        <v>#NAME?</v>
      </c>
      <c r="D124" s="0" t="e">
        <f aca="false">sheet1!avw125</f>
        <v>#NAME?</v>
      </c>
      <c r="E124" s="0" t="e">
        <f aca="false">sheet1!avx125</f>
        <v>#NAME?</v>
      </c>
      <c r="F124" s="0" t="e">
        <f aca="false">sheet1!avy125</f>
        <v>#NAME?</v>
      </c>
      <c r="G124" s="0" t="e">
        <f aca="false">sheet1!avz125</f>
        <v>#NAME?</v>
      </c>
      <c r="H124" s="0" t="e">
        <f aca="false">sheet1!awa125</f>
        <v>#NAME?</v>
      </c>
      <c r="I124" s="0" t="e">
        <f aca="false">sheet1!awb125</f>
        <v>#NAME?</v>
      </c>
      <c r="J124" s="0" t="e">
        <f aca="false">sheet1!awc125</f>
        <v>#NAME?</v>
      </c>
      <c r="K124" s="0" t="e">
        <f aca="false">sheet1!awd125</f>
        <v>#NAME?</v>
      </c>
      <c r="L124" s="0" t="e">
        <f aca="false">sheet1!awe125</f>
        <v>#NAME?</v>
      </c>
      <c r="M124" s="0" t="e">
        <f aca="false">sheet1!awf125</f>
        <v>#NAME?</v>
      </c>
    </row>
    <row r="125" customFormat="false" ht="13.5" hidden="false" customHeight="false" outlineLevel="0" collapsed="false">
      <c r="A125" s="0" t="s">
        <v>100</v>
      </c>
      <c r="B125" s="1" t="n">
        <v>43985</v>
      </c>
      <c r="C125" s="0" t="e">
        <f aca="false">sheet1!avv126</f>
        <v>#NAME?</v>
      </c>
      <c r="D125" s="0" t="e">
        <f aca="false">sheet1!avw126</f>
        <v>#NAME?</v>
      </c>
      <c r="E125" s="0" t="e">
        <f aca="false">sheet1!avx126</f>
        <v>#NAME?</v>
      </c>
      <c r="F125" s="0" t="e">
        <f aca="false">sheet1!avy126</f>
        <v>#NAME?</v>
      </c>
      <c r="G125" s="0" t="e">
        <f aca="false">sheet1!avz126</f>
        <v>#NAME?</v>
      </c>
      <c r="H125" s="0" t="e">
        <f aca="false">sheet1!awa126</f>
        <v>#NAME?</v>
      </c>
      <c r="I125" s="0" t="e">
        <f aca="false">sheet1!awb126</f>
        <v>#NAME?</v>
      </c>
      <c r="J125" s="0" t="e">
        <f aca="false">sheet1!awc126</f>
        <v>#NAME?</v>
      </c>
      <c r="K125" s="0" t="e">
        <f aca="false">sheet1!awd126</f>
        <v>#NAME?</v>
      </c>
      <c r="L125" s="0" t="e">
        <f aca="false">sheet1!awe126</f>
        <v>#NAME?</v>
      </c>
      <c r="M125" s="0" t="e">
        <f aca="false">sheet1!awf126</f>
        <v>#NAME?</v>
      </c>
    </row>
    <row r="126" customFormat="false" ht="13.5" hidden="false" customHeight="false" outlineLevel="0" collapsed="false">
      <c r="A126" s="0" t="s">
        <v>100</v>
      </c>
      <c r="B126" s="1" t="n">
        <v>43986</v>
      </c>
      <c r="C126" s="0" t="e">
        <f aca="false">sheet1!avv127</f>
        <v>#NAME?</v>
      </c>
      <c r="D126" s="0" t="e">
        <f aca="false">sheet1!avw127</f>
        <v>#NAME?</v>
      </c>
      <c r="E126" s="0" t="e">
        <f aca="false">sheet1!avx127</f>
        <v>#NAME?</v>
      </c>
      <c r="F126" s="0" t="e">
        <f aca="false">sheet1!avy127</f>
        <v>#NAME?</v>
      </c>
      <c r="G126" s="0" t="e">
        <f aca="false">sheet1!avz127</f>
        <v>#NAME?</v>
      </c>
      <c r="H126" s="0" t="e">
        <f aca="false">sheet1!awa127</f>
        <v>#NAME?</v>
      </c>
      <c r="I126" s="0" t="e">
        <f aca="false">sheet1!awb127</f>
        <v>#NAME?</v>
      </c>
      <c r="J126" s="0" t="e">
        <f aca="false">sheet1!awc127</f>
        <v>#NAME?</v>
      </c>
      <c r="K126" s="0" t="e">
        <f aca="false">sheet1!awd127</f>
        <v>#NAME?</v>
      </c>
      <c r="L126" s="0" t="e">
        <f aca="false">sheet1!awe127</f>
        <v>#NAME?</v>
      </c>
      <c r="M126" s="0" t="e">
        <f aca="false">sheet1!awf127</f>
        <v>#NAME?</v>
      </c>
    </row>
    <row r="127" customFormat="false" ht="13.5" hidden="false" customHeight="false" outlineLevel="0" collapsed="false">
      <c r="A127" s="0" t="s">
        <v>100</v>
      </c>
      <c r="B127" s="1" t="n">
        <v>43987</v>
      </c>
      <c r="C127" s="0" t="e">
        <f aca="false">sheet1!avv128</f>
        <v>#NAME?</v>
      </c>
      <c r="D127" s="0" t="e">
        <f aca="false">sheet1!avw128</f>
        <v>#NAME?</v>
      </c>
      <c r="E127" s="0" t="e">
        <f aca="false">sheet1!avx128</f>
        <v>#NAME?</v>
      </c>
      <c r="F127" s="0" t="e">
        <f aca="false">sheet1!avy128</f>
        <v>#NAME?</v>
      </c>
      <c r="G127" s="0" t="e">
        <f aca="false">sheet1!avz128</f>
        <v>#NAME?</v>
      </c>
      <c r="H127" s="0" t="e">
        <f aca="false">sheet1!awa128</f>
        <v>#NAME?</v>
      </c>
      <c r="I127" s="0" t="e">
        <f aca="false">sheet1!awb128</f>
        <v>#NAME?</v>
      </c>
      <c r="J127" s="0" t="e">
        <f aca="false">sheet1!awc128</f>
        <v>#NAME?</v>
      </c>
      <c r="K127" s="0" t="e">
        <f aca="false">sheet1!awd128</f>
        <v>#NAME?</v>
      </c>
      <c r="L127" s="0" t="e">
        <f aca="false">sheet1!awe128</f>
        <v>#NAME?</v>
      </c>
      <c r="M127" s="0" t="e">
        <f aca="false">sheet1!awf128</f>
        <v>#NAME?</v>
      </c>
    </row>
    <row r="128" customFormat="false" ht="13.5" hidden="false" customHeight="false" outlineLevel="0" collapsed="false">
      <c r="A128" s="0" t="s">
        <v>100</v>
      </c>
      <c r="B128" s="1" t="n">
        <v>43988</v>
      </c>
      <c r="C128" s="0" t="e">
        <f aca="false">sheet1!avv129</f>
        <v>#NAME?</v>
      </c>
      <c r="D128" s="0" t="e">
        <f aca="false">sheet1!avw129</f>
        <v>#NAME?</v>
      </c>
      <c r="E128" s="0" t="e">
        <f aca="false">sheet1!avx129</f>
        <v>#NAME?</v>
      </c>
      <c r="F128" s="0" t="e">
        <f aca="false">sheet1!avy129</f>
        <v>#NAME?</v>
      </c>
      <c r="G128" s="0" t="e">
        <f aca="false">sheet1!avz129</f>
        <v>#NAME?</v>
      </c>
      <c r="H128" s="0" t="e">
        <f aca="false">sheet1!awa129</f>
        <v>#NAME?</v>
      </c>
      <c r="I128" s="0" t="e">
        <f aca="false">sheet1!awb129</f>
        <v>#NAME?</v>
      </c>
      <c r="J128" s="0" t="e">
        <f aca="false">sheet1!awc129</f>
        <v>#NAME?</v>
      </c>
      <c r="K128" s="0" t="e">
        <f aca="false">sheet1!awd129</f>
        <v>#NAME?</v>
      </c>
      <c r="L128" s="0" t="e">
        <f aca="false">sheet1!awe129</f>
        <v>#NAME?</v>
      </c>
      <c r="M128" s="0" t="e">
        <f aca="false">sheet1!awf129</f>
        <v>#NAME?</v>
      </c>
    </row>
    <row r="129" customFormat="false" ht="13.5" hidden="false" customHeight="false" outlineLevel="0" collapsed="false">
      <c r="A129" s="0" t="s">
        <v>100</v>
      </c>
      <c r="B129" s="1" t="n">
        <v>43989</v>
      </c>
      <c r="C129" s="0" t="e">
        <f aca="false">sheet1!avv130</f>
        <v>#NAME?</v>
      </c>
      <c r="D129" s="0" t="e">
        <f aca="false">sheet1!avw130</f>
        <v>#NAME?</v>
      </c>
      <c r="E129" s="0" t="e">
        <f aca="false">sheet1!avx130</f>
        <v>#NAME?</v>
      </c>
      <c r="F129" s="0" t="e">
        <f aca="false">sheet1!avy130</f>
        <v>#NAME?</v>
      </c>
      <c r="G129" s="0" t="e">
        <f aca="false">sheet1!avz130</f>
        <v>#NAME?</v>
      </c>
      <c r="H129" s="0" t="e">
        <f aca="false">sheet1!awa130</f>
        <v>#NAME?</v>
      </c>
      <c r="I129" s="0" t="e">
        <f aca="false">sheet1!awb130</f>
        <v>#NAME?</v>
      </c>
      <c r="J129" s="0" t="e">
        <f aca="false">sheet1!awc130</f>
        <v>#NAME?</v>
      </c>
      <c r="K129" s="0" t="e">
        <f aca="false">sheet1!awd130</f>
        <v>#NAME?</v>
      </c>
      <c r="L129" s="0" t="e">
        <f aca="false">sheet1!awe130</f>
        <v>#NAME?</v>
      </c>
      <c r="M129" s="0" t="e">
        <f aca="false">sheet1!awf130</f>
        <v>#NAME?</v>
      </c>
    </row>
    <row r="130" customFormat="false" ht="13.5" hidden="false" customHeight="false" outlineLevel="0" collapsed="false">
      <c r="A130" s="0" t="s">
        <v>100</v>
      </c>
      <c r="B130" s="1" t="n">
        <v>43990</v>
      </c>
      <c r="C130" s="0" t="e">
        <f aca="false">sheet1!avv131</f>
        <v>#NAME?</v>
      </c>
      <c r="D130" s="0" t="e">
        <f aca="false">sheet1!avw131</f>
        <v>#NAME?</v>
      </c>
      <c r="E130" s="0" t="e">
        <f aca="false">sheet1!avx131</f>
        <v>#NAME?</v>
      </c>
      <c r="F130" s="0" t="e">
        <f aca="false">sheet1!avy131</f>
        <v>#NAME?</v>
      </c>
      <c r="G130" s="0" t="e">
        <f aca="false">sheet1!avz131</f>
        <v>#NAME?</v>
      </c>
      <c r="H130" s="0" t="e">
        <f aca="false">sheet1!awa131</f>
        <v>#NAME?</v>
      </c>
      <c r="I130" s="0" t="e">
        <f aca="false">sheet1!awb131</f>
        <v>#NAME?</v>
      </c>
      <c r="J130" s="0" t="e">
        <f aca="false">sheet1!awc131</f>
        <v>#NAME?</v>
      </c>
      <c r="K130" s="0" t="e">
        <f aca="false">sheet1!awd131</f>
        <v>#NAME?</v>
      </c>
      <c r="L130" s="0" t="e">
        <f aca="false">sheet1!awe131</f>
        <v>#NAME?</v>
      </c>
      <c r="M130" s="0" t="e">
        <f aca="false">sheet1!awf131</f>
        <v>#NAME?</v>
      </c>
    </row>
    <row r="131" customFormat="false" ht="13.5" hidden="false" customHeight="false" outlineLevel="0" collapsed="false">
      <c r="A131" s="0" t="s">
        <v>100</v>
      </c>
      <c r="B131" s="1" t="n">
        <v>43991</v>
      </c>
      <c r="C131" s="0" t="e">
        <f aca="false">sheet1!avv132</f>
        <v>#NAME?</v>
      </c>
      <c r="D131" s="0" t="e">
        <f aca="false">sheet1!avw132</f>
        <v>#NAME?</v>
      </c>
      <c r="E131" s="0" t="e">
        <f aca="false">sheet1!avx132</f>
        <v>#NAME?</v>
      </c>
      <c r="F131" s="0" t="e">
        <f aca="false">sheet1!avy132</f>
        <v>#NAME?</v>
      </c>
      <c r="G131" s="0" t="e">
        <f aca="false">sheet1!avz132</f>
        <v>#NAME?</v>
      </c>
      <c r="H131" s="0" t="e">
        <f aca="false">sheet1!awa132</f>
        <v>#NAME?</v>
      </c>
      <c r="I131" s="0" t="e">
        <f aca="false">sheet1!awb132</f>
        <v>#NAME?</v>
      </c>
      <c r="J131" s="0" t="e">
        <f aca="false">sheet1!awc132</f>
        <v>#NAME?</v>
      </c>
      <c r="K131" s="0" t="e">
        <f aca="false">sheet1!awd132</f>
        <v>#NAME?</v>
      </c>
      <c r="L131" s="0" t="e">
        <f aca="false">sheet1!awe132</f>
        <v>#NAME?</v>
      </c>
      <c r="M131" s="0" t="e">
        <f aca="false">sheet1!awf132</f>
        <v>#NAME?</v>
      </c>
    </row>
    <row r="132" customFormat="false" ht="13.5" hidden="false" customHeight="false" outlineLevel="0" collapsed="false">
      <c r="A132" s="0" t="s">
        <v>100</v>
      </c>
      <c r="B132" s="1" t="n">
        <v>43992</v>
      </c>
      <c r="C132" s="0" t="e">
        <f aca="false">sheet1!avv133</f>
        <v>#NAME?</v>
      </c>
      <c r="D132" s="0" t="e">
        <f aca="false">sheet1!avw133</f>
        <v>#NAME?</v>
      </c>
      <c r="E132" s="0" t="e">
        <f aca="false">sheet1!avx133</f>
        <v>#NAME?</v>
      </c>
      <c r="F132" s="0" t="e">
        <f aca="false">sheet1!avy133</f>
        <v>#NAME?</v>
      </c>
      <c r="G132" s="0" t="e">
        <f aca="false">sheet1!avz133</f>
        <v>#NAME?</v>
      </c>
      <c r="H132" s="0" t="e">
        <f aca="false">sheet1!awa133</f>
        <v>#NAME?</v>
      </c>
      <c r="I132" s="0" t="e">
        <f aca="false">sheet1!awb133</f>
        <v>#NAME?</v>
      </c>
      <c r="J132" s="0" t="e">
        <f aca="false">sheet1!awc133</f>
        <v>#NAME?</v>
      </c>
      <c r="K132" s="0" t="e">
        <f aca="false">sheet1!awd133</f>
        <v>#NAME?</v>
      </c>
      <c r="L132" s="0" t="e">
        <f aca="false">sheet1!awe133</f>
        <v>#NAME?</v>
      </c>
      <c r="M132" s="0" t="e">
        <f aca="false">sheet1!awf133</f>
        <v>#NAME?</v>
      </c>
    </row>
    <row r="133" customFormat="false" ht="13.5" hidden="false" customHeight="false" outlineLevel="0" collapsed="false">
      <c r="A133" s="0" t="s">
        <v>100</v>
      </c>
      <c r="B133" s="1" t="n">
        <v>43993</v>
      </c>
      <c r="C133" s="0" t="e">
        <f aca="false">sheet1!avv134</f>
        <v>#NAME?</v>
      </c>
      <c r="D133" s="0" t="e">
        <f aca="false">sheet1!avw134</f>
        <v>#NAME?</v>
      </c>
      <c r="E133" s="0" t="e">
        <f aca="false">sheet1!avx134</f>
        <v>#NAME?</v>
      </c>
      <c r="F133" s="0" t="e">
        <f aca="false">sheet1!avy134</f>
        <v>#NAME?</v>
      </c>
      <c r="G133" s="0" t="e">
        <f aca="false">sheet1!avz134</f>
        <v>#NAME?</v>
      </c>
      <c r="H133" s="0" t="e">
        <f aca="false">sheet1!awa134</f>
        <v>#NAME?</v>
      </c>
      <c r="I133" s="0" t="e">
        <f aca="false">sheet1!awb134</f>
        <v>#NAME?</v>
      </c>
      <c r="J133" s="0" t="e">
        <f aca="false">sheet1!awc134</f>
        <v>#NAME?</v>
      </c>
      <c r="K133" s="0" t="e">
        <f aca="false">sheet1!awd134</f>
        <v>#NAME?</v>
      </c>
      <c r="L133" s="0" t="e">
        <f aca="false">sheet1!awe134</f>
        <v>#NAME?</v>
      </c>
      <c r="M133" s="0" t="e">
        <f aca="false">sheet1!awf134</f>
        <v>#NAME?</v>
      </c>
    </row>
    <row r="134" customFormat="false" ht="13.5" hidden="false" customHeight="false" outlineLevel="0" collapsed="false">
      <c r="A134" s="0" t="s">
        <v>100</v>
      </c>
      <c r="B134" s="1" t="n">
        <v>43994</v>
      </c>
      <c r="C134" s="0" t="e">
        <f aca="false">sheet1!avv135</f>
        <v>#NAME?</v>
      </c>
      <c r="D134" s="0" t="e">
        <f aca="false">sheet1!avw135</f>
        <v>#NAME?</v>
      </c>
      <c r="E134" s="0" t="e">
        <f aca="false">sheet1!avx135</f>
        <v>#NAME?</v>
      </c>
      <c r="F134" s="0" t="e">
        <f aca="false">sheet1!avy135</f>
        <v>#NAME?</v>
      </c>
      <c r="G134" s="0" t="e">
        <f aca="false">sheet1!avz135</f>
        <v>#NAME?</v>
      </c>
      <c r="H134" s="0" t="e">
        <f aca="false">sheet1!awa135</f>
        <v>#NAME?</v>
      </c>
      <c r="I134" s="0" t="e">
        <f aca="false">sheet1!awb135</f>
        <v>#NAME?</v>
      </c>
      <c r="J134" s="0" t="e">
        <f aca="false">sheet1!awc135</f>
        <v>#NAME?</v>
      </c>
      <c r="K134" s="0" t="e">
        <f aca="false">sheet1!awd135</f>
        <v>#NAME?</v>
      </c>
      <c r="L134" s="0" t="e">
        <f aca="false">sheet1!awe135</f>
        <v>#NAME?</v>
      </c>
      <c r="M134" s="0" t="e">
        <f aca="false">sheet1!awf135</f>
        <v>#NAME?</v>
      </c>
    </row>
    <row r="135" customFormat="false" ht="13.5" hidden="false" customHeight="false" outlineLevel="0" collapsed="false">
      <c r="A135" s="0" t="s">
        <v>100</v>
      </c>
      <c r="B135" s="1" t="n">
        <v>43995</v>
      </c>
      <c r="C135" s="0" t="e">
        <f aca="false">sheet1!avv136</f>
        <v>#NAME?</v>
      </c>
      <c r="D135" s="0" t="e">
        <f aca="false">sheet1!avw136</f>
        <v>#NAME?</v>
      </c>
      <c r="E135" s="0" t="e">
        <f aca="false">sheet1!avx136</f>
        <v>#NAME?</v>
      </c>
      <c r="F135" s="0" t="e">
        <f aca="false">sheet1!avy136</f>
        <v>#NAME?</v>
      </c>
      <c r="G135" s="0" t="e">
        <f aca="false">sheet1!avz136</f>
        <v>#NAME?</v>
      </c>
      <c r="H135" s="0" t="e">
        <f aca="false">sheet1!awa136</f>
        <v>#NAME?</v>
      </c>
      <c r="I135" s="0" t="e">
        <f aca="false">sheet1!awb136</f>
        <v>#NAME?</v>
      </c>
      <c r="J135" s="0" t="e">
        <f aca="false">sheet1!awc136</f>
        <v>#NAME?</v>
      </c>
      <c r="K135" s="0" t="e">
        <f aca="false">sheet1!awd136</f>
        <v>#NAME?</v>
      </c>
      <c r="L135" s="0" t="e">
        <f aca="false">sheet1!awe136</f>
        <v>#NAME?</v>
      </c>
      <c r="M135" s="0" t="e">
        <f aca="false">sheet1!awf136</f>
        <v>#NAME?</v>
      </c>
    </row>
    <row r="136" customFormat="false" ht="13.5" hidden="false" customHeight="false" outlineLevel="0" collapsed="false">
      <c r="A136" s="0" t="s">
        <v>100</v>
      </c>
      <c r="B136" s="1" t="n">
        <v>43996</v>
      </c>
      <c r="C136" s="0" t="e">
        <f aca="false">sheet1!avv137</f>
        <v>#NAME?</v>
      </c>
      <c r="D136" s="0" t="e">
        <f aca="false">sheet1!avw137</f>
        <v>#NAME?</v>
      </c>
      <c r="E136" s="0" t="e">
        <f aca="false">sheet1!avx137</f>
        <v>#NAME?</v>
      </c>
      <c r="F136" s="0" t="e">
        <f aca="false">sheet1!avy137</f>
        <v>#NAME?</v>
      </c>
      <c r="G136" s="0" t="e">
        <f aca="false">sheet1!avz137</f>
        <v>#NAME?</v>
      </c>
      <c r="H136" s="0" t="e">
        <f aca="false">sheet1!awa137</f>
        <v>#NAME?</v>
      </c>
      <c r="I136" s="0" t="e">
        <f aca="false">sheet1!awb137</f>
        <v>#NAME?</v>
      </c>
      <c r="J136" s="0" t="e">
        <f aca="false">sheet1!awc137</f>
        <v>#NAME?</v>
      </c>
      <c r="K136" s="0" t="e">
        <f aca="false">sheet1!awd137</f>
        <v>#NAME?</v>
      </c>
      <c r="L136" s="0" t="e">
        <f aca="false">sheet1!awe137</f>
        <v>#NAME?</v>
      </c>
      <c r="M136" s="0" t="e">
        <f aca="false">sheet1!awf137</f>
        <v>#NAME?</v>
      </c>
    </row>
    <row r="137" customFormat="false" ht="13.5" hidden="false" customHeight="false" outlineLevel="0" collapsed="false">
      <c r="A137" s="0" t="s">
        <v>100</v>
      </c>
      <c r="B137" s="1" t="n">
        <v>43997</v>
      </c>
      <c r="C137" s="0" t="e">
        <f aca="false">sheet1!avv138</f>
        <v>#NAME?</v>
      </c>
      <c r="D137" s="0" t="e">
        <f aca="false">sheet1!avw138</f>
        <v>#NAME?</v>
      </c>
      <c r="E137" s="0" t="e">
        <f aca="false">sheet1!avx138</f>
        <v>#NAME?</v>
      </c>
      <c r="F137" s="0" t="e">
        <f aca="false">sheet1!avy138</f>
        <v>#NAME?</v>
      </c>
      <c r="G137" s="0" t="e">
        <f aca="false">sheet1!avz138</f>
        <v>#NAME?</v>
      </c>
      <c r="H137" s="0" t="e">
        <f aca="false">sheet1!awa138</f>
        <v>#NAME?</v>
      </c>
      <c r="I137" s="0" t="e">
        <f aca="false">sheet1!awb138</f>
        <v>#NAME?</v>
      </c>
      <c r="J137" s="0" t="e">
        <f aca="false">sheet1!awc138</f>
        <v>#NAME?</v>
      </c>
      <c r="K137" s="0" t="e">
        <f aca="false">sheet1!awd138</f>
        <v>#NAME?</v>
      </c>
      <c r="L137" s="0" t="e">
        <f aca="false">sheet1!awe138</f>
        <v>#NAME?</v>
      </c>
      <c r="M137" s="0" t="e">
        <f aca="false">sheet1!awf138</f>
        <v>#NAME?</v>
      </c>
    </row>
    <row r="138" customFormat="false" ht="13.5" hidden="false" customHeight="false" outlineLevel="0" collapsed="false">
      <c r="A138" s="0" t="s">
        <v>100</v>
      </c>
      <c r="B138" s="1" t="n">
        <v>43998</v>
      </c>
      <c r="C138" s="0" t="e">
        <f aca="false">sheet1!avv139</f>
        <v>#NAME?</v>
      </c>
      <c r="D138" s="0" t="e">
        <f aca="false">sheet1!avw139</f>
        <v>#NAME?</v>
      </c>
      <c r="E138" s="0" t="e">
        <f aca="false">sheet1!avx139</f>
        <v>#NAME?</v>
      </c>
      <c r="F138" s="0" t="e">
        <f aca="false">sheet1!avy139</f>
        <v>#NAME?</v>
      </c>
      <c r="G138" s="0" t="e">
        <f aca="false">sheet1!avz139</f>
        <v>#NAME?</v>
      </c>
      <c r="H138" s="0" t="e">
        <f aca="false">sheet1!awa139</f>
        <v>#NAME?</v>
      </c>
      <c r="I138" s="0" t="e">
        <f aca="false">sheet1!awb139</f>
        <v>#NAME?</v>
      </c>
      <c r="J138" s="0" t="e">
        <f aca="false">sheet1!awc139</f>
        <v>#NAME?</v>
      </c>
      <c r="K138" s="0" t="e">
        <f aca="false">sheet1!awd139</f>
        <v>#NAME?</v>
      </c>
      <c r="L138" s="0" t="e">
        <f aca="false">sheet1!awe139</f>
        <v>#NAME?</v>
      </c>
      <c r="M138" s="0" t="e">
        <f aca="false">sheet1!awf139</f>
        <v>#NAME?</v>
      </c>
    </row>
    <row r="139" customFormat="false" ht="13.5" hidden="false" customHeight="false" outlineLevel="0" collapsed="false">
      <c r="A139" s="0" t="s">
        <v>100</v>
      </c>
      <c r="B139" s="1" t="n">
        <v>43999</v>
      </c>
      <c r="C139" s="0" t="e">
        <f aca="false">sheet1!avv140</f>
        <v>#NAME?</v>
      </c>
      <c r="D139" s="0" t="e">
        <f aca="false">sheet1!avw140</f>
        <v>#NAME?</v>
      </c>
      <c r="E139" s="0" t="e">
        <f aca="false">sheet1!avx140</f>
        <v>#NAME?</v>
      </c>
      <c r="F139" s="0" t="e">
        <f aca="false">sheet1!avy140</f>
        <v>#NAME?</v>
      </c>
      <c r="G139" s="0" t="e">
        <f aca="false">sheet1!avz140</f>
        <v>#NAME?</v>
      </c>
      <c r="H139" s="0" t="e">
        <f aca="false">sheet1!awa140</f>
        <v>#NAME?</v>
      </c>
      <c r="I139" s="0" t="e">
        <f aca="false">sheet1!awb140</f>
        <v>#NAME?</v>
      </c>
      <c r="J139" s="0" t="e">
        <f aca="false">sheet1!awc140</f>
        <v>#NAME?</v>
      </c>
      <c r="K139" s="0" t="e">
        <f aca="false">sheet1!awd140</f>
        <v>#NAME?</v>
      </c>
      <c r="L139" s="0" t="e">
        <f aca="false">sheet1!awe140</f>
        <v>#NAME?</v>
      </c>
      <c r="M139" s="0" t="e">
        <f aca="false">sheet1!awf140</f>
        <v>#NAME?</v>
      </c>
    </row>
    <row r="140" customFormat="false" ht="13.5" hidden="false" customHeight="false" outlineLevel="0" collapsed="false">
      <c r="A140" s="0" t="s">
        <v>100</v>
      </c>
      <c r="B140" s="1" t="n">
        <v>44000</v>
      </c>
      <c r="C140" s="0" t="e">
        <f aca="false">sheet1!avv141</f>
        <v>#NAME?</v>
      </c>
      <c r="D140" s="0" t="e">
        <f aca="false">sheet1!avw141</f>
        <v>#NAME?</v>
      </c>
      <c r="E140" s="0" t="e">
        <f aca="false">sheet1!avx141</f>
        <v>#NAME?</v>
      </c>
      <c r="F140" s="0" t="e">
        <f aca="false">sheet1!avy141</f>
        <v>#NAME?</v>
      </c>
      <c r="G140" s="0" t="e">
        <f aca="false">sheet1!avz141</f>
        <v>#NAME?</v>
      </c>
      <c r="H140" s="0" t="e">
        <f aca="false">sheet1!awa141</f>
        <v>#NAME?</v>
      </c>
      <c r="I140" s="0" t="e">
        <f aca="false">sheet1!awb141</f>
        <v>#NAME?</v>
      </c>
      <c r="J140" s="0" t="e">
        <f aca="false">sheet1!awc141</f>
        <v>#NAME?</v>
      </c>
      <c r="K140" s="0" t="e">
        <f aca="false">sheet1!awd141</f>
        <v>#NAME?</v>
      </c>
      <c r="L140" s="0" t="e">
        <f aca="false">sheet1!awe141</f>
        <v>#NAME?</v>
      </c>
      <c r="M140" s="0" t="e">
        <f aca="false">sheet1!awf141</f>
        <v>#NAME?</v>
      </c>
    </row>
    <row r="141" customFormat="false" ht="13.5" hidden="false" customHeight="false" outlineLevel="0" collapsed="false">
      <c r="A141" s="0" t="s">
        <v>100</v>
      </c>
      <c r="B141" s="1" t="n">
        <v>44001</v>
      </c>
      <c r="C141" s="0" t="e">
        <f aca="false">sheet1!avv142</f>
        <v>#NAME?</v>
      </c>
      <c r="D141" s="0" t="e">
        <f aca="false">sheet1!avw142</f>
        <v>#NAME?</v>
      </c>
      <c r="E141" s="0" t="e">
        <f aca="false">sheet1!avx142</f>
        <v>#NAME?</v>
      </c>
      <c r="F141" s="0" t="e">
        <f aca="false">sheet1!avy142</f>
        <v>#NAME?</v>
      </c>
      <c r="G141" s="0" t="e">
        <f aca="false">sheet1!avz142</f>
        <v>#NAME?</v>
      </c>
      <c r="H141" s="0" t="e">
        <f aca="false">sheet1!awa142</f>
        <v>#NAME?</v>
      </c>
      <c r="I141" s="0" t="e">
        <f aca="false">sheet1!awb142</f>
        <v>#NAME?</v>
      </c>
      <c r="J141" s="0" t="e">
        <f aca="false">sheet1!awc142</f>
        <v>#NAME?</v>
      </c>
      <c r="K141" s="0" t="e">
        <f aca="false">sheet1!awd142</f>
        <v>#NAME?</v>
      </c>
      <c r="L141" s="0" t="e">
        <f aca="false">sheet1!awe142</f>
        <v>#NAME?</v>
      </c>
      <c r="M141" s="0" t="e">
        <f aca="false">sheet1!awf142</f>
        <v>#NAME?</v>
      </c>
    </row>
    <row r="142" customFormat="false" ht="13.5" hidden="false" customHeight="false" outlineLevel="0" collapsed="false">
      <c r="A142" s="0" t="s">
        <v>100</v>
      </c>
      <c r="B142" s="1" t="n">
        <v>44002</v>
      </c>
      <c r="C142" s="0" t="e">
        <f aca="false">sheet1!avv143</f>
        <v>#NAME?</v>
      </c>
      <c r="D142" s="0" t="e">
        <f aca="false">sheet1!avw143</f>
        <v>#NAME?</v>
      </c>
      <c r="E142" s="0" t="e">
        <f aca="false">sheet1!avx143</f>
        <v>#NAME?</v>
      </c>
      <c r="F142" s="0" t="e">
        <f aca="false">sheet1!avy143</f>
        <v>#NAME?</v>
      </c>
      <c r="G142" s="0" t="e">
        <f aca="false">sheet1!avz143</f>
        <v>#NAME?</v>
      </c>
      <c r="H142" s="0" t="e">
        <f aca="false">sheet1!awa143</f>
        <v>#NAME?</v>
      </c>
      <c r="I142" s="0" t="e">
        <f aca="false">sheet1!awb143</f>
        <v>#NAME?</v>
      </c>
      <c r="J142" s="0" t="e">
        <f aca="false">sheet1!awc143</f>
        <v>#NAME?</v>
      </c>
      <c r="K142" s="0" t="e">
        <f aca="false">sheet1!awd143</f>
        <v>#NAME?</v>
      </c>
      <c r="L142" s="0" t="e">
        <f aca="false">sheet1!awe143</f>
        <v>#NAME?</v>
      </c>
      <c r="M142" s="0" t="e">
        <f aca="false">sheet1!awf143</f>
        <v>#NAME?</v>
      </c>
    </row>
    <row r="143" customFormat="false" ht="13.5" hidden="false" customHeight="false" outlineLevel="0" collapsed="false">
      <c r="A143" s="0" t="s">
        <v>100</v>
      </c>
      <c r="B143" s="1" t="n">
        <v>44003</v>
      </c>
      <c r="C143" s="0" t="e">
        <f aca="false">sheet1!avv144</f>
        <v>#NAME?</v>
      </c>
      <c r="D143" s="0" t="e">
        <f aca="false">sheet1!avw144</f>
        <v>#NAME?</v>
      </c>
      <c r="E143" s="0" t="e">
        <f aca="false">sheet1!avx144</f>
        <v>#NAME?</v>
      </c>
      <c r="F143" s="0" t="e">
        <f aca="false">sheet1!avy144</f>
        <v>#NAME?</v>
      </c>
      <c r="G143" s="0" t="e">
        <f aca="false">sheet1!avz144</f>
        <v>#NAME?</v>
      </c>
      <c r="H143" s="0" t="e">
        <f aca="false">sheet1!awa144</f>
        <v>#NAME?</v>
      </c>
      <c r="I143" s="0" t="e">
        <f aca="false">sheet1!awb144</f>
        <v>#NAME?</v>
      </c>
      <c r="J143" s="0" t="e">
        <f aca="false">sheet1!awc144</f>
        <v>#NAME?</v>
      </c>
      <c r="K143" s="0" t="e">
        <f aca="false">sheet1!awd144</f>
        <v>#NAME?</v>
      </c>
      <c r="L143" s="0" t="e">
        <f aca="false">sheet1!awe144</f>
        <v>#NAME?</v>
      </c>
      <c r="M143" s="0" t="e">
        <f aca="false">sheet1!awf144</f>
        <v>#NAME?</v>
      </c>
    </row>
    <row r="144" customFormat="false" ht="13.5" hidden="false" customHeight="false" outlineLevel="0" collapsed="false">
      <c r="A144" s="0" t="s">
        <v>100</v>
      </c>
      <c r="B144" s="1" t="n">
        <v>44004</v>
      </c>
      <c r="C144" s="0" t="e">
        <f aca="false">sheet1!avv145</f>
        <v>#NAME?</v>
      </c>
      <c r="D144" s="0" t="e">
        <f aca="false">sheet1!avw145</f>
        <v>#NAME?</v>
      </c>
      <c r="E144" s="0" t="e">
        <f aca="false">sheet1!avx145</f>
        <v>#NAME?</v>
      </c>
      <c r="F144" s="0" t="e">
        <f aca="false">sheet1!avy145</f>
        <v>#NAME?</v>
      </c>
      <c r="G144" s="0" t="e">
        <f aca="false">sheet1!avz145</f>
        <v>#NAME?</v>
      </c>
      <c r="H144" s="0" t="e">
        <f aca="false">sheet1!awa145</f>
        <v>#NAME?</v>
      </c>
      <c r="I144" s="0" t="e">
        <f aca="false">sheet1!awb145</f>
        <v>#NAME?</v>
      </c>
      <c r="J144" s="0" t="e">
        <f aca="false">sheet1!awc145</f>
        <v>#NAME?</v>
      </c>
      <c r="K144" s="0" t="e">
        <f aca="false">sheet1!awd145</f>
        <v>#NAME?</v>
      </c>
      <c r="L144" s="0" t="e">
        <f aca="false">sheet1!awe145</f>
        <v>#NAME?</v>
      </c>
      <c r="M144" s="0" t="e">
        <f aca="false">sheet1!awf145</f>
        <v>#NAME?</v>
      </c>
    </row>
    <row r="145" customFormat="false" ht="13.5" hidden="false" customHeight="false" outlineLevel="0" collapsed="false">
      <c r="A145" s="0" t="s">
        <v>100</v>
      </c>
      <c r="B145" s="1" t="n">
        <v>44005</v>
      </c>
      <c r="C145" s="0" t="e">
        <f aca="false">sheet1!avv146</f>
        <v>#NAME?</v>
      </c>
      <c r="D145" s="0" t="e">
        <f aca="false">sheet1!avw146</f>
        <v>#NAME?</v>
      </c>
      <c r="E145" s="0" t="e">
        <f aca="false">sheet1!avx146</f>
        <v>#NAME?</v>
      </c>
      <c r="F145" s="0" t="e">
        <f aca="false">sheet1!avy146</f>
        <v>#NAME?</v>
      </c>
      <c r="G145" s="0" t="e">
        <f aca="false">sheet1!avz146</f>
        <v>#NAME?</v>
      </c>
      <c r="H145" s="0" t="e">
        <f aca="false">sheet1!awa146</f>
        <v>#NAME?</v>
      </c>
      <c r="I145" s="0" t="e">
        <f aca="false">sheet1!awb146</f>
        <v>#NAME?</v>
      </c>
      <c r="J145" s="0" t="e">
        <f aca="false">sheet1!awc146</f>
        <v>#NAME?</v>
      </c>
      <c r="K145" s="0" t="e">
        <f aca="false">sheet1!awd146</f>
        <v>#NAME?</v>
      </c>
      <c r="L145" s="0" t="e">
        <f aca="false">sheet1!awe146</f>
        <v>#NAME?</v>
      </c>
      <c r="M145" s="0" t="e">
        <f aca="false">sheet1!awf146</f>
        <v>#NAME?</v>
      </c>
    </row>
    <row r="146" customFormat="false" ht="13.5" hidden="false" customHeight="false" outlineLevel="0" collapsed="false">
      <c r="A146" s="0" t="s">
        <v>100</v>
      </c>
      <c r="B146" s="1" t="n">
        <v>44006</v>
      </c>
      <c r="C146" s="0" t="e">
        <f aca="false">sheet1!avv147</f>
        <v>#NAME?</v>
      </c>
      <c r="D146" s="0" t="e">
        <f aca="false">sheet1!avw147</f>
        <v>#NAME?</v>
      </c>
      <c r="E146" s="0" t="e">
        <f aca="false">sheet1!avx147</f>
        <v>#NAME?</v>
      </c>
      <c r="F146" s="0" t="e">
        <f aca="false">sheet1!avy147</f>
        <v>#NAME?</v>
      </c>
      <c r="G146" s="0" t="e">
        <f aca="false">sheet1!avz147</f>
        <v>#NAME?</v>
      </c>
      <c r="H146" s="0" t="e">
        <f aca="false">sheet1!awa147</f>
        <v>#NAME?</v>
      </c>
      <c r="I146" s="0" t="e">
        <f aca="false">sheet1!awb147</f>
        <v>#NAME?</v>
      </c>
      <c r="J146" s="0" t="e">
        <f aca="false">sheet1!awc147</f>
        <v>#NAME?</v>
      </c>
      <c r="K146" s="0" t="e">
        <f aca="false">sheet1!awd147</f>
        <v>#NAME?</v>
      </c>
      <c r="L146" s="0" t="e">
        <f aca="false">sheet1!awe147</f>
        <v>#NAME?</v>
      </c>
      <c r="M146" s="0" t="e">
        <f aca="false">sheet1!awf147</f>
        <v>#NAME?</v>
      </c>
    </row>
    <row r="147" customFormat="false" ht="13.5" hidden="false" customHeight="false" outlineLevel="0" collapsed="false">
      <c r="A147" s="0" t="s">
        <v>100</v>
      </c>
      <c r="B147" s="1" t="n">
        <v>44007</v>
      </c>
      <c r="C147" s="0" t="e">
        <f aca="false">sheet1!avv148</f>
        <v>#NAME?</v>
      </c>
      <c r="D147" s="0" t="e">
        <f aca="false">sheet1!avw148</f>
        <v>#NAME?</v>
      </c>
      <c r="E147" s="0" t="e">
        <f aca="false">sheet1!avx148</f>
        <v>#NAME?</v>
      </c>
      <c r="F147" s="0" t="e">
        <f aca="false">sheet1!avy148</f>
        <v>#NAME?</v>
      </c>
      <c r="G147" s="0" t="e">
        <f aca="false">sheet1!avz148</f>
        <v>#NAME?</v>
      </c>
      <c r="H147" s="0" t="e">
        <f aca="false">sheet1!awa148</f>
        <v>#NAME?</v>
      </c>
      <c r="I147" s="0" t="e">
        <f aca="false">sheet1!awb148</f>
        <v>#NAME?</v>
      </c>
      <c r="J147" s="0" t="e">
        <f aca="false">sheet1!awc148</f>
        <v>#NAME?</v>
      </c>
      <c r="K147" s="0" t="e">
        <f aca="false">sheet1!awd148</f>
        <v>#NAME?</v>
      </c>
      <c r="L147" s="0" t="e">
        <f aca="false">sheet1!awe148</f>
        <v>#NAME?</v>
      </c>
      <c r="M147" s="0" t="e">
        <f aca="false">sheet1!awf148</f>
        <v>#NAME?</v>
      </c>
    </row>
    <row r="148" customFormat="false" ht="13.5" hidden="false" customHeight="false" outlineLevel="0" collapsed="false">
      <c r="A148" s="0" t="s">
        <v>100</v>
      </c>
      <c r="B148" s="1" t="n">
        <v>44008</v>
      </c>
      <c r="C148" s="0" t="e">
        <f aca="false">sheet1!avv149</f>
        <v>#NAME?</v>
      </c>
      <c r="D148" s="0" t="e">
        <f aca="false">sheet1!avw149</f>
        <v>#NAME?</v>
      </c>
      <c r="E148" s="0" t="e">
        <f aca="false">sheet1!avx149</f>
        <v>#NAME?</v>
      </c>
      <c r="F148" s="0" t="e">
        <f aca="false">sheet1!avy149</f>
        <v>#NAME?</v>
      </c>
      <c r="G148" s="0" t="e">
        <f aca="false">sheet1!avz149</f>
        <v>#NAME?</v>
      </c>
      <c r="H148" s="0" t="e">
        <f aca="false">sheet1!awa149</f>
        <v>#NAME?</v>
      </c>
      <c r="I148" s="0" t="e">
        <f aca="false">sheet1!awb149</f>
        <v>#NAME?</v>
      </c>
      <c r="J148" s="0" t="e">
        <f aca="false">sheet1!awc149</f>
        <v>#NAME?</v>
      </c>
      <c r="K148" s="0" t="e">
        <f aca="false">sheet1!awd149</f>
        <v>#NAME?</v>
      </c>
      <c r="L148" s="0" t="e">
        <f aca="false">sheet1!awe149</f>
        <v>#NAME?</v>
      </c>
      <c r="M148" s="0" t="e">
        <f aca="false">sheet1!awf149</f>
        <v>#NAME?</v>
      </c>
    </row>
    <row r="149" customFormat="false" ht="13.5" hidden="false" customHeight="false" outlineLevel="0" collapsed="false">
      <c r="A149" s="0" t="s">
        <v>100</v>
      </c>
      <c r="B149" s="1" t="n">
        <v>44009</v>
      </c>
      <c r="C149" s="0" t="e">
        <f aca="false">sheet1!avv150</f>
        <v>#NAME?</v>
      </c>
      <c r="D149" s="0" t="e">
        <f aca="false">sheet1!avw150</f>
        <v>#NAME?</v>
      </c>
      <c r="E149" s="0" t="e">
        <f aca="false">sheet1!avx150</f>
        <v>#NAME?</v>
      </c>
      <c r="F149" s="0" t="e">
        <f aca="false">sheet1!avy150</f>
        <v>#NAME?</v>
      </c>
      <c r="G149" s="0" t="e">
        <f aca="false">sheet1!avz150</f>
        <v>#NAME?</v>
      </c>
      <c r="H149" s="0" t="e">
        <f aca="false">sheet1!awa150</f>
        <v>#NAME?</v>
      </c>
      <c r="I149" s="0" t="e">
        <f aca="false">sheet1!awb150</f>
        <v>#NAME?</v>
      </c>
      <c r="J149" s="0" t="e">
        <f aca="false">sheet1!awc150</f>
        <v>#NAME?</v>
      </c>
      <c r="K149" s="0" t="e">
        <f aca="false">sheet1!awd150</f>
        <v>#NAME?</v>
      </c>
      <c r="L149" s="0" t="e">
        <f aca="false">sheet1!awe150</f>
        <v>#NAME?</v>
      </c>
      <c r="M149" s="0" t="e">
        <f aca="false">sheet1!awf150</f>
        <v>#NAME?</v>
      </c>
    </row>
    <row r="150" customFormat="false" ht="13.5" hidden="false" customHeight="false" outlineLevel="0" collapsed="false">
      <c r="A150" s="0" t="s">
        <v>100</v>
      </c>
      <c r="B150" s="1" t="n">
        <v>44010</v>
      </c>
      <c r="C150" s="0" t="e">
        <f aca="false">sheet1!avv151</f>
        <v>#NAME?</v>
      </c>
      <c r="D150" s="0" t="e">
        <f aca="false">sheet1!avw151</f>
        <v>#NAME?</v>
      </c>
      <c r="E150" s="0" t="e">
        <f aca="false">sheet1!avx151</f>
        <v>#NAME?</v>
      </c>
      <c r="F150" s="0" t="e">
        <f aca="false">sheet1!avy151</f>
        <v>#NAME?</v>
      </c>
      <c r="G150" s="0" t="e">
        <f aca="false">sheet1!avz151</f>
        <v>#NAME?</v>
      </c>
      <c r="H150" s="0" t="e">
        <f aca="false">sheet1!awa151</f>
        <v>#NAME?</v>
      </c>
      <c r="I150" s="0" t="e">
        <f aca="false">sheet1!awb151</f>
        <v>#NAME?</v>
      </c>
      <c r="J150" s="0" t="e">
        <f aca="false">sheet1!awc151</f>
        <v>#NAME?</v>
      </c>
      <c r="K150" s="0" t="e">
        <f aca="false">sheet1!awd151</f>
        <v>#NAME?</v>
      </c>
      <c r="L150" s="0" t="e">
        <f aca="false">sheet1!awe151</f>
        <v>#NAME?</v>
      </c>
      <c r="M150" s="0" t="e">
        <f aca="false">sheet1!awf151</f>
        <v>#NAME?</v>
      </c>
    </row>
    <row r="151" customFormat="false" ht="13.5" hidden="false" customHeight="false" outlineLevel="0" collapsed="false">
      <c r="A151" s="0" t="s">
        <v>100</v>
      </c>
      <c r="B151" s="1" t="n">
        <v>44011</v>
      </c>
      <c r="C151" s="0" t="e">
        <f aca="false">sheet1!avv152</f>
        <v>#NAME?</v>
      </c>
      <c r="D151" s="0" t="e">
        <f aca="false">sheet1!avw152</f>
        <v>#NAME?</v>
      </c>
      <c r="E151" s="0" t="e">
        <f aca="false">sheet1!avx152</f>
        <v>#NAME?</v>
      </c>
      <c r="F151" s="0" t="e">
        <f aca="false">sheet1!avy152</f>
        <v>#NAME?</v>
      </c>
      <c r="G151" s="0" t="e">
        <f aca="false">sheet1!avz152</f>
        <v>#NAME?</v>
      </c>
      <c r="H151" s="0" t="e">
        <f aca="false">sheet1!awa152</f>
        <v>#NAME?</v>
      </c>
      <c r="I151" s="0" t="e">
        <f aca="false">sheet1!awb152</f>
        <v>#NAME?</v>
      </c>
      <c r="J151" s="0" t="e">
        <f aca="false">sheet1!awc152</f>
        <v>#NAME?</v>
      </c>
      <c r="K151" s="0" t="e">
        <f aca="false">sheet1!awd152</f>
        <v>#NAME?</v>
      </c>
      <c r="L151" s="0" t="e">
        <f aca="false">sheet1!awe152</f>
        <v>#NAME?</v>
      </c>
      <c r="M151" s="0" t="e">
        <f aca="false">sheet1!awf152</f>
        <v>#NAME?</v>
      </c>
    </row>
    <row r="152" customFormat="false" ht="13.5" hidden="false" customHeight="false" outlineLevel="0" collapsed="false">
      <c r="A152" s="0" t="s">
        <v>100</v>
      </c>
      <c r="B152" s="1" t="n">
        <v>44012</v>
      </c>
      <c r="C152" s="0" t="e">
        <f aca="false">sheet1!avv153</f>
        <v>#NAME?</v>
      </c>
      <c r="D152" s="0" t="e">
        <f aca="false">sheet1!avw153</f>
        <v>#NAME?</v>
      </c>
      <c r="E152" s="0" t="e">
        <f aca="false">sheet1!avx153</f>
        <v>#NAME?</v>
      </c>
      <c r="F152" s="0" t="e">
        <f aca="false">sheet1!avy153</f>
        <v>#NAME?</v>
      </c>
      <c r="G152" s="0" t="e">
        <f aca="false">sheet1!avz153</f>
        <v>#NAME?</v>
      </c>
      <c r="H152" s="0" t="e">
        <f aca="false">sheet1!awa153</f>
        <v>#NAME?</v>
      </c>
      <c r="I152" s="0" t="e">
        <f aca="false">sheet1!awb153</f>
        <v>#NAME?</v>
      </c>
      <c r="J152" s="0" t="e">
        <f aca="false">sheet1!awc153</f>
        <v>#NAME?</v>
      </c>
      <c r="K152" s="0" t="e">
        <f aca="false">sheet1!awd153</f>
        <v>#NAME?</v>
      </c>
      <c r="L152" s="0" t="e">
        <f aca="false">sheet1!awe153</f>
        <v>#NAME?</v>
      </c>
      <c r="M152" s="0" t="e">
        <f aca="false">sheet1!awf153</f>
        <v>#NAME?</v>
      </c>
    </row>
    <row r="153" customFormat="false" ht="13.5" hidden="false" customHeight="false" outlineLevel="0" collapsed="false">
      <c r="A153" s="0" t="s">
        <v>100</v>
      </c>
      <c r="B153" s="1" t="n">
        <v>44013</v>
      </c>
      <c r="C153" s="0" t="e">
        <f aca="false">sheet1!avv154</f>
        <v>#NAME?</v>
      </c>
      <c r="D153" s="0" t="e">
        <f aca="false">sheet1!avw154</f>
        <v>#NAME?</v>
      </c>
      <c r="E153" s="0" t="e">
        <f aca="false">sheet1!avx154</f>
        <v>#NAME?</v>
      </c>
      <c r="F153" s="0" t="e">
        <f aca="false">sheet1!avy154</f>
        <v>#NAME?</v>
      </c>
      <c r="G153" s="0" t="e">
        <f aca="false">sheet1!avz154</f>
        <v>#NAME?</v>
      </c>
      <c r="H153" s="0" t="e">
        <f aca="false">sheet1!awa154</f>
        <v>#NAME?</v>
      </c>
      <c r="I153" s="0" t="e">
        <f aca="false">sheet1!awb154</f>
        <v>#NAME?</v>
      </c>
      <c r="J153" s="0" t="e">
        <f aca="false">sheet1!awc154</f>
        <v>#NAME?</v>
      </c>
      <c r="K153" s="0" t="e">
        <f aca="false">sheet1!awd154</f>
        <v>#NAME?</v>
      </c>
      <c r="L153" s="0" t="e">
        <f aca="false">sheet1!awe154</f>
        <v>#NAME?</v>
      </c>
      <c r="M153" s="0" t="e">
        <f aca="false">sheet1!awf154</f>
        <v>#NAME?</v>
      </c>
    </row>
    <row r="154" customFormat="false" ht="13.5" hidden="false" customHeight="false" outlineLevel="0" collapsed="false">
      <c r="A154" s="0" t="s">
        <v>100</v>
      </c>
      <c r="B154" s="1" t="n">
        <v>44014</v>
      </c>
      <c r="C154" s="0" t="e">
        <f aca="false">sheet1!avv155</f>
        <v>#NAME?</v>
      </c>
      <c r="D154" s="0" t="e">
        <f aca="false">sheet1!avw155</f>
        <v>#NAME?</v>
      </c>
      <c r="E154" s="0" t="e">
        <f aca="false">sheet1!avx155</f>
        <v>#NAME?</v>
      </c>
      <c r="F154" s="0" t="e">
        <f aca="false">sheet1!avy155</f>
        <v>#NAME?</v>
      </c>
      <c r="G154" s="0" t="e">
        <f aca="false">sheet1!avz155</f>
        <v>#NAME?</v>
      </c>
      <c r="H154" s="0" t="e">
        <f aca="false">sheet1!awa155</f>
        <v>#NAME?</v>
      </c>
      <c r="I154" s="0" t="e">
        <f aca="false">sheet1!awb155</f>
        <v>#NAME?</v>
      </c>
      <c r="J154" s="0" t="e">
        <f aca="false">sheet1!awc155</f>
        <v>#NAME?</v>
      </c>
      <c r="K154" s="0" t="e">
        <f aca="false">sheet1!awd155</f>
        <v>#NAME?</v>
      </c>
      <c r="L154" s="0" t="e">
        <f aca="false">sheet1!awe155</f>
        <v>#NAME?</v>
      </c>
      <c r="M154" s="0" t="e">
        <f aca="false">sheet1!awf155</f>
        <v>#NAME?</v>
      </c>
    </row>
    <row r="155" customFormat="false" ht="13.5" hidden="false" customHeight="false" outlineLevel="0" collapsed="false">
      <c r="A155" s="0" t="s">
        <v>100</v>
      </c>
      <c r="B155" s="1" t="n">
        <v>44015</v>
      </c>
      <c r="C155" s="0" t="e">
        <f aca="false">sheet1!avv156</f>
        <v>#NAME?</v>
      </c>
      <c r="D155" s="0" t="e">
        <f aca="false">sheet1!avw156</f>
        <v>#NAME?</v>
      </c>
      <c r="E155" s="0" t="e">
        <f aca="false">sheet1!avx156</f>
        <v>#NAME?</v>
      </c>
      <c r="F155" s="0" t="e">
        <f aca="false">sheet1!avy156</f>
        <v>#NAME?</v>
      </c>
      <c r="G155" s="0" t="e">
        <f aca="false">sheet1!avz156</f>
        <v>#NAME?</v>
      </c>
      <c r="H155" s="0" t="e">
        <f aca="false">sheet1!awa156</f>
        <v>#NAME?</v>
      </c>
      <c r="I155" s="0" t="e">
        <f aca="false">sheet1!awb156</f>
        <v>#NAME?</v>
      </c>
      <c r="J155" s="0" t="e">
        <f aca="false">sheet1!awc156</f>
        <v>#NAME?</v>
      </c>
      <c r="K155" s="0" t="e">
        <f aca="false">sheet1!awd156</f>
        <v>#NAME?</v>
      </c>
      <c r="L155" s="0" t="e">
        <f aca="false">sheet1!awe156</f>
        <v>#NAME?</v>
      </c>
      <c r="M155" s="0" t="e">
        <f aca="false">sheet1!awf156</f>
        <v>#NAME?</v>
      </c>
    </row>
    <row r="156" customFormat="false" ht="13.5" hidden="false" customHeight="false" outlineLevel="0" collapsed="false">
      <c r="A156" s="0" t="s">
        <v>100</v>
      </c>
      <c r="B156" s="1" t="n">
        <v>44016</v>
      </c>
      <c r="C156" s="0" t="e">
        <f aca="false">sheet1!avv157</f>
        <v>#NAME?</v>
      </c>
      <c r="D156" s="0" t="e">
        <f aca="false">sheet1!avw157</f>
        <v>#NAME?</v>
      </c>
      <c r="E156" s="0" t="e">
        <f aca="false">sheet1!avx157</f>
        <v>#NAME?</v>
      </c>
      <c r="F156" s="0" t="e">
        <f aca="false">sheet1!avy157</f>
        <v>#NAME?</v>
      </c>
      <c r="G156" s="0" t="e">
        <f aca="false">sheet1!avz157</f>
        <v>#NAME?</v>
      </c>
      <c r="H156" s="0" t="e">
        <f aca="false">sheet1!awa157</f>
        <v>#NAME?</v>
      </c>
      <c r="I156" s="0" t="e">
        <f aca="false">sheet1!awb157</f>
        <v>#NAME?</v>
      </c>
      <c r="J156" s="0" t="e">
        <f aca="false">sheet1!awc157</f>
        <v>#NAME?</v>
      </c>
      <c r="K156" s="0" t="e">
        <f aca="false">sheet1!awd157</f>
        <v>#NAME?</v>
      </c>
      <c r="L156" s="0" t="e">
        <f aca="false">sheet1!awe157</f>
        <v>#NAME?</v>
      </c>
      <c r="M156" s="0" t="e">
        <f aca="false">sheet1!awf157</f>
        <v>#NAME?</v>
      </c>
    </row>
    <row r="157" customFormat="false" ht="13.5" hidden="false" customHeight="false" outlineLevel="0" collapsed="false">
      <c r="A157" s="0" t="s">
        <v>100</v>
      </c>
      <c r="B157" s="1" t="n">
        <v>44017</v>
      </c>
      <c r="C157" s="0" t="e">
        <f aca="false">sheet1!avv158</f>
        <v>#NAME?</v>
      </c>
      <c r="D157" s="0" t="e">
        <f aca="false">sheet1!avw158</f>
        <v>#NAME?</v>
      </c>
      <c r="E157" s="0" t="e">
        <f aca="false">sheet1!avx158</f>
        <v>#NAME?</v>
      </c>
      <c r="F157" s="0" t="e">
        <f aca="false">sheet1!avy158</f>
        <v>#NAME?</v>
      </c>
      <c r="G157" s="0" t="e">
        <f aca="false">sheet1!avz158</f>
        <v>#NAME?</v>
      </c>
      <c r="H157" s="0" t="e">
        <f aca="false">sheet1!awa158</f>
        <v>#NAME?</v>
      </c>
      <c r="I157" s="0" t="e">
        <f aca="false">sheet1!awb158</f>
        <v>#NAME?</v>
      </c>
      <c r="J157" s="0" t="e">
        <f aca="false">sheet1!awc158</f>
        <v>#NAME?</v>
      </c>
      <c r="K157" s="0" t="e">
        <f aca="false">sheet1!awd158</f>
        <v>#NAME?</v>
      </c>
      <c r="L157" s="0" t="e">
        <f aca="false">sheet1!awe158</f>
        <v>#NAME?</v>
      </c>
      <c r="M157" s="0" t="e">
        <f aca="false">sheet1!awf158</f>
        <v>#NAME?</v>
      </c>
    </row>
    <row r="158" customFormat="false" ht="13.5" hidden="false" customHeight="false" outlineLevel="0" collapsed="false">
      <c r="A158" s="0" t="s">
        <v>100</v>
      </c>
      <c r="B158" s="1" t="n">
        <v>44018</v>
      </c>
      <c r="C158" s="0" t="e">
        <f aca="false">sheet1!avv159</f>
        <v>#NAME?</v>
      </c>
      <c r="D158" s="0" t="e">
        <f aca="false">sheet1!avw159</f>
        <v>#NAME?</v>
      </c>
      <c r="E158" s="0" t="e">
        <f aca="false">sheet1!avx159</f>
        <v>#NAME?</v>
      </c>
      <c r="F158" s="0" t="e">
        <f aca="false">sheet1!avy159</f>
        <v>#NAME?</v>
      </c>
      <c r="G158" s="0" t="e">
        <f aca="false">sheet1!avz159</f>
        <v>#NAME?</v>
      </c>
      <c r="H158" s="0" t="e">
        <f aca="false">sheet1!awa159</f>
        <v>#NAME?</v>
      </c>
      <c r="I158" s="0" t="e">
        <f aca="false">sheet1!awb159</f>
        <v>#NAME?</v>
      </c>
      <c r="J158" s="0" t="e">
        <f aca="false">sheet1!awc159</f>
        <v>#NAME?</v>
      </c>
      <c r="K158" s="0" t="e">
        <f aca="false">sheet1!awd159</f>
        <v>#NAME?</v>
      </c>
      <c r="L158" s="0" t="e">
        <f aca="false">sheet1!awe159</f>
        <v>#NAME?</v>
      </c>
      <c r="M158" s="0" t="e">
        <f aca="false">sheet1!awf159</f>
        <v>#NAME?</v>
      </c>
    </row>
    <row r="159" customFormat="false" ht="13.5" hidden="false" customHeight="false" outlineLevel="0" collapsed="false">
      <c r="A159" s="0" t="s">
        <v>100</v>
      </c>
      <c r="B159" s="1" t="n">
        <v>44019</v>
      </c>
      <c r="C159" s="0" t="e">
        <f aca="false">sheet1!avv160</f>
        <v>#NAME?</v>
      </c>
      <c r="D159" s="0" t="e">
        <f aca="false">sheet1!avw160</f>
        <v>#NAME?</v>
      </c>
      <c r="E159" s="0" t="e">
        <f aca="false">sheet1!avx160</f>
        <v>#NAME?</v>
      </c>
      <c r="F159" s="0" t="e">
        <f aca="false">sheet1!avy160</f>
        <v>#NAME?</v>
      </c>
      <c r="G159" s="0" t="e">
        <f aca="false">sheet1!avz160</f>
        <v>#NAME?</v>
      </c>
      <c r="H159" s="0" t="e">
        <f aca="false">sheet1!awa160</f>
        <v>#NAME?</v>
      </c>
      <c r="I159" s="0" t="e">
        <f aca="false">sheet1!awb160</f>
        <v>#NAME?</v>
      </c>
      <c r="J159" s="0" t="e">
        <f aca="false">sheet1!awc160</f>
        <v>#NAME?</v>
      </c>
      <c r="K159" s="0" t="e">
        <f aca="false">sheet1!awd160</f>
        <v>#NAME?</v>
      </c>
      <c r="L159" s="0" t="e">
        <f aca="false">sheet1!awe160</f>
        <v>#NAME?</v>
      </c>
      <c r="M159" s="0" t="e">
        <f aca="false">sheet1!awf160</f>
        <v>#NAME?</v>
      </c>
    </row>
    <row r="160" customFormat="false" ht="13.5" hidden="false" customHeight="false" outlineLevel="0" collapsed="false">
      <c r="A160" s="0" t="s">
        <v>100</v>
      </c>
      <c r="B160" s="1" t="n">
        <v>44020</v>
      </c>
      <c r="C160" s="0" t="e">
        <f aca="false">sheet1!avv161</f>
        <v>#NAME?</v>
      </c>
      <c r="D160" s="0" t="e">
        <f aca="false">sheet1!avw161</f>
        <v>#NAME?</v>
      </c>
      <c r="E160" s="0" t="e">
        <f aca="false">sheet1!avx161</f>
        <v>#NAME?</v>
      </c>
      <c r="F160" s="0" t="e">
        <f aca="false">sheet1!avy161</f>
        <v>#NAME?</v>
      </c>
      <c r="G160" s="0" t="e">
        <f aca="false">sheet1!avz161</f>
        <v>#NAME?</v>
      </c>
      <c r="H160" s="0" t="e">
        <f aca="false">sheet1!awa161</f>
        <v>#NAME?</v>
      </c>
      <c r="I160" s="0" t="e">
        <f aca="false">sheet1!awb161</f>
        <v>#NAME?</v>
      </c>
      <c r="J160" s="0" t="e">
        <f aca="false">sheet1!awc161</f>
        <v>#NAME?</v>
      </c>
      <c r="K160" s="0" t="e">
        <f aca="false">sheet1!awd161</f>
        <v>#NAME?</v>
      </c>
      <c r="L160" s="0" t="e">
        <f aca="false">sheet1!awe161</f>
        <v>#NAME?</v>
      </c>
      <c r="M160" s="0" t="e">
        <f aca="false">sheet1!awf161</f>
        <v>#NAME?</v>
      </c>
    </row>
    <row r="161" customFormat="false" ht="13.5" hidden="false" customHeight="false" outlineLevel="0" collapsed="false">
      <c r="A161" s="0" t="s">
        <v>100</v>
      </c>
      <c r="B161" s="1" t="n">
        <v>44021</v>
      </c>
      <c r="C161" s="0" t="e">
        <f aca="false">sheet1!avv162</f>
        <v>#NAME?</v>
      </c>
      <c r="D161" s="0" t="e">
        <f aca="false">sheet1!avw162</f>
        <v>#NAME?</v>
      </c>
      <c r="E161" s="0" t="e">
        <f aca="false">sheet1!avx162</f>
        <v>#NAME?</v>
      </c>
      <c r="F161" s="0" t="e">
        <f aca="false">sheet1!avy162</f>
        <v>#NAME?</v>
      </c>
      <c r="G161" s="0" t="e">
        <f aca="false">sheet1!avz162</f>
        <v>#NAME?</v>
      </c>
      <c r="H161" s="0" t="e">
        <f aca="false">sheet1!awa162</f>
        <v>#NAME?</v>
      </c>
      <c r="I161" s="0" t="e">
        <f aca="false">sheet1!awb162</f>
        <v>#NAME?</v>
      </c>
      <c r="J161" s="0" t="e">
        <f aca="false">sheet1!awc162</f>
        <v>#NAME?</v>
      </c>
      <c r="K161" s="0" t="e">
        <f aca="false">sheet1!awd162</f>
        <v>#NAME?</v>
      </c>
      <c r="L161" s="0" t="e">
        <f aca="false">sheet1!awe162</f>
        <v>#NAME?</v>
      </c>
      <c r="M161" s="0" t="e">
        <f aca="false">sheet1!awf162</f>
        <v>#NAME?</v>
      </c>
    </row>
    <row r="162" customFormat="false" ht="13.5" hidden="false" customHeight="false" outlineLevel="0" collapsed="false">
      <c r="A162" s="0" t="s">
        <v>100</v>
      </c>
      <c r="B162" s="1" t="n">
        <v>44022</v>
      </c>
      <c r="C162" s="0" t="e">
        <f aca="false">sheet1!avv163</f>
        <v>#NAME?</v>
      </c>
      <c r="D162" s="0" t="e">
        <f aca="false">sheet1!avw163</f>
        <v>#NAME?</v>
      </c>
      <c r="E162" s="0" t="e">
        <f aca="false">sheet1!avx163</f>
        <v>#NAME?</v>
      </c>
      <c r="F162" s="0" t="e">
        <f aca="false">sheet1!avy163</f>
        <v>#NAME?</v>
      </c>
      <c r="G162" s="0" t="e">
        <f aca="false">sheet1!avz163</f>
        <v>#NAME?</v>
      </c>
      <c r="H162" s="0" t="e">
        <f aca="false">sheet1!awa163</f>
        <v>#NAME?</v>
      </c>
      <c r="I162" s="0" t="e">
        <f aca="false">sheet1!awb163</f>
        <v>#NAME?</v>
      </c>
      <c r="J162" s="0" t="e">
        <f aca="false">sheet1!awc163</f>
        <v>#NAME?</v>
      </c>
      <c r="K162" s="0" t="e">
        <f aca="false">sheet1!awd163</f>
        <v>#NAME?</v>
      </c>
      <c r="L162" s="0" t="e">
        <f aca="false">sheet1!awe163</f>
        <v>#NAME?</v>
      </c>
      <c r="M162" s="0" t="e">
        <f aca="false">sheet1!awf163</f>
        <v>#NAME?</v>
      </c>
    </row>
    <row r="163" customFormat="false" ht="13.5" hidden="false" customHeight="false" outlineLevel="0" collapsed="false">
      <c r="A163" s="0" t="s">
        <v>100</v>
      </c>
      <c r="B163" s="1" t="n">
        <v>44023</v>
      </c>
      <c r="C163" s="0" t="e">
        <f aca="false">sheet1!avv164</f>
        <v>#NAME?</v>
      </c>
      <c r="D163" s="0" t="e">
        <f aca="false">sheet1!avw164</f>
        <v>#NAME?</v>
      </c>
      <c r="E163" s="0" t="e">
        <f aca="false">sheet1!avx164</f>
        <v>#NAME?</v>
      </c>
      <c r="F163" s="0" t="e">
        <f aca="false">sheet1!avy164</f>
        <v>#NAME?</v>
      </c>
      <c r="G163" s="0" t="e">
        <f aca="false">sheet1!avz164</f>
        <v>#NAME?</v>
      </c>
      <c r="H163" s="0" t="e">
        <f aca="false">sheet1!awa164</f>
        <v>#NAME?</v>
      </c>
      <c r="I163" s="0" t="e">
        <f aca="false">sheet1!awb164</f>
        <v>#NAME?</v>
      </c>
      <c r="J163" s="0" t="e">
        <f aca="false">sheet1!awc164</f>
        <v>#NAME?</v>
      </c>
      <c r="K163" s="0" t="e">
        <f aca="false">sheet1!awd164</f>
        <v>#NAME?</v>
      </c>
      <c r="L163" s="0" t="e">
        <f aca="false">sheet1!awe164</f>
        <v>#NAME?</v>
      </c>
      <c r="M163" s="0" t="e">
        <f aca="false">sheet1!awf164</f>
        <v>#NAME?</v>
      </c>
    </row>
    <row r="164" customFormat="false" ht="13.5" hidden="false" customHeight="false" outlineLevel="0" collapsed="false">
      <c r="A164" s="0" t="s">
        <v>100</v>
      </c>
      <c r="B164" s="1" t="n">
        <v>44024</v>
      </c>
      <c r="C164" s="0" t="e">
        <f aca="false">sheet1!avv165</f>
        <v>#NAME?</v>
      </c>
      <c r="D164" s="0" t="e">
        <f aca="false">sheet1!avw165</f>
        <v>#NAME?</v>
      </c>
      <c r="E164" s="0" t="e">
        <f aca="false">sheet1!avx165</f>
        <v>#NAME?</v>
      </c>
      <c r="F164" s="0" t="e">
        <f aca="false">sheet1!avy165</f>
        <v>#NAME?</v>
      </c>
      <c r="G164" s="0" t="e">
        <f aca="false">sheet1!avz165</f>
        <v>#NAME?</v>
      </c>
      <c r="H164" s="0" t="e">
        <f aca="false">sheet1!awa165</f>
        <v>#NAME?</v>
      </c>
      <c r="I164" s="0" t="e">
        <f aca="false">sheet1!awb165</f>
        <v>#NAME?</v>
      </c>
      <c r="J164" s="0" t="e">
        <f aca="false">sheet1!awc165</f>
        <v>#NAME?</v>
      </c>
      <c r="K164" s="0" t="e">
        <f aca="false">sheet1!awd165</f>
        <v>#NAME?</v>
      </c>
      <c r="L164" s="0" t="e">
        <f aca="false">sheet1!awe165</f>
        <v>#NAME?</v>
      </c>
      <c r="M164" s="0" t="e">
        <f aca="false">sheet1!awf165</f>
        <v>#NAME?</v>
      </c>
    </row>
    <row r="165" customFormat="false" ht="13.5" hidden="false" customHeight="false" outlineLevel="0" collapsed="false">
      <c r="A165" s="0" t="s">
        <v>100</v>
      </c>
      <c r="B165" s="1" t="n">
        <v>44025</v>
      </c>
      <c r="C165" s="0" t="e">
        <f aca="false">sheet1!avv166</f>
        <v>#NAME?</v>
      </c>
      <c r="D165" s="0" t="e">
        <f aca="false">sheet1!avw166</f>
        <v>#NAME?</v>
      </c>
      <c r="E165" s="0" t="e">
        <f aca="false">sheet1!avx166</f>
        <v>#NAME?</v>
      </c>
      <c r="F165" s="0" t="e">
        <f aca="false">sheet1!avy166</f>
        <v>#NAME?</v>
      </c>
      <c r="G165" s="0" t="e">
        <f aca="false">sheet1!avz166</f>
        <v>#NAME?</v>
      </c>
      <c r="H165" s="0" t="e">
        <f aca="false">sheet1!awa166</f>
        <v>#NAME?</v>
      </c>
      <c r="I165" s="0" t="e">
        <f aca="false">sheet1!awb166</f>
        <v>#NAME?</v>
      </c>
      <c r="J165" s="0" t="e">
        <f aca="false">sheet1!awc166</f>
        <v>#NAME?</v>
      </c>
      <c r="K165" s="0" t="e">
        <f aca="false">sheet1!awd166</f>
        <v>#NAME?</v>
      </c>
      <c r="L165" s="0" t="e">
        <f aca="false">sheet1!awe166</f>
        <v>#NAME?</v>
      </c>
      <c r="M165" s="0" t="e">
        <f aca="false">sheet1!awf166</f>
        <v>#NAME?</v>
      </c>
    </row>
    <row r="166" customFormat="false" ht="13.5" hidden="false" customHeight="false" outlineLevel="0" collapsed="false">
      <c r="A166" s="0" t="s">
        <v>100</v>
      </c>
      <c r="B166" s="1" t="n">
        <v>44026</v>
      </c>
      <c r="C166" s="0" t="e">
        <f aca="false">sheet1!avv167</f>
        <v>#NAME?</v>
      </c>
      <c r="D166" s="0" t="e">
        <f aca="false">sheet1!avw167</f>
        <v>#NAME?</v>
      </c>
      <c r="E166" s="0" t="e">
        <f aca="false">sheet1!avx167</f>
        <v>#NAME?</v>
      </c>
      <c r="F166" s="0" t="e">
        <f aca="false">sheet1!avy167</f>
        <v>#NAME?</v>
      </c>
      <c r="G166" s="0" t="e">
        <f aca="false">sheet1!avz167</f>
        <v>#NAME?</v>
      </c>
      <c r="H166" s="0" t="e">
        <f aca="false">sheet1!awa167</f>
        <v>#NAME?</v>
      </c>
      <c r="I166" s="0" t="e">
        <f aca="false">sheet1!awb167</f>
        <v>#NAME?</v>
      </c>
      <c r="J166" s="0" t="e">
        <f aca="false">sheet1!awc167</f>
        <v>#NAME?</v>
      </c>
      <c r="K166" s="0" t="e">
        <f aca="false">sheet1!awd167</f>
        <v>#NAME?</v>
      </c>
      <c r="L166" s="0" t="e">
        <f aca="false">sheet1!awe167</f>
        <v>#NAME?</v>
      </c>
      <c r="M166" s="0" t="e">
        <f aca="false">sheet1!awf167</f>
        <v>#NAME?</v>
      </c>
    </row>
    <row r="167" customFormat="false" ht="13.5" hidden="false" customHeight="false" outlineLevel="0" collapsed="false">
      <c r="A167" s="0" t="s">
        <v>100</v>
      </c>
      <c r="B167" s="1" t="n">
        <v>44027</v>
      </c>
      <c r="C167" s="0" t="e">
        <f aca="false">sheet1!avv168</f>
        <v>#NAME?</v>
      </c>
      <c r="D167" s="0" t="e">
        <f aca="false">sheet1!avw168</f>
        <v>#NAME?</v>
      </c>
      <c r="E167" s="0" t="e">
        <f aca="false">sheet1!avx168</f>
        <v>#NAME?</v>
      </c>
      <c r="F167" s="0" t="e">
        <f aca="false">sheet1!avy168</f>
        <v>#NAME?</v>
      </c>
      <c r="G167" s="0" t="e">
        <f aca="false">sheet1!avz168</f>
        <v>#NAME?</v>
      </c>
      <c r="H167" s="0" t="e">
        <f aca="false">sheet1!awa168</f>
        <v>#NAME?</v>
      </c>
      <c r="I167" s="0" t="e">
        <f aca="false">sheet1!awb168</f>
        <v>#NAME?</v>
      </c>
      <c r="J167" s="0" t="e">
        <f aca="false">sheet1!awc168</f>
        <v>#NAME?</v>
      </c>
      <c r="K167" s="0" t="e">
        <f aca="false">sheet1!awd168</f>
        <v>#NAME?</v>
      </c>
      <c r="L167" s="0" t="e">
        <f aca="false">sheet1!awe168</f>
        <v>#NAME?</v>
      </c>
      <c r="M167" s="0" t="e">
        <f aca="false">sheet1!awf168</f>
        <v>#NAME?</v>
      </c>
    </row>
    <row r="168" customFormat="false" ht="13.5" hidden="false" customHeight="false" outlineLevel="0" collapsed="false">
      <c r="A168" s="0" t="s">
        <v>100</v>
      </c>
      <c r="B168" s="1" t="n">
        <v>44028</v>
      </c>
      <c r="C168" s="0" t="e">
        <f aca="false">sheet1!avv169</f>
        <v>#NAME?</v>
      </c>
      <c r="D168" s="0" t="e">
        <f aca="false">sheet1!avw169</f>
        <v>#NAME?</v>
      </c>
      <c r="E168" s="0" t="e">
        <f aca="false">sheet1!avx169</f>
        <v>#NAME?</v>
      </c>
      <c r="F168" s="0" t="e">
        <f aca="false">sheet1!avy169</f>
        <v>#NAME?</v>
      </c>
      <c r="G168" s="0" t="e">
        <f aca="false">sheet1!avz169</f>
        <v>#NAME?</v>
      </c>
      <c r="H168" s="0" t="e">
        <f aca="false">sheet1!awa169</f>
        <v>#NAME?</v>
      </c>
      <c r="I168" s="0" t="e">
        <f aca="false">sheet1!awb169</f>
        <v>#NAME?</v>
      </c>
      <c r="J168" s="0" t="e">
        <f aca="false">sheet1!awc169</f>
        <v>#NAME?</v>
      </c>
      <c r="K168" s="0" t="e">
        <f aca="false">sheet1!awd169</f>
        <v>#NAME?</v>
      </c>
      <c r="L168" s="0" t="e">
        <f aca="false">sheet1!awe169</f>
        <v>#NAME?</v>
      </c>
      <c r="M168" s="0" t="e">
        <f aca="false">sheet1!awf169</f>
        <v>#NAME?</v>
      </c>
    </row>
    <row r="169" customFormat="false" ht="13.5" hidden="false" customHeight="false" outlineLevel="0" collapsed="false">
      <c r="A169" s="0" t="s">
        <v>100</v>
      </c>
      <c r="B169" s="1" t="n">
        <v>44029</v>
      </c>
      <c r="C169" s="0" t="e">
        <f aca="false">sheet1!avv170</f>
        <v>#NAME?</v>
      </c>
      <c r="D169" s="0" t="e">
        <f aca="false">sheet1!avw170</f>
        <v>#NAME?</v>
      </c>
      <c r="E169" s="0" t="e">
        <f aca="false">sheet1!avx170</f>
        <v>#NAME?</v>
      </c>
      <c r="F169" s="0" t="e">
        <f aca="false">sheet1!avy170</f>
        <v>#NAME?</v>
      </c>
      <c r="G169" s="0" t="e">
        <f aca="false">sheet1!avz170</f>
        <v>#NAME?</v>
      </c>
      <c r="H169" s="0" t="e">
        <f aca="false">sheet1!awa170</f>
        <v>#NAME?</v>
      </c>
      <c r="I169" s="0" t="e">
        <f aca="false">sheet1!awb170</f>
        <v>#NAME?</v>
      </c>
      <c r="J169" s="0" t="e">
        <f aca="false">sheet1!awc170</f>
        <v>#NAME?</v>
      </c>
      <c r="K169" s="0" t="e">
        <f aca="false">sheet1!awd170</f>
        <v>#NAME?</v>
      </c>
      <c r="L169" s="0" t="e">
        <f aca="false">sheet1!awe170</f>
        <v>#NAME?</v>
      </c>
      <c r="M169" s="0" t="e">
        <f aca="false">sheet1!awf170</f>
        <v>#NAME?</v>
      </c>
    </row>
    <row r="170" customFormat="false" ht="13.5" hidden="false" customHeight="false" outlineLevel="0" collapsed="false">
      <c r="A170" s="0" t="s">
        <v>100</v>
      </c>
      <c r="B170" s="1" t="n">
        <v>44030</v>
      </c>
      <c r="C170" s="0" t="e">
        <f aca="false">sheet1!avv171</f>
        <v>#NAME?</v>
      </c>
      <c r="D170" s="0" t="e">
        <f aca="false">sheet1!avw171</f>
        <v>#NAME?</v>
      </c>
      <c r="E170" s="0" t="e">
        <f aca="false">sheet1!avx171</f>
        <v>#NAME?</v>
      </c>
      <c r="F170" s="0" t="e">
        <f aca="false">sheet1!avy171</f>
        <v>#NAME?</v>
      </c>
      <c r="G170" s="0" t="e">
        <f aca="false">sheet1!avz171</f>
        <v>#NAME?</v>
      </c>
      <c r="H170" s="0" t="e">
        <f aca="false">sheet1!awa171</f>
        <v>#NAME?</v>
      </c>
      <c r="I170" s="0" t="e">
        <f aca="false">sheet1!awb171</f>
        <v>#NAME?</v>
      </c>
      <c r="J170" s="0" t="e">
        <f aca="false">sheet1!awc171</f>
        <v>#NAME?</v>
      </c>
      <c r="K170" s="0" t="e">
        <f aca="false">sheet1!awd171</f>
        <v>#NAME?</v>
      </c>
      <c r="L170" s="0" t="e">
        <f aca="false">sheet1!awe171</f>
        <v>#NAME?</v>
      </c>
      <c r="M170" s="0" t="e">
        <f aca="false">sheet1!awf171</f>
        <v>#NAME?</v>
      </c>
    </row>
    <row r="171" customFormat="false" ht="13.5" hidden="false" customHeight="false" outlineLevel="0" collapsed="false">
      <c r="A171" s="0" t="s">
        <v>100</v>
      </c>
      <c r="B171" s="1" t="n">
        <v>44031</v>
      </c>
      <c r="C171" s="0" t="e">
        <f aca="false">sheet1!avv172</f>
        <v>#NAME?</v>
      </c>
      <c r="D171" s="0" t="e">
        <f aca="false">sheet1!avw172</f>
        <v>#NAME?</v>
      </c>
      <c r="E171" s="0" t="e">
        <f aca="false">sheet1!avx172</f>
        <v>#NAME?</v>
      </c>
      <c r="F171" s="0" t="e">
        <f aca="false">sheet1!avy172</f>
        <v>#NAME?</v>
      </c>
      <c r="G171" s="0" t="e">
        <f aca="false">sheet1!avz172</f>
        <v>#NAME?</v>
      </c>
      <c r="H171" s="0" t="e">
        <f aca="false">sheet1!awa172</f>
        <v>#NAME?</v>
      </c>
      <c r="I171" s="0" t="e">
        <f aca="false">sheet1!awb172</f>
        <v>#NAME?</v>
      </c>
      <c r="J171" s="0" t="e">
        <f aca="false">sheet1!awc172</f>
        <v>#NAME?</v>
      </c>
      <c r="K171" s="0" t="e">
        <f aca="false">sheet1!awd172</f>
        <v>#NAME?</v>
      </c>
      <c r="L171" s="0" t="e">
        <f aca="false">sheet1!awe172</f>
        <v>#NAME?</v>
      </c>
      <c r="M171" s="0" t="e">
        <f aca="false">sheet1!awf172</f>
        <v>#NAME?</v>
      </c>
    </row>
    <row r="172" customFormat="false" ht="13.5" hidden="false" customHeight="false" outlineLevel="0" collapsed="false">
      <c r="A172" s="0" t="s">
        <v>100</v>
      </c>
      <c r="B172" s="1" t="n">
        <v>44032</v>
      </c>
      <c r="C172" s="0" t="e">
        <f aca="false">sheet1!avv173</f>
        <v>#NAME?</v>
      </c>
      <c r="D172" s="0" t="e">
        <f aca="false">sheet1!avw173</f>
        <v>#NAME?</v>
      </c>
      <c r="E172" s="0" t="e">
        <f aca="false">sheet1!avx173</f>
        <v>#NAME?</v>
      </c>
      <c r="F172" s="0" t="e">
        <f aca="false">sheet1!avy173</f>
        <v>#NAME?</v>
      </c>
      <c r="G172" s="0" t="e">
        <f aca="false">sheet1!avz173</f>
        <v>#NAME?</v>
      </c>
      <c r="H172" s="0" t="e">
        <f aca="false">sheet1!awa173</f>
        <v>#NAME?</v>
      </c>
      <c r="I172" s="0" t="e">
        <f aca="false">sheet1!awb173</f>
        <v>#NAME?</v>
      </c>
      <c r="J172" s="0" t="e">
        <f aca="false">sheet1!awc173</f>
        <v>#NAME?</v>
      </c>
      <c r="K172" s="0" t="e">
        <f aca="false">sheet1!awd173</f>
        <v>#NAME?</v>
      </c>
      <c r="L172" s="0" t="e">
        <f aca="false">sheet1!awe173</f>
        <v>#NAME?</v>
      </c>
      <c r="M172" s="0" t="e">
        <f aca="false">sheet1!awf173</f>
        <v>#NAME?</v>
      </c>
    </row>
    <row r="173" customFormat="false" ht="13.5" hidden="false" customHeight="false" outlineLevel="0" collapsed="false">
      <c r="A173" s="0" t="s">
        <v>100</v>
      </c>
      <c r="B173" s="1" t="n">
        <v>44033</v>
      </c>
      <c r="C173" s="0" t="e">
        <f aca="false">sheet1!avv174</f>
        <v>#NAME?</v>
      </c>
      <c r="D173" s="0" t="e">
        <f aca="false">sheet1!avw174</f>
        <v>#NAME?</v>
      </c>
      <c r="E173" s="0" t="e">
        <f aca="false">sheet1!avx174</f>
        <v>#NAME?</v>
      </c>
      <c r="F173" s="0" t="e">
        <f aca="false">sheet1!avy174</f>
        <v>#NAME?</v>
      </c>
      <c r="G173" s="0" t="e">
        <f aca="false">sheet1!avz174</f>
        <v>#NAME?</v>
      </c>
      <c r="H173" s="0" t="e">
        <f aca="false">sheet1!awa174</f>
        <v>#NAME?</v>
      </c>
      <c r="I173" s="0" t="e">
        <f aca="false">sheet1!awb174</f>
        <v>#NAME?</v>
      </c>
      <c r="J173" s="0" t="e">
        <f aca="false">sheet1!awc174</f>
        <v>#NAME?</v>
      </c>
      <c r="K173" s="0" t="e">
        <f aca="false">sheet1!awd174</f>
        <v>#NAME?</v>
      </c>
      <c r="L173" s="0" t="e">
        <f aca="false">sheet1!awe174</f>
        <v>#NAME?</v>
      </c>
      <c r="M173" s="0" t="e">
        <f aca="false">sheet1!awf174</f>
        <v>#NAME?</v>
      </c>
    </row>
    <row r="174" customFormat="false" ht="13.5" hidden="false" customHeight="false" outlineLevel="0" collapsed="false">
      <c r="A174" s="0" t="s">
        <v>100</v>
      </c>
      <c r="B174" s="1" t="n">
        <v>44034</v>
      </c>
      <c r="C174" s="0" t="e">
        <f aca="false">sheet1!avv175</f>
        <v>#NAME?</v>
      </c>
      <c r="D174" s="0" t="e">
        <f aca="false">sheet1!avw175</f>
        <v>#NAME?</v>
      </c>
      <c r="E174" s="0" t="e">
        <f aca="false">sheet1!avx175</f>
        <v>#NAME?</v>
      </c>
      <c r="F174" s="0" t="e">
        <f aca="false">sheet1!avy175</f>
        <v>#NAME?</v>
      </c>
      <c r="G174" s="0" t="e">
        <f aca="false">sheet1!avz175</f>
        <v>#NAME?</v>
      </c>
      <c r="H174" s="0" t="e">
        <f aca="false">sheet1!awa175</f>
        <v>#NAME?</v>
      </c>
      <c r="I174" s="0" t="e">
        <f aca="false">sheet1!awb175</f>
        <v>#NAME?</v>
      </c>
      <c r="J174" s="0" t="e">
        <f aca="false">sheet1!awc175</f>
        <v>#NAME?</v>
      </c>
      <c r="K174" s="0" t="e">
        <f aca="false">sheet1!awd175</f>
        <v>#NAME?</v>
      </c>
      <c r="L174" s="0" t="e">
        <f aca="false">sheet1!awe175</f>
        <v>#NAME?</v>
      </c>
      <c r="M174" s="0" t="e">
        <f aca="false">sheet1!awf175</f>
        <v>#NAME?</v>
      </c>
    </row>
    <row r="175" customFormat="false" ht="13.5" hidden="false" customHeight="false" outlineLevel="0" collapsed="false">
      <c r="A175" s="0" t="s">
        <v>100</v>
      </c>
      <c r="B175" s="1" t="n">
        <v>44035</v>
      </c>
      <c r="C175" s="0" t="e">
        <f aca="false">sheet1!avv176</f>
        <v>#NAME?</v>
      </c>
      <c r="D175" s="0" t="e">
        <f aca="false">sheet1!avw176</f>
        <v>#NAME?</v>
      </c>
      <c r="E175" s="0" t="e">
        <f aca="false">sheet1!avx176</f>
        <v>#NAME?</v>
      </c>
      <c r="F175" s="0" t="e">
        <f aca="false">sheet1!avy176</f>
        <v>#NAME?</v>
      </c>
      <c r="G175" s="0" t="e">
        <f aca="false">sheet1!avz176</f>
        <v>#NAME?</v>
      </c>
      <c r="H175" s="0" t="e">
        <f aca="false">sheet1!awa176</f>
        <v>#NAME?</v>
      </c>
      <c r="I175" s="0" t="e">
        <f aca="false">sheet1!awb176</f>
        <v>#NAME?</v>
      </c>
      <c r="J175" s="0" t="e">
        <f aca="false">sheet1!awc176</f>
        <v>#NAME?</v>
      </c>
      <c r="K175" s="0" t="e">
        <f aca="false">sheet1!awd176</f>
        <v>#NAME?</v>
      </c>
      <c r="L175" s="0" t="e">
        <f aca="false">sheet1!awe176</f>
        <v>#NAME?</v>
      </c>
      <c r="M175" s="0" t="e">
        <f aca="false">sheet1!awf176</f>
        <v>#NAME?</v>
      </c>
    </row>
    <row r="176" customFormat="false" ht="13.5" hidden="false" customHeight="false" outlineLevel="0" collapsed="false">
      <c r="A176" s="0" t="s">
        <v>100</v>
      </c>
      <c r="B176" s="1" t="n">
        <v>44036</v>
      </c>
      <c r="C176" s="0" t="e">
        <f aca="false">sheet1!avv177</f>
        <v>#NAME?</v>
      </c>
      <c r="D176" s="0" t="e">
        <f aca="false">sheet1!avw177</f>
        <v>#NAME?</v>
      </c>
      <c r="E176" s="0" t="e">
        <f aca="false">sheet1!avx177</f>
        <v>#NAME?</v>
      </c>
      <c r="F176" s="0" t="e">
        <f aca="false">sheet1!avy177</f>
        <v>#NAME?</v>
      </c>
      <c r="G176" s="0" t="e">
        <f aca="false">sheet1!avz177</f>
        <v>#NAME?</v>
      </c>
      <c r="H176" s="0" t="e">
        <f aca="false">sheet1!awa177</f>
        <v>#NAME?</v>
      </c>
      <c r="I176" s="0" t="e">
        <f aca="false">sheet1!awb177</f>
        <v>#NAME?</v>
      </c>
      <c r="J176" s="0" t="e">
        <f aca="false">sheet1!awc177</f>
        <v>#NAME?</v>
      </c>
      <c r="K176" s="0" t="e">
        <f aca="false">sheet1!awd177</f>
        <v>#NAME?</v>
      </c>
      <c r="L176" s="0" t="e">
        <f aca="false">sheet1!awe177</f>
        <v>#NAME?</v>
      </c>
      <c r="M176" s="0" t="e">
        <f aca="false">sheet1!awf177</f>
        <v>#NAME?</v>
      </c>
    </row>
    <row r="177" customFormat="false" ht="13.5" hidden="false" customHeight="false" outlineLevel="0" collapsed="false">
      <c r="A177" s="0" t="s">
        <v>100</v>
      </c>
      <c r="B177" s="1" t="n">
        <v>44037</v>
      </c>
      <c r="C177" s="0" t="e">
        <f aca="false">sheet1!avv178</f>
        <v>#NAME?</v>
      </c>
      <c r="D177" s="0" t="e">
        <f aca="false">sheet1!avw178</f>
        <v>#NAME?</v>
      </c>
      <c r="E177" s="0" t="e">
        <f aca="false">sheet1!avx178</f>
        <v>#NAME?</v>
      </c>
      <c r="F177" s="0" t="e">
        <f aca="false">sheet1!avy178</f>
        <v>#NAME?</v>
      </c>
      <c r="G177" s="0" t="e">
        <f aca="false">sheet1!avz178</f>
        <v>#NAME?</v>
      </c>
      <c r="H177" s="0" t="e">
        <f aca="false">sheet1!awa178</f>
        <v>#NAME?</v>
      </c>
      <c r="I177" s="0" t="e">
        <f aca="false">sheet1!awb178</f>
        <v>#NAME?</v>
      </c>
      <c r="J177" s="0" t="e">
        <f aca="false">sheet1!awc178</f>
        <v>#NAME?</v>
      </c>
      <c r="K177" s="0" t="e">
        <f aca="false">sheet1!awd178</f>
        <v>#NAME?</v>
      </c>
      <c r="L177" s="0" t="e">
        <f aca="false">sheet1!awe178</f>
        <v>#NAME?</v>
      </c>
      <c r="M177" s="0" t="e">
        <f aca="false">sheet1!awf178</f>
        <v>#NAME?</v>
      </c>
    </row>
    <row r="178" customFormat="false" ht="13.5" hidden="false" customHeight="false" outlineLevel="0" collapsed="false">
      <c r="A178" s="0" t="s">
        <v>100</v>
      </c>
      <c r="B178" s="1" t="n">
        <v>44038</v>
      </c>
      <c r="C178" s="0" t="e">
        <f aca="false">sheet1!avv179</f>
        <v>#NAME?</v>
      </c>
      <c r="D178" s="0" t="e">
        <f aca="false">sheet1!avw179</f>
        <v>#NAME?</v>
      </c>
      <c r="E178" s="0" t="e">
        <f aca="false">sheet1!avx179</f>
        <v>#NAME?</v>
      </c>
      <c r="F178" s="0" t="e">
        <f aca="false">sheet1!avy179</f>
        <v>#NAME?</v>
      </c>
      <c r="G178" s="0" t="e">
        <f aca="false">sheet1!avz179</f>
        <v>#NAME?</v>
      </c>
      <c r="H178" s="0" t="e">
        <f aca="false">sheet1!awa179</f>
        <v>#NAME?</v>
      </c>
      <c r="I178" s="0" t="e">
        <f aca="false">sheet1!awb179</f>
        <v>#NAME?</v>
      </c>
      <c r="J178" s="0" t="e">
        <f aca="false">sheet1!awc179</f>
        <v>#NAME?</v>
      </c>
      <c r="K178" s="0" t="e">
        <f aca="false">sheet1!awd179</f>
        <v>#NAME?</v>
      </c>
      <c r="L178" s="0" t="e">
        <f aca="false">sheet1!awe179</f>
        <v>#NAME?</v>
      </c>
      <c r="M178" s="0" t="e">
        <f aca="false">sheet1!awf179</f>
        <v>#NAME?</v>
      </c>
    </row>
    <row r="179" customFormat="false" ht="13.5" hidden="false" customHeight="false" outlineLevel="0" collapsed="false">
      <c r="A179" s="0" t="s">
        <v>100</v>
      </c>
      <c r="B179" s="1" t="n">
        <v>44039</v>
      </c>
      <c r="C179" s="0" t="e">
        <f aca="false">sheet1!avv180</f>
        <v>#NAME?</v>
      </c>
      <c r="D179" s="0" t="e">
        <f aca="false">sheet1!avw180</f>
        <v>#NAME?</v>
      </c>
      <c r="E179" s="0" t="e">
        <f aca="false">sheet1!avx180</f>
        <v>#NAME?</v>
      </c>
      <c r="F179" s="0" t="e">
        <f aca="false">sheet1!avy180</f>
        <v>#NAME?</v>
      </c>
      <c r="G179" s="0" t="e">
        <f aca="false">sheet1!avz180</f>
        <v>#NAME?</v>
      </c>
      <c r="H179" s="0" t="e">
        <f aca="false">sheet1!awa180</f>
        <v>#NAME?</v>
      </c>
      <c r="I179" s="0" t="e">
        <f aca="false">sheet1!awb180</f>
        <v>#NAME?</v>
      </c>
      <c r="J179" s="0" t="e">
        <f aca="false">sheet1!awc180</f>
        <v>#NAME?</v>
      </c>
      <c r="K179" s="0" t="e">
        <f aca="false">sheet1!awd180</f>
        <v>#NAME?</v>
      </c>
      <c r="L179" s="0" t="e">
        <f aca="false">sheet1!awe180</f>
        <v>#NAME?</v>
      </c>
      <c r="M179" s="0" t="e">
        <f aca="false">sheet1!awf180</f>
        <v>#NAME?</v>
      </c>
    </row>
    <row r="180" customFormat="false" ht="13.5" hidden="false" customHeight="false" outlineLevel="0" collapsed="false">
      <c r="A180" s="0" t="s">
        <v>100</v>
      </c>
      <c r="B180" s="1" t="n">
        <v>44040</v>
      </c>
      <c r="C180" s="0" t="e">
        <f aca="false">sheet1!avv181</f>
        <v>#NAME?</v>
      </c>
      <c r="D180" s="0" t="e">
        <f aca="false">sheet1!avw181</f>
        <v>#NAME?</v>
      </c>
      <c r="E180" s="0" t="e">
        <f aca="false">sheet1!avx181</f>
        <v>#NAME?</v>
      </c>
      <c r="F180" s="0" t="e">
        <f aca="false">sheet1!avy181</f>
        <v>#NAME?</v>
      </c>
      <c r="G180" s="0" t="e">
        <f aca="false">sheet1!avz181</f>
        <v>#NAME?</v>
      </c>
      <c r="H180" s="0" t="e">
        <f aca="false">sheet1!awa181</f>
        <v>#NAME?</v>
      </c>
      <c r="I180" s="0" t="e">
        <f aca="false">sheet1!awb181</f>
        <v>#NAME?</v>
      </c>
      <c r="J180" s="0" t="e">
        <f aca="false">sheet1!awc181</f>
        <v>#NAME?</v>
      </c>
      <c r="K180" s="0" t="e">
        <f aca="false">sheet1!awd181</f>
        <v>#NAME?</v>
      </c>
      <c r="L180" s="0" t="e">
        <f aca="false">sheet1!awe181</f>
        <v>#NAME?</v>
      </c>
      <c r="M180" s="0" t="e">
        <f aca="false">sheet1!awf181</f>
        <v>#NAME?</v>
      </c>
    </row>
    <row r="181" customFormat="false" ht="13.5" hidden="false" customHeight="false" outlineLevel="0" collapsed="false">
      <c r="A181" s="0" t="s">
        <v>100</v>
      </c>
      <c r="B181" s="1" t="n">
        <v>44041</v>
      </c>
      <c r="C181" s="0" t="e">
        <f aca="false">sheet1!avv182</f>
        <v>#NAME?</v>
      </c>
      <c r="D181" s="0" t="e">
        <f aca="false">sheet1!avw182</f>
        <v>#NAME?</v>
      </c>
      <c r="E181" s="0" t="e">
        <f aca="false">sheet1!avx182</f>
        <v>#NAME?</v>
      </c>
      <c r="F181" s="0" t="e">
        <f aca="false">sheet1!avy182</f>
        <v>#NAME?</v>
      </c>
      <c r="G181" s="0" t="e">
        <f aca="false">sheet1!avz182</f>
        <v>#NAME?</v>
      </c>
      <c r="H181" s="0" t="e">
        <f aca="false">sheet1!awa182</f>
        <v>#NAME?</v>
      </c>
      <c r="I181" s="0" t="e">
        <f aca="false">sheet1!awb182</f>
        <v>#NAME?</v>
      </c>
      <c r="J181" s="0" t="e">
        <f aca="false">sheet1!awc182</f>
        <v>#NAME?</v>
      </c>
      <c r="K181" s="0" t="e">
        <f aca="false">sheet1!awd182</f>
        <v>#NAME?</v>
      </c>
      <c r="L181" s="0" t="e">
        <f aca="false">sheet1!awe182</f>
        <v>#NAME?</v>
      </c>
      <c r="M181" s="0" t="e">
        <f aca="false">sheet1!awf182</f>
        <v>#NAME?</v>
      </c>
    </row>
    <row r="182" customFormat="false" ht="13.5" hidden="false" customHeight="false" outlineLevel="0" collapsed="false">
      <c r="A182" s="0" t="s">
        <v>100</v>
      </c>
      <c r="B182" s="1" t="n">
        <v>44042</v>
      </c>
      <c r="C182" s="0" t="e">
        <f aca="false">sheet1!avv183</f>
        <v>#NAME?</v>
      </c>
      <c r="D182" s="0" t="e">
        <f aca="false">sheet1!avw183</f>
        <v>#NAME?</v>
      </c>
      <c r="E182" s="0" t="e">
        <f aca="false">sheet1!avx183</f>
        <v>#NAME?</v>
      </c>
      <c r="F182" s="0" t="e">
        <f aca="false">sheet1!avy183</f>
        <v>#NAME?</v>
      </c>
      <c r="G182" s="0" t="e">
        <f aca="false">sheet1!avz183</f>
        <v>#NAME?</v>
      </c>
      <c r="H182" s="0" t="e">
        <f aca="false">sheet1!awa183</f>
        <v>#NAME?</v>
      </c>
      <c r="I182" s="0" t="e">
        <f aca="false">sheet1!awb183</f>
        <v>#NAME?</v>
      </c>
      <c r="J182" s="0" t="e">
        <f aca="false">sheet1!awc183</f>
        <v>#NAME?</v>
      </c>
      <c r="K182" s="0" t="e">
        <f aca="false">sheet1!awd183</f>
        <v>#NAME?</v>
      </c>
      <c r="L182" s="0" t="e">
        <f aca="false">sheet1!awe183</f>
        <v>#NAME?</v>
      </c>
      <c r="M182" s="0" t="e">
        <f aca="false">sheet1!awf183</f>
        <v>#NAME?</v>
      </c>
    </row>
    <row r="183" customFormat="false" ht="13.5" hidden="false" customHeight="false" outlineLevel="0" collapsed="false">
      <c r="A183" s="0" t="s">
        <v>100</v>
      </c>
      <c r="B183" s="1" t="n">
        <v>44043</v>
      </c>
      <c r="C183" s="0" t="e">
        <f aca="false">sheet1!avv184</f>
        <v>#NAME?</v>
      </c>
      <c r="D183" s="0" t="e">
        <f aca="false">sheet1!avw184</f>
        <v>#NAME?</v>
      </c>
      <c r="E183" s="0" t="e">
        <f aca="false">sheet1!avx184</f>
        <v>#NAME?</v>
      </c>
      <c r="F183" s="0" t="e">
        <f aca="false">sheet1!avy184</f>
        <v>#NAME?</v>
      </c>
      <c r="G183" s="0" t="e">
        <f aca="false">sheet1!avz184</f>
        <v>#NAME?</v>
      </c>
      <c r="H183" s="0" t="e">
        <f aca="false">sheet1!awa184</f>
        <v>#NAME?</v>
      </c>
      <c r="I183" s="0" t="e">
        <f aca="false">sheet1!awb184</f>
        <v>#NAME?</v>
      </c>
      <c r="J183" s="0" t="e">
        <f aca="false">sheet1!awc184</f>
        <v>#NAME?</v>
      </c>
      <c r="K183" s="0" t="e">
        <f aca="false">sheet1!awd184</f>
        <v>#NAME?</v>
      </c>
      <c r="L183" s="0" t="e">
        <f aca="false">sheet1!awe184</f>
        <v>#NAME?</v>
      </c>
      <c r="M183" s="0" t="e">
        <f aca="false">sheet1!awf184</f>
        <v>#NAME?</v>
      </c>
    </row>
    <row r="184" customFormat="false" ht="13.5" hidden="false" customHeight="false" outlineLevel="0" collapsed="false">
      <c r="A184" s="0" t="s">
        <v>100</v>
      </c>
      <c r="B184" s="1" t="n">
        <v>44044</v>
      </c>
      <c r="C184" s="0" t="e">
        <f aca="false">sheet1!avv185</f>
        <v>#NAME?</v>
      </c>
      <c r="D184" s="0" t="e">
        <f aca="false">sheet1!avw185</f>
        <v>#NAME?</v>
      </c>
      <c r="E184" s="0" t="e">
        <f aca="false">sheet1!avx185</f>
        <v>#NAME?</v>
      </c>
      <c r="F184" s="0" t="e">
        <f aca="false">sheet1!avy185</f>
        <v>#NAME?</v>
      </c>
      <c r="G184" s="0" t="e">
        <f aca="false">sheet1!avz185</f>
        <v>#NAME?</v>
      </c>
      <c r="H184" s="0" t="e">
        <f aca="false">sheet1!awa185</f>
        <v>#NAME?</v>
      </c>
      <c r="I184" s="0" t="e">
        <f aca="false">sheet1!awb185</f>
        <v>#NAME?</v>
      </c>
      <c r="J184" s="0" t="e">
        <f aca="false">sheet1!awc185</f>
        <v>#NAME?</v>
      </c>
      <c r="K184" s="0" t="e">
        <f aca="false">sheet1!awd185</f>
        <v>#NAME?</v>
      </c>
      <c r="L184" s="0" t="e">
        <f aca="false">sheet1!awe185</f>
        <v>#NAME?</v>
      </c>
      <c r="M184" s="0" t="e">
        <f aca="false">sheet1!awf185</f>
        <v>#NAME?</v>
      </c>
    </row>
    <row r="185" customFormat="false" ht="13.5" hidden="false" customHeight="false" outlineLevel="0" collapsed="false">
      <c r="A185" s="0" t="s">
        <v>100</v>
      </c>
      <c r="B185" s="1" t="n">
        <v>44045</v>
      </c>
      <c r="C185" s="0" t="e">
        <f aca="false">sheet1!avv186</f>
        <v>#NAME?</v>
      </c>
      <c r="D185" s="0" t="e">
        <f aca="false">sheet1!avw186</f>
        <v>#NAME?</v>
      </c>
      <c r="E185" s="0" t="e">
        <f aca="false">sheet1!avx186</f>
        <v>#NAME?</v>
      </c>
      <c r="F185" s="0" t="e">
        <f aca="false">sheet1!avy186</f>
        <v>#NAME?</v>
      </c>
      <c r="G185" s="0" t="e">
        <f aca="false">sheet1!avz186</f>
        <v>#NAME?</v>
      </c>
      <c r="H185" s="0" t="e">
        <f aca="false">sheet1!awa186</f>
        <v>#NAME?</v>
      </c>
      <c r="I185" s="0" t="e">
        <f aca="false">sheet1!awb186</f>
        <v>#NAME?</v>
      </c>
      <c r="J185" s="0" t="e">
        <f aca="false">sheet1!awc186</f>
        <v>#NAME?</v>
      </c>
      <c r="K185" s="0" t="e">
        <f aca="false">sheet1!awd186</f>
        <v>#NAME?</v>
      </c>
      <c r="L185" s="0" t="e">
        <f aca="false">sheet1!awe186</f>
        <v>#NAME?</v>
      </c>
      <c r="M185" s="0" t="e">
        <f aca="false">sheet1!awf186</f>
        <v>#NAME?</v>
      </c>
    </row>
    <row r="186" customFormat="false" ht="13.5" hidden="false" customHeight="false" outlineLevel="0" collapsed="false">
      <c r="A186" s="0" t="s">
        <v>100</v>
      </c>
      <c r="B186" s="1" t="n">
        <v>44046</v>
      </c>
      <c r="C186" s="0" t="e">
        <f aca="false">sheet1!avv187</f>
        <v>#NAME?</v>
      </c>
      <c r="D186" s="0" t="e">
        <f aca="false">sheet1!avw187</f>
        <v>#NAME?</v>
      </c>
      <c r="E186" s="0" t="e">
        <f aca="false">sheet1!avx187</f>
        <v>#NAME?</v>
      </c>
      <c r="F186" s="0" t="e">
        <f aca="false">sheet1!avy187</f>
        <v>#NAME?</v>
      </c>
      <c r="G186" s="0" t="e">
        <f aca="false">sheet1!avz187</f>
        <v>#NAME?</v>
      </c>
      <c r="H186" s="0" t="e">
        <f aca="false">sheet1!awa187</f>
        <v>#NAME?</v>
      </c>
      <c r="I186" s="0" t="e">
        <f aca="false">sheet1!awb187</f>
        <v>#NAME?</v>
      </c>
      <c r="J186" s="0" t="e">
        <f aca="false">sheet1!awc187</f>
        <v>#NAME?</v>
      </c>
      <c r="K186" s="0" t="e">
        <f aca="false">sheet1!awd187</f>
        <v>#NAME?</v>
      </c>
      <c r="L186" s="0" t="e">
        <f aca="false">sheet1!awe187</f>
        <v>#NAME?</v>
      </c>
      <c r="M186" s="0" t="e">
        <f aca="false">sheet1!awf187</f>
        <v>#NAME?</v>
      </c>
    </row>
    <row r="187" customFormat="false" ht="13.5" hidden="false" customHeight="false" outlineLevel="0" collapsed="false">
      <c r="A187" s="0" t="s">
        <v>100</v>
      </c>
      <c r="B187" s="1" t="n">
        <v>44047</v>
      </c>
      <c r="C187" s="0" t="e">
        <f aca="false">sheet1!avv188</f>
        <v>#NAME?</v>
      </c>
      <c r="D187" s="0" t="e">
        <f aca="false">sheet1!avw188</f>
        <v>#NAME?</v>
      </c>
      <c r="E187" s="0" t="e">
        <f aca="false">sheet1!avx188</f>
        <v>#NAME?</v>
      </c>
      <c r="F187" s="0" t="e">
        <f aca="false">sheet1!avy188</f>
        <v>#NAME?</v>
      </c>
      <c r="G187" s="0" t="e">
        <f aca="false">sheet1!avz188</f>
        <v>#NAME?</v>
      </c>
      <c r="H187" s="0" t="e">
        <f aca="false">sheet1!awa188</f>
        <v>#NAME?</v>
      </c>
      <c r="I187" s="0" t="e">
        <f aca="false">sheet1!awb188</f>
        <v>#NAME?</v>
      </c>
      <c r="J187" s="0" t="e">
        <f aca="false">sheet1!awc188</f>
        <v>#NAME?</v>
      </c>
      <c r="K187" s="0" t="e">
        <f aca="false">sheet1!awd188</f>
        <v>#NAME?</v>
      </c>
      <c r="L187" s="0" t="e">
        <f aca="false">sheet1!awe188</f>
        <v>#NAME?</v>
      </c>
      <c r="M187" s="0" t="e">
        <f aca="false">sheet1!awf188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2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101</v>
      </c>
      <c r="B2" s="1" t="n">
        <v>43862</v>
      </c>
    </row>
    <row r="3" customFormat="false" ht="13.5" hidden="false" customHeight="false" outlineLevel="0" collapsed="false">
      <c r="A3" s="0" t="s">
        <v>101</v>
      </c>
      <c r="B3" s="1" t="n">
        <v>43863</v>
      </c>
    </row>
    <row r="4" customFormat="false" ht="13.5" hidden="false" customHeight="false" outlineLevel="0" collapsed="false">
      <c r="A4" s="0" t="s">
        <v>101</v>
      </c>
      <c r="B4" s="1" t="n">
        <v>43864</v>
      </c>
    </row>
    <row r="5" customFormat="false" ht="13.5" hidden="false" customHeight="false" outlineLevel="0" collapsed="false">
      <c r="A5" s="0" t="s">
        <v>101</v>
      </c>
      <c r="B5" s="1" t="n">
        <v>43865</v>
      </c>
    </row>
    <row r="6" customFormat="false" ht="13.5" hidden="false" customHeight="false" outlineLevel="0" collapsed="false">
      <c r="A6" s="0" t="s">
        <v>101</v>
      </c>
      <c r="B6" s="1" t="n">
        <v>43866</v>
      </c>
    </row>
    <row r="7" customFormat="false" ht="13.5" hidden="false" customHeight="false" outlineLevel="0" collapsed="false">
      <c r="A7" s="0" t="s">
        <v>101</v>
      </c>
      <c r="B7" s="1" t="n">
        <v>43867</v>
      </c>
    </row>
    <row r="8" customFormat="false" ht="13.5" hidden="false" customHeight="false" outlineLevel="0" collapsed="false">
      <c r="A8" s="0" t="s">
        <v>101</v>
      </c>
      <c r="B8" s="1" t="n">
        <v>43868</v>
      </c>
    </row>
    <row r="9" customFormat="false" ht="13.5" hidden="false" customHeight="false" outlineLevel="0" collapsed="false">
      <c r="A9" s="0" t="s">
        <v>101</v>
      </c>
      <c r="B9" s="1" t="n">
        <v>43869</v>
      </c>
    </row>
    <row r="10" customFormat="false" ht="13.5" hidden="false" customHeight="false" outlineLevel="0" collapsed="false">
      <c r="A10" s="0" t="s">
        <v>101</v>
      </c>
      <c r="B10" s="1" t="n">
        <v>43870</v>
      </c>
    </row>
    <row r="11" customFormat="false" ht="13.5" hidden="false" customHeight="false" outlineLevel="0" collapsed="false">
      <c r="A11" s="0" t="s">
        <v>101</v>
      </c>
      <c r="B11" s="1" t="n">
        <v>43871</v>
      </c>
    </row>
    <row r="12" customFormat="false" ht="13.5" hidden="false" customHeight="false" outlineLevel="0" collapsed="false">
      <c r="A12" s="0" t="s">
        <v>101</v>
      </c>
      <c r="B12" s="1" t="n">
        <v>43872</v>
      </c>
    </row>
    <row r="13" customFormat="false" ht="13.5" hidden="false" customHeight="false" outlineLevel="0" collapsed="false">
      <c r="A13" s="0" t="s">
        <v>101</v>
      </c>
      <c r="B13" s="1" t="n">
        <v>43873</v>
      </c>
    </row>
    <row r="14" customFormat="false" ht="13.5" hidden="false" customHeight="false" outlineLevel="0" collapsed="false">
      <c r="A14" s="0" t="s">
        <v>101</v>
      </c>
      <c r="B14" s="1" t="n">
        <v>43874</v>
      </c>
    </row>
    <row r="15" customFormat="false" ht="13.5" hidden="false" customHeight="false" outlineLevel="0" collapsed="false">
      <c r="A15" s="0" t="s">
        <v>101</v>
      </c>
      <c r="B15" s="1" t="n">
        <v>43875</v>
      </c>
    </row>
    <row r="16" customFormat="false" ht="13.5" hidden="false" customHeight="false" outlineLevel="0" collapsed="false">
      <c r="A16" s="0" t="s">
        <v>101</v>
      </c>
      <c r="B16" s="1" t="n">
        <v>43876</v>
      </c>
    </row>
    <row r="17" customFormat="false" ht="13.5" hidden="false" customHeight="false" outlineLevel="0" collapsed="false">
      <c r="A17" s="0" t="s">
        <v>101</v>
      </c>
      <c r="B17" s="1" t="n">
        <v>43877</v>
      </c>
    </row>
    <row r="18" customFormat="false" ht="13.5" hidden="false" customHeight="false" outlineLevel="0" collapsed="false">
      <c r="A18" s="0" t="s">
        <v>101</v>
      </c>
      <c r="B18" s="1" t="n">
        <v>43878</v>
      </c>
    </row>
    <row r="19" customFormat="false" ht="13.5" hidden="false" customHeight="false" outlineLevel="0" collapsed="false">
      <c r="A19" s="0" t="s">
        <v>101</v>
      </c>
      <c r="B19" s="1" t="n">
        <v>43879</v>
      </c>
    </row>
    <row r="20" customFormat="false" ht="13.5" hidden="false" customHeight="false" outlineLevel="0" collapsed="false">
      <c r="A20" s="0" t="s">
        <v>101</v>
      </c>
      <c r="B20" s="1" t="n">
        <v>43880</v>
      </c>
    </row>
    <row r="21" customFormat="false" ht="13.5" hidden="false" customHeight="false" outlineLevel="0" collapsed="false">
      <c r="A21" s="0" t="s">
        <v>101</v>
      </c>
      <c r="B21" s="1" t="n">
        <v>43881</v>
      </c>
    </row>
    <row r="22" customFormat="false" ht="13.5" hidden="false" customHeight="false" outlineLevel="0" collapsed="false">
      <c r="A22" s="0" t="s">
        <v>101</v>
      </c>
      <c r="B22" s="1" t="n">
        <v>43882</v>
      </c>
    </row>
    <row r="23" customFormat="false" ht="13.5" hidden="false" customHeight="false" outlineLevel="0" collapsed="false">
      <c r="A23" s="0" t="s">
        <v>101</v>
      </c>
      <c r="B23" s="1" t="n">
        <v>43883</v>
      </c>
    </row>
    <row r="24" customFormat="false" ht="13.5" hidden="false" customHeight="false" outlineLevel="0" collapsed="false">
      <c r="A24" s="0" t="s">
        <v>101</v>
      </c>
      <c r="B24" s="1" t="n">
        <v>43884</v>
      </c>
    </row>
    <row r="25" customFormat="false" ht="13.5" hidden="false" customHeight="false" outlineLevel="0" collapsed="false">
      <c r="A25" s="0" t="s">
        <v>101</v>
      </c>
      <c r="B25" s="1" t="n">
        <v>43885</v>
      </c>
    </row>
    <row r="26" customFormat="false" ht="13.5" hidden="false" customHeight="false" outlineLevel="0" collapsed="false">
      <c r="A26" s="0" t="s">
        <v>101</v>
      </c>
      <c r="B26" s="1" t="n">
        <v>43886</v>
      </c>
    </row>
    <row r="27" customFormat="false" ht="13.5" hidden="false" customHeight="false" outlineLevel="0" collapsed="false">
      <c r="A27" s="0" t="s">
        <v>101</v>
      </c>
      <c r="B27" s="1" t="n">
        <v>43887</v>
      </c>
    </row>
    <row r="28" customFormat="false" ht="13.5" hidden="false" customHeight="false" outlineLevel="0" collapsed="false">
      <c r="A28" s="0" t="s">
        <v>101</v>
      </c>
      <c r="B28" s="1" t="n">
        <v>43888</v>
      </c>
    </row>
    <row r="29" customFormat="false" ht="13.5" hidden="false" customHeight="false" outlineLevel="0" collapsed="false">
      <c r="A29" s="0" t="s">
        <v>101</v>
      </c>
      <c r="B29" s="1" t="n">
        <v>43889</v>
      </c>
    </row>
    <row r="30" customFormat="false" ht="13.5" hidden="false" customHeight="false" outlineLevel="0" collapsed="false">
      <c r="A30" s="0" t="s">
        <v>101</v>
      </c>
      <c r="B30" s="1" t="n">
        <v>43890</v>
      </c>
    </row>
    <row r="31" customFormat="false" ht="13.5" hidden="false" customHeight="false" outlineLevel="0" collapsed="false">
      <c r="A31" s="0" t="s">
        <v>101</v>
      </c>
      <c r="B31" s="1" t="n">
        <v>43891</v>
      </c>
    </row>
    <row r="32" customFormat="false" ht="13.5" hidden="false" customHeight="false" outlineLevel="0" collapsed="false">
      <c r="A32" s="0" t="s">
        <v>101</v>
      </c>
      <c r="B32" s="1" t="n">
        <v>43892</v>
      </c>
    </row>
    <row r="33" customFormat="false" ht="13.5" hidden="false" customHeight="false" outlineLevel="0" collapsed="false">
      <c r="A33" s="0" t="s">
        <v>101</v>
      </c>
      <c r="B33" s="1" t="n">
        <v>43893</v>
      </c>
    </row>
    <row r="34" customFormat="false" ht="13.5" hidden="false" customHeight="false" outlineLevel="0" collapsed="false">
      <c r="A34" s="0" t="s">
        <v>101</v>
      </c>
      <c r="B34" s="1" t="n">
        <v>43894</v>
      </c>
    </row>
    <row r="35" customFormat="false" ht="13.5" hidden="false" customHeight="false" outlineLevel="0" collapsed="false">
      <c r="A35" s="0" t="s">
        <v>101</v>
      </c>
      <c r="B35" s="1" t="n">
        <v>43895</v>
      </c>
    </row>
    <row r="36" customFormat="false" ht="13.5" hidden="false" customHeight="false" outlineLevel="0" collapsed="false">
      <c r="A36" s="0" t="s">
        <v>101</v>
      </c>
      <c r="B36" s="1" t="n">
        <v>43896</v>
      </c>
    </row>
    <row r="37" customFormat="false" ht="13.5" hidden="false" customHeight="false" outlineLevel="0" collapsed="false">
      <c r="A37" s="0" t="s">
        <v>101</v>
      </c>
      <c r="B37" s="1" t="n">
        <v>43897</v>
      </c>
    </row>
    <row r="38" customFormat="false" ht="13.5" hidden="false" customHeight="false" outlineLevel="0" collapsed="false">
      <c r="A38" s="0" t="s">
        <v>101</v>
      </c>
      <c r="B38" s="1" t="n">
        <v>43898</v>
      </c>
    </row>
    <row r="39" customFormat="false" ht="13.5" hidden="false" customHeight="false" outlineLevel="0" collapsed="false">
      <c r="A39" s="0" t="s">
        <v>101</v>
      </c>
      <c r="B39" s="1" t="n">
        <v>43899</v>
      </c>
    </row>
    <row r="40" customFormat="false" ht="13.5" hidden="false" customHeight="false" outlineLevel="0" collapsed="false">
      <c r="A40" s="0" t="s">
        <v>101</v>
      </c>
      <c r="B40" s="1" t="n">
        <v>43900</v>
      </c>
    </row>
    <row r="41" customFormat="false" ht="13.5" hidden="false" customHeight="false" outlineLevel="0" collapsed="false">
      <c r="A41" s="0" t="s">
        <v>101</v>
      </c>
      <c r="B41" s="1" t="n">
        <v>43901</v>
      </c>
    </row>
    <row r="42" customFormat="false" ht="13.5" hidden="false" customHeight="false" outlineLevel="0" collapsed="false">
      <c r="A42" s="0" t="s">
        <v>101</v>
      </c>
      <c r="B42" s="1" t="n">
        <v>43902</v>
      </c>
    </row>
    <row r="43" customFormat="false" ht="13.5" hidden="false" customHeight="false" outlineLevel="0" collapsed="false">
      <c r="A43" s="0" t="s">
        <v>101</v>
      </c>
      <c r="B43" s="1" t="n">
        <v>43903</v>
      </c>
    </row>
    <row r="44" customFormat="false" ht="13.5" hidden="false" customHeight="false" outlineLevel="0" collapsed="false">
      <c r="A44" s="0" t="s">
        <v>101</v>
      </c>
      <c r="B44" s="1" t="n">
        <v>43904</v>
      </c>
    </row>
    <row r="45" customFormat="false" ht="13.5" hidden="false" customHeight="false" outlineLevel="0" collapsed="false">
      <c r="A45" s="0" t="s">
        <v>101</v>
      </c>
      <c r="B45" s="1" t="n">
        <v>43905</v>
      </c>
    </row>
    <row r="46" customFormat="false" ht="13.5" hidden="false" customHeight="false" outlineLevel="0" collapsed="false">
      <c r="A46" s="0" t="s">
        <v>101</v>
      </c>
      <c r="B46" s="1" t="n">
        <v>43906</v>
      </c>
    </row>
    <row r="47" customFormat="false" ht="13.5" hidden="false" customHeight="false" outlineLevel="0" collapsed="false">
      <c r="A47" s="0" t="s">
        <v>101</v>
      </c>
      <c r="B47" s="1" t="n">
        <v>43907</v>
      </c>
    </row>
    <row r="48" customFormat="false" ht="13.5" hidden="false" customHeight="false" outlineLevel="0" collapsed="false">
      <c r="A48" s="0" t="s">
        <v>101</v>
      </c>
      <c r="B48" s="1" t="n">
        <v>43908</v>
      </c>
    </row>
    <row r="49" customFormat="false" ht="13.5" hidden="false" customHeight="false" outlineLevel="0" collapsed="false">
      <c r="A49" s="0" t="s">
        <v>101</v>
      </c>
      <c r="B49" s="1" t="n">
        <v>43909</v>
      </c>
    </row>
    <row r="50" customFormat="false" ht="13.5" hidden="false" customHeight="false" outlineLevel="0" collapsed="false">
      <c r="A50" s="0" t="s">
        <v>101</v>
      </c>
      <c r="B50" s="1" t="n">
        <v>43910</v>
      </c>
      <c r="C50" s="0" t="n">
        <v>1</v>
      </c>
      <c r="D50" s="0" t="n">
        <v>1</v>
      </c>
      <c r="H50" s="0" t="n">
        <v>1</v>
      </c>
      <c r="J50" s="0" t="n">
        <v>0.2</v>
      </c>
    </row>
    <row r="51" customFormat="false" ht="13.5" hidden="false" customHeight="false" outlineLevel="0" collapsed="false">
      <c r="A51" s="0" t="s">
        <v>101</v>
      </c>
      <c r="B51" s="1" t="n">
        <v>43911</v>
      </c>
      <c r="C51" s="0" t="n">
        <v>3</v>
      </c>
      <c r="D51" s="0" t="n">
        <v>2</v>
      </c>
      <c r="H51" s="0" t="n">
        <v>3</v>
      </c>
      <c r="J51" s="0" t="n">
        <v>0.5</v>
      </c>
    </row>
    <row r="52" customFormat="false" ht="13.5" hidden="false" customHeight="false" outlineLevel="0" collapsed="false">
      <c r="A52" s="0" t="s">
        <v>101</v>
      </c>
      <c r="B52" s="1" t="n">
        <v>43912</v>
      </c>
      <c r="C52" s="0" t="n">
        <v>3</v>
      </c>
      <c r="D52" s="0" t="n">
        <v>0</v>
      </c>
      <c r="H52" s="0" t="n">
        <v>3</v>
      </c>
      <c r="J52" s="0" t="n">
        <v>0.5</v>
      </c>
    </row>
    <row r="53" customFormat="false" ht="13.5" hidden="false" customHeight="false" outlineLevel="0" collapsed="false">
      <c r="A53" s="0" t="s">
        <v>101</v>
      </c>
      <c r="B53" s="1" t="n">
        <v>43913</v>
      </c>
      <c r="C53" s="0" t="n">
        <v>3</v>
      </c>
      <c r="D53" s="0" t="n">
        <v>0</v>
      </c>
      <c r="H53" s="0" t="n">
        <v>3</v>
      </c>
      <c r="J53" s="0" t="n">
        <v>0.5</v>
      </c>
    </row>
    <row r="54" customFormat="false" ht="13.5" hidden="false" customHeight="false" outlineLevel="0" collapsed="false">
      <c r="A54" s="0" t="s">
        <v>101</v>
      </c>
      <c r="B54" s="1" t="n">
        <v>43914</v>
      </c>
      <c r="C54" s="0" t="n">
        <v>3</v>
      </c>
      <c r="D54" s="0" t="n">
        <v>0</v>
      </c>
      <c r="H54" s="0" t="n">
        <v>3</v>
      </c>
      <c r="J54" s="0" t="n">
        <v>0.5</v>
      </c>
    </row>
    <row r="55" customFormat="false" ht="13.5" hidden="false" customHeight="false" outlineLevel="0" collapsed="false">
      <c r="A55" s="0" t="s">
        <v>101</v>
      </c>
      <c r="B55" s="1" t="n">
        <v>43915</v>
      </c>
      <c r="C55" s="0" t="n">
        <v>5</v>
      </c>
      <c r="D55" s="0" t="n">
        <v>2</v>
      </c>
      <c r="H55" s="0" t="n">
        <v>5</v>
      </c>
      <c r="J55" s="0" t="n">
        <v>0.8</v>
      </c>
    </row>
    <row r="56" customFormat="false" ht="13.5" hidden="false" customHeight="false" outlineLevel="0" collapsed="false">
      <c r="A56" s="0" t="s">
        <v>101</v>
      </c>
      <c r="B56" s="1" t="n">
        <v>43916</v>
      </c>
      <c r="C56" s="0" t="n">
        <v>9</v>
      </c>
      <c r="D56" s="0" t="n">
        <v>4</v>
      </c>
      <c r="H56" s="0" t="n">
        <v>9</v>
      </c>
      <c r="J56" s="0" t="n">
        <v>1</v>
      </c>
    </row>
    <row r="57" customFormat="false" ht="13.5" hidden="false" customHeight="false" outlineLevel="0" collapsed="false">
      <c r="A57" s="0" t="s">
        <v>101</v>
      </c>
      <c r="B57" s="1" t="n">
        <v>43917</v>
      </c>
      <c r="C57" s="0" t="n">
        <v>13</v>
      </c>
      <c r="D57" s="0" t="n">
        <v>4</v>
      </c>
      <c r="H57" s="0" t="n">
        <v>13</v>
      </c>
      <c r="J57" s="0" t="n">
        <v>2</v>
      </c>
    </row>
    <row r="58" customFormat="false" ht="13.5" hidden="false" customHeight="false" outlineLevel="0" collapsed="false">
      <c r="A58" s="0" t="s">
        <v>101</v>
      </c>
      <c r="B58" s="1" t="n">
        <v>43918</v>
      </c>
      <c r="C58" s="0" t="n">
        <v>13</v>
      </c>
      <c r="D58" s="0" t="n">
        <v>0</v>
      </c>
      <c r="H58" s="0" t="n">
        <v>13</v>
      </c>
      <c r="J58" s="0" t="n">
        <v>2</v>
      </c>
    </row>
    <row r="59" customFormat="false" ht="13.5" hidden="false" customHeight="false" outlineLevel="0" collapsed="false">
      <c r="A59" s="0" t="s">
        <v>101</v>
      </c>
      <c r="B59" s="1" t="n">
        <v>43919</v>
      </c>
      <c r="C59" s="0" t="n">
        <v>19</v>
      </c>
      <c r="D59" s="0" t="n">
        <v>6</v>
      </c>
      <c r="H59" s="0" t="n">
        <v>19</v>
      </c>
      <c r="J59" s="0" t="n">
        <v>3</v>
      </c>
    </row>
    <row r="60" customFormat="false" ht="13.5" hidden="false" customHeight="false" outlineLevel="0" collapsed="false">
      <c r="A60" s="0" t="s">
        <v>101</v>
      </c>
      <c r="B60" s="1" t="n">
        <v>43920</v>
      </c>
      <c r="C60" s="0" t="n">
        <v>24</v>
      </c>
      <c r="D60" s="0" t="n">
        <v>5</v>
      </c>
      <c r="H60" s="0" t="n">
        <v>24</v>
      </c>
      <c r="J60" s="0" t="n">
        <v>4</v>
      </c>
    </row>
    <row r="61" customFormat="false" ht="13.5" hidden="false" customHeight="false" outlineLevel="0" collapsed="false">
      <c r="A61" s="0" t="s">
        <v>101</v>
      </c>
      <c r="B61" s="1" t="n">
        <v>43921</v>
      </c>
      <c r="C61" s="0" t="n">
        <v>30</v>
      </c>
      <c r="D61" s="0" t="n">
        <v>6</v>
      </c>
      <c r="H61" s="0" t="n">
        <v>30</v>
      </c>
      <c r="I61" s="0" t="n">
        <v>5</v>
      </c>
      <c r="J61" s="0" t="n">
        <v>5</v>
      </c>
    </row>
    <row r="62" customFormat="false" ht="13.5" hidden="false" customHeight="false" outlineLevel="0" collapsed="false">
      <c r="A62" s="0" t="s">
        <v>101</v>
      </c>
      <c r="B62" s="1" t="n">
        <v>43922</v>
      </c>
      <c r="C62" s="0" t="n">
        <v>32</v>
      </c>
      <c r="D62" s="0" t="n">
        <v>2</v>
      </c>
      <c r="H62" s="0" t="n">
        <v>32</v>
      </c>
      <c r="I62" s="0" t="n">
        <v>5</v>
      </c>
      <c r="J62" s="0" t="n">
        <v>5</v>
      </c>
    </row>
    <row r="63" customFormat="false" ht="13.5" hidden="false" customHeight="false" outlineLevel="0" collapsed="false">
      <c r="A63" s="0" t="s">
        <v>101</v>
      </c>
      <c r="B63" s="1" t="n">
        <v>43923</v>
      </c>
      <c r="C63" s="0" t="n">
        <v>32</v>
      </c>
      <c r="D63" s="0" t="n">
        <v>0</v>
      </c>
      <c r="E63" s="0" t="n">
        <v>1</v>
      </c>
      <c r="F63" s="0" t="n">
        <v>1</v>
      </c>
      <c r="H63" s="0" t="n">
        <v>31</v>
      </c>
      <c r="I63" s="0" t="n">
        <v>4</v>
      </c>
      <c r="J63" s="0" t="n">
        <v>5</v>
      </c>
      <c r="K63" s="0" t="n">
        <v>0.2</v>
      </c>
    </row>
    <row r="64" customFormat="false" ht="13.5" hidden="false" customHeight="false" outlineLevel="0" collapsed="false">
      <c r="A64" s="0" t="s">
        <v>101</v>
      </c>
      <c r="B64" s="1" t="n">
        <v>43924</v>
      </c>
      <c r="C64" s="0" t="n">
        <v>41</v>
      </c>
      <c r="D64" s="0" t="n">
        <v>9</v>
      </c>
      <c r="E64" s="0" t="n">
        <v>2</v>
      </c>
      <c r="F64" s="0" t="n">
        <v>1</v>
      </c>
      <c r="H64" s="0" t="n">
        <v>39</v>
      </c>
      <c r="I64" s="0" t="n">
        <v>4</v>
      </c>
      <c r="J64" s="0" t="n">
        <v>6</v>
      </c>
      <c r="K64" s="0" t="n">
        <v>0.3</v>
      </c>
    </row>
    <row r="65" customFormat="false" ht="13.5" hidden="false" customHeight="false" outlineLevel="0" collapsed="false">
      <c r="A65" s="0" t="s">
        <v>101</v>
      </c>
      <c r="B65" s="1" t="n">
        <v>43925</v>
      </c>
      <c r="C65" s="0" t="n">
        <v>46</v>
      </c>
      <c r="D65" s="0" t="n">
        <v>5</v>
      </c>
      <c r="E65" s="0" t="n">
        <v>2</v>
      </c>
      <c r="F65" s="0" t="n">
        <v>0</v>
      </c>
      <c r="H65" s="0" t="n">
        <v>44</v>
      </c>
      <c r="I65" s="0" t="n">
        <v>4</v>
      </c>
      <c r="J65" s="0" t="n">
        <v>7</v>
      </c>
      <c r="K65" s="0" t="n">
        <v>0.3</v>
      </c>
    </row>
    <row r="66" customFormat="false" ht="13.5" hidden="false" customHeight="false" outlineLevel="0" collapsed="false">
      <c r="A66" s="0" t="s">
        <v>101</v>
      </c>
      <c r="B66" s="1" t="n">
        <v>43926</v>
      </c>
      <c r="C66" s="0" t="n">
        <v>56</v>
      </c>
      <c r="D66" s="0" t="n">
        <v>10</v>
      </c>
      <c r="E66" s="0" t="n">
        <v>3</v>
      </c>
      <c r="F66" s="0" t="n">
        <v>1</v>
      </c>
      <c r="G66" s="0" t="n">
        <v>2</v>
      </c>
      <c r="H66" s="0" t="n">
        <v>51</v>
      </c>
      <c r="I66" s="0" t="n">
        <v>4</v>
      </c>
      <c r="J66" s="0" t="n">
        <v>9</v>
      </c>
      <c r="K66" s="0" t="n">
        <v>0.5</v>
      </c>
    </row>
    <row r="67" customFormat="false" ht="13.5" hidden="false" customHeight="false" outlineLevel="0" collapsed="false">
      <c r="A67" s="0" t="s">
        <v>101</v>
      </c>
      <c r="B67" s="1" t="n">
        <v>43927</v>
      </c>
      <c r="C67" s="0" t="n">
        <v>62</v>
      </c>
      <c r="D67" s="0" t="n">
        <v>6</v>
      </c>
      <c r="E67" s="0" t="n">
        <v>3</v>
      </c>
      <c r="F67" s="0" t="n">
        <v>0</v>
      </c>
      <c r="G67" s="0" t="n">
        <v>2</v>
      </c>
      <c r="H67" s="0" t="n">
        <v>57</v>
      </c>
      <c r="I67" s="0" t="n">
        <v>4</v>
      </c>
      <c r="J67" s="0" t="n">
        <v>10</v>
      </c>
      <c r="K67" s="0" t="n">
        <v>0.5</v>
      </c>
    </row>
    <row r="68" customFormat="false" ht="13.5" hidden="false" customHeight="false" outlineLevel="0" collapsed="false">
      <c r="A68" s="0" t="s">
        <v>101</v>
      </c>
      <c r="B68" s="1" t="n">
        <v>43928</v>
      </c>
      <c r="C68" s="0" t="n">
        <v>69</v>
      </c>
      <c r="D68" s="0" t="n">
        <v>7</v>
      </c>
      <c r="E68" s="0" t="n">
        <v>4</v>
      </c>
      <c r="F68" s="0" t="n">
        <v>1</v>
      </c>
      <c r="G68" s="0" t="n">
        <v>5</v>
      </c>
      <c r="H68" s="0" t="n">
        <v>60</v>
      </c>
      <c r="I68" s="0" t="n">
        <v>4</v>
      </c>
      <c r="J68" s="0" t="n">
        <v>11</v>
      </c>
      <c r="K68" s="0" t="n">
        <v>0.6</v>
      </c>
    </row>
    <row r="69" customFormat="false" ht="13.5" hidden="false" customHeight="false" outlineLevel="0" collapsed="false">
      <c r="A69" s="0" t="s">
        <v>101</v>
      </c>
      <c r="B69" s="1" t="n">
        <v>43929</v>
      </c>
      <c r="C69" s="0" t="n">
        <v>78</v>
      </c>
      <c r="D69" s="0" t="n">
        <v>9</v>
      </c>
      <c r="E69" s="0" t="n">
        <v>4</v>
      </c>
      <c r="F69" s="0" t="n">
        <v>0</v>
      </c>
      <c r="G69" s="0" t="n">
        <v>5</v>
      </c>
      <c r="H69" s="0" t="n">
        <v>69</v>
      </c>
      <c r="I69" s="0" t="n">
        <v>4</v>
      </c>
      <c r="J69" s="0" t="n">
        <v>12</v>
      </c>
      <c r="K69" s="0" t="n">
        <v>0.6</v>
      </c>
    </row>
    <row r="70" customFormat="false" ht="13.5" hidden="false" customHeight="false" outlineLevel="0" collapsed="false">
      <c r="A70" s="0" t="s">
        <v>101</v>
      </c>
      <c r="B70" s="1" t="n">
        <v>43930</v>
      </c>
      <c r="C70" s="0" t="n">
        <v>93</v>
      </c>
      <c r="D70" s="0" t="n">
        <v>15</v>
      </c>
      <c r="E70" s="0" t="n">
        <v>5</v>
      </c>
      <c r="F70" s="0" t="n">
        <v>1</v>
      </c>
      <c r="G70" s="0" t="n">
        <v>9</v>
      </c>
      <c r="H70" s="0" t="n">
        <v>79</v>
      </c>
      <c r="I70" s="0" t="n">
        <v>2</v>
      </c>
      <c r="J70" s="0" t="n">
        <v>14</v>
      </c>
      <c r="K70" s="0" t="n">
        <v>0.8</v>
      </c>
    </row>
    <row r="71" customFormat="false" ht="13.5" hidden="false" customHeight="false" outlineLevel="0" collapsed="false">
      <c r="A71" s="0" t="s">
        <v>101</v>
      </c>
      <c r="B71" s="1" t="n">
        <v>43931</v>
      </c>
      <c r="C71" s="0" t="n">
        <v>103</v>
      </c>
      <c r="D71" s="0" t="n">
        <v>10</v>
      </c>
      <c r="E71" s="0" t="n">
        <v>6</v>
      </c>
      <c r="F71" s="0" t="n">
        <v>1</v>
      </c>
      <c r="G71" s="0" t="n">
        <v>14</v>
      </c>
      <c r="H71" s="0" t="n">
        <v>83</v>
      </c>
      <c r="I71" s="0" t="n">
        <v>3</v>
      </c>
      <c r="J71" s="0" t="n">
        <v>16</v>
      </c>
      <c r="K71" s="0" t="n">
        <v>0.9</v>
      </c>
    </row>
    <row r="72" customFormat="false" ht="13.5" hidden="false" customHeight="false" outlineLevel="0" collapsed="false">
      <c r="A72" s="0" t="s">
        <v>101</v>
      </c>
      <c r="B72" s="1" t="n">
        <v>43932</v>
      </c>
      <c r="C72" s="0" t="n">
        <v>117</v>
      </c>
      <c r="D72" s="0" t="n">
        <v>14</v>
      </c>
      <c r="E72" s="0" t="n">
        <v>6</v>
      </c>
      <c r="F72" s="0" t="n">
        <v>0</v>
      </c>
      <c r="G72" s="0" t="n">
        <v>15</v>
      </c>
      <c r="H72" s="0" t="n">
        <v>96</v>
      </c>
      <c r="I72" s="0" t="n">
        <v>4</v>
      </c>
      <c r="J72" s="0" t="n">
        <v>18</v>
      </c>
      <c r="K72" s="0" t="n">
        <v>0.9</v>
      </c>
    </row>
    <row r="73" customFormat="false" ht="13.5" hidden="false" customHeight="false" outlineLevel="0" collapsed="false">
      <c r="A73" s="0" t="s">
        <v>101</v>
      </c>
      <c r="B73" s="1" t="n">
        <v>43933</v>
      </c>
      <c r="C73" s="0" t="n">
        <v>118</v>
      </c>
      <c r="D73" s="0" t="n">
        <v>1</v>
      </c>
      <c r="E73" s="0" t="n">
        <v>6</v>
      </c>
      <c r="F73" s="0" t="n">
        <v>0</v>
      </c>
      <c r="G73" s="0" t="n">
        <v>19</v>
      </c>
      <c r="H73" s="0" t="n">
        <v>93</v>
      </c>
      <c r="I73" s="0" t="n">
        <v>4</v>
      </c>
      <c r="J73" s="0" t="n">
        <v>18</v>
      </c>
      <c r="K73" s="0" t="n">
        <v>0.9</v>
      </c>
    </row>
    <row r="74" customFormat="false" ht="13.5" hidden="false" customHeight="false" outlineLevel="0" collapsed="false">
      <c r="A74" s="0" t="s">
        <v>101</v>
      </c>
      <c r="B74" s="1" t="n">
        <v>43934</v>
      </c>
      <c r="C74" s="0" t="n">
        <v>125</v>
      </c>
      <c r="D74" s="0" t="n">
        <v>7</v>
      </c>
      <c r="E74" s="0" t="n">
        <v>6</v>
      </c>
      <c r="F74" s="0" t="n">
        <v>0</v>
      </c>
      <c r="G74" s="0" t="n">
        <v>21</v>
      </c>
      <c r="H74" s="0" t="n">
        <v>98</v>
      </c>
      <c r="I74" s="0" t="n">
        <v>3</v>
      </c>
      <c r="J74" s="0" t="n">
        <v>19</v>
      </c>
      <c r="K74" s="0" t="n">
        <v>0.9</v>
      </c>
    </row>
    <row r="75" customFormat="false" ht="13.5" hidden="false" customHeight="false" outlineLevel="0" collapsed="false">
      <c r="A75" s="0" t="s">
        <v>101</v>
      </c>
      <c r="B75" s="1" t="n">
        <v>43935</v>
      </c>
      <c r="C75" s="0" t="n">
        <v>137</v>
      </c>
      <c r="D75" s="0" t="n">
        <v>12</v>
      </c>
      <c r="E75" s="0" t="n">
        <v>6</v>
      </c>
      <c r="F75" s="0" t="n">
        <v>0</v>
      </c>
      <c r="G75" s="0" t="n">
        <v>22</v>
      </c>
      <c r="H75" s="0" t="n">
        <v>109</v>
      </c>
      <c r="I75" s="0" t="n">
        <v>2</v>
      </c>
      <c r="J75" s="0" t="n">
        <v>21</v>
      </c>
      <c r="K75" s="0" t="n">
        <v>0.9</v>
      </c>
      <c r="L75" s="0" t="n">
        <v>6729</v>
      </c>
      <c r="M75" s="0" t="n">
        <v>1037</v>
      </c>
    </row>
    <row r="76" customFormat="false" ht="13.5" hidden="false" customHeight="false" outlineLevel="0" collapsed="false">
      <c r="A76" s="0" t="s">
        <v>101</v>
      </c>
      <c r="B76" s="1" t="n">
        <v>43936</v>
      </c>
      <c r="C76" s="0" t="n">
        <v>149</v>
      </c>
      <c r="D76" s="0" t="n">
        <v>12</v>
      </c>
      <c r="E76" s="0" t="n">
        <v>6</v>
      </c>
      <c r="F76" s="0" t="n">
        <v>0</v>
      </c>
      <c r="G76" s="0" t="n">
        <v>25</v>
      </c>
      <c r="H76" s="0" t="n">
        <v>118</v>
      </c>
      <c r="I76" s="0" t="n">
        <v>2</v>
      </c>
      <c r="J76" s="0" t="n">
        <v>23</v>
      </c>
      <c r="K76" s="0" t="n">
        <v>0.9</v>
      </c>
      <c r="L76" s="0" t="n">
        <v>7230</v>
      </c>
      <c r="M76" s="0" t="n">
        <v>1115</v>
      </c>
    </row>
    <row r="77" customFormat="false" ht="13.5" hidden="false" customHeight="false" outlineLevel="0" collapsed="false">
      <c r="A77" s="0" t="s">
        <v>101</v>
      </c>
      <c r="B77" s="1" t="n">
        <v>43937</v>
      </c>
      <c r="C77" s="0" t="n">
        <v>159</v>
      </c>
      <c r="D77" s="0" t="n">
        <v>10</v>
      </c>
      <c r="E77" s="0" t="n">
        <v>6</v>
      </c>
      <c r="F77" s="0" t="n">
        <v>0</v>
      </c>
      <c r="G77" s="0" t="n">
        <v>30</v>
      </c>
      <c r="H77" s="0" t="n">
        <v>123</v>
      </c>
      <c r="I77" s="0" t="n">
        <v>2</v>
      </c>
      <c r="J77" s="0" t="n">
        <v>25</v>
      </c>
      <c r="K77" s="0" t="n">
        <v>0.9</v>
      </c>
      <c r="L77" s="0" t="n">
        <v>7785</v>
      </c>
      <c r="M77" s="0" t="n">
        <v>1200</v>
      </c>
    </row>
    <row r="78" customFormat="false" ht="13.5" hidden="false" customHeight="false" outlineLevel="0" collapsed="false">
      <c r="A78" s="0" t="s">
        <v>101</v>
      </c>
      <c r="B78" s="1" t="n">
        <v>43938</v>
      </c>
      <c r="C78" s="0" t="n">
        <v>164</v>
      </c>
      <c r="D78" s="0" t="n">
        <v>5</v>
      </c>
      <c r="E78" s="0" t="n">
        <v>6</v>
      </c>
      <c r="F78" s="0" t="n">
        <v>0</v>
      </c>
      <c r="G78" s="0" t="n">
        <v>33</v>
      </c>
      <c r="H78" s="0" t="n">
        <v>125</v>
      </c>
      <c r="I78" s="0" t="n">
        <v>2</v>
      </c>
      <c r="J78" s="0" t="n">
        <v>25</v>
      </c>
      <c r="K78" s="0" t="n">
        <v>0.9</v>
      </c>
      <c r="L78" s="0" t="n">
        <v>8333</v>
      </c>
      <c r="M78" s="0" t="n">
        <v>1285</v>
      </c>
    </row>
    <row r="79" customFormat="false" ht="13.5" hidden="false" customHeight="false" outlineLevel="0" collapsed="false">
      <c r="A79" s="0" t="s">
        <v>101</v>
      </c>
      <c r="B79" s="1" t="n">
        <v>43939</v>
      </c>
      <c r="C79" s="0" t="n">
        <v>177</v>
      </c>
      <c r="D79" s="0" t="n">
        <v>13</v>
      </c>
      <c r="E79" s="0" t="n">
        <v>7</v>
      </c>
      <c r="F79" s="0" t="n">
        <v>1</v>
      </c>
      <c r="G79" s="0" t="n">
        <v>38</v>
      </c>
      <c r="H79" s="0" t="n">
        <v>132</v>
      </c>
      <c r="I79" s="0" t="n">
        <v>2</v>
      </c>
      <c r="J79" s="0" t="n">
        <v>27</v>
      </c>
      <c r="K79" s="0" t="n">
        <v>1</v>
      </c>
      <c r="L79" s="0" t="n">
        <v>9267</v>
      </c>
      <c r="M79" s="0" t="n">
        <v>1429</v>
      </c>
    </row>
    <row r="80" customFormat="false" ht="13.5" hidden="false" customHeight="false" outlineLevel="0" collapsed="false">
      <c r="A80" s="0" t="s">
        <v>101</v>
      </c>
      <c r="B80" s="1" t="n">
        <v>43940</v>
      </c>
      <c r="C80" s="0" t="n">
        <v>190</v>
      </c>
      <c r="D80" s="0" t="n">
        <v>13</v>
      </c>
      <c r="E80" s="0" t="n">
        <v>7</v>
      </c>
      <c r="F80" s="0" t="n">
        <v>0</v>
      </c>
      <c r="G80" s="0" t="n">
        <v>43</v>
      </c>
      <c r="H80" s="0" t="n">
        <v>140</v>
      </c>
      <c r="I80" s="0" t="n">
        <v>1</v>
      </c>
      <c r="J80" s="0" t="n">
        <v>29</v>
      </c>
      <c r="K80" s="0" t="n">
        <v>1</v>
      </c>
      <c r="L80" s="0" t="n">
        <v>10191</v>
      </c>
      <c r="M80" s="0" t="n">
        <v>1571</v>
      </c>
    </row>
    <row r="81" customFormat="false" ht="13.5" hidden="false" customHeight="false" outlineLevel="0" collapsed="false">
      <c r="A81" s="0" t="s">
        <v>101</v>
      </c>
      <c r="B81" s="1" t="n">
        <v>43941</v>
      </c>
      <c r="C81" s="0" t="n">
        <v>201</v>
      </c>
      <c r="D81" s="0" t="n">
        <v>11</v>
      </c>
      <c r="E81" s="0" t="n">
        <v>7</v>
      </c>
      <c r="F81" s="0" t="n">
        <v>0</v>
      </c>
      <c r="G81" s="0" t="n">
        <v>44</v>
      </c>
      <c r="H81" s="0" t="n">
        <v>150</v>
      </c>
      <c r="I81" s="0" t="n">
        <v>1</v>
      </c>
      <c r="J81" s="0" t="n">
        <v>31</v>
      </c>
      <c r="K81" s="0" t="n">
        <v>1</v>
      </c>
      <c r="L81" s="0" t="n">
        <v>11160</v>
      </c>
      <c r="M81" s="0" t="n">
        <v>1721</v>
      </c>
    </row>
    <row r="82" customFormat="false" ht="13.5" hidden="false" customHeight="false" outlineLevel="0" collapsed="false">
      <c r="A82" s="0" t="s">
        <v>101</v>
      </c>
      <c r="B82" s="1" t="n">
        <v>43942</v>
      </c>
      <c r="C82" s="0" t="n">
        <v>218</v>
      </c>
      <c r="D82" s="0" t="n">
        <v>17</v>
      </c>
      <c r="E82" s="0" t="n">
        <v>7</v>
      </c>
      <c r="F82" s="0" t="n">
        <v>0</v>
      </c>
      <c r="G82" s="0" t="n">
        <v>46</v>
      </c>
      <c r="H82" s="0" t="n">
        <v>165</v>
      </c>
      <c r="I82" s="0" t="n">
        <v>2</v>
      </c>
      <c r="J82" s="0" t="n">
        <v>34</v>
      </c>
      <c r="K82" s="0" t="n">
        <v>1</v>
      </c>
      <c r="L82" s="0" t="n">
        <v>12210</v>
      </c>
      <c r="M82" s="0" t="n">
        <v>1882</v>
      </c>
    </row>
    <row r="83" customFormat="false" ht="13.5" hidden="false" customHeight="false" outlineLevel="0" collapsed="false">
      <c r="A83" s="0" t="s">
        <v>101</v>
      </c>
      <c r="B83" s="1" t="n">
        <v>43943</v>
      </c>
      <c r="C83" s="0" t="n">
        <v>225</v>
      </c>
      <c r="D83" s="0" t="n">
        <v>7</v>
      </c>
      <c r="E83" s="0" t="n">
        <v>7</v>
      </c>
      <c r="F83" s="0" t="n">
        <v>0</v>
      </c>
      <c r="G83" s="0" t="n">
        <v>48</v>
      </c>
      <c r="H83" s="0" t="n">
        <v>170</v>
      </c>
      <c r="I83" s="0" t="n">
        <v>2</v>
      </c>
      <c r="J83" s="0" t="n">
        <v>35</v>
      </c>
      <c r="K83" s="0" t="n">
        <v>1</v>
      </c>
      <c r="L83" s="0" t="n">
        <v>13352</v>
      </c>
      <c r="M83" s="0" t="n">
        <v>2059</v>
      </c>
    </row>
    <row r="84" customFormat="false" ht="13.5" hidden="false" customHeight="false" outlineLevel="0" collapsed="false">
      <c r="A84" s="0" t="s">
        <v>101</v>
      </c>
      <c r="B84" s="1" t="n">
        <v>43944</v>
      </c>
      <c r="C84" s="0" t="n">
        <v>237</v>
      </c>
      <c r="D84" s="0" t="n">
        <v>12</v>
      </c>
      <c r="E84" s="0" t="n">
        <v>7</v>
      </c>
      <c r="F84" s="0" t="n">
        <v>0</v>
      </c>
      <c r="G84" s="0" t="n">
        <v>63</v>
      </c>
      <c r="H84" s="0" t="n">
        <v>167</v>
      </c>
      <c r="I84" s="0" t="n">
        <v>3</v>
      </c>
      <c r="J84" s="0" t="n">
        <v>37</v>
      </c>
      <c r="K84" s="0" t="n">
        <v>1</v>
      </c>
      <c r="L84" s="0" t="n">
        <v>14375</v>
      </c>
      <c r="M84" s="0" t="n">
        <v>2216</v>
      </c>
    </row>
    <row r="85" customFormat="false" ht="13.5" hidden="false" customHeight="false" outlineLevel="0" collapsed="false">
      <c r="A85" s="0" t="s">
        <v>101</v>
      </c>
      <c r="B85" s="1" t="n">
        <v>43945</v>
      </c>
      <c r="C85" s="0" t="n">
        <v>250</v>
      </c>
      <c r="D85" s="0" t="n">
        <v>13</v>
      </c>
      <c r="E85" s="0" t="n">
        <v>8</v>
      </c>
      <c r="F85" s="0" t="n">
        <v>1</v>
      </c>
      <c r="G85" s="0" t="n">
        <v>67</v>
      </c>
      <c r="H85" s="0" t="n">
        <v>175</v>
      </c>
      <c r="I85" s="0" t="n">
        <v>2</v>
      </c>
      <c r="J85" s="0" t="n">
        <v>39</v>
      </c>
      <c r="K85" s="0" t="n">
        <v>1</v>
      </c>
      <c r="L85" s="0" t="n">
        <v>15385</v>
      </c>
      <c r="M85" s="0" t="n">
        <v>2372</v>
      </c>
    </row>
    <row r="86" customFormat="false" ht="13.5" hidden="false" customHeight="false" outlineLevel="0" collapsed="false">
      <c r="A86" s="0" t="s">
        <v>101</v>
      </c>
      <c r="B86" s="1" t="n">
        <v>43946</v>
      </c>
      <c r="C86" s="0" t="n">
        <v>261</v>
      </c>
      <c r="D86" s="0" t="n">
        <v>11</v>
      </c>
      <c r="E86" s="0" t="n">
        <v>8</v>
      </c>
      <c r="F86" s="0" t="n">
        <v>0</v>
      </c>
      <c r="G86" s="0" t="n">
        <v>72</v>
      </c>
      <c r="H86" s="0" t="n">
        <v>181</v>
      </c>
      <c r="I86" s="0" t="n">
        <v>2</v>
      </c>
      <c r="J86" s="0" t="n">
        <v>40</v>
      </c>
      <c r="K86" s="0" t="n">
        <v>1</v>
      </c>
      <c r="L86" s="0" t="n">
        <v>16418</v>
      </c>
      <c r="M86" s="0" t="n">
        <v>2531</v>
      </c>
    </row>
    <row r="87" customFormat="false" ht="13.5" hidden="false" customHeight="false" outlineLevel="0" collapsed="false">
      <c r="A87" s="0" t="s">
        <v>101</v>
      </c>
      <c r="B87" s="1" t="n">
        <v>43947</v>
      </c>
      <c r="C87" s="0" t="n">
        <v>274</v>
      </c>
      <c r="D87" s="0" t="n">
        <v>13</v>
      </c>
      <c r="E87" s="0" t="n">
        <v>8</v>
      </c>
      <c r="F87" s="0" t="n">
        <v>0</v>
      </c>
      <c r="G87" s="0" t="n">
        <v>75</v>
      </c>
      <c r="H87" s="0" t="n">
        <v>191</v>
      </c>
      <c r="I87" s="0" t="n">
        <v>2</v>
      </c>
      <c r="J87" s="0" t="n">
        <v>42</v>
      </c>
      <c r="K87" s="0" t="n">
        <v>1</v>
      </c>
      <c r="L87" s="0" t="n">
        <v>17423</v>
      </c>
      <c r="M87" s="0" t="n">
        <v>2686</v>
      </c>
    </row>
    <row r="88" customFormat="false" ht="13.5" hidden="false" customHeight="false" outlineLevel="0" collapsed="false">
      <c r="A88" s="0" t="s">
        <v>101</v>
      </c>
      <c r="B88" s="1" t="n">
        <v>43948</v>
      </c>
      <c r="C88" s="0" t="n">
        <v>298</v>
      </c>
      <c r="D88" s="0" t="n">
        <v>24</v>
      </c>
      <c r="E88" s="0" t="n">
        <v>8</v>
      </c>
      <c r="F88" s="0" t="n">
        <v>0</v>
      </c>
      <c r="G88" s="0" t="n">
        <v>83</v>
      </c>
      <c r="H88" s="0" t="n">
        <v>207</v>
      </c>
      <c r="I88" s="0" t="n">
        <v>4</v>
      </c>
      <c r="J88" s="0" t="n">
        <v>46</v>
      </c>
      <c r="K88" s="0" t="n">
        <v>1</v>
      </c>
      <c r="L88" s="0" t="n">
        <v>18686</v>
      </c>
      <c r="M88" s="0" t="n">
        <v>2881</v>
      </c>
    </row>
    <row r="89" customFormat="false" ht="13.5" hidden="false" customHeight="false" outlineLevel="0" collapsed="false">
      <c r="A89" s="0" t="s">
        <v>101</v>
      </c>
      <c r="B89" s="1" t="n">
        <v>43949</v>
      </c>
      <c r="C89" s="0" t="n">
        <v>323</v>
      </c>
      <c r="D89" s="0" t="n">
        <v>25</v>
      </c>
      <c r="E89" s="0" t="n">
        <v>8</v>
      </c>
      <c r="F89" s="0" t="n">
        <v>0</v>
      </c>
      <c r="G89" s="0" t="n">
        <v>89</v>
      </c>
      <c r="H89" s="0" t="n">
        <v>226</v>
      </c>
      <c r="I89" s="0" t="n">
        <v>4</v>
      </c>
      <c r="J89" s="0" t="n">
        <v>50</v>
      </c>
      <c r="K89" s="0" t="n">
        <v>1</v>
      </c>
      <c r="L89" s="0" t="n">
        <v>20109</v>
      </c>
      <c r="M89" s="0" t="n">
        <v>3100</v>
      </c>
    </row>
    <row r="90" customFormat="false" ht="13.5" hidden="false" customHeight="false" outlineLevel="0" collapsed="false">
      <c r="A90" s="0" t="s">
        <v>101</v>
      </c>
      <c r="B90" s="1" t="n">
        <v>43950</v>
      </c>
      <c r="C90" s="0" t="n">
        <v>345</v>
      </c>
      <c r="D90" s="0" t="n">
        <v>22</v>
      </c>
      <c r="E90" s="0" t="n">
        <v>8</v>
      </c>
      <c r="F90" s="0" t="n">
        <v>0</v>
      </c>
      <c r="G90" s="0" t="n">
        <v>97</v>
      </c>
      <c r="H90" s="0" t="n">
        <v>240</v>
      </c>
      <c r="I90" s="0" t="n">
        <v>4</v>
      </c>
      <c r="J90" s="0" t="n">
        <v>53</v>
      </c>
      <c r="K90" s="0" t="n">
        <v>1</v>
      </c>
      <c r="L90" s="0" t="n">
        <v>21364</v>
      </c>
      <c r="M90" s="0" t="n">
        <v>3294</v>
      </c>
    </row>
    <row r="91" customFormat="false" ht="13.5" hidden="false" customHeight="false" outlineLevel="0" collapsed="false">
      <c r="A91" s="0" t="s">
        <v>101</v>
      </c>
      <c r="B91" s="1" t="n">
        <v>43951</v>
      </c>
      <c r="C91" s="0" t="n">
        <v>377</v>
      </c>
      <c r="D91" s="0" t="n">
        <v>32</v>
      </c>
      <c r="E91" s="0" t="n">
        <v>9</v>
      </c>
      <c r="F91" s="0" t="n">
        <v>1</v>
      </c>
      <c r="G91" s="0" t="n">
        <v>106</v>
      </c>
      <c r="H91" s="0" t="n">
        <v>262</v>
      </c>
      <c r="I91" s="0" t="n">
        <v>3</v>
      </c>
      <c r="J91" s="0" t="n">
        <v>58</v>
      </c>
      <c r="K91" s="0" t="n">
        <v>1</v>
      </c>
      <c r="L91" s="0" t="n">
        <v>22593</v>
      </c>
      <c r="M91" s="0" t="n">
        <v>3483</v>
      </c>
    </row>
    <row r="92" customFormat="false" ht="13.5" hidden="false" customHeight="false" outlineLevel="0" collapsed="false">
      <c r="A92" s="0" t="s">
        <v>101</v>
      </c>
      <c r="B92" s="1" t="n">
        <v>43952</v>
      </c>
      <c r="C92" s="0" t="n">
        <v>377</v>
      </c>
      <c r="D92" s="0" t="n">
        <v>0</v>
      </c>
      <c r="E92" s="0" t="n">
        <v>9</v>
      </c>
      <c r="F92" s="0" t="n">
        <v>0</v>
      </c>
      <c r="G92" s="0" t="n">
        <v>106</v>
      </c>
      <c r="H92" s="0" t="n">
        <v>262</v>
      </c>
      <c r="I92" s="0" t="n">
        <v>3</v>
      </c>
      <c r="J92" s="0" t="n">
        <v>58</v>
      </c>
      <c r="K92" s="0" t="n">
        <v>1</v>
      </c>
      <c r="L92" s="0" t="n">
        <v>22593</v>
      </c>
      <c r="M92" s="0" t="n">
        <v>3483</v>
      </c>
    </row>
    <row r="93" customFormat="false" ht="13.5" hidden="false" customHeight="false" outlineLevel="0" collapsed="false">
      <c r="A93" s="0" t="s">
        <v>101</v>
      </c>
      <c r="B93" s="1" t="n">
        <v>43953</v>
      </c>
      <c r="C93" s="0" t="n">
        <v>424</v>
      </c>
      <c r="D93" s="0" t="n">
        <v>47</v>
      </c>
      <c r="E93" s="0" t="n">
        <v>10</v>
      </c>
      <c r="F93" s="0" t="n">
        <v>1</v>
      </c>
      <c r="G93" s="0" t="n">
        <v>124</v>
      </c>
      <c r="H93" s="0" t="n">
        <v>290</v>
      </c>
      <c r="I93" s="0" t="n">
        <v>2</v>
      </c>
      <c r="J93" s="0" t="n">
        <v>65</v>
      </c>
      <c r="K93" s="0" t="n">
        <v>2</v>
      </c>
      <c r="L93" s="0" t="n">
        <v>25492</v>
      </c>
      <c r="M93" s="0" t="n">
        <v>3930</v>
      </c>
    </row>
    <row r="94" customFormat="false" ht="13.5" hidden="false" customHeight="false" outlineLevel="0" collapsed="false">
      <c r="A94" s="0" t="s">
        <v>101</v>
      </c>
      <c r="B94" s="1" t="n">
        <v>43954</v>
      </c>
      <c r="C94" s="0" t="n">
        <v>446</v>
      </c>
      <c r="D94" s="0" t="n">
        <v>22</v>
      </c>
      <c r="E94" s="0" t="n">
        <v>10</v>
      </c>
      <c r="F94" s="0" t="n">
        <v>0</v>
      </c>
      <c r="G94" s="0" t="n">
        <v>141</v>
      </c>
      <c r="H94" s="0" t="n">
        <v>295</v>
      </c>
      <c r="I94" s="0" t="n">
        <v>2</v>
      </c>
      <c r="J94" s="0" t="n">
        <v>69</v>
      </c>
      <c r="K94" s="0" t="n">
        <v>2</v>
      </c>
      <c r="L94" s="0" t="n">
        <v>26961</v>
      </c>
      <c r="M94" s="0" t="n">
        <v>4157</v>
      </c>
    </row>
    <row r="95" customFormat="false" ht="13.5" hidden="false" customHeight="false" outlineLevel="0" collapsed="false">
      <c r="A95" s="0" t="s">
        <v>101</v>
      </c>
      <c r="B95" s="1" t="n">
        <v>43955</v>
      </c>
      <c r="C95" s="0" t="n">
        <v>490</v>
      </c>
      <c r="D95" s="0" t="n">
        <v>44</v>
      </c>
      <c r="E95" s="0" t="n">
        <v>11</v>
      </c>
      <c r="F95" s="0" t="n">
        <v>1</v>
      </c>
      <c r="G95" s="0" t="n">
        <v>154</v>
      </c>
      <c r="H95" s="0" t="n">
        <v>325</v>
      </c>
      <c r="I95" s="0" t="n">
        <v>3</v>
      </c>
      <c r="J95" s="0" t="n">
        <v>76</v>
      </c>
      <c r="K95" s="0" t="n">
        <v>2</v>
      </c>
      <c r="L95" s="0" t="n">
        <v>28596</v>
      </c>
      <c r="M95" s="0" t="n">
        <v>4409</v>
      </c>
    </row>
    <row r="96" customFormat="false" ht="13.5" hidden="false" customHeight="false" outlineLevel="0" collapsed="false">
      <c r="A96" s="0" t="s">
        <v>101</v>
      </c>
      <c r="B96" s="1" t="n">
        <v>43956</v>
      </c>
      <c r="C96" s="0" t="n">
        <v>555</v>
      </c>
      <c r="D96" s="0" t="n">
        <v>65</v>
      </c>
      <c r="E96" s="0" t="n">
        <v>13</v>
      </c>
      <c r="F96" s="0" t="n">
        <v>2</v>
      </c>
      <c r="G96" s="0" t="n">
        <v>180</v>
      </c>
      <c r="H96" s="0" t="n">
        <v>362</v>
      </c>
      <c r="I96" s="0" t="n">
        <v>3</v>
      </c>
      <c r="J96" s="0" t="n">
        <v>86</v>
      </c>
      <c r="K96" s="0" t="n">
        <v>2</v>
      </c>
      <c r="L96" s="0" t="n">
        <v>30387</v>
      </c>
      <c r="M96" s="0" t="n">
        <v>4685</v>
      </c>
    </row>
    <row r="97" customFormat="false" ht="13.5" hidden="false" customHeight="false" outlineLevel="0" collapsed="false">
      <c r="A97" s="0" t="s">
        <v>101</v>
      </c>
      <c r="B97" s="1" t="n">
        <v>43957</v>
      </c>
      <c r="C97" s="0" t="n">
        <v>587</v>
      </c>
      <c r="D97" s="0" t="n">
        <v>32</v>
      </c>
      <c r="E97" s="0" t="n">
        <v>13</v>
      </c>
      <c r="F97" s="0" t="n">
        <v>0</v>
      </c>
      <c r="G97" s="0" t="n">
        <v>201</v>
      </c>
      <c r="H97" s="0" t="n">
        <v>373</v>
      </c>
      <c r="I97" s="0" t="n">
        <v>3</v>
      </c>
      <c r="J97" s="0" t="n">
        <v>90</v>
      </c>
      <c r="K97" s="0" t="n">
        <v>2</v>
      </c>
      <c r="L97" s="0" t="n">
        <v>30387</v>
      </c>
      <c r="M97" s="0" t="n">
        <v>4685</v>
      </c>
    </row>
    <row r="98" customFormat="false" ht="13.5" hidden="false" customHeight="false" outlineLevel="0" collapsed="false">
      <c r="A98" s="0" t="s">
        <v>101</v>
      </c>
      <c r="B98" s="1" t="n">
        <v>43958</v>
      </c>
      <c r="C98" s="0" t="n">
        <v>633</v>
      </c>
      <c r="D98" s="0" t="n">
        <v>46</v>
      </c>
      <c r="E98" s="0" t="n">
        <v>15</v>
      </c>
      <c r="F98" s="0" t="n">
        <v>2</v>
      </c>
      <c r="G98" s="0" t="n">
        <v>219</v>
      </c>
      <c r="H98" s="0" t="n">
        <v>399</v>
      </c>
      <c r="I98" s="0" t="n">
        <v>4</v>
      </c>
      <c r="J98" s="0" t="n">
        <v>98</v>
      </c>
      <c r="K98" s="0" t="n">
        <v>2</v>
      </c>
      <c r="L98" s="0" t="n">
        <v>33628</v>
      </c>
      <c r="M98" s="0" t="n">
        <v>5185</v>
      </c>
    </row>
    <row r="99" customFormat="false" ht="13.5" hidden="false" customHeight="false" outlineLevel="0" collapsed="false">
      <c r="A99" s="0" t="s">
        <v>101</v>
      </c>
      <c r="B99" s="1" t="n">
        <v>43959</v>
      </c>
      <c r="C99" s="0" t="n">
        <v>695</v>
      </c>
      <c r="D99" s="0" t="n">
        <v>62</v>
      </c>
      <c r="E99" s="0" t="n">
        <v>15</v>
      </c>
      <c r="F99" s="0" t="n">
        <v>0</v>
      </c>
      <c r="G99" s="0" t="n">
        <v>245</v>
      </c>
      <c r="H99" s="0" t="n">
        <v>435</v>
      </c>
      <c r="I99" s="0" t="n">
        <v>4</v>
      </c>
      <c r="J99" s="0" t="n">
        <v>107</v>
      </c>
      <c r="K99" s="0" t="n">
        <v>2</v>
      </c>
      <c r="L99" s="0" t="n">
        <v>35411</v>
      </c>
      <c r="M99" s="0" t="n">
        <v>5459</v>
      </c>
    </row>
    <row r="100" customFormat="false" ht="13.5" hidden="false" customHeight="false" outlineLevel="0" collapsed="false">
      <c r="A100" s="0" t="s">
        <v>101</v>
      </c>
      <c r="B100" s="1" t="n">
        <v>43960</v>
      </c>
      <c r="C100" s="0" t="n">
        <v>742</v>
      </c>
      <c r="D100" s="0" t="n">
        <v>47</v>
      </c>
      <c r="E100" s="0" t="n">
        <v>16</v>
      </c>
      <c r="F100" s="0" t="n">
        <v>1</v>
      </c>
      <c r="G100" s="0" t="n">
        <v>257</v>
      </c>
      <c r="H100" s="0" t="n">
        <v>469</v>
      </c>
      <c r="I100" s="0" t="n">
        <v>4</v>
      </c>
      <c r="J100" s="0" t="n">
        <v>114</v>
      </c>
      <c r="K100" s="0" t="n">
        <v>2</v>
      </c>
      <c r="L100" s="0" t="n">
        <v>37306</v>
      </c>
      <c r="M100" s="0" t="n">
        <v>5752</v>
      </c>
    </row>
    <row r="101" customFormat="false" ht="13.5" hidden="false" customHeight="false" outlineLevel="0" collapsed="false">
      <c r="A101" s="0" t="s">
        <v>101</v>
      </c>
      <c r="B101" s="1" t="n">
        <v>43961</v>
      </c>
      <c r="C101" s="0" t="n">
        <v>784</v>
      </c>
      <c r="D101" s="0" t="n">
        <v>42</v>
      </c>
      <c r="E101" s="0" t="n">
        <v>17</v>
      </c>
      <c r="F101" s="0" t="n">
        <v>1</v>
      </c>
      <c r="G101" s="0" t="n">
        <v>276</v>
      </c>
      <c r="H101" s="0" t="n">
        <v>491</v>
      </c>
      <c r="I101" s="0" t="n">
        <v>4</v>
      </c>
      <c r="J101" s="0" t="n">
        <v>121</v>
      </c>
      <c r="K101" s="0" t="n">
        <v>3</v>
      </c>
      <c r="L101" s="0" t="n">
        <v>39079</v>
      </c>
      <c r="M101" s="0" t="n">
        <v>6025</v>
      </c>
    </row>
    <row r="102" customFormat="false" ht="13.5" hidden="false" customHeight="false" outlineLevel="0" collapsed="false">
      <c r="A102" s="0" t="s">
        <v>101</v>
      </c>
      <c r="B102" s="1" t="n">
        <v>43962</v>
      </c>
      <c r="C102" s="0" t="n">
        <v>889</v>
      </c>
      <c r="D102" s="0" t="n">
        <v>105</v>
      </c>
      <c r="E102" s="0" t="n">
        <v>17</v>
      </c>
      <c r="F102" s="0" t="n">
        <v>0</v>
      </c>
      <c r="G102" s="0" t="n">
        <v>293</v>
      </c>
      <c r="H102" s="0" t="n">
        <v>579</v>
      </c>
      <c r="I102" s="0" t="n">
        <v>4</v>
      </c>
      <c r="J102" s="0" t="n">
        <v>137</v>
      </c>
      <c r="K102" s="0" t="n">
        <v>3</v>
      </c>
      <c r="L102" s="0" t="n">
        <v>41090</v>
      </c>
      <c r="M102" s="0" t="n">
        <v>6335</v>
      </c>
    </row>
    <row r="103" customFormat="false" ht="13.5" hidden="false" customHeight="false" outlineLevel="0" collapsed="false">
      <c r="A103" s="0" t="s">
        <v>101</v>
      </c>
      <c r="B103" s="1" t="n">
        <v>43963</v>
      </c>
      <c r="C103" s="0" t="n">
        <v>958</v>
      </c>
      <c r="D103" s="0" t="n">
        <v>69</v>
      </c>
      <c r="E103" s="0" t="n">
        <v>18</v>
      </c>
      <c r="F103" s="0" t="n">
        <v>1</v>
      </c>
      <c r="G103" s="0" t="n">
        <v>325</v>
      </c>
      <c r="H103" s="0" t="n">
        <v>615</v>
      </c>
      <c r="I103" s="0" t="n">
        <v>4</v>
      </c>
      <c r="J103" s="0" t="n">
        <v>148</v>
      </c>
      <c r="K103" s="0" t="n">
        <v>3</v>
      </c>
      <c r="L103" s="0" t="n">
        <v>43043</v>
      </c>
      <c r="M103" s="0" t="n">
        <v>6636</v>
      </c>
    </row>
    <row r="104" customFormat="false" ht="13.5" hidden="false" customHeight="false" outlineLevel="0" collapsed="false">
      <c r="A104" s="0" t="s">
        <v>101</v>
      </c>
      <c r="B104" s="1" t="n">
        <v>43964</v>
      </c>
      <c r="C104" s="0" t="n">
        <v>998</v>
      </c>
      <c r="D104" s="0" t="n">
        <v>40</v>
      </c>
      <c r="E104" s="0" t="n">
        <v>18</v>
      </c>
      <c r="F104" s="0" t="n">
        <v>0</v>
      </c>
      <c r="G104" s="0" t="n">
        <v>349</v>
      </c>
      <c r="H104" s="0" t="n">
        <v>631</v>
      </c>
      <c r="I104" s="0" t="n">
        <v>15</v>
      </c>
      <c r="J104" s="0" t="n">
        <v>154</v>
      </c>
      <c r="K104" s="0" t="n">
        <v>3</v>
      </c>
      <c r="L104" s="0" t="n">
        <v>44926</v>
      </c>
      <c r="M104" s="0" t="n">
        <v>6926</v>
      </c>
    </row>
    <row r="105" customFormat="false" ht="13.5" hidden="false" customHeight="false" outlineLevel="0" collapsed="false">
      <c r="A105" s="0" t="s">
        <v>101</v>
      </c>
      <c r="B105" s="1" t="n">
        <v>43965</v>
      </c>
      <c r="C105" s="0" t="n">
        <v>1037</v>
      </c>
      <c r="D105" s="0" t="n">
        <v>39</v>
      </c>
      <c r="E105" s="0" t="n">
        <v>20</v>
      </c>
      <c r="F105" s="0" t="n">
        <v>2</v>
      </c>
      <c r="G105" s="0" t="n">
        <v>374</v>
      </c>
      <c r="H105" s="0" t="n">
        <v>643</v>
      </c>
      <c r="I105" s="0" t="n">
        <v>15</v>
      </c>
      <c r="J105" s="0" t="n">
        <v>160</v>
      </c>
      <c r="K105" s="0" t="n">
        <v>3</v>
      </c>
      <c r="L105" s="0" t="n">
        <v>46831</v>
      </c>
      <c r="M105" s="0" t="n">
        <v>7220</v>
      </c>
    </row>
    <row r="106" customFormat="false" ht="13.5" hidden="false" customHeight="false" outlineLevel="0" collapsed="false">
      <c r="A106" s="0" t="s">
        <v>101</v>
      </c>
      <c r="B106" s="1" t="n">
        <v>43966</v>
      </c>
      <c r="C106" s="0" t="n">
        <v>1112</v>
      </c>
      <c r="D106" s="0" t="n">
        <v>75</v>
      </c>
      <c r="E106" s="0" t="n">
        <v>20</v>
      </c>
      <c r="F106" s="0" t="n">
        <v>0</v>
      </c>
      <c r="G106" s="0" t="n">
        <v>405</v>
      </c>
      <c r="H106" s="0" t="n">
        <v>687</v>
      </c>
      <c r="I106" s="0" t="n">
        <v>19</v>
      </c>
      <c r="J106" s="0" t="n">
        <v>171</v>
      </c>
      <c r="K106" s="0" t="n">
        <v>3</v>
      </c>
      <c r="L106" s="0" t="n">
        <v>48913</v>
      </c>
      <c r="M106" s="0" t="n">
        <v>7541</v>
      </c>
    </row>
    <row r="107" customFormat="false" ht="13.5" hidden="false" customHeight="false" outlineLevel="0" collapsed="false">
      <c r="A107" s="0" t="s">
        <v>101</v>
      </c>
      <c r="B107" s="1" t="n">
        <v>43967</v>
      </c>
      <c r="C107" s="0" t="n">
        <v>1210</v>
      </c>
      <c r="D107" s="0" t="n">
        <v>98</v>
      </c>
      <c r="E107" s="0" t="n">
        <v>23</v>
      </c>
      <c r="F107" s="0" t="n">
        <v>3</v>
      </c>
      <c r="G107" s="0" t="n">
        <v>416</v>
      </c>
      <c r="H107" s="0" t="n">
        <v>771</v>
      </c>
      <c r="I107" s="0" t="n">
        <v>19</v>
      </c>
      <c r="J107" s="0" t="n">
        <v>187</v>
      </c>
      <c r="K107" s="0" t="n">
        <v>4</v>
      </c>
      <c r="L107" s="0" t="n">
        <v>51142</v>
      </c>
      <c r="M107" s="0" t="n">
        <v>7890</v>
      </c>
    </row>
    <row r="108" customFormat="false" ht="13.5" hidden="false" customHeight="false" outlineLevel="0" collapsed="false">
      <c r="A108" s="0" t="s">
        <v>101</v>
      </c>
      <c r="B108" s="1" t="n">
        <v>43968</v>
      </c>
      <c r="C108" s="0" t="n">
        <v>1265</v>
      </c>
      <c r="D108" s="0" t="n">
        <v>55</v>
      </c>
      <c r="E108" s="0" t="n">
        <v>26</v>
      </c>
      <c r="F108" s="0" t="n">
        <v>3</v>
      </c>
      <c r="G108" s="0" t="n">
        <v>441</v>
      </c>
      <c r="H108" s="0" t="n">
        <v>798</v>
      </c>
      <c r="I108" s="0" t="n">
        <v>18</v>
      </c>
      <c r="J108" s="0" t="n">
        <v>195</v>
      </c>
      <c r="K108" s="0" t="n">
        <v>4</v>
      </c>
      <c r="L108" s="0" t="n">
        <v>53412</v>
      </c>
      <c r="M108" s="0" t="n">
        <v>8240</v>
      </c>
    </row>
    <row r="109" customFormat="false" ht="13.5" hidden="false" customHeight="false" outlineLevel="0" collapsed="false">
      <c r="A109" s="0" t="s">
        <v>101</v>
      </c>
      <c r="B109" s="1" t="n">
        <v>43969</v>
      </c>
      <c r="C109" s="0" t="n">
        <v>1338</v>
      </c>
      <c r="D109" s="0" t="n">
        <v>73</v>
      </c>
      <c r="E109" s="0" t="n">
        <v>27</v>
      </c>
      <c r="F109" s="0" t="n">
        <v>1</v>
      </c>
      <c r="G109" s="0" t="n">
        <v>462</v>
      </c>
      <c r="H109" s="0" t="n">
        <v>849</v>
      </c>
      <c r="I109" s="0" t="n">
        <v>23</v>
      </c>
      <c r="J109" s="0" t="n">
        <v>206</v>
      </c>
      <c r="K109" s="0" t="n">
        <v>4</v>
      </c>
      <c r="L109" s="0" t="n">
        <v>55694</v>
      </c>
      <c r="M109" s="0" t="n">
        <v>8592</v>
      </c>
    </row>
    <row r="110" customFormat="false" ht="13.5" hidden="false" customHeight="false" outlineLevel="0" collapsed="false">
      <c r="A110" s="0" t="s">
        <v>101</v>
      </c>
      <c r="B110" s="1" t="n">
        <v>43970</v>
      </c>
      <c r="C110" s="0" t="n">
        <v>1413</v>
      </c>
      <c r="D110" s="0" t="n">
        <v>75</v>
      </c>
      <c r="E110" s="0" t="n">
        <v>30</v>
      </c>
      <c r="F110" s="0" t="n">
        <v>3</v>
      </c>
      <c r="G110" s="0" t="n">
        <v>474</v>
      </c>
      <c r="H110" s="0" t="n">
        <v>909</v>
      </c>
      <c r="I110" s="0" t="n">
        <v>21</v>
      </c>
      <c r="J110" s="0" t="n">
        <v>218</v>
      </c>
      <c r="K110" s="0" t="n">
        <v>5</v>
      </c>
      <c r="L110" s="0" t="n">
        <v>57883</v>
      </c>
      <c r="M110" s="0" t="n">
        <v>8929</v>
      </c>
    </row>
    <row r="111" customFormat="false" ht="13.5" hidden="false" customHeight="false" outlineLevel="0" collapsed="false">
      <c r="A111" s="0" t="s">
        <v>101</v>
      </c>
      <c r="B111" s="1" t="n">
        <v>43971</v>
      </c>
      <c r="C111" s="0" t="n">
        <v>1498</v>
      </c>
      <c r="D111" s="0" t="n">
        <v>85</v>
      </c>
      <c r="E111" s="0" t="n">
        <v>30</v>
      </c>
      <c r="F111" s="0" t="n">
        <v>0</v>
      </c>
      <c r="G111" s="0" t="n">
        <v>502</v>
      </c>
      <c r="H111" s="0" t="n">
        <v>966</v>
      </c>
      <c r="I111" s="0" t="n">
        <v>27</v>
      </c>
      <c r="J111" s="0" t="n">
        <v>231</v>
      </c>
      <c r="K111" s="0" t="n">
        <v>5</v>
      </c>
      <c r="L111" s="0" t="n">
        <v>60341</v>
      </c>
      <c r="M111" s="0" t="n">
        <v>9308</v>
      </c>
    </row>
    <row r="112" customFormat="false" ht="13.5" hidden="false" customHeight="false" outlineLevel="0" collapsed="false">
      <c r="A112" s="0" t="s">
        <v>101</v>
      </c>
      <c r="B112" s="1" t="n">
        <v>43972</v>
      </c>
      <c r="C112" s="0" t="n">
        <v>1571</v>
      </c>
      <c r="D112" s="0" t="n">
        <v>73</v>
      </c>
      <c r="E112" s="0" t="n">
        <v>31</v>
      </c>
      <c r="F112" s="0" t="n">
        <v>1</v>
      </c>
      <c r="G112" s="0" t="n">
        <v>531</v>
      </c>
      <c r="H112" s="0" t="n">
        <v>1009</v>
      </c>
      <c r="I112" s="0" t="n">
        <v>27</v>
      </c>
      <c r="J112" s="0" t="n">
        <v>242</v>
      </c>
      <c r="K112" s="0" t="n">
        <v>5</v>
      </c>
      <c r="L112" s="0" t="n">
        <v>62838</v>
      </c>
      <c r="M112" s="0" t="n">
        <v>9694</v>
      </c>
    </row>
    <row r="113" customFormat="false" ht="13.5" hidden="false" customHeight="false" outlineLevel="0" collapsed="false">
      <c r="A113" s="0" t="s">
        <v>101</v>
      </c>
      <c r="B113" s="1" t="n">
        <v>43973</v>
      </c>
      <c r="C113" s="0" t="n">
        <v>1640</v>
      </c>
      <c r="D113" s="0" t="n">
        <v>69</v>
      </c>
      <c r="E113" s="0" t="n">
        <v>32</v>
      </c>
      <c r="F113" s="0" t="n">
        <v>1</v>
      </c>
      <c r="G113" s="0" t="n">
        <v>540</v>
      </c>
      <c r="H113" s="0" t="n">
        <v>1068</v>
      </c>
      <c r="I113" s="0" t="n">
        <v>26</v>
      </c>
      <c r="J113" s="0" t="n">
        <v>253</v>
      </c>
      <c r="K113" s="0" t="n">
        <v>5</v>
      </c>
      <c r="L113" s="0" t="n">
        <v>65226</v>
      </c>
      <c r="M113" s="0" t="n">
        <v>10062</v>
      </c>
    </row>
    <row r="114" customFormat="false" ht="13.5" hidden="false" customHeight="false" outlineLevel="0" collapsed="false">
      <c r="A114" s="0" t="s">
        <v>101</v>
      </c>
      <c r="B114" s="1" t="n">
        <v>43974</v>
      </c>
      <c r="C114" s="0" t="n">
        <v>1725</v>
      </c>
      <c r="D114" s="0" t="n">
        <v>85</v>
      </c>
      <c r="E114" s="0" t="n">
        <v>33</v>
      </c>
      <c r="F114" s="0" t="n">
        <v>1</v>
      </c>
      <c r="G114" s="0" t="n">
        <v>562</v>
      </c>
      <c r="H114" s="0" t="n">
        <v>1130</v>
      </c>
      <c r="I114" s="0" t="n">
        <v>26</v>
      </c>
      <c r="J114" s="0" t="n">
        <v>266</v>
      </c>
      <c r="K114" s="0" t="n">
        <v>5</v>
      </c>
      <c r="L114" s="0" t="n">
        <v>67663</v>
      </c>
      <c r="M114" s="0" t="n">
        <v>10438</v>
      </c>
    </row>
    <row r="115" customFormat="false" ht="13.5" hidden="false" customHeight="false" outlineLevel="0" collapsed="false">
      <c r="A115" s="0" t="s">
        <v>101</v>
      </c>
      <c r="B115" s="1" t="n">
        <v>43975</v>
      </c>
      <c r="C115" s="0" t="n">
        <v>1819</v>
      </c>
      <c r="D115" s="0" t="n">
        <v>94</v>
      </c>
      <c r="E115" s="0" t="n">
        <v>33</v>
      </c>
      <c r="F115" s="0" t="n">
        <v>0</v>
      </c>
      <c r="G115" s="0" t="n">
        <v>570</v>
      </c>
      <c r="H115" s="0" t="n">
        <v>1216</v>
      </c>
      <c r="I115" s="0" t="n">
        <v>25</v>
      </c>
      <c r="J115" s="0" t="n">
        <v>281</v>
      </c>
      <c r="K115" s="0" t="n">
        <v>5</v>
      </c>
      <c r="L115" s="0" t="n">
        <v>70225</v>
      </c>
      <c r="M115" s="0" t="n">
        <v>10833</v>
      </c>
    </row>
    <row r="116" customFormat="false" ht="13.5" hidden="false" customHeight="false" outlineLevel="0" collapsed="false">
      <c r="A116" s="0" t="s">
        <v>101</v>
      </c>
      <c r="B116" s="1" t="n">
        <v>43976</v>
      </c>
      <c r="C116" s="0" t="n">
        <v>1915</v>
      </c>
      <c r="D116" s="0" t="n">
        <v>96</v>
      </c>
      <c r="E116" s="0" t="n">
        <v>35</v>
      </c>
      <c r="F116" s="0" t="n">
        <v>2</v>
      </c>
      <c r="G116" s="0" t="n">
        <v>594</v>
      </c>
      <c r="H116" s="0" t="n">
        <v>1286</v>
      </c>
      <c r="I116" s="0" t="n">
        <v>25</v>
      </c>
      <c r="J116" s="0" t="n">
        <v>295</v>
      </c>
      <c r="K116" s="0" t="n">
        <v>5</v>
      </c>
      <c r="L116" s="0" t="n">
        <v>72616</v>
      </c>
      <c r="M116" s="0" t="n">
        <v>11201</v>
      </c>
    </row>
    <row r="117" customFormat="false" ht="13.5" hidden="false" customHeight="false" outlineLevel="0" collapsed="false">
      <c r="A117" s="0" t="s">
        <v>101</v>
      </c>
      <c r="B117" s="1" t="n">
        <v>43977</v>
      </c>
      <c r="C117" s="0" t="n">
        <v>1983</v>
      </c>
      <c r="D117" s="0" t="n">
        <v>68</v>
      </c>
      <c r="E117" s="0" t="n">
        <v>35</v>
      </c>
      <c r="F117" s="0" t="n">
        <v>0</v>
      </c>
      <c r="G117" s="0" t="n">
        <v>698</v>
      </c>
      <c r="H117" s="0" t="n">
        <v>1250</v>
      </c>
      <c r="I117" s="0" t="n">
        <v>25</v>
      </c>
      <c r="J117" s="0" t="n">
        <v>306</v>
      </c>
      <c r="K117" s="0" t="n">
        <v>5</v>
      </c>
      <c r="L117" s="0" t="n">
        <v>75146</v>
      </c>
      <c r="M117" s="0" t="n">
        <v>11591</v>
      </c>
    </row>
    <row r="118" customFormat="false" ht="13.5" hidden="false" customHeight="false" outlineLevel="0" collapsed="false">
      <c r="A118" s="0" t="s">
        <v>101</v>
      </c>
      <c r="B118" s="1" t="n">
        <v>43978</v>
      </c>
      <c r="C118" s="0" t="n">
        <v>2042</v>
      </c>
      <c r="D118" s="0" t="n">
        <v>59</v>
      </c>
      <c r="E118" s="0" t="n">
        <v>36</v>
      </c>
      <c r="F118" s="0" t="n">
        <v>1</v>
      </c>
      <c r="G118" s="0" t="n">
        <v>787</v>
      </c>
      <c r="H118" s="0" t="n">
        <v>1219</v>
      </c>
      <c r="I118" s="0" t="n">
        <v>25</v>
      </c>
      <c r="J118" s="0" t="n">
        <v>315</v>
      </c>
      <c r="K118" s="0" t="n">
        <v>6</v>
      </c>
      <c r="L118" s="0" t="n">
        <v>77482</v>
      </c>
      <c r="M118" s="0" t="n">
        <v>11952</v>
      </c>
    </row>
    <row r="119" customFormat="false" ht="13.5" hidden="false" customHeight="false" outlineLevel="0" collapsed="false">
      <c r="A119" s="0" t="s">
        <v>101</v>
      </c>
      <c r="B119" s="1" t="n">
        <v>43979</v>
      </c>
      <c r="C119" s="0" t="n">
        <v>2109</v>
      </c>
      <c r="D119" s="0" t="n">
        <v>67</v>
      </c>
      <c r="E119" s="0" t="n">
        <v>37</v>
      </c>
      <c r="F119" s="0" t="n">
        <v>1</v>
      </c>
      <c r="G119" s="0" t="n">
        <v>873</v>
      </c>
      <c r="H119" s="0" t="n">
        <v>1199</v>
      </c>
      <c r="I119" s="0" t="n">
        <v>29</v>
      </c>
      <c r="J119" s="0" t="n">
        <v>325</v>
      </c>
      <c r="K119" s="0" t="n">
        <v>6</v>
      </c>
      <c r="L119" s="0" t="n">
        <v>79711</v>
      </c>
      <c r="M119" s="0" t="n">
        <v>12295</v>
      </c>
    </row>
    <row r="120" customFormat="false" ht="13.5" hidden="false" customHeight="false" outlineLevel="0" collapsed="false">
      <c r="A120" s="0" t="s">
        <v>101</v>
      </c>
      <c r="B120" s="1" t="n">
        <v>43980</v>
      </c>
      <c r="C120" s="0" t="n">
        <v>2194</v>
      </c>
      <c r="D120" s="0" t="n">
        <v>85</v>
      </c>
      <c r="E120" s="0" t="n">
        <v>39</v>
      </c>
      <c r="F120" s="0" t="n">
        <v>2</v>
      </c>
      <c r="G120" s="0" t="n">
        <v>1002</v>
      </c>
      <c r="H120" s="0" t="n">
        <v>1153</v>
      </c>
      <c r="I120" s="0" t="n">
        <v>32</v>
      </c>
      <c r="J120" s="0" t="n">
        <v>338</v>
      </c>
      <c r="K120" s="0" t="n">
        <v>6</v>
      </c>
      <c r="L120" s="0" t="n">
        <v>82243</v>
      </c>
      <c r="M120" s="0" t="n">
        <v>12686</v>
      </c>
    </row>
    <row r="121" customFormat="false" ht="13.5" hidden="false" customHeight="false" outlineLevel="0" collapsed="false">
      <c r="A121" s="0" t="s">
        <v>101</v>
      </c>
      <c r="B121" s="1" t="n">
        <v>43981</v>
      </c>
      <c r="C121" s="0" t="n">
        <v>2278</v>
      </c>
      <c r="D121" s="0" t="n">
        <v>84</v>
      </c>
      <c r="E121" s="0" t="n">
        <v>42</v>
      </c>
      <c r="F121" s="0" t="n">
        <v>3</v>
      </c>
      <c r="G121" s="0" t="n">
        <v>1015</v>
      </c>
      <c r="H121" s="0" t="n">
        <v>1221</v>
      </c>
      <c r="I121" s="0" t="n">
        <v>30</v>
      </c>
      <c r="J121" s="0" t="n">
        <v>351</v>
      </c>
      <c r="K121" s="0" t="n">
        <v>6</v>
      </c>
      <c r="L121" s="0" t="n">
        <v>84650</v>
      </c>
      <c r="M121" s="0" t="n">
        <v>13057</v>
      </c>
    </row>
    <row r="122" customFormat="false" ht="13.5" hidden="false" customHeight="false" outlineLevel="0" collapsed="false">
      <c r="A122" s="0" t="s">
        <v>101</v>
      </c>
      <c r="B122" s="1" t="n">
        <v>43982</v>
      </c>
      <c r="C122" s="0" t="e">
        <f aca="false">sheet1!awg123</f>
        <v>#NAME?</v>
      </c>
      <c r="D122" s="0" t="e">
        <f aca="false">sheet1!awh123</f>
        <v>#NAME?</v>
      </c>
      <c r="E122" s="0" t="e">
        <f aca="false">sheet1!awi123</f>
        <v>#NAME?</v>
      </c>
      <c r="F122" s="0" t="e">
        <f aca="false">sheet1!awj123</f>
        <v>#NAME?</v>
      </c>
      <c r="G122" s="0" t="e">
        <f aca="false">sheet1!awk123</f>
        <v>#NAME?</v>
      </c>
      <c r="H122" s="0" t="e">
        <f aca="false">sheet1!awl123</f>
        <v>#NAME?</v>
      </c>
      <c r="I122" s="0" t="e">
        <f aca="false">sheet1!awm123</f>
        <v>#NAME?</v>
      </c>
      <c r="J122" s="0" t="e">
        <f aca="false">sheet1!awn123</f>
        <v>#NAME?</v>
      </c>
      <c r="K122" s="0" t="e">
        <f aca="false">sheet1!awo123</f>
        <v>#NAME?</v>
      </c>
      <c r="L122" s="0" t="e">
        <f aca="false">sheet1!awp123</f>
        <v>#NAME?</v>
      </c>
      <c r="M122" s="0" t="e">
        <f aca="false">sheet1!awq123</f>
        <v>#NAME?</v>
      </c>
    </row>
    <row r="123" customFormat="false" ht="13.5" hidden="false" customHeight="false" outlineLevel="0" collapsed="false">
      <c r="A123" s="0" t="s">
        <v>101</v>
      </c>
      <c r="B123" s="1" t="n">
        <v>43983</v>
      </c>
      <c r="C123" s="0" t="e">
        <f aca="false">sheet1!awg124</f>
        <v>#NAME?</v>
      </c>
      <c r="D123" s="0" t="e">
        <f aca="false">sheet1!awh124</f>
        <v>#NAME?</v>
      </c>
      <c r="E123" s="0" t="e">
        <f aca="false">sheet1!awi124</f>
        <v>#NAME?</v>
      </c>
      <c r="F123" s="0" t="e">
        <f aca="false">sheet1!awj124</f>
        <v>#NAME?</v>
      </c>
      <c r="G123" s="0" t="e">
        <f aca="false">sheet1!awk124</f>
        <v>#NAME?</v>
      </c>
      <c r="H123" s="0" t="e">
        <f aca="false">sheet1!awl124</f>
        <v>#NAME?</v>
      </c>
      <c r="I123" s="0" t="e">
        <f aca="false">sheet1!awm124</f>
        <v>#NAME?</v>
      </c>
      <c r="J123" s="0" t="e">
        <f aca="false">sheet1!awn124</f>
        <v>#NAME?</v>
      </c>
      <c r="K123" s="0" t="e">
        <f aca="false">sheet1!awo124</f>
        <v>#NAME?</v>
      </c>
      <c r="L123" s="0" t="e">
        <f aca="false">sheet1!awp124</f>
        <v>#NAME?</v>
      </c>
      <c r="M123" s="0" t="e">
        <f aca="false">sheet1!awq124</f>
        <v>#NAME?</v>
      </c>
    </row>
    <row r="124" customFormat="false" ht="13.5" hidden="false" customHeight="false" outlineLevel="0" collapsed="false">
      <c r="A124" s="0" t="s">
        <v>101</v>
      </c>
      <c r="B124" s="1" t="n">
        <v>43984</v>
      </c>
      <c r="C124" s="0" t="e">
        <f aca="false">sheet1!awg125</f>
        <v>#NAME?</v>
      </c>
      <c r="D124" s="0" t="e">
        <f aca="false">sheet1!awh125</f>
        <v>#NAME?</v>
      </c>
      <c r="E124" s="0" t="e">
        <f aca="false">sheet1!awi125</f>
        <v>#NAME?</v>
      </c>
      <c r="F124" s="0" t="e">
        <f aca="false">sheet1!awj125</f>
        <v>#NAME?</v>
      </c>
      <c r="G124" s="0" t="e">
        <f aca="false">sheet1!awk125</f>
        <v>#NAME?</v>
      </c>
      <c r="H124" s="0" t="e">
        <f aca="false">sheet1!awl125</f>
        <v>#NAME?</v>
      </c>
      <c r="I124" s="0" t="e">
        <f aca="false">sheet1!awm125</f>
        <v>#NAME?</v>
      </c>
      <c r="J124" s="0" t="e">
        <f aca="false">sheet1!awn125</f>
        <v>#NAME?</v>
      </c>
      <c r="K124" s="0" t="e">
        <f aca="false">sheet1!awo125</f>
        <v>#NAME?</v>
      </c>
      <c r="L124" s="0" t="e">
        <f aca="false">sheet1!awp125</f>
        <v>#NAME?</v>
      </c>
      <c r="M124" s="0" t="e">
        <f aca="false">sheet1!awq125</f>
        <v>#NAME?</v>
      </c>
    </row>
    <row r="125" customFormat="false" ht="13.5" hidden="false" customHeight="false" outlineLevel="0" collapsed="false">
      <c r="A125" s="0" t="s">
        <v>101</v>
      </c>
      <c r="B125" s="1" t="n">
        <v>43985</v>
      </c>
      <c r="C125" s="0" t="e">
        <f aca="false">sheet1!awg126</f>
        <v>#NAME?</v>
      </c>
      <c r="D125" s="0" t="e">
        <f aca="false">sheet1!awh126</f>
        <v>#NAME?</v>
      </c>
      <c r="E125" s="0" t="e">
        <f aca="false">sheet1!awi126</f>
        <v>#NAME?</v>
      </c>
      <c r="F125" s="0" t="e">
        <f aca="false">sheet1!awj126</f>
        <v>#NAME?</v>
      </c>
      <c r="G125" s="0" t="e">
        <f aca="false">sheet1!awk126</f>
        <v>#NAME?</v>
      </c>
      <c r="H125" s="0" t="e">
        <f aca="false">sheet1!awl126</f>
        <v>#NAME?</v>
      </c>
      <c r="I125" s="0" t="e">
        <f aca="false">sheet1!awm126</f>
        <v>#NAME?</v>
      </c>
      <c r="J125" s="0" t="e">
        <f aca="false">sheet1!awn126</f>
        <v>#NAME?</v>
      </c>
      <c r="K125" s="0" t="e">
        <f aca="false">sheet1!awo126</f>
        <v>#NAME?</v>
      </c>
      <c r="L125" s="0" t="e">
        <f aca="false">sheet1!awp126</f>
        <v>#NAME?</v>
      </c>
      <c r="M125" s="0" t="e">
        <f aca="false">sheet1!awq126</f>
        <v>#NAME?</v>
      </c>
    </row>
    <row r="126" customFormat="false" ht="13.5" hidden="false" customHeight="false" outlineLevel="0" collapsed="false">
      <c r="A126" s="0" t="s">
        <v>101</v>
      </c>
      <c r="B126" s="1" t="n">
        <v>43986</v>
      </c>
      <c r="C126" s="0" t="e">
        <f aca="false">sheet1!awg127</f>
        <v>#NAME?</v>
      </c>
      <c r="D126" s="0" t="e">
        <f aca="false">sheet1!awh127</f>
        <v>#NAME?</v>
      </c>
      <c r="E126" s="0" t="e">
        <f aca="false">sheet1!awi127</f>
        <v>#NAME?</v>
      </c>
      <c r="F126" s="0" t="e">
        <f aca="false">sheet1!awj127</f>
        <v>#NAME?</v>
      </c>
      <c r="G126" s="0" t="e">
        <f aca="false">sheet1!awk127</f>
        <v>#NAME?</v>
      </c>
      <c r="H126" s="0" t="e">
        <f aca="false">sheet1!awl127</f>
        <v>#NAME?</v>
      </c>
      <c r="I126" s="0" t="e">
        <f aca="false">sheet1!awm127</f>
        <v>#NAME?</v>
      </c>
      <c r="J126" s="0" t="e">
        <f aca="false">sheet1!awn127</f>
        <v>#NAME?</v>
      </c>
      <c r="K126" s="0" t="e">
        <f aca="false">sheet1!awo127</f>
        <v>#NAME?</v>
      </c>
      <c r="L126" s="0" t="e">
        <f aca="false">sheet1!awp127</f>
        <v>#NAME?</v>
      </c>
      <c r="M126" s="0" t="e">
        <f aca="false">sheet1!awq127</f>
        <v>#NAME?</v>
      </c>
    </row>
    <row r="127" customFormat="false" ht="13.5" hidden="false" customHeight="false" outlineLevel="0" collapsed="false">
      <c r="A127" s="0" t="s">
        <v>101</v>
      </c>
      <c r="B127" s="1" t="n">
        <v>43987</v>
      </c>
      <c r="C127" s="0" t="e">
        <f aca="false">sheet1!awg128</f>
        <v>#NAME?</v>
      </c>
      <c r="D127" s="0" t="e">
        <f aca="false">sheet1!awh128</f>
        <v>#NAME?</v>
      </c>
      <c r="E127" s="0" t="e">
        <f aca="false">sheet1!awi128</f>
        <v>#NAME?</v>
      </c>
      <c r="F127" s="0" t="e">
        <f aca="false">sheet1!awj128</f>
        <v>#NAME?</v>
      </c>
      <c r="G127" s="0" t="e">
        <f aca="false">sheet1!awk128</f>
        <v>#NAME?</v>
      </c>
      <c r="H127" s="0" t="e">
        <f aca="false">sheet1!awl128</f>
        <v>#NAME?</v>
      </c>
      <c r="I127" s="0" t="e">
        <f aca="false">sheet1!awm128</f>
        <v>#NAME?</v>
      </c>
      <c r="J127" s="0" t="e">
        <f aca="false">sheet1!awn128</f>
        <v>#NAME?</v>
      </c>
      <c r="K127" s="0" t="e">
        <f aca="false">sheet1!awo128</f>
        <v>#NAME?</v>
      </c>
      <c r="L127" s="0" t="e">
        <f aca="false">sheet1!awp128</f>
        <v>#NAME?</v>
      </c>
      <c r="M127" s="0" t="e">
        <f aca="false">sheet1!awq128</f>
        <v>#NAME?</v>
      </c>
    </row>
    <row r="128" customFormat="false" ht="13.5" hidden="false" customHeight="false" outlineLevel="0" collapsed="false">
      <c r="A128" s="0" t="s">
        <v>101</v>
      </c>
      <c r="B128" s="1" t="n">
        <v>43988</v>
      </c>
      <c r="C128" s="0" t="e">
        <f aca="false">sheet1!awg129</f>
        <v>#NAME?</v>
      </c>
      <c r="D128" s="0" t="e">
        <f aca="false">sheet1!awh129</f>
        <v>#NAME?</v>
      </c>
      <c r="E128" s="0" t="e">
        <f aca="false">sheet1!awi129</f>
        <v>#NAME?</v>
      </c>
      <c r="F128" s="0" t="e">
        <f aca="false">sheet1!awj129</f>
        <v>#NAME?</v>
      </c>
      <c r="G128" s="0" t="e">
        <f aca="false">sheet1!awk129</f>
        <v>#NAME?</v>
      </c>
      <c r="H128" s="0" t="e">
        <f aca="false">sheet1!awl129</f>
        <v>#NAME?</v>
      </c>
      <c r="I128" s="0" t="e">
        <f aca="false">sheet1!awm129</f>
        <v>#NAME?</v>
      </c>
      <c r="J128" s="0" t="e">
        <f aca="false">sheet1!awn129</f>
        <v>#NAME?</v>
      </c>
      <c r="K128" s="0" t="e">
        <f aca="false">sheet1!awo129</f>
        <v>#NAME?</v>
      </c>
      <c r="L128" s="0" t="e">
        <f aca="false">sheet1!awp129</f>
        <v>#NAME?</v>
      </c>
      <c r="M128" s="0" t="e">
        <f aca="false">sheet1!awq129</f>
        <v>#NAME?</v>
      </c>
    </row>
    <row r="129" customFormat="false" ht="13.5" hidden="false" customHeight="false" outlineLevel="0" collapsed="false">
      <c r="A129" s="0" t="s">
        <v>101</v>
      </c>
      <c r="B129" s="1" t="n">
        <v>43989</v>
      </c>
      <c r="C129" s="0" t="e">
        <f aca="false">sheet1!awg130</f>
        <v>#NAME?</v>
      </c>
      <c r="D129" s="0" t="e">
        <f aca="false">sheet1!awh130</f>
        <v>#NAME?</v>
      </c>
      <c r="E129" s="0" t="e">
        <f aca="false">sheet1!awi130</f>
        <v>#NAME?</v>
      </c>
      <c r="F129" s="0" t="e">
        <f aca="false">sheet1!awj130</f>
        <v>#NAME?</v>
      </c>
      <c r="G129" s="0" t="e">
        <f aca="false">sheet1!awk130</f>
        <v>#NAME?</v>
      </c>
      <c r="H129" s="0" t="e">
        <f aca="false">sheet1!awl130</f>
        <v>#NAME?</v>
      </c>
      <c r="I129" s="0" t="e">
        <f aca="false">sheet1!awm130</f>
        <v>#NAME?</v>
      </c>
      <c r="J129" s="0" t="e">
        <f aca="false">sheet1!awn130</f>
        <v>#NAME?</v>
      </c>
      <c r="K129" s="0" t="e">
        <f aca="false">sheet1!awo130</f>
        <v>#NAME?</v>
      </c>
      <c r="L129" s="0" t="e">
        <f aca="false">sheet1!awp130</f>
        <v>#NAME?</v>
      </c>
      <c r="M129" s="0" t="e">
        <f aca="false">sheet1!awq130</f>
        <v>#NAME?</v>
      </c>
    </row>
    <row r="130" customFormat="false" ht="13.5" hidden="false" customHeight="false" outlineLevel="0" collapsed="false">
      <c r="A130" s="0" t="s">
        <v>101</v>
      </c>
      <c r="B130" s="1" t="n">
        <v>43990</v>
      </c>
      <c r="C130" s="0" t="e">
        <f aca="false">sheet1!awg131</f>
        <v>#NAME?</v>
      </c>
      <c r="D130" s="0" t="e">
        <f aca="false">sheet1!awh131</f>
        <v>#NAME?</v>
      </c>
      <c r="E130" s="0" t="e">
        <f aca="false">sheet1!awi131</f>
        <v>#NAME?</v>
      </c>
      <c r="F130" s="0" t="e">
        <f aca="false">sheet1!awj131</f>
        <v>#NAME?</v>
      </c>
      <c r="G130" s="0" t="e">
        <f aca="false">sheet1!awk131</f>
        <v>#NAME?</v>
      </c>
      <c r="H130" s="0" t="e">
        <f aca="false">sheet1!awl131</f>
        <v>#NAME?</v>
      </c>
      <c r="I130" s="0" t="e">
        <f aca="false">sheet1!awm131</f>
        <v>#NAME?</v>
      </c>
      <c r="J130" s="0" t="e">
        <f aca="false">sheet1!awn131</f>
        <v>#NAME?</v>
      </c>
      <c r="K130" s="0" t="e">
        <f aca="false">sheet1!awo131</f>
        <v>#NAME?</v>
      </c>
      <c r="L130" s="0" t="e">
        <f aca="false">sheet1!awp131</f>
        <v>#NAME?</v>
      </c>
      <c r="M130" s="0" t="e">
        <f aca="false">sheet1!awq131</f>
        <v>#NAME?</v>
      </c>
    </row>
    <row r="131" customFormat="false" ht="13.5" hidden="false" customHeight="false" outlineLevel="0" collapsed="false">
      <c r="A131" s="0" t="s">
        <v>101</v>
      </c>
      <c r="B131" s="1" t="n">
        <v>43991</v>
      </c>
      <c r="C131" s="0" t="e">
        <f aca="false">sheet1!awg132</f>
        <v>#NAME?</v>
      </c>
      <c r="D131" s="0" t="e">
        <f aca="false">sheet1!awh132</f>
        <v>#NAME?</v>
      </c>
      <c r="E131" s="0" t="e">
        <f aca="false">sheet1!awi132</f>
        <v>#NAME?</v>
      </c>
      <c r="F131" s="0" t="e">
        <f aca="false">sheet1!awj132</f>
        <v>#NAME?</v>
      </c>
      <c r="G131" s="0" t="e">
        <f aca="false">sheet1!awk132</f>
        <v>#NAME?</v>
      </c>
      <c r="H131" s="0" t="e">
        <f aca="false">sheet1!awl132</f>
        <v>#NAME?</v>
      </c>
      <c r="I131" s="0" t="e">
        <f aca="false">sheet1!awm132</f>
        <v>#NAME?</v>
      </c>
      <c r="J131" s="0" t="e">
        <f aca="false">sheet1!awn132</f>
        <v>#NAME?</v>
      </c>
      <c r="K131" s="0" t="e">
        <f aca="false">sheet1!awo132</f>
        <v>#NAME?</v>
      </c>
      <c r="L131" s="0" t="e">
        <f aca="false">sheet1!awp132</f>
        <v>#NAME?</v>
      </c>
      <c r="M131" s="0" t="e">
        <f aca="false">sheet1!awq132</f>
        <v>#NAME?</v>
      </c>
    </row>
    <row r="132" customFormat="false" ht="13.5" hidden="false" customHeight="false" outlineLevel="0" collapsed="false">
      <c r="A132" s="0" t="s">
        <v>101</v>
      </c>
      <c r="B132" s="1" t="n">
        <v>43992</v>
      </c>
      <c r="C132" s="0" t="e">
        <f aca="false">sheet1!awg133</f>
        <v>#NAME?</v>
      </c>
      <c r="D132" s="0" t="e">
        <f aca="false">sheet1!awh133</f>
        <v>#NAME?</v>
      </c>
      <c r="E132" s="0" t="e">
        <f aca="false">sheet1!awi133</f>
        <v>#NAME?</v>
      </c>
      <c r="F132" s="0" t="e">
        <f aca="false">sheet1!awj133</f>
        <v>#NAME?</v>
      </c>
      <c r="G132" s="0" t="e">
        <f aca="false">sheet1!awk133</f>
        <v>#NAME?</v>
      </c>
      <c r="H132" s="0" t="e">
        <f aca="false">sheet1!awl133</f>
        <v>#NAME?</v>
      </c>
      <c r="I132" s="0" t="e">
        <f aca="false">sheet1!awm133</f>
        <v>#NAME?</v>
      </c>
      <c r="J132" s="0" t="e">
        <f aca="false">sheet1!awn133</f>
        <v>#NAME?</v>
      </c>
      <c r="K132" s="0" t="e">
        <f aca="false">sheet1!awo133</f>
        <v>#NAME?</v>
      </c>
      <c r="L132" s="0" t="e">
        <f aca="false">sheet1!awp133</f>
        <v>#NAME?</v>
      </c>
      <c r="M132" s="0" t="e">
        <f aca="false">sheet1!awq133</f>
        <v>#NAME?</v>
      </c>
    </row>
    <row r="133" customFormat="false" ht="13.5" hidden="false" customHeight="false" outlineLevel="0" collapsed="false">
      <c r="A133" s="0" t="s">
        <v>101</v>
      </c>
      <c r="B133" s="1" t="n">
        <v>43993</v>
      </c>
      <c r="C133" s="0" t="e">
        <f aca="false">sheet1!awg134</f>
        <v>#NAME?</v>
      </c>
      <c r="D133" s="0" t="e">
        <f aca="false">sheet1!awh134</f>
        <v>#NAME?</v>
      </c>
      <c r="E133" s="0" t="e">
        <f aca="false">sheet1!awi134</f>
        <v>#NAME?</v>
      </c>
      <c r="F133" s="0" t="e">
        <f aca="false">sheet1!awj134</f>
        <v>#NAME?</v>
      </c>
      <c r="G133" s="0" t="e">
        <f aca="false">sheet1!awk134</f>
        <v>#NAME?</v>
      </c>
      <c r="H133" s="0" t="e">
        <f aca="false">sheet1!awl134</f>
        <v>#NAME?</v>
      </c>
      <c r="I133" s="0" t="e">
        <f aca="false">sheet1!awm134</f>
        <v>#NAME?</v>
      </c>
      <c r="J133" s="0" t="e">
        <f aca="false">sheet1!awn134</f>
        <v>#NAME?</v>
      </c>
      <c r="K133" s="0" t="e">
        <f aca="false">sheet1!awo134</f>
        <v>#NAME?</v>
      </c>
      <c r="L133" s="0" t="e">
        <f aca="false">sheet1!awp134</f>
        <v>#NAME?</v>
      </c>
      <c r="M133" s="0" t="e">
        <f aca="false">sheet1!awq134</f>
        <v>#NAME?</v>
      </c>
    </row>
    <row r="134" customFormat="false" ht="13.5" hidden="false" customHeight="false" outlineLevel="0" collapsed="false">
      <c r="A134" s="0" t="s">
        <v>101</v>
      </c>
      <c r="B134" s="1" t="n">
        <v>43994</v>
      </c>
      <c r="C134" s="0" t="e">
        <f aca="false">sheet1!awg135</f>
        <v>#NAME?</v>
      </c>
      <c r="D134" s="0" t="e">
        <f aca="false">sheet1!awh135</f>
        <v>#NAME?</v>
      </c>
      <c r="E134" s="0" t="e">
        <f aca="false">sheet1!awi135</f>
        <v>#NAME?</v>
      </c>
      <c r="F134" s="0" t="e">
        <f aca="false">sheet1!awj135</f>
        <v>#NAME?</v>
      </c>
      <c r="G134" s="0" t="e">
        <f aca="false">sheet1!awk135</f>
        <v>#NAME?</v>
      </c>
      <c r="H134" s="0" t="e">
        <f aca="false">sheet1!awl135</f>
        <v>#NAME?</v>
      </c>
      <c r="I134" s="0" t="e">
        <f aca="false">sheet1!awm135</f>
        <v>#NAME?</v>
      </c>
      <c r="J134" s="0" t="e">
        <f aca="false">sheet1!awn135</f>
        <v>#NAME?</v>
      </c>
      <c r="K134" s="0" t="e">
        <f aca="false">sheet1!awo135</f>
        <v>#NAME?</v>
      </c>
      <c r="L134" s="0" t="e">
        <f aca="false">sheet1!awp135</f>
        <v>#NAME?</v>
      </c>
      <c r="M134" s="0" t="e">
        <f aca="false">sheet1!awq135</f>
        <v>#NAME?</v>
      </c>
    </row>
    <row r="135" customFormat="false" ht="13.5" hidden="false" customHeight="false" outlineLevel="0" collapsed="false">
      <c r="A135" s="0" t="s">
        <v>101</v>
      </c>
      <c r="B135" s="1" t="n">
        <v>43995</v>
      </c>
      <c r="C135" s="0" t="e">
        <f aca="false">sheet1!awg136</f>
        <v>#NAME?</v>
      </c>
      <c r="D135" s="0" t="e">
        <f aca="false">sheet1!awh136</f>
        <v>#NAME?</v>
      </c>
      <c r="E135" s="0" t="e">
        <f aca="false">sheet1!awi136</f>
        <v>#NAME?</v>
      </c>
      <c r="F135" s="0" t="e">
        <f aca="false">sheet1!awj136</f>
        <v>#NAME?</v>
      </c>
      <c r="G135" s="0" t="e">
        <f aca="false">sheet1!awk136</f>
        <v>#NAME?</v>
      </c>
      <c r="H135" s="0" t="e">
        <f aca="false">sheet1!awl136</f>
        <v>#NAME?</v>
      </c>
      <c r="I135" s="0" t="e">
        <f aca="false">sheet1!awm136</f>
        <v>#NAME?</v>
      </c>
      <c r="J135" s="0" t="e">
        <f aca="false">sheet1!awn136</f>
        <v>#NAME?</v>
      </c>
      <c r="K135" s="0" t="e">
        <f aca="false">sheet1!awo136</f>
        <v>#NAME?</v>
      </c>
      <c r="L135" s="0" t="e">
        <f aca="false">sheet1!awp136</f>
        <v>#NAME?</v>
      </c>
      <c r="M135" s="0" t="e">
        <f aca="false">sheet1!awq136</f>
        <v>#NAME?</v>
      </c>
    </row>
    <row r="136" customFormat="false" ht="13.5" hidden="false" customHeight="false" outlineLevel="0" collapsed="false">
      <c r="A136" s="0" t="s">
        <v>101</v>
      </c>
      <c r="B136" s="1" t="n">
        <v>43996</v>
      </c>
      <c r="C136" s="0" t="e">
        <f aca="false">sheet1!awg137</f>
        <v>#NAME?</v>
      </c>
      <c r="D136" s="0" t="e">
        <f aca="false">sheet1!awh137</f>
        <v>#NAME?</v>
      </c>
      <c r="E136" s="0" t="e">
        <f aca="false">sheet1!awi137</f>
        <v>#NAME?</v>
      </c>
      <c r="F136" s="0" t="e">
        <f aca="false">sheet1!awj137</f>
        <v>#NAME?</v>
      </c>
      <c r="G136" s="0" t="e">
        <f aca="false">sheet1!awk137</f>
        <v>#NAME?</v>
      </c>
      <c r="H136" s="0" t="e">
        <f aca="false">sheet1!awl137</f>
        <v>#NAME?</v>
      </c>
      <c r="I136" s="0" t="e">
        <f aca="false">sheet1!awm137</f>
        <v>#NAME?</v>
      </c>
      <c r="J136" s="0" t="e">
        <f aca="false">sheet1!awn137</f>
        <v>#NAME?</v>
      </c>
      <c r="K136" s="0" t="e">
        <f aca="false">sheet1!awo137</f>
        <v>#NAME?</v>
      </c>
      <c r="L136" s="0" t="e">
        <f aca="false">sheet1!awp137</f>
        <v>#NAME?</v>
      </c>
      <c r="M136" s="0" t="e">
        <f aca="false">sheet1!awq137</f>
        <v>#NAME?</v>
      </c>
    </row>
    <row r="137" customFormat="false" ht="13.5" hidden="false" customHeight="false" outlineLevel="0" collapsed="false">
      <c r="A137" s="0" t="s">
        <v>101</v>
      </c>
      <c r="B137" s="1" t="n">
        <v>43997</v>
      </c>
      <c r="C137" s="0" t="e">
        <f aca="false">sheet1!awg138</f>
        <v>#NAME?</v>
      </c>
      <c r="D137" s="0" t="e">
        <f aca="false">sheet1!awh138</f>
        <v>#NAME?</v>
      </c>
      <c r="E137" s="0" t="e">
        <f aca="false">sheet1!awi138</f>
        <v>#NAME?</v>
      </c>
      <c r="F137" s="0" t="e">
        <f aca="false">sheet1!awj138</f>
        <v>#NAME?</v>
      </c>
      <c r="G137" s="0" t="e">
        <f aca="false">sheet1!awk138</f>
        <v>#NAME?</v>
      </c>
      <c r="H137" s="0" t="e">
        <f aca="false">sheet1!awl138</f>
        <v>#NAME?</v>
      </c>
      <c r="I137" s="0" t="e">
        <f aca="false">sheet1!awm138</f>
        <v>#NAME?</v>
      </c>
      <c r="J137" s="0" t="e">
        <f aca="false">sheet1!awn138</f>
        <v>#NAME?</v>
      </c>
      <c r="K137" s="0" t="e">
        <f aca="false">sheet1!awo138</f>
        <v>#NAME?</v>
      </c>
      <c r="L137" s="0" t="e">
        <f aca="false">sheet1!awp138</f>
        <v>#NAME?</v>
      </c>
      <c r="M137" s="0" t="e">
        <f aca="false">sheet1!awq138</f>
        <v>#NAME?</v>
      </c>
    </row>
    <row r="138" customFormat="false" ht="13.5" hidden="false" customHeight="false" outlineLevel="0" collapsed="false">
      <c r="A138" s="0" t="s">
        <v>101</v>
      </c>
      <c r="B138" s="1" t="n">
        <v>43998</v>
      </c>
      <c r="C138" s="0" t="e">
        <f aca="false">sheet1!awg139</f>
        <v>#NAME?</v>
      </c>
      <c r="D138" s="0" t="e">
        <f aca="false">sheet1!awh139</f>
        <v>#NAME?</v>
      </c>
      <c r="E138" s="0" t="e">
        <f aca="false">sheet1!awi139</f>
        <v>#NAME?</v>
      </c>
      <c r="F138" s="0" t="e">
        <f aca="false">sheet1!awj139</f>
        <v>#NAME?</v>
      </c>
      <c r="G138" s="0" t="e">
        <f aca="false">sheet1!awk139</f>
        <v>#NAME?</v>
      </c>
      <c r="H138" s="0" t="e">
        <f aca="false">sheet1!awl139</f>
        <v>#NAME?</v>
      </c>
      <c r="I138" s="0" t="e">
        <f aca="false">sheet1!awm139</f>
        <v>#NAME?</v>
      </c>
      <c r="J138" s="0" t="e">
        <f aca="false">sheet1!awn139</f>
        <v>#NAME?</v>
      </c>
      <c r="K138" s="0" t="e">
        <f aca="false">sheet1!awo139</f>
        <v>#NAME?</v>
      </c>
      <c r="L138" s="0" t="e">
        <f aca="false">sheet1!awp139</f>
        <v>#NAME?</v>
      </c>
      <c r="M138" s="0" t="e">
        <f aca="false">sheet1!awq139</f>
        <v>#NAME?</v>
      </c>
    </row>
    <row r="139" customFormat="false" ht="13.5" hidden="false" customHeight="false" outlineLevel="0" collapsed="false">
      <c r="A139" s="0" t="s">
        <v>101</v>
      </c>
      <c r="B139" s="1" t="n">
        <v>43999</v>
      </c>
      <c r="C139" s="0" t="e">
        <f aca="false">sheet1!awg140</f>
        <v>#NAME?</v>
      </c>
      <c r="D139" s="0" t="e">
        <f aca="false">sheet1!awh140</f>
        <v>#NAME?</v>
      </c>
      <c r="E139" s="0" t="e">
        <f aca="false">sheet1!awi140</f>
        <v>#NAME?</v>
      </c>
      <c r="F139" s="0" t="e">
        <f aca="false">sheet1!awj140</f>
        <v>#NAME?</v>
      </c>
      <c r="G139" s="0" t="e">
        <f aca="false">sheet1!awk140</f>
        <v>#NAME?</v>
      </c>
      <c r="H139" s="0" t="e">
        <f aca="false">sheet1!awl140</f>
        <v>#NAME?</v>
      </c>
      <c r="I139" s="0" t="e">
        <f aca="false">sheet1!awm140</f>
        <v>#NAME?</v>
      </c>
      <c r="J139" s="0" t="e">
        <f aca="false">sheet1!awn140</f>
        <v>#NAME?</v>
      </c>
      <c r="K139" s="0" t="e">
        <f aca="false">sheet1!awo140</f>
        <v>#NAME?</v>
      </c>
      <c r="L139" s="0" t="e">
        <f aca="false">sheet1!awp140</f>
        <v>#NAME?</v>
      </c>
      <c r="M139" s="0" t="e">
        <f aca="false">sheet1!awq140</f>
        <v>#NAME?</v>
      </c>
    </row>
    <row r="140" customFormat="false" ht="13.5" hidden="false" customHeight="false" outlineLevel="0" collapsed="false">
      <c r="A140" s="0" t="s">
        <v>101</v>
      </c>
      <c r="B140" s="1" t="n">
        <v>44000</v>
      </c>
      <c r="C140" s="0" t="e">
        <f aca="false">sheet1!awg141</f>
        <v>#NAME?</v>
      </c>
      <c r="D140" s="0" t="e">
        <f aca="false">sheet1!awh141</f>
        <v>#NAME?</v>
      </c>
      <c r="E140" s="0" t="e">
        <f aca="false">sheet1!awi141</f>
        <v>#NAME?</v>
      </c>
      <c r="F140" s="0" t="e">
        <f aca="false">sheet1!awj141</f>
        <v>#NAME?</v>
      </c>
      <c r="G140" s="0" t="e">
        <f aca="false">sheet1!awk141</f>
        <v>#NAME?</v>
      </c>
      <c r="H140" s="0" t="e">
        <f aca="false">sheet1!awl141</f>
        <v>#NAME?</v>
      </c>
      <c r="I140" s="0" t="e">
        <f aca="false">sheet1!awm141</f>
        <v>#NAME?</v>
      </c>
      <c r="J140" s="0" t="e">
        <f aca="false">sheet1!awn141</f>
        <v>#NAME?</v>
      </c>
      <c r="K140" s="0" t="e">
        <f aca="false">sheet1!awo141</f>
        <v>#NAME?</v>
      </c>
      <c r="L140" s="0" t="e">
        <f aca="false">sheet1!awp141</f>
        <v>#NAME?</v>
      </c>
      <c r="M140" s="0" t="e">
        <f aca="false">sheet1!awq141</f>
        <v>#NAME?</v>
      </c>
    </row>
    <row r="141" customFormat="false" ht="13.5" hidden="false" customHeight="false" outlineLevel="0" collapsed="false">
      <c r="A141" s="0" t="s">
        <v>101</v>
      </c>
      <c r="B141" s="1" t="n">
        <v>44001</v>
      </c>
      <c r="C141" s="0" t="e">
        <f aca="false">sheet1!awg142</f>
        <v>#NAME?</v>
      </c>
      <c r="D141" s="0" t="e">
        <f aca="false">sheet1!awh142</f>
        <v>#NAME?</v>
      </c>
      <c r="E141" s="0" t="e">
        <f aca="false">sheet1!awi142</f>
        <v>#NAME?</v>
      </c>
      <c r="F141" s="0" t="e">
        <f aca="false">sheet1!awj142</f>
        <v>#NAME?</v>
      </c>
      <c r="G141" s="0" t="e">
        <f aca="false">sheet1!awk142</f>
        <v>#NAME?</v>
      </c>
      <c r="H141" s="0" t="e">
        <f aca="false">sheet1!awl142</f>
        <v>#NAME?</v>
      </c>
      <c r="I141" s="0" t="e">
        <f aca="false">sheet1!awm142</f>
        <v>#NAME?</v>
      </c>
      <c r="J141" s="0" t="e">
        <f aca="false">sheet1!awn142</f>
        <v>#NAME?</v>
      </c>
      <c r="K141" s="0" t="e">
        <f aca="false">sheet1!awo142</f>
        <v>#NAME?</v>
      </c>
      <c r="L141" s="0" t="e">
        <f aca="false">sheet1!awp142</f>
        <v>#NAME?</v>
      </c>
      <c r="M141" s="0" t="e">
        <f aca="false">sheet1!awq142</f>
        <v>#NAME?</v>
      </c>
    </row>
    <row r="142" customFormat="false" ht="13.5" hidden="false" customHeight="false" outlineLevel="0" collapsed="false">
      <c r="A142" s="0" t="s">
        <v>101</v>
      </c>
      <c r="B142" s="1" t="n">
        <v>44002</v>
      </c>
      <c r="C142" s="0" t="e">
        <f aca="false">sheet1!awg143</f>
        <v>#NAME?</v>
      </c>
      <c r="D142" s="0" t="e">
        <f aca="false">sheet1!awh143</f>
        <v>#NAME?</v>
      </c>
      <c r="E142" s="0" t="e">
        <f aca="false">sheet1!awi143</f>
        <v>#NAME?</v>
      </c>
      <c r="F142" s="0" t="e">
        <f aca="false">sheet1!awj143</f>
        <v>#NAME?</v>
      </c>
      <c r="G142" s="0" t="e">
        <f aca="false">sheet1!awk143</f>
        <v>#NAME?</v>
      </c>
      <c r="H142" s="0" t="e">
        <f aca="false">sheet1!awl143</f>
        <v>#NAME?</v>
      </c>
      <c r="I142" s="0" t="e">
        <f aca="false">sheet1!awm143</f>
        <v>#NAME?</v>
      </c>
      <c r="J142" s="0" t="e">
        <f aca="false">sheet1!awn143</f>
        <v>#NAME?</v>
      </c>
      <c r="K142" s="0" t="e">
        <f aca="false">sheet1!awo143</f>
        <v>#NAME?</v>
      </c>
      <c r="L142" s="0" t="e">
        <f aca="false">sheet1!awp143</f>
        <v>#NAME?</v>
      </c>
      <c r="M142" s="0" t="e">
        <f aca="false">sheet1!awq143</f>
        <v>#NAME?</v>
      </c>
    </row>
    <row r="143" customFormat="false" ht="13.5" hidden="false" customHeight="false" outlineLevel="0" collapsed="false">
      <c r="A143" s="0" t="s">
        <v>101</v>
      </c>
      <c r="B143" s="1" t="n">
        <v>44003</v>
      </c>
      <c r="C143" s="0" t="e">
        <f aca="false">sheet1!awg144</f>
        <v>#NAME?</v>
      </c>
      <c r="D143" s="0" t="e">
        <f aca="false">sheet1!awh144</f>
        <v>#NAME?</v>
      </c>
      <c r="E143" s="0" t="e">
        <f aca="false">sheet1!awi144</f>
        <v>#NAME?</v>
      </c>
      <c r="F143" s="0" t="e">
        <f aca="false">sheet1!awj144</f>
        <v>#NAME?</v>
      </c>
      <c r="G143" s="0" t="e">
        <f aca="false">sheet1!awk144</f>
        <v>#NAME?</v>
      </c>
      <c r="H143" s="0" t="e">
        <f aca="false">sheet1!awl144</f>
        <v>#NAME?</v>
      </c>
      <c r="I143" s="0" t="e">
        <f aca="false">sheet1!awm144</f>
        <v>#NAME?</v>
      </c>
      <c r="J143" s="0" t="e">
        <f aca="false">sheet1!awn144</f>
        <v>#NAME?</v>
      </c>
      <c r="K143" s="0" t="e">
        <f aca="false">sheet1!awo144</f>
        <v>#NAME?</v>
      </c>
      <c r="L143" s="0" t="e">
        <f aca="false">sheet1!awp144</f>
        <v>#NAME?</v>
      </c>
      <c r="M143" s="0" t="e">
        <f aca="false">sheet1!awq144</f>
        <v>#NAME?</v>
      </c>
    </row>
    <row r="144" customFormat="false" ht="13.5" hidden="false" customHeight="false" outlineLevel="0" collapsed="false">
      <c r="A144" s="0" t="s">
        <v>101</v>
      </c>
      <c r="B144" s="1" t="n">
        <v>44004</v>
      </c>
      <c r="C144" s="0" t="e">
        <f aca="false">sheet1!awg145</f>
        <v>#NAME?</v>
      </c>
      <c r="D144" s="0" t="e">
        <f aca="false">sheet1!awh145</f>
        <v>#NAME?</v>
      </c>
      <c r="E144" s="0" t="e">
        <f aca="false">sheet1!awi145</f>
        <v>#NAME?</v>
      </c>
      <c r="F144" s="0" t="e">
        <f aca="false">sheet1!awj145</f>
        <v>#NAME?</v>
      </c>
      <c r="G144" s="0" t="e">
        <f aca="false">sheet1!awk145</f>
        <v>#NAME?</v>
      </c>
      <c r="H144" s="0" t="e">
        <f aca="false">sheet1!awl145</f>
        <v>#NAME?</v>
      </c>
      <c r="I144" s="0" t="e">
        <f aca="false">sheet1!awm145</f>
        <v>#NAME?</v>
      </c>
      <c r="J144" s="0" t="e">
        <f aca="false">sheet1!awn145</f>
        <v>#NAME?</v>
      </c>
      <c r="K144" s="0" t="e">
        <f aca="false">sheet1!awo145</f>
        <v>#NAME?</v>
      </c>
      <c r="L144" s="0" t="e">
        <f aca="false">sheet1!awp145</f>
        <v>#NAME?</v>
      </c>
      <c r="M144" s="0" t="e">
        <f aca="false">sheet1!awq145</f>
        <v>#NAME?</v>
      </c>
    </row>
    <row r="145" customFormat="false" ht="13.5" hidden="false" customHeight="false" outlineLevel="0" collapsed="false">
      <c r="A145" s="0" t="s">
        <v>101</v>
      </c>
      <c r="B145" s="1" t="n">
        <v>44005</v>
      </c>
      <c r="C145" s="0" t="e">
        <f aca="false">sheet1!awg146</f>
        <v>#NAME?</v>
      </c>
      <c r="D145" s="0" t="e">
        <f aca="false">sheet1!awh146</f>
        <v>#NAME?</v>
      </c>
      <c r="E145" s="0" t="e">
        <f aca="false">sheet1!awi146</f>
        <v>#NAME?</v>
      </c>
      <c r="F145" s="0" t="e">
        <f aca="false">sheet1!awj146</f>
        <v>#NAME?</v>
      </c>
      <c r="G145" s="0" t="e">
        <f aca="false">sheet1!awk146</f>
        <v>#NAME?</v>
      </c>
      <c r="H145" s="0" t="e">
        <f aca="false">sheet1!awl146</f>
        <v>#NAME?</v>
      </c>
      <c r="I145" s="0" t="e">
        <f aca="false">sheet1!awm146</f>
        <v>#NAME?</v>
      </c>
      <c r="J145" s="0" t="e">
        <f aca="false">sheet1!awn146</f>
        <v>#NAME?</v>
      </c>
      <c r="K145" s="0" t="e">
        <f aca="false">sheet1!awo146</f>
        <v>#NAME?</v>
      </c>
      <c r="L145" s="0" t="e">
        <f aca="false">sheet1!awp146</f>
        <v>#NAME?</v>
      </c>
      <c r="M145" s="0" t="e">
        <f aca="false">sheet1!awq146</f>
        <v>#NAME?</v>
      </c>
    </row>
    <row r="146" customFormat="false" ht="13.5" hidden="false" customHeight="false" outlineLevel="0" collapsed="false">
      <c r="A146" s="0" t="s">
        <v>101</v>
      </c>
      <c r="B146" s="1" t="n">
        <v>44006</v>
      </c>
      <c r="C146" s="0" t="e">
        <f aca="false">sheet1!awg147</f>
        <v>#NAME?</v>
      </c>
      <c r="D146" s="0" t="e">
        <f aca="false">sheet1!awh147</f>
        <v>#NAME?</v>
      </c>
      <c r="E146" s="0" t="e">
        <f aca="false">sheet1!awi147</f>
        <v>#NAME?</v>
      </c>
      <c r="F146" s="0" t="e">
        <f aca="false">sheet1!awj147</f>
        <v>#NAME?</v>
      </c>
      <c r="G146" s="0" t="e">
        <f aca="false">sheet1!awk147</f>
        <v>#NAME?</v>
      </c>
      <c r="H146" s="0" t="e">
        <f aca="false">sheet1!awl147</f>
        <v>#NAME?</v>
      </c>
      <c r="I146" s="0" t="e">
        <f aca="false">sheet1!awm147</f>
        <v>#NAME?</v>
      </c>
      <c r="J146" s="0" t="e">
        <f aca="false">sheet1!awn147</f>
        <v>#NAME?</v>
      </c>
      <c r="K146" s="0" t="e">
        <f aca="false">sheet1!awo147</f>
        <v>#NAME?</v>
      </c>
      <c r="L146" s="0" t="e">
        <f aca="false">sheet1!awp147</f>
        <v>#NAME?</v>
      </c>
      <c r="M146" s="0" t="e">
        <f aca="false">sheet1!awq147</f>
        <v>#NAME?</v>
      </c>
    </row>
    <row r="147" customFormat="false" ht="13.5" hidden="false" customHeight="false" outlineLevel="0" collapsed="false">
      <c r="A147" s="0" t="s">
        <v>101</v>
      </c>
      <c r="B147" s="1" t="n">
        <v>44007</v>
      </c>
      <c r="C147" s="0" t="e">
        <f aca="false">sheet1!awg148</f>
        <v>#NAME?</v>
      </c>
      <c r="D147" s="0" t="e">
        <f aca="false">sheet1!awh148</f>
        <v>#NAME?</v>
      </c>
      <c r="E147" s="0" t="e">
        <f aca="false">sheet1!awi148</f>
        <v>#NAME?</v>
      </c>
      <c r="F147" s="0" t="e">
        <f aca="false">sheet1!awj148</f>
        <v>#NAME?</v>
      </c>
      <c r="G147" s="0" t="e">
        <f aca="false">sheet1!awk148</f>
        <v>#NAME?</v>
      </c>
      <c r="H147" s="0" t="e">
        <f aca="false">sheet1!awl148</f>
        <v>#NAME?</v>
      </c>
      <c r="I147" s="0" t="e">
        <f aca="false">sheet1!awm148</f>
        <v>#NAME?</v>
      </c>
      <c r="J147" s="0" t="e">
        <f aca="false">sheet1!awn148</f>
        <v>#NAME?</v>
      </c>
      <c r="K147" s="0" t="e">
        <f aca="false">sheet1!awo148</f>
        <v>#NAME?</v>
      </c>
      <c r="L147" s="0" t="e">
        <f aca="false">sheet1!awp148</f>
        <v>#NAME?</v>
      </c>
      <c r="M147" s="0" t="e">
        <f aca="false">sheet1!awq148</f>
        <v>#NAME?</v>
      </c>
    </row>
    <row r="148" customFormat="false" ht="13.5" hidden="false" customHeight="false" outlineLevel="0" collapsed="false">
      <c r="A148" s="0" t="s">
        <v>101</v>
      </c>
      <c r="B148" s="1" t="n">
        <v>44008</v>
      </c>
      <c r="C148" s="0" t="e">
        <f aca="false">sheet1!awg149</f>
        <v>#NAME?</v>
      </c>
      <c r="D148" s="0" t="e">
        <f aca="false">sheet1!awh149</f>
        <v>#NAME?</v>
      </c>
      <c r="E148" s="0" t="e">
        <f aca="false">sheet1!awi149</f>
        <v>#NAME?</v>
      </c>
      <c r="F148" s="0" t="e">
        <f aca="false">sheet1!awj149</f>
        <v>#NAME?</v>
      </c>
      <c r="G148" s="0" t="e">
        <f aca="false">sheet1!awk149</f>
        <v>#NAME?</v>
      </c>
      <c r="H148" s="0" t="e">
        <f aca="false">sheet1!awl149</f>
        <v>#NAME?</v>
      </c>
      <c r="I148" s="0" t="e">
        <f aca="false">sheet1!awm149</f>
        <v>#NAME?</v>
      </c>
      <c r="J148" s="0" t="e">
        <f aca="false">sheet1!awn149</f>
        <v>#NAME?</v>
      </c>
      <c r="K148" s="0" t="e">
        <f aca="false">sheet1!awo149</f>
        <v>#NAME?</v>
      </c>
      <c r="L148" s="0" t="e">
        <f aca="false">sheet1!awp149</f>
        <v>#NAME?</v>
      </c>
      <c r="M148" s="0" t="e">
        <f aca="false">sheet1!awq149</f>
        <v>#NAME?</v>
      </c>
    </row>
    <row r="149" customFormat="false" ht="13.5" hidden="false" customHeight="false" outlineLevel="0" collapsed="false">
      <c r="A149" s="0" t="s">
        <v>101</v>
      </c>
      <c r="B149" s="1" t="n">
        <v>44009</v>
      </c>
      <c r="C149" s="0" t="e">
        <f aca="false">sheet1!awg150</f>
        <v>#NAME?</v>
      </c>
      <c r="D149" s="0" t="e">
        <f aca="false">sheet1!awh150</f>
        <v>#NAME?</v>
      </c>
      <c r="E149" s="0" t="e">
        <f aca="false">sheet1!awi150</f>
        <v>#NAME?</v>
      </c>
      <c r="F149" s="0" t="e">
        <f aca="false">sheet1!awj150</f>
        <v>#NAME?</v>
      </c>
      <c r="G149" s="0" t="e">
        <f aca="false">sheet1!awk150</f>
        <v>#NAME?</v>
      </c>
      <c r="H149" s="0" t="e">
        <f aca="false">sheet1!awl150</f>
        <v>#NAME?</v>
      </c>
      <c r="I149" s="0" t="e">
        <f aca="false">sheet1!awm150</f>
        <v>#NAME?</v>
      </c>
      <c r="J149" s="0" t="e">
        <f aca="false">sheet1!awn150</f>
        <v>#NAME?</v>
      </c>
      <c r="K149" s="0" t="e">
        <f aca="false">sheet1!awo150</f>
        <v>#NAME?</v>
      </c>
      <c r="L149" s="0" t="e">
        <f aca="false">sheet1!awp150</f>
        <v>#NAME?</v>
      </c>
      <c r="M149" s="0" t="e">
        <f aca="false">sheet1!awq150</f>
        <v>#NAME?</v>
      </c>
    </row>
    <row r="150" customFormat="false" ht="13.5" hidden="false" customHeight="false" outlineLevel="0" collapsed="false">
      <c r="A150" s="0" t="s">
        <v>101</v>
      </c>
      <c r="B150" s="1" t="n">
        <v>44010</v>
      </c>
      <c r="C150" s="0" t="e">
        <f aca="false">sheet1!awg151</f>
        <v>#NAME?</v>
      </c>
      <c r="D150" s="0" t="e">
        <f aca="false">sheet1!awh151</f>
        <v>#NAME?</v>
      </c>
      <c r="E150" s="0" t="e">
        <f aca="false">sheet1!awi151</f>
        <v>#NAME?</v>
      </c>
      <c r="F150" s="0" t="e">
        <f aca="false">sheet1!awj151</f>
        <v>#NAME?</v>
      </c>
      <c r="G150" s="0" t="e">
        <f aca="false">sheet1!awk151</f>
        <v>#NAME?</v>
      </c>
      <c r="H150" s="0" t="e">
        <f aca="false">sheet1!awl151</f>
        <v>#NAME?</v>
      </c>
      <c r="I150" s="0" t="e">
        <f aca="false">sheet1!awm151</f>
        <v>#NAME?</v>
      </c>
      <c r="J150" s="0" t="e">
        <f aca="false">sheet1!awn151</f>
        <v>#NAME?</v>
      </c>
      <c r="K150" s="0" t="e">
        <f aca="false">sheet1!awo151</f>
        <v>#NAME?</v>
      </c>
      <c r="L150" s="0" t="e">
        <f aca="false">sheet1!awp151</f>
        <v>#NAME?</v>
      </c>
      <c r="M150" s="0" t="e">
        <f aca="false">sheet1!awq151</f>
        <v>#NAME?</v>
      </c>
    </row>
    <row r="151" customFormat="false" ht="13.5" hidden="false" customHeight="false" outlineLevel="0" collapsed="false">
      <c r="A151" s="0" t="s">
        <v>101</v>
      </c>
      <c r="B151" s="1" t="n">
        <v>44011</v>
      </c>
      <c r="C151" s="0" t="e">
        <f aca="false">sheet1!awg152</f>
        <v>#NAME?</v>
      </c>
      <c r="D151" s="0" t="e">
        <f aca="false">sheet1!awh152</f>
        <v>#NAME?</v>
      </c>
      <c r="E151" s="0" t="e">
        <f aca="false">sheet1!awi152</f>
        <v>#NAME?</v>
      </c>
      <c r="F151" s="0" t="e">
        <f aca="false">sheet1!awj152</f>
        <v>#NAME?</v>
      </c>
      <c r="G151" s="0" t="e">
        <f aca="false">sheet1!awk152</f>
        <v>#NAME?</v>
      </c>
      <c r="H151" s="0" t="e">
        <f aca="false">sheet1!awl152</f>
        <v>#NAME?</v>
      </c>
      <c r="I151" s="0" t="e">
        <f aca="false">sheet1!awm152</f>
        <v>#NAME?</v>
      </c>
      <c r="J151" s="0" t="e">
        <f aca="false">sheet1!awn152</f>
        <v>#NAME?</v>
      </c>
      <c r="K151" s="0" t="e">
        <f aca="false">sheet1!awo152</f>
        <v>#NAME?</v>
      </c>
      <c r="L151" s="0" t="e">
        <f aca="false">sheet1!awp152</f>
        <v>#NAME?</v>
      </c>
      <c r="M151" s="0" t="e">
        <f aca="false">sheet1!awq152</f>
        <v>#NAME?</v>
      </c>
    </row>
    <row r="152" customFormat="false" ht="13.5" hidden="false" customHeight="false" outlineLevel="0" collapsed="false">
      <c r="A152" s="0" t="s">
        <v>101</v>
      </c>
      <c r="B152" s="1" t="n">
        <v>44012</v>
      </c>
      <c r="C152" s="0" t="e">
        <f aca="false">sheet1!awg153</f>
        <v>#NAME?</v>
      </c>
      <c r="D152" s="0" t="e">
        <f aca="false">sheet1!awh153</f>
        <v>#NAME?</v>
      </c>
      <c r="E152" s="0" t="e">
        <f aca="false">sheet1!awi153</f>
        <v>#NAME?</v>
      </c>
      <c r="F152" s="0" t="e">
        <f aca="false">sheet1!awj153</f>
        <v>#NAME?</v>
      </c>
      <c r="G152" s="0" t="e">
        <f aca="false">sheet1!awk153</f>
        <v>#NAME?</v>
      </c>
      <c r="H152" s="0" t="e">
        <f aca="false">sheet1!awl153</f>
        <v>#NAME?</v>
      </c>
      <c r="I152" s="0" t="e">
        <f aca="false">sheet1!awm153</f>
        <v>#NAME?</v>
      </c>
      <c r="J152" s="0" t="e">
        <f aca="false">sheet1!awn153</f>
        <v>#NAME?</v>
      </c>
      <c r="K152" s="0" t="e">
        <f aca="false">sheet1!awo153</f>
        <v>#NAME?</v>
      </c>
      <c r="L152" s="0" t="e">
        <f aca="false">sheet1!awp153</f>
        <v>#NAME?</v>
      </c>
      <c r="M152" s="0" t="e">
        <f aca="false">sheet1!awq153</f>
        <v>#NAME?</v>
      </c>
    </row>
    <row r="153" customFormat="false" ht="13.5" hidden="false" customHeight="false" outlineLevel="0" collapsed="false">
      <c r="A153" s="0" t="s">
        <v>101</v>
      </c>
      <c r="B153" s="1" t="n">
        <v>44013</v>
      </c>
      <c r="C153" s="0" t="e">
        <f aca="false">sheet1!awg154</f>
        <v>#NAME?</v>
      </c>
      <c r="D153" s="0" t="e">
        <f aca="false">sheet1!awh154</f>
        <v>#NAME?</v>
      </c>
      <c r="E153" s="0" t="e">
        <f aca="false">sheet1!awi154</f>
        <v>#NAME?</v>
      </c>
      <c r="F153" s="0" t="e">
        <f aca="false">sheet1!awj154</f>
        <v>#NAME?</v>
      </c>
      <c r="G153" s="0" t="e">
        <f aca="false">sheet1!awk154</f>
        <v>#NAME?</v>
      </c>
      <c r="H153" s="0" t="e">
        <f aca="false">sheet1!awl154</f>
        <v>#NAME?</v>
      </c>
      <c r="I153" s="0" t="e">
        <f aca="false">sheet1!awm154</f>
        <v>#NAME?</v>
      </c>
      <c r="J153" s="0" t="e">
        <f aca="false">sheet1!awn154</f>
        <v>#NAME?</v>
      </c>
      <c r="K153" s="0" t="e">
        <f aca="false">sheet1!awo154</f>
        <v>#NAME?</v>
      </c>
      <c r="L153" s="0" t="e">
        <f aca="false">sheet1!awp154</f>
        <v>#NAME?</v>
      </c>
      <c r="M153" s="0" t="e">
        <f aca="false">sheet1!awq154</f>
        <v>#NAME?</v>
      </c>
    </row>
    <row r="154" customFormat="false" ht="13.5" hidden="false" customHeight="false" outlineLevel="0" collapsed="false">
      <c r="A154" s="0" t="s">
        <v>101</v>
      </c>
      <c r="B154" s="1" t="n">
        <v>44014</v>
      </c>
      <c r="C154" s="0" t="e">
        <f aca="false">sheet1!awg155</f>
        <v>#NAME?</v>
      </c>
      <c r="D154" s="0" t="e">
        <f aca="false">sheet1!awh155</f>
        <v>#NAME?</v>
      </c>
      <c r="E154" s="0" t="e">
        <f aca="false">sheet1!awi155</f>
        <v>#NAME?</v>
      </c>
      <c r="F154" s="0" t="e">
        <f aca="false">sheet1!awj155</f>
        <v>#NAME?</v>
      </c>
      <c r="G154" s="0" t="e">
        <f aca="false">sheet1!awk155</f>
        <v>#NAME?</v>
      </c>
      <c r="H154" s="0" t="e">
        <f aca="false">sheet1!awl155</f>
        <v>#NAME?</v>
      </c>
      <c r="I154" s="0" t="e">
        <f aca="false">sheet1!awm155</f>
        <v>#NAME?</v>
      </c>
      <c r="J154" s="0" t="e">
        <f aca="false">sheet1!awn155</f>
        <v>#NAME?</v>
      </c>
      <c r="K154" s="0" t="e">
        <f aca="false">sheet1!awo155</f>
        <v>#NAME?</v>
      </c>
      <c r="L154" s="0" t="e">
        <f aca="false">sheet1!awp155</f>
        <v>#NAME?</v>
      </c>
      <c r="M154" s="0" t="e">
        <f aca="false">sheet1!awq155</f>
        <v>#NAME?</v>
      </c>
    </row>
    <row r="155" customFormat="false" ht="13.5" hidden="false" customHeight="false" outlineLevel="0" collapsed="false">
      <c r="A155" s="0" t="s">
        <v>101</v>
      </c>
      <c r="B155" s="1" t="n">
        <v>44015</v>
      </c>
      <c r="C155" s="0" t="e">
        <f aca="false">sheet1!awg156</f>
        <v>#NAME?</v>
      </c>
      <c r="D155" s="0" t="e">
        <f aca="false">sheet1!awh156</f>
        <v>#NAME?</v>
      </c>
      <c r="E155" s="0" t="e">
        <f aca="false">sheet1!awi156</f>
        <v>#NAME?</v>
      </c>
      <c r="F155" s="0" t="e">
        <f aca="false">sheet1!awj156</f>
        <v>#NAME?</v>
      </c>
      <c r="G155" s="0" t="e">
        <f aca="false">sheet1!awk156</f>
        <v>#NAME?</v>
      </c>
      <c r="H155" s="0" t="e">
        <f aca="false">sheet1!awl156</f>
        <v>#NAME?</v>
      </c>
      <c r="I155" s="0" t="e">
        <f aca="false">sheet1!awm156</f>
        <v>#NAME?</v>
      </c>
      <c r="J155" s="0" t="e">
        <f aca="false">sheet1!awn156</f>
        <v>#NAME?</v>
      </c>
      <c r="K155" s="0" t="e">
        <f aca="false">sheet1!awo156</f>
        <v>#NAME?</v>
      </c>
      <c r="L155" s="0" t="e">
        <f aca="false">sheet1!awp156</f>
        <v>#NAME?</v>
      </c>
      <c r="M155" s="0" t="e">
        <f aca="false">sheet1!awq156</f>
        <v>#NAME?</v>
      </c>
    </row>
    <row r="156" customFormat="false" ht="13.5" hidden="false" customHeight="false" outlineLevel="0" collapsed="false">
      <c r="A156" s="0" t="s">
        <v>101</v>
      </c>
      <c r="B156" s="1" t="n">
        <v>44016</v>
      </c>
      <c r="C156" s="0" t="e">
        <f aca="false">sheet1!awg157</f>
        <v>#NAME?</v>
      </c>
      <c r="D156" s="0" t="e">
        <f aca="false">sheet1!awh157</f>
        <v>#NAME?</v>
      </c>
      <c r="E156" s="0" t="e">
        <f aca="false">sheet1!awi157</f>
        <v>#NAME?</v>
      </c>
      <c r="F156" s="0" t="e">
        <f aca="false">sheet1!awj157</f>
        <v>#NAME?</v>
      </c>
      <c r="G156" s="0" t="e">
        <f aca="false">sheet1!awk157</f>
        <v>#NAME?</v>
      </c>
      <c r="H156" s="0" t="e">
        <f aca="false">sheet1!awl157</f>
        <v>#NAME?</v>
      </c>
      <c r="I156" s="0" t="e">
        <f aca="false">sheet1!awm157</f>
        <v>#NAME?</v>
      </c>
      <c r="J156" s="0" t="e">
        <f aca="false">sheet1!awn157</f>
        <v>#NAME?</v>
      </c>
      <c r="K156" s="0" t="e">
        <f aca="false">sheet1!awo157</f>
        <v>#NAME?</v>
      </c>
      <c r="L156" s="0" t="e">
        <f aca="false">sheet1!awp157</f>
        <v>#NAME?</v>
      </c>
      <c r="M156" s="0" t="e">
        <f aca="false">sheet1!awq157</f>
        <v>#NAME?</v>
      </c>
    </row>
    <row r="157" customFormat="false" ht="13.5" hidden="false" customHeight="false" outlineLevel="0" collapsed="false">
      <c r="A157" s="0" t="s">
        <v>101</v>
      </c>
      <c r="B157" s="1" t="n">
        <v>44017</v>
      </c>
      <c r="C157" s="0" t="e">
        <f aca="false">sheet1!awg158</f>
        <v>#NAME?</v>
      </c>
      <c r="D157" s="0" t="e">
        <f aca="false">sheet1!awh158</f>
        <v>#NAME?</v>
      </c>
      <c r="E157" s="0" t="e">
        <f aca="false">sheet1!awi158</f>
        <v>#NAME?</v>
      </c>
      <c r="F157" s="0" t="e">
        <f aca="false">sheet1!awj158</f>
        <v>#NAME?</v>
      </c>
      <c r="G157" s="0" t="e">
        <f aca="false">sheet1!awk158</f>
        <v>#NAME?</v>
      </c>
      <c r="H157" s="0" t="e">
        <f aca="false">sheet1!awl158</f>
        <v>#NAME?</v>
      </c>
      <c r="I157" s="0" t="e">
        <f aca="false">sheet1!awm158</f>
        <v>#NAME?</v>
      </c>
      <c r="J157" s="0" t="e">
        <f aca="false">sheet1!awn158</f>
        <v>#NAME?</v>
      </c>
      <c r="K157" s="0" t="e">
        <f aca="false">sheet1!awo158</f>
        <v>#NAME?</v>
      </c>
      <c r="L157" s="0" t="e">
        <f aca="false">sheet1!awp158</f>
        <v>#NAME?</v>
      </c>
      <c r="M157" s="0" t="e">
        <f aca="false">sheet1!awq158</f>
        <v>#NAME?</v>
      </c>
    </row>
    <row r="158" customFormat="false" ht="13.5" hidden="false" customHeight="false" outlineLevel="0" collapsed="false">
      <c r="A158" s="0" t="s">
        <v>101</v>
      </c>
      <c r="B158" s="1" t="n">
        <v>44018</v>
      </c>
      <c r="C158" s="0" t="e">
        <f aca="false">sheet1!awg159</f>
        <v>#NAME?</v>
      </c>
      <c r="D158" s="0" t="e">
        <f aca="false">sheet1!awh159</f>
        <v>#NAME?</v>
      </c>
      <c r="E158" s="0" t="e">
        <f aca="false">sheet1!awi159</f>
        <v>#NAME?</v>
      </c>
      <c r="F158" s="0" t="e">
        <f aca="false">sheet1!awj159</f>
        <v>#NAME?</v>
      </c>
      <c r="G158" s="0" t="e">
        <f aca="false">sheet1!awk159</f>
        <v>#NAME?</v>
      </c>
      <c r="H158" s="0" t="e">
        <f aca="false">sheet1!awl159</f>
        <v>#NAME?</v>
      </c>
      <c r="I158" s="0" t="e">
        <f aca="false">sheet1!awm159</f>
        <v>#NAME?</v>
      </c>
      <c r="J158" s="0" t="e">
        <f aca="false">sheet1!awn159</f>
        <v>#NAME?</v>
      </c>
      <c r="K158" s="0" t="e">
        <f aca="false">sheet1!awo159</f>
        <v>#NAME?</v>
      </c>
      <c r="L158" s="0" t="e">
        <f aca="false">sheet1!awp159</f>
        <v>#NAME?</v>
      </c>
      <c r="M158" s="0" t="e">
        <f aca="false">sheet1!awq159</f>
        <v>#NAME?</v>
      </c>
    </row>
    <row r="159" customFormat="false" ht="13.5" hidden="false" customHeight="false" outlineLevel="0" collapsed="false">
      <c r="A159" s="0" t="s">
        <v>101</v>
      </c>
      <c r="B159" s="1" t="n">
        <v>44019</v>
      </c>
      <c r="C159" s="0" t="e">
        <f aca="false">sheet1!awg160</f>
        <v>#NAME?</v>
      </c>
      <c r="D159" s="0" t="e">
        <f aca="false">sheet1!awh160</f>
        <v>#NAME?</v>
      </c>
      <c r="E159" s="0" t="e">
        <f aca="false">sheet1!awi160</f>
        <v>#NAME?</v>
      </c>
      <c r="F159" s="0" t="e">
        <f aca="false">sheet1!awj160</f>
        <v>#NAME?</v>
      </c>
      <c r="G159" s="0" t="e">
        <f aca="false">sheet1!awk160</f>
        <v>#NAME?</v>
      </c>
      <c r="H159" s="0" t="e">
        <f aca="false">sheet1!awl160</f>
        <v>#NAME?</v>
      </c>
      <c r="I159" s="0" t="e">
        <f aca="false">sheet1!awm160</f>
        <v>#NAME?</v>
      </c>
      <c r="J159" s="0" t="e">
        <f aca="false">sheet1!awn160</f>
        <v>#NAME?</v>
      </c>
      <c r="K159" s="0" t="e">
        <f aca="false">sheet1!awo160</f>
        <v>#NAME?</v>
      </c>
      <c r="L159" s="0" t="e">
        <f aca="false">sheet1!awp160</f>
        <v>#NAME?</v>
      </c>
      <c r="M159" s="0" t="e">
        <f aca="false">sheet1!awq160</f>
        <v>#NAME?</v>
      </c>
    </row>
    <row r="160" customFormat="false" ht="13.5" hidden="false" customHeight="false" outlineLevel="0" collapsed="false">
      <c r="A160" s="0" t="s">
        <v>101</v>
      </c>
      <c r="B160" s="1" t="n">
        <v>44020</v>
      </c>
      <c r="C160" s="0" t="e">
        <f aca="false">sheet1!awg161</f>
        <v>#NAME?</v>
      </c>
      <c r="D160" s="0" t="e">
        <f aca="false">sheet1!awh161</f>
        <v>#NAME?</v>
      </c>
      <c r="E160" s="0" t="e">
        <f aca="false">sheet1!awi161</f>
        <v>#NAME?</v>
      </c>
      <c r="F160" s="0" t="e">
        <f aca="false">sheet1!awj161</f>
        <v>#NAME?</v>
      </c>
      <c r="G160" s="0" t="e">
        <f aca="false">sheet1!awk161</f>
        <v>#NAME?</v>
      </c>
      <c r="H160" s="0" t="e">
        <f aca="false">sheet1!awl161</f>
        <v>#NAME?</v>
      </c>
      <c r="I160" s="0" t="e">
        <f aca="false">sheet1!awm161</f>
        <v>#NAME?</v>
      </c>
      <c r="J160" s="0" t="e">
        <f aca="false">sheet1!awn161</f>
        <v>#NAME?</v>
      </c>
      <c r="K160" s="0" t="e">
        <f aca="false">sheet1!awo161</f>
        <v>#NAME?</v>
      </c>
      <c r="L160" s="0" t="e">
        <f aca="false">sheet1!awp161</f>
        <v>#NAME?</v>
      </c>
      <c r="M160" s="0" t="e">
        <f aca="false">sheet1!awq161</f>
        <v>#NAME?</v>
      </c>
    </row>
    <row r="161" customFormat="false" ht="13.5" hidden="false" customHeight="false" outlineLevel="0" collapsed="false">
      <c r="A161" s="0" t="s">
        <v>101</v>
      </c>
      <c r="B161" s="1" t="n">
        <v>44021</v>
      </c>
      <c r="C161" s="0" t="e">
        <f aca="false">sheet1!awg162</f>
        <v>#NAME?</v>
      </c>
      <c r="D161" s="0" t="e">
        <f aca="false">sheet1!awh162</f>
        <v>#NAME?</v>
      </c>
      <c r="E161" s="0" t="e">
        <f aca="false">sheet1!awi162</f>
        <v>#NAME?</v>
      </c>
      <c r="F161" s="0" t="e">
        <f aca="false">sheet1!awj162</f>
        <v>#NAME?</v>
      </c>
      <c r="G161" s="0" t="e">
        <f aca="false">sheet1!awk162</f>
        <v>#NAME?</v>
      </c>
      <c r="H161" s="0" t="e">
        <f aca="false">sheet1!awl162</f>
        <v>#NAME?</v>
      </c>
      <c r="I161" s="0" t="e">
        <f aca="false">sheet1!awm162</f>
        <v>#NAME?</v>
      </c>
      <c r="J161" s="0" t="e">
        <f aca="false">sheet1!awn162</f>
        <v>#NAME?</v>
      </c>
      <c r="K161" s="0" t="e">
        <f aca="false">sheet1!awo162</f>
        <v>#NAME?</v>
      </c>
      <c r="L161" s="0" t="e">
        <f aca="false">sheet1!awp162</f>
        <v>#NAME?</v>
      </c>
      <c r="M161" s="0" t="e">
        <f aca="false">sheet1!awq162</f>
        <v>#NAME?</v>
      </c>
    </row>
    <row r="162" customFormat="false" ht="13.5" hidden="false" customHeight="false" outlineLevel="0" collapsed="false">
      <c r="A162" s="0" t="s">
        <v>101</v>
      </c>
      <c r="B162" s="1" t="n">
        <v>44022</v>
      </c>
      <c r="C162" s="0" t="e">
        <f aca="false">sheet1!awg163</f>
        <v>#NAME?</v>
      </c>
      <c r="D162" s="0" t="e">
        <f aca="false">sheet1!awh163</f>
        <v>#NAME?</v>
      </c>
      <c r="E162" s="0" t="e">
        <f aca="false">sheet1!awi163</f>
        <v>#NAME?</v>
      </c>
      <c r="F162" s="0" t="e">
        <f aca="false">sheet1!awj163</f>
        <v>#NAME?</v>
      </c>
      <c r="G162" s="0" t="e">
        <f aca="false">sheet1!awk163</f>
        <v>#NAME?</v>
      </c>
      <c r="H162" s="0" t="e">
        <f aca="false">sheet1!awl163</f>
        <v>#NAME?</v>
      </c>
      <c r="I162" s="0" t="e">
        <f aca="false">sheet1!awm163</f>
        <v>#NAME?</v>
      </c>
      <c r="J162" s="0" t="e">
        <f aca="false">sheet1!awn163</f>
        <v>#NAME?</v>
      </c>
      <c r="K162" s="0" t="e">
        <f aca="false">sheet1!awo163</f>
        <v>#NAME?</v>
      </c>
      <c r="L162" s="0" t="e">
        <f aca="false">sheet1!awp163</f>
        <v>#NAME?</v>
      </c>
      <c r="M162" s="0" t="e">
        <f aca="false">sheet1!awq163</f>
        <v>#NAME?</v>
      </c>
    </row>
    <row r="163" customFormat="false" ht="13.5" hidden="false" customHeight="false" outlineLevel="0" collapsed="false">
      <c r="A163" s="0" t="s">
        <v>101</v>
      </c>
      <c r="B163" s="1" t="n">
        <v>44023</v>
      </c>
      <c r="C163" s="0" t="e">
        <f aca="false">sheet1!awg164</f>
        <v>#NAME?</v>
      </c>
      <c r="D163" s="0" t="e">
        <f aca="false">sheet1!awh164</f>
        <v>#NAME?</v>
      </c>
      <c r="E163" s="0" t="e">
        <f aca="false">sheet1!awi164</f>
        <v>#NAME?</v>
      </c>
      <c r="F163" s="0" t="e">
        <f aca="false">sheet1!awj164</f>
        <v>#NAME?</v>
      </c>
      <c r="G163" s="0" t="e">
        <f aca="false">sheet1!awk164</f>
        <v>#NAME?</v>
      </c>
      <c r="H163" s="0" t="e">
        <f aca="false">sheet1!awl164</f>
        <v>#NAME?</v>
      </c>
      <c r="I163" s="0" t="e">
        <f aca="false">sheet1!awm164</f>
        <v>#NAME?</v>
      </c>
      <c r="J163" s="0" t="e">
        <f aca="false">sheet1!awn164</f>
        <v>#NAME?</v>
      </c>
      <c r="K163" s="0" t="e">
        <f aca="false">sheet1!awo164</f>
        <v>#NAME?</v>
      </c>
      <c r="L163" s="0" t="e">
        <f aca="false">sheet1!awp164</f>
        <v>#NAME?</v>
      </c>
      <c r="M163" s="0" t="e">
        <f aca="false">sheet1!awq164</f>
        <v>#NAME?</v>
      </c>
    </row>
    <row r="164" customFormat="false" ht="13.5" hidden="false" customHeight="false" outlineLevel="0" collapsed="false">
      <c r="A164" s="0" t="s">
        <v>101</v>
      </c>
      <c r="B164" s="1" t="n">
        <v>44024</v>
      </c>
      <c r="C164" s="0" t="e">
        <f aca="false">sheet1!awg165</f>
        <v>#NAME?</v>
      </c>
      <c r="D164" s="0" t="e">
        <f aca="false">sheet1!awh165</f>
        <v>#NAME?</v>
      </c>
      <c r="E164" s="0" t="e">
        <f aca="false">sheet1!awi165</f>
        <v>#NAME?</v>
      </c>
      <c r="F164" s="0" t="e">
        <f aca="false">sheet1!awj165</f>
        <v>#NAME?</v>
      </c>
      <c r="G164" s="0" t="e">
        <f aca="false">sheet1!awk165</f>
        <v>#NAME?</v>
      </c>
      <c r="H164" s="0" t="e">
        <f aca="false">sheet1!awl165</f>
        <v>#NAME?</v>
      </c>
      <c r="I164" s="0" t="e">
        <f aca="false">sheet1!awm165</f>
        <v>#NAME?</v>
      </c>
      <c r="J164" s="0" t="e">
        <f aca="false">sheet1!awn165</f>
        <v>#NAME?</v>
      </c>
      <c r="K164" s="0" t="e">
        <f aca="false">sheet1!awo165</f>
        <v>#NAME?</v>
      </c>
      <c r="L164" s="0" t="e">
        <f aca="false">sheet1!awp165</f>
        <v>#NAME?</v>
      </c>
      <c r="M164" s="0" t="e">
        <f aca="false">sheet1!awq165</f>
        <v>#NAME?</v>
      </c>
    </row>
    <row r="165" customFormat="false" ht="13.5" hidden="false" customHeight="false" outlineLevel="0" collapsed="false">
      <c r="A165" s="0" t="s">
        <v>101</v>
      </c>
      <c r="B165" s="1" t="n">
        <v>44025</v>
      </c>
      <c r="C165" s="0" t="e">
        <f aca="false">sheet1!awg166</f>
        <v>#NAME?</v>
      </c>
      <c r="D165" s="0" t="e">
        <f aca="false">sheet1!awh166</f>
        <v>#NAME?</v>
      </c>
      <c r="E165" s="0" t="e">
        <f aca="false">sheet1!awi166</f>
        <v>#NAME?</v>
      </c>
      <c r="F165" s="0" t="e">
        <f aca="false">sheet1!awj166</f>
        <v>#NAME?</v>
      </c>
      <c r="G165" s="0" t="e">
        <f aca="false">sheet1!awk166</f>
        <v>#NAME?</v>
      </c>
      <c r="H165" s="0" t="e">
        <f aca="false">sheet1!awl166</f>
        <v>#NAME?</v>
      </c>
      <c r="I165" s="0" t="e">
        <f aca="false">sheet1!awm166</f>
        <v>#NAME?</v>
      </c>
      <c r="J165" s="0" t="e">
        <f aca="false">sheet1!awn166</f>
        <v>#NAME?</v>
      </c>
      <c r="K165" s="0" t="e">
        <f aca="false">sheet1!awo166</f>
        <v>#NAME?</v>
      </c>
      <c r="L165" s="0" t="e">
        <f aca="false">sheet1!awp166</f>
        <v>#NAME?</v>
      </c>
      <c r="M165" s="0" t="e">
        <f aca="false">sheet1!awq166</f>
        <v>#NAME?</v>
      </c>
    </row>
    <row r="166" customFormat="false" ht="13.5" hidden="false" customHeight="false" outlineLevel="0" collapsed="false">
      <c r="A166" s="0" t="s">
        <v>101</v>
      </c>
      <c r="B166" s="1" t="n">
        <v>44026</v>
      </c>
      <c r="C166" s="0" t="e">
        <f aca="false">sheet1!awg167</f>
        <v>#NAME?</v>
      </c>
      <c r="D166" s="0" t="e">
        <f aca="false">sheet1!awh167</f>
        <v>#NAME?</v>
      </c>
      <c r="E166" s="0" t="e">
        <f aca="false">sheet1!awi167</f>
        <v>#NAME?</v>
      </c>
      <c r="F166" s="0" t="e">
        <f aca="false">sheet1!awj167</f>
        <v>#NAME?</v>
      </c>
      <c r="G166" s="0" t="e">
        <f aca="false">sheet1!awk167</f>
        <v>#NAME?</v>
      </c>
      <c r="H166" s="0" t="e">
        <f aca="false">sheet1!awl167</f>
        <v>#NAME?</v>
      </c>
      <c r="I166" s="0" t="e">
        <f aca="false">sheet1!awm167</f>
        <v>#NAME?</v>
      </c>
      <c r="J166" s="0" t="e">
        <f aca="false">sheet1!awn167</f>
        <v>#NAME?</v>
      </c>
      <c r="K166" s="0" t="e">
        <f aca="false">sheet1!awo167</f>
        <v>#NAME?</v>
      </c>
      <c r="L166" s="0" t="e">
        <f aca="false">sheet1!awp167</f>
        <v>#NAME?</v>
      </c>
      <c r="M166" s="0" t="e">
        <f aca="false">sheet1!awq167</f>
        <v>#NAME?</v>
      </c>
    </row>
    <row r="167" customFormat="false" ht="13.5" hidden="false" customHeight="false" outlineLevel="0" collapsed="false">
      <c r="A167" s="0" t="s">
        <v>101</v>
      </c>
      <c r="B167" s="1" t="n">
        <v>44027</v>
      </c>
      <c r="C167" s="0" t="e">
        <f aca="false">sheet1!awg168</f>
        <v>#NAME?</v>
      </c>
      <c r="D167" s="0" t="e">
        <f aca="false">sheet1!awh168</f>
        <v>#NAME?</v>
      </c>
      <c r="E167" s="0" t="e">
        <f aca="false">sheet1!awi168</f>
        <v>#NAME?</v>
      </c>
      <c r="F167" s="0" t="e">
        <f aca="false">sheet1!awj168</f>
        <v>#NAME?</v>
      </c>
      <c r="G167" s="0" t="e">
        <f aca="false">sheet1!awk168</f>
        <v>#NAME?</v>
      </c>
      <c r="H167" s="0" t="e">
        <f aca="false">sheet1!awl168</f>
        <v>#NAME?</v>
      </c>
      <c r="I167" s="0" t="e">
        <f aca="false">sheet1!awm168</f>
        <v>#NAME?</v>
      </c>
      <c r="J167" s="0" t="e">
        <f aca="false">sheet1!awn168</f>
        <v>#NAME?</v>
      </c>
      <c r="K167" s="0" t="e">
        <f aca="false">sheet1!awo168</f>
        <v>#NAME?</v>
      </c>
      <c r="L167" s="0" t="e">
        <f aca="false">sheet1!awp168</f>
        <v>#NAME?</v>
      </c>
      <c r="M167" s="0" t="e">
        <f aca="false">sheet1!awq168</f>
        <v>#NAME?</v>
      </c>
    </row>
    <row r="168" customFormat="false" ht="13.5" hidden="false" customHeight="false" outlineLevel="0" collapsed="false">
      <c r="A168" s="0" t="s">
        <v>101</v>
      </c>
      <c r="B168" s="1" t="n">
        <v>44028</v>
      </c>
      <c r="C168" s="0" t="e">
        <f aca="false">sheet1!awg169</f>
        <v>#NAME?</v>
      </c>
      <c r="D168" s="0" t="e">
        <f aca="false">sheet1!awh169</f>
        <v>#NAME?</v>
      </c>
      <c r="E168" s="0" t="e">
        <f aca="false">sheet1!awi169</f>
        <v>#NAME?</v>
      </c>
      <c r="F168" s="0" t="e">
        <f aca="false">sheet1!awj169</f>
        <v>#NAME?</v>
      </c>
      <c r="G168" s="0" t="e">
        <f aca="false">sheet1!awk169</f>
        <v>#NAME?</v>
      </c>
      <c r="H168" s="0" t="e">
        <f aca="false">sheet1!awl169</f>
        <v>#NAME?</v>
      </c>
      <c r="I168" s="0" t="e">
        <f aca="false">sheet1!awm169</f>
        <v>#NAME?</v>
      </c>
      <c r="J168" s="0" t="e">
        <f aca="false">sheet1!awn169</f>
        <v>#NAME?</v>
      </c>
      <c r="K168" s="0" t="e">
        <f aca="false">sheet1!awo169</f>
        <v>#NAME?</v>
      </c>
      <c r="L168" s="0" t="e">
        <f aca="false">sheet1!awp169</f>
        <v>#NAME?</v>
      </c>
      <c r="M168" s="0" t="e">
        <f aca="false">sheet1!awq169</f>
        <v>#NAME?</v>
      </c>
    </row>
    <row r="169" customFormat="false" ht="13.5" hidden="false" customHeight="false" outlineLevel="0" collapsed="false">
      <c r="A169" s="0" t="s">
        <v>101</v>
      </c>
      <c r="B169" s="1" t="n">
        <v>44029</v>
      </c>
      <c r="C169" s="0" t="e">
        <f aca="false">sheet1!awg170</f>
        <v>#NAME?</v>
      </c>
      <c r="D169" s="0" t="e">
        <f aca="false">sheet1!awh170</f>
        <v>#NAME?</v>
      </c>
      <c r="E169" s="0" t="e">
        <f aca="false">sheet1!awi170</f>
        <v>#NAME?</v>
      </c>
      <c r="F169" s="0" t="e">
        <f aca="false">sheet1!awj170</f>
        <v>#NAME?</v>
      </c>
      <c r="G169" s="0" t="e">
        <f aca="false">sheet1!awk170</f>
        <v>#NAME?</v>
      </c>
      <c r="H169" s="0" t="e">
        <f aca="false">sheet1!awl170</f>
        <v>#NAME?</v>
      </c>
      <c r="I169" s="0" t="e">
        <f aca="false">sheet1!awm170</f>
        <v>#NAME?</v>
      </c>
      <c r="J169" s="0" t="e">
        <f aca="false">sheet1!awn170</f>
        <v>#NAME?</v>
      </c>
      <c r="K169" s="0" t="e">
        <f aca="false">sheet1!awo170</f>
        <v>#NAME?</v>
      </c>
      <c r="L169" s="0" t="e">
        <f aca="false">sheet1!awp170</f>
        <v>#NAME?</v>
      </c>
      <c r="M169" s="0" t="e">
        <f aca="false">sheet1!awq170</f>
        <v>#NAME?</v>
      </c>
    </row>
    <row r="170" customFormat="false" ht="13.5" hidden="false" customHeight="false" outlineLevel="0" collapsed="false">
      <c r="A170" s="0" t="s">
        <v>101</v>
      </c>
      <c r="B170" s="1" t="n">
        <v>44030</v>
      </c>
      <c r="C170" s="0" t="e">
        <f aca="false">sheet1!awg171</f>
        <v>#NAME?</v>
      </c>
      <c r="D170" s="0" t="e">
        <f aca="false">sheet1!awh171</f>
        <v>#NAME?</v>
      </c>
      <c r="E170" s="0" t="e">
        <f aca="false">sheet1!awi171</f>
        <v>#NAME?</v>
      </c>
      <c r="F170" s="0" t="e">
        <f aca="false">sheet1!awj171</f>
        <v>#NAME?</v>
      </c>
      <c r="G170" s="0" t="e">
        <f aca="false">sheet1!awk171</f>
        <v>#NAME?</v>
      </c>
      <c r="H170" s="0" t="e">
        <f aca="false">sheet1!awl171</f>
        <v>#NAME?</v>
      </c>
      <c r="I170" s="0" t="e">
        <f aca="false">sheet1!awm171</f>
        <v>#NAME?</v>
      </c>
      <c r="J170" s="0" t="e">
        <f aca="false">sheet1!awn171</f>
        <v>#NAME?</v>
      </c>
      <c r="K170" s="0" t="e">
        <f aca="false">sheet1!awo171</f>
        <v>#NAME?</v>
      </c>
      <c r="L170" s="0" t="e">
        <f aca="false">sheet1!awp171</f>
        <v>#NAME?</v>
      </c>
      <c r="M170" s="0" t="e">
        <f aca="false">sheet1!awq171</f>
        <v>#NAME?</v>
      </c>
    </row>
    <row r="171" customFormat="false" ht="13.5" hidden="false" customHeight="false" outlineLevel="0" collapsed="false">
      <c r="A171" s="0" t="s">
        <v>101</v>
      </c>
      <c r="B171" s="1" t="n">
        <v>44031</v>
      </c>
      <c r="C171" s="0" t="e">
        <f aca="false">sheet1!awg172</f>
        <v>#NAME?</v>
      </c>
      <c r="D171" s="0" t="e">
        <f aca="false">sheet1!awh172</f>
        <v>#NAME?</v>
      </c>
      <c r="E171" s="0" t="e">
        <f aca="false">sheet1!awi172</f>
        <v>#NAME?</v>
      </c>
      <c r="F171" s="0" t="e">
        <f aca="false">sheet1!awj172</f>
        <v>#NAME?</v>
      </c>
      <c r="G171" s="0" t="e">
        <f aca="false">sheet1!awk172</f>
        <v>#NAME?</v>
      </c>
      <c r="H171" s="0" t="e">
        <f aca="false">sheet1!awl172</f>
        <v>#NAME?</v>
      </c>
      <c r="I171" s="0" t="e">
        <f aca="false">sheet1!awm172</f>
        <v>#NAME?</v>
      </c>
      <c r="J171" s="0" t="e">
        <f aca="false">sheet1!awn172</f>
        <v>#NAME?</v>
      </c>
      <c r="K171" s="0" t="e">
        <f aca="false">sheet1!awo172</f>
        <v>#NAME?</v>
      </c>
      <c r="L171" s="0" t="e">
        <f aca="false">sheet1!awp172</f>
        <v>#NAME?</v>
      </c>
      <c r="M171" s="0" t="e">
        <f aca="false">sheet1!awq172</f>
        <v>#NAME?</v>
      </c>
    </row>
    <row r="172" customFormat="false" ht="13.5" hidden="false" customHeight="false" outlineLevel="0" collapsed="false">
      <c r="A172" s="0" t="s">
        <v>101</v>
      </c>
      <c r="B172" s="1" t="n">
        <v>44032</v>
      </c>
      <c r="C172" s="0" t="e">
        <f aca="false">sheet1!awg173</f>
        <v>#NAME?</v>
      </c>
      <c r="D172" s="0" t="e">
        <f aca="false">sheet1!awh173</f>
        <v>#NAME?</v>
      </c>
      <c r="E172" s="0" t="e">
        <f aca="false">sheet1!awi173</f>
        <v>#NAME?</v>
      </c>
      <c r="F172" s="0" t="e">
        <f aca="false">sheet1!awj173</f>
        <v>#NAME?</v>
      </c>
      <c r="G172" s="0" t="e">
        <f aca="false">sheet1!awk173</f>
        <v>#NAME?</v>
      </c>
      <c r="H172" s="0" t="e">
        <f aca="false">sheet1!awl173</f>
        <v>#NAME?</v>
      </c>
      <c r="I172" s="0" t="e">
        <f aca="false">sheet1!awm173</f>
        <v>#NAME?</v>
      </c>
      <c r="J172" s="0" t="e">
        <f aca="false">sheet1!awn173</f>
        <v>#NAME?</v>
      </c>
      <c r="K172" s="0" t="e">
        <f aca="false">sheet1!awo173</f>
        <v>#NAME?</v>
      </c>
      <c r="L172" s="0" t="e">
        <f aca="false">sheet1!awp173</f>
        <v>#NAME?</v>
      </c>
      <c r="M172" s="0" t="e">
        <f aca="false">sheet1!awq173</f>
        <v>#NAME?</v>
      </c>
    </row>
    <row r="173" customFormat="false" ht="13.5" hidden="false" customHeight="false" outlineLevel="0" collapsed="false">
      <c r="A173" s="0" t="s">
        <v>101</v>
      </c>
      <c r="B173" s="1" t="n">
        <v>44033</v>
      </c>
      <c r="C173" s="0" t="e">
        <f aca="false">sheet1!awg174</f>
        <v>#NAME?</v>
      </c>
      <c r="D173" s="0" t="e">
        <f aca="false">sheet1!awh174</f>
        <v>#NAME?</v>
      </c>
      <c r="E173" s="0" t="e">
        <f aca="false">sheet1!awi174</f>
        <v>#NAME?</v>
      </c>
      <c r="F173" s="0" t="e">
        <f aca="false">sheet1!awj174</f>
        <v>#NAME?</v>
      </c>
      <c r="G173" s="0" t="e">
        <f aca="false">sheet1!awk174</f>
        <v>#NAME?</v>
      </c>
      <c r="H173" s="0" t="e">
        <f aca="false">sheet1!awl174</f>
        <v>#NAME?</v>
      </c>
      <c r="I173" s="0" t="e">
        <f aca="false">sheet1!awm174</f>
        <v>#NAME?</v>
      </c>
      <c r="J173" s="0" t="e">
        <f aca="false">sheet1!awn174</f>
        <v>#NAME?</v>
      </c>
      <c r="K173" s="0" t="e">
        <f aca="false">sheet1!awo174</f>
        <v>#NAME?</v>
      </c>
      <c r="L173" s="0" t="e">
        <f aca="false">sheet1!awp174</f>
        <v>#NAME?</v>
      </c>
      <c r="M173" s="0" t="e">
        <f aca="false">sheet1!awq174</f>
        <v>#NAME?</v>
      </c>
    </row>
    <row r="174" customFormat="false" ht="13.5" hidden="false" customHeight="false" outlineLevel="0" collapsed="false">
      <c r="A174" s="0" t="s">
        <v>101</v>
      </c>
      <c r="B174" s="1" t="n">
        <v>44034</v>
      </c>
      <c r="C174" s="0" t="e">
        <f aca="false">sheet1!awg175</f>
        <v>#NAME?</v>
      </c>
      <c r="D174" s="0" t="e">
        <f aca="false">sheet1!awh175</f>
        <v>#NAME?</v>
      </c>
      <c r="E174" s="0" t="e">
        <f aca="false">sheet1!awi175</f>
        <v>#NAME?</v>
      </c>
      <c r="F174" s="0" t="e">
        <f aca="false">sheet1!awj175</f>
        <v>#NAME?</v>
      </c>
      <c r="G174" s="0" t="e">
        <f aca="false">sheet1!awk175</f>
        <v>#NAME?</v>
      </c>
      <c r="H174" s="0" t="e">
        <f aca="false">sheet1!awl175</f>
        <v>#NAME?</v>
      </c>
      <c r="I174" s="0" t="e">
        <f aca="false">sheet1!awm175</f>
        <v>#NAME?</v>
      </c>
      <c r="J174" s="0" t="e">
        <f aca="false">sheet1!awn175</f>
        <v>#NAME?</v>
      </c>
      <c r="K174" s="0" t="e">
        <f aca="false">sheet1!awo175</f>
        <v>#NAME?</v>
      </c>
      <c r="L174" s="0" t="e">
        <f aca="false">sheet1!awp175</f>
        <v>#NAME?</v>
      </c>
      <c r="M174" s="0" t="e">
        <f aca="false">sheet1!awq175</f>
        <v>#NAME?</v>
      </c>
    </row>
    <row r="175" customFormat="false" ht="13.5" hidden="false" customHeight="false" outlineLevel="0" collapsed="false">
      <c r="A175" s="0" t="s">
        <v>101</v>
      </c>
      <c r="B175" s="1" t="n">
        <v>44035</v>
      </c>
      <c r="C175" s="0" t="e">
        <f aca="false">sheet1!awg176</f>
        <v>#NAME?</v>
      </c>
      <c r="D175" s="0" t="e">
        <f aca="false">sheet1!awh176</f>
        <v>#NAME?</v>
      </c>
      <c r="E175" s="0" t="e">
        <f aca="false">sheet1!awi176</f>
        <v>#NAME?</v>
      </c>
      <c r="F175" s="0" t="e">
        <f aca="false">sheet1!awj176</f>
        <v>#NAME?</v>
      </c>
      <c r="G175" s="0" t="e">
        <f aca="false">sheet1!awk176</f>
        <v>#NAME?</v>
      </c>
      <c r="H175" s="0" t="e">
        <f aca="false">sheet1!awl176</f>
        <v>#NAME?</v>
      </c>
      <c r="I175" s="0" t="e">
        <f aca="false">sheet1!awm176</f>
        <v>#NAME?</v>
      </c>
      <c r="J175" s="0" t="e">
        <f aca="false">sheet1!awn176</f>
        <v>#NAME?</v>
      </c>
      <c r="K175" s="0" t="e">
        <f aca="false">sheet1!awo176</f>
        <v>#NAME?</v>
      </c>
      <c r="L175" s="0" t="e">
        <f aca="false">sheet1!awp176</f>
        <v>#NAME?</v>
      </c>
      <c r="M175" s="0" t="e">
        <f aca="false">sheet1!awq176</f>
        <v>#NAME?</v>
      </c>
    </row>
    <row r="176" customFormat="false" ht="13.5" hidden="false" customHeight="false" outlineLevel="0" collapsed="false">
      <c r="A176" s="0" t="s">
        <v>101</v>
      </c>
      <c r="B176" s="1" t="n">
        <v>44036</v>
      </c>
      <c r="C176" s="0" t="e">
        <f aca="false">sheet1!awg177</f>
        <v>#NAME?</v>
      </c>
      <c r="D176" s="0" t="e">
        <f aca="false">sheet1!awh177</f>
        <v>#NAME?</v>
      </c>
      <c r="E176" s="0" t="e">
        <f aca="false">sheet1!awi177</f>
        <v>#NAME?</v>
      </c>
      <c r="F176" s="0" t="e">
        <f aca="false">sheet1!awj177</f>
        <v>#NAME?</v>
      </c>
      <c r="G176" s="0" t="e">
        <f aca="false">sheet1!awk177</f>
        <v>#NAME?</v>
      </c>
      <c r="H176" s="0" t="e">
        <f aca="false">sheet1!awl177</f>
        <v>#NAME?</v>
      </c>
      <c r="I176" s="0" t="e">
        <f aca="false">sheet1!awm177</f>
        <v>#NAME?</v>
      </c>
      <c r="J176" s="0" t="e">
        <f aca="false">sheet1!awn177</f>
        <v>#NAME?</v>
      </c>
      <c r="K176" s="0" t="e">
        <f aca="false">sheet1!awo177</f>
        <v>#NAME?</v>
      </c>
      <c r="L176" s="0" t="e">
        <f aca="false">sheet1!awp177</f>
        <v>#NAME?</v>
      </c>
      <c r="M176" s="0" t="e">
        <f aca="false">sheet1!awq177</f>
        <v>#NAME?</v>
      </c>
    </row>
    <row r="177" customFormat="false" ht="13.5" hidden="false" customHeight="false" outlineLevel="0" collapsed="false">
      <c r="A177" s="0" t="s">
        <v>101</v>
      </c>
      <c r="B177" s="1" t="n">
        <v>44037</v>
      </c>
      <c r="C177" s="0" t="e">
        <f aca="false">sheet1!awg178</f>
        <v>#NAME?</v>
      </c>
      <c r="D177" s="0" t="e">
        <f aca="false">sheet1!awh178</f>
        <v>#NAME?</v>
      </c>
      <c r="E177" s="0" t="e">
        <f aca="false">sheet1!awi178</f>
        <v>#NAME?</v>
      </c>
      <c r="F177" s="0" t="e">
        <f aca="false">sheet1!awj178</f>
        <v>#NAME?</v>
      </c>
      <c r="G177" s="0" t="e">
        <f aca="false">sheet1!awk178</f>
        <v>#NAME?</v>
      </c>
      <c r="H177" s="0" t="e">
        <f aca="false">sheet1!awl178</f>
        <v>#NAME?</v>
      </c>
      <c r="I177" s="0" t="e">
        <f aca="false">sheet1!awm178</f>
        <v>#NAME?</v>
      </c>
      <c r="J177" s="0" t="e">
        <f aca="false">sheet1!awn178</f>
        <v>#NAME?</v>
      </c>
      <c r="K177" s="0" t="e">
        <f aca="false">sheet1!awo178</f>
        <v>#NAME?</v>
      </c>
      <c r="L177" s="0" t="e">
        <f aca="false">sheet1!awp178</f>
        <v>#NAME?</v>
      </c>
      <c r="M177" s="0" t="e">
        <f aca="false">sheet1!awq178</f>
        <v>#NAME?</v>
      </c>
    </row>
    <row r="178" customFormat="false" ht="13.5" hidden="false" customHeight="false" outlineLevel="0" collapsed="false">
      <c r="A178" s="0" t="s">
        <v>101</v>
      </c>
      <c r="B178" s="1" t="n">
        <v>44038</v>
      </c>
      <c r="C178" s="0" t="e">
        <f aca="false">sheet1!awg179</f>
        <v>#NAME?</v>
      </c>
      <c r="D178" s="0" t="e">
        <f aca="false">sheet1!awh179</f>
        <v>#NAME?</v>
      </c>
      <c r="E178" s="0" t="e">
        <f aca="false">sheet1!awi179</f>
        <v>#NAME?</v>
      </c>
      <c r="F178" s="0" t="e">
        <f aca="false">sheet1!awj179</f>
        <v>#NAME?</v>
      </c>
      <c r="G178" s="0" t="e">
        <f aca="false">sheet1!awk179</f>
        <v>#NAME?</v>
      </c>
      <c r="H178" s="0" t="e">
        <f aca="false">sheet1!awl179</f>
        <v>#NAME?</v>
      </c>
      <c r="I178" s="0" t="e">
        <f aca="false">sheet1!awm179</f>
        <v>#NAME?</v>
      </c>
      <c r="J178" s="0" t="e">
        <f aca="false">sheet1!awn179</f>
        <v>#NAME?</v>
      </c>
      <c r="K178" s="0" t="e">
        <f aca="false">sheet1!awo179</f>
        <v>#NAME?</v>
      </c>
      <c r="L178" s="0" t="e">
        <f aca="false">sheet1!awp179</f>
        <v>#NAME?</v>
      </c>
      <c r="M178" s="0" t="e">
        <f aca="false">sheet1!awq179</f>
        <v>#NAME?</v>
      </c>
    </row>
    <row r="179" customFormat="false" ht="13.5" hidden="false" customHeight="false" outlineLevel="0" collapsed="false">
      <c r="A179" s="0" t="s">
        <v>101</v>
      </c>
      <c r="B179" s="1" t="n">
        <v>44039</v>
      </c>
      <c r="C179" s="0" t="e">
        <f aca="false">sheet1!awg180</f>
        <v>#NAME?</v>
      </c>
      <c r="D179" s="0" t="e">
        <f aca="false">sheet1!awh180</f>
        <v>#NAME?</v>
      </c>
      <c r="E179" s="0" t="e">
        <f aca="false">sheet1!awi180</f>
        <v>#NAME?</v>
      </c>
      <c r="F179" s="0" t="e">
        <f aca="false">sheet1!awj180</f>
        <v>#NAME?</v>
      </c>
      <c r="G179" s="0" t="e">
        <f aca="false">sheet1!awk180</f>
        <v>#NAME?</v>
      </c>
      <c r="H179" s="0" t="e">
        <f aca="false">sheet1!awl180</f>
        <v>#NAME?</v>
      </c>
      <c r="I179" s="0" t="e">
        <f aca="false">sheet1!awm180</f>
        <v>#NAME?</v>
      </c>
      <c r="J179" s="0" t="e">
        <f aca="false">sheet1!awn180</f>
        <v>#NAME?</v>
      </c>
      <c r="K179" s="0" t="e">
        <f aca="false">sheet1!awo180</f>
        <v>#NAME?</v>
      </c>
      <c r="L179" s="0" t="e">
        <f aca="false">sheet1!awp180</f>
        <v>#NAME?</v>
      </c>
      <c r="M179" s="0" t="e">
        <f aca="false">sheet1!awq180</f>
        <v>#NAME?</v>
      </c>
    </row>
    <row r="180" customFormat="false" ht="13.5" hidden="false" customHeight="false" outlineLevel="0" collapsed="false">
      <c r="A180" s="0" t="s">
        <v>101</v>
      </c>
      <c r="B180" s="1" t="n">
        <v>44040</v>
      </c>
      <c r="C180" s="0" t="e">
        <f aca="false">sheet1!awg181</f>
        <v>#NAME?</v>
      </c>
      <c r="D180" s="0" t="e">
        <f aca="false">sheet1!awh181</f>
        <v>#NAME?</v>
      </c>
      <c r="E180" s="0" t="e">
        <f aca="false">sheet1!awi181</f>
        <v>#NAME?</v>
      </c>
      <c r="F180" s="0" t="e">
        <f aca="false">sheet1!awj181</f>
        <v>#NAME?</v>
      </c>
      <c r="G180" s="0" t="e">
        <f aca="false">sheet1!awk181</f>
        <v>#NAME?</v>
      </c>
      <c r="H180" s="0" t="e">
        <f aca="false">sheet1!awl181</f>
        <v>#NAME?</v>
      </c>
      <c r="I180" s="0" t="e">
        <f aca="false">sheet1!awm181</f>
        <v>#NAME?</v>
      </c>
      <c r="J180" s="0" t="e">
        <f aca="false">sheet1!awn181</f>
        <v>#NAME?</v>
      </c>
      <c r="K180" s="0" t="e">
        <f aca="false">sheet1!awo181</f>
        <v>#NAME?</v>
      </c>
      <c r="L180" s="0" t="e">
        <f aca="false">sheet1!awp181</f>
        <v>#NAME?</v>
      </c>
      <c r="M180" s="0" t="e">
        <f aca="false">sheet1!awq181</f>
        <v>#NAME?</v>
      </c>
    </row>
    <row r="181" customFormat="false" ht="13.5" hidden="false" customHeight="false" outlineLevel="0" collapsed="false">
      <c r="A181" s="0" t="s">
        <v>101</v>
      </c>
      <c r="B181" s="1" t="n">
        <v>44041</v>
      </c>
      <c r="C181" s="0" t="e">
        <f aca="false">sheet1!awg182</f>
        <v>#NAME?</v>
      </c>
      <c r="D181" s="0" t="e">
        <f aca="false">sheet1!awh182</f>
        <v>#NAME?</v>
      </c>
      <c r="E181" s="0" t="e">
        <f aca="false">sheet1!awi182</f>
        <v>#NAME?</v>
      </c>
      <c r="F181" s="0" t="e">
        <f aca="false">sheet1!awj182</f>
        <v>#NAME?</v>
      </c>
      <c r="G181" s="0" t="e">
        <f aca="false">sheet1!awk182</f>
        <v>#NAME?</v>
      </c>
      <c r="H181" s="0" t="e">
        <f aca="false">sheet1!awl182</f>
        <v>#NAME?</v>
      </c>
      <c r="I181" s="0" t="e">
        <f aca="false">sheet1!awm182</f>
        <v>#NAME?</v>
      </c>
      <c r="J181" s="0" t="e">
        <f aca="false">sheet1!awn182</f>
        <v>#NAME?</v>
      </c>
      <c r="K181" s="0" t="e">
        <f aca="false">sheet1!awo182</f>
        <v>#NAME?</v>
      </c>
      <c r="L181" s="0" t="e">
        <f aca="false">sheet1!awp182</f>
        <v>#NAME?</v>
      </c>
      <c r="M181" s="0" t="e">
        <f aca="false">sheet1!awq182</f>
        <v>#NAME?</v>
      </c>
    </row>
    <row r="182" customFormat="false" ht="13.5" hidden="false" customHeight="false" outlineLevel="0" collapsed="false">
      <c r="A182" s="0" t="s">
        <v>101</v>
      </c>
      <c r="B182" s="1" t="n">
        <v>44042</v>
      </c>
      <c r="C182" s="0" t="e">
        <f aca="false">sheet1!awg183</f>
        <v>#NAME?</v>
      </c>
      <c r="D182" s="0" t="e">
        <f aca="false">sheet1!awh183</f>
        <v>#NAME?</v>
      </c>
      <c r="E182" s="0" t="e">
        <f aca="false">sheet1!awi183</f>
        <v>#NAME?</v>
      </c>
      <c r="F182" s="0" t="e">
        <f aca="false">sheet1!awj183</f>
        <v>#NAME?</v>
      </c>
      <c r="G182" s="0" t="e">
        <f aca="false">sheet1!awk183</f>
        <v>#NAME?</v>
      </c>
      <c r="H182" s="0" t="e">
        <f aca="false">sheet1!awl183</f>
        <v>#NAME?</v>
      </c>
      <c r="I182" s="0" t="e">
        <f aca="false">sheet1!awm183</f>
        <v>#NAME?</v>
      </c>
      <c r="J182" s="0" t="e">
        <f aca="false">sheet1!awn183</f>
        <v>#NAME?</v>
      </c>
      <c r="K182" s="0" t="e">
        <f aca="false">sheet1!awo183</f>
        <v>#NAME?</v>
      </c>
      <c r="L182" s="0" t="e">
        <f aca="false">sheet1!awp183</f>
        <v>#NAME?</v>
      </c>
      <c r="M182" s="0" t="e">
        <f aca="false">sheet1!awq183</f>
        <v>#NAME?</v>
      </c>
    </row>
    <row r="183" customFormat="false" ht="13.5" hidden="false" customHeight="false" outlineLevel="0" collapsed="false">
      <c r="A183" s="0" t="s">
        <v>101</v>
      </c>
      <c r="B183" s="1" t="n">
        <v>44043</v>
      </c>
      <c r="C183" s="0" t="e">
        <f aca="false">sheet1!awg184</f>
        <v>#NAME?</v>
      </c>
      <c r="D183" s="0" t="e">
        <f aca="false">sheet1!awh184</f>
        <v>#NAME?</v>
      </c>
      <c r="E183" s="0" t="e">
        <f aca="false">sheet1!awi184</f>
        <v>#NAME?</v>
      </c>
      <c r="F183" s="0" t="e">
        <f aca="false">sheet1!awj184</f>
        <v>#NAME?</v>
      </c>
      <c r="G183" s="0" t="e">
        <f aca="false">sheet1!awk184</f>
        <v>#NAME?</v>
      </c>
      <c r="H183" s="0" t="e">
        <f aca="false">sheet1!awl184</f>
        <v>#NAME?</v>
      </c>
      <c r="I183" s="0" t="e">
        <f aca="false">sheet1!awm184</f>
        <v>#NAME?</v>
      </c>
      <c r="J183" s="0" t="e">
        <f aca="false">sheet1!awn184</f>
        <v>#NAME?</v>
      </c>
      <c r="K183" s="0" t="e">
        <f aca="false">sheet1!awo184</f>
        <v>#NAME?</v>
      </c>
      <c r="L183" s="0" t="e">
        <f aca="false">sheet1!awp184</f>
        <v>#NAME?</v>
      </c>
      <c r="M183" s="0" t="e">
        <f aca="false">sheet1!awq184</f>
        <v>#NAME?</v>
      </c>
    </row>
    <row r="184" customFormat="false" ht="13.5" hidden="false" customHeight="false" outlineLevel="0" collapsed="false">
      <c r="A184" s="0" t="s">
        <v>101</v>
      </c>
      <c r="B184" s="1" t="n">
        <v>44044</v>
      </c>
      <c r="C184" s="0" t="e">
        <f aca="false">sheet1!awg185</f>
        <v>#NAME?</v>
      </c>
      <c r="D184" s="0" t="e">
        <f aca="false">sheet1!awh185</f>
        <v>#NAME?</v>
      </c>
      <c r="E184" s="0" t="e">
        <f aca="false">sheet1!awi185</f>
        <v>#NAME?</v>
      </c>
      <c r="F184" s="0" t="e">
        <f aca="false">sheet1!awj185</f>
        <v>#NAME?</v>
      </c>
      <c r="G184" s="0" t="e">
        <f aca="false">sheet1!awk185</f>
        <v>#NAME?</v>
      </c>
      <c r="H184" s="0" t="e">
        <f aca="false">sheet1!awl185</f>
        <v>#NAME?</v>
      </c>
      <c r="I184" s="0" t="e">
        <f aca="false">sheet1!awm185</f>
        <v>#NAME?</v>
      </c>
      <c r="J184" s="0" t="e">
        <f aca="false">sheet1!awn185</f>
        <v>#NAME?</v>
      </c>
      <c r="K184" s="0" t="e">
        <f aca="false">sheet1!awo185</f>
        <v>#NAME?</v>
      </c>
      <c r="L184" s="0" t="e">
        <f aca="false">sheet1!awp185</f>
        <v>#NAME?</v>
      </c>
      <c r="M184" s="0" t="e">
        <f aca="false">sheet1!awq185</f>
        <v>#NAME?</v>
      </c>
    </row>
    <row r="185" customFormat="false" ht="13.5" hidden="false" customHeight="false" outlineLevel="0" collapsed="false">
      <c r="A185" s="0" t="s">
        <v>101</v>
      </c>
      <c r="B185" s="1" t="n">
        <v>44045</v>
      </c>
      <c r="C185" s="0" t="e">
        <f aca="false">sheet1!awg186</f>
        <v>#NAME?</v>
      </c>
      <c r="D185" s="0" t="e">
        <f aca="false">sheet1!awh186</f>
        <v>#NAME?</v>
      </c>
      <c r="E185" s="0" t="e">
        <f aca="false">sheet1!awi186</f>
        <v>#NAME?</v>
      </c>
      <c r="F185" s="0" t="e">
        <f aca="false">sheet1!awj186</f>
        <v>#NAME?</v>
      </c>
      <c r="G185" s="0" t="e">
        <f aca="false">sheet1!awk186</f>
        <v>#NAME?</v>
      </c>
      <c r="H185" s="0" t="e">
        <f aca="false">sheet1!awl186</f>
        <v>#NAME?</v>
      </c>
      <c r="I185" s="0" t="e">
        <f aca="false">sheet1!awm186</f>
        <v>#NAME?</v>
      </c>
      <c r="J185" s="0" t="e">
        <f aca="false">sheet1!awn186</f>
        <v>#NAME?</v>
      </c>
      <c r="K185" s="0" t="e">
        <f aca="false">sheet1!awo186</f>
        <v>#NAME?</v>
      </c>
      <c r="L185" s="0" t="e">
        <f aca="false">sheet1!awp186</f>
        <v>#NAME?</v>
      </c>
      <c r="M185" s="0" t="e">
        <f aca="false">sheet1!awq186</f>
        <v>#NAME?</v>
      </c>
    </row>
    <row r="186" customFormat="false" ht="13.5" hidden="false" customHeight="false" outlineLevel="0" collapsed="false">
      <c r="A186" s="0" t="s">
        <v>101</v>
      </c>
      <c r="B186" s="1" t="n">
        <v>44046</v>
      </c>
      <c r="C186" s="0" t="e">
        <f aca="false">sheet1!awg187</f>
        <v>#NAME?</v>
      </c>
      <c r="D186" s="0" t="e">
        <f aca="false">sheet1!awh187</f>
        <v>#NAME?</v>
      </c>
      <c r="E186" s="0" t="e">
        <f aca="false">sheet1!awi187</f>
        <v>#NAME?</v>
      </c>
      <c r="F186" s="0" t="e">
        <f aca="false">sheet1!awj187</f>
        <v>#NAME?</v>
      </c>
      <c r="G186" s="0" t="e">
        <f aca="false">sheet1!awk187</f>
        <v>#NAME?</v>
      </c>
      <c r="H186" s="0" t="e">
        <f aca="false">sheet1!awl187</f>
        <v>#NAME?</v>
      </c>
      <c r="I186" s="0" t="e">
        <f aca="false">sheet1!awm187</f>
        <v>#NAME?</v>
      </c>
      <c r="J186" s="0" t="e">
        <f aca="false">sheet1!awn187</f>
        <v>#NAME?</v>
      </c>
      <c r="K186" s="0" t="e">
        <f aca="false">sheet1!awo187</f>
        <v>#NAME?</v>
      </c>
      <c r="L186" s="0" t="e">
        <f aca="false">sheet1!awp187</f>
        <v>#NAME?</v>
      </c>
      <c r="M186" s="0" t="e">
        <f aca="false">sheet1!awq187</f>
        <v>#NAME?</v>
      </c>
    </row>
    <row r="187" customFormat="false" ht="13.5" hidden="false" customHeight="false" outlineLevel="0" collapsed="false">
      <c r="A187" s="0" t="s">
        <v>101</v>
      </c>
      <c r="B187" s="1" t="n">
        <v>44047</v>
      </c>
      <c r="C187" s="0" t="e">
        <f aca="false">sheet1!awg188</f>
        <v>#NAME?</v>
      </c>
      <c r="D187" s="0" t="e">
        <f aca="false">sheet1!awh188</f>
        <v>#NAME?</v>
      </c>
      <c r="E187" s="0" t="e">
        <f aca="false">sheet1!awi188</f>
        <v>#NAME?</v>
      </c>
      <c r="F187" s="0" t="e">
        <f aca="false">sheet1!awj188</f>
        <v>#NAME?</v>
      </c>
      <c r="G187" s="0" t="e">
        <f aca="false">sheet1!awk188</f>
        <v>#NAME?</v>
      </c>
      <c r="H187" s="0" t="e">
        <f aca="false">sheet1!awl188</f>
        <v>#NAME?</v>
      </c>
      <c r="I187" s="0" t="e">
        <f aca="false">sheet1!awm188</f>
        <v>#NAME?</v>
      </c>
      <c r="J187" s="0" t="e">
        <f aca="false">sheet1!awn188</f>
        <v>#NAME?</v>
      </c>
      <c r="K187" s="0" t="e">
        <f aca="false">sheet1!awo188</f>
        <v>#NAME?</v>
      </c>
      <c r="L187" s="0" t="e">
        <f aca="false">sheet1!awp188</f>
        <v>#NAME?</v>
      </c>
      <c r="M187" s="0" t="e">
        <f aca="false">sheet1!awq188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102</v>
      </c>
      <c r="B2" s="1" t="n">
        <v>43862</v>
      </c>
    </row>
    <row r="3" customFormat="false" ht="13.5" hidden="false" customHeight="false" outlineLevel="0" collapsed="false">
      <c r="A3" s="0" t="s">
        <v>102</v>
      </c>
      <c r="B3" s="1" t="n">
        <v>43863</v>
      </c>
    </row>
    <row r="4" customFormat="false" ht="13.5" hidden="false" customHeight="false" outlineLevel="0" collapsed="false">
      <c r="A4" s="0" t="s">
        <v>102</v>
      </c>
      <c r="B4" s="1" t="n">
        <v>43864</v>
      </c>
    </row>
    <row r="5" customFormat="false" ht="13.5" hidden="false" customHeight="false" outlineLevel="0" collapsed="false">
      <c r="A5" s="0" t="s">
        <v>102</v>
      </c>
      <c r="B5" s="1" t="n">
        <v>43865</v>
      </c>
    </row>
    <row r="6" customFormat="false" ht="13.5" hidden="false" customHeight="false" outlineLevel="0" collapsed="false">
      <c r="A6" s="0" t="s">
        <v>102</v>
      </c>
      <c r="B6" s="1" t="n">
        <v>43866</v>
      </c>
    </row>
    <row r="7" customFormat="false" ht="13.5" hidden="false" customHeight="false" outlineLevel="0" collapsed="false">
      <c r="A7" s="0" t="s">
        <v>102</v>
      </c>
      <c r="B7" s="1" t="n">
        <v>43867</v>
      </c>
    </row>
    <row r="8" customFormat="false" ht="13.5" hidden="false" customHeight="false" outlineLevel="0" collapsed="false">
      <c r="A8" s="0" t="s">
        <v>102</v>
      </c>
      <c r="B8" s="1" t="n">
        <v>43868</v>
      </c>
    </row>
    <row r="9" customFormat="false" ht="13.5" hidden="false" customHeight="false" outlineLevel="0" collapsed="false">
      <c r="A9" s="0" t="s">
        <v>102</v>
      </c>
      <c r="B9" s="1" t="n">
        <v>43869</v>
      </c>
    </row>
    <row r="10" customFormat="false" ht="13.5" hidden="false" customHeight="false" outlineLevel="0" collapsed="false">
      <c r="A10" s="0" t="s">
        <v>102</v>
      </c>
      <c r="B10" s="1" t="n">
        <v>43870</v>
      </c>
    </row>
    <row r="11" customFormat="false" ht="13.5" hidden="false" customHeight="false" outlineLevel="0" collapsed="false">
      <c r="A11" s="0" t="s">
        <v>102</v>
      </c>
      <c r="B11" s="1" t="n">
        <v>43871</v>
      </c>
    </row>
    <row r="12" customFormat="false" ht="13.5" hidden="false" customHeight="false" outlineLevel="0" collapsed="false">
      <c r="A12" s="0" t="s">
        <v>102</v>
      </c>
      <c r="B12" s="1" t="n">
        <v>43872</v>
      </c>
    </row>
    <row r="13" customFormat="false" ht="13.5" hidden="false" customHeight="false" outlineLevel="0" collapsed="false">
      <c r="A13" s="0" t="s">
        <v>102</v>
      </c>
      <c r="B13" s="1" t="n">
        <v>43873</v>
      </c>
    </row>
    <row r="14" customFormat="false" ht="13.5" hidden="false" customHeight="false" outlineLevel="0" collapsed="false">
      <c r="A14" s="0" t="s">
        <v>102</v>
      </c>
      <c r="B14" s="1" t="n">
        <v>43874</v>
      </c>
    </row>
    <row r="15" customFormat="false" ht="13.5" hidden="false" customHeight="false" outlineLevel="0" collapsed="false">
      <c r="A15" s="0" t="s">
        <v>102</v>
      </c>
      <c r="B15" s="1" t="n">
        <v>43875</v>
      </c>
    </row>
    <row r="16" customFormat="false" ht="13.5" hidden="false" customHeight="false" outlineLevel="0" collapsed="false">
      <c r="A16" s="0" t="s">
        <v>102</v>
      </c>
      <c r="B16" s="1" t="n">
        <v>43876</v>
      </c>
    </row>
    <row r="17" customFormat="false" ht="13.5" hidden="false" customHeight="false" outlineLevel="0" collapsed="false">
      <c r="A17" s="0" t="s">
        <v>102</v>
      </c>
      <c r="B17" s="1" t="n">
        <v>43877</v>
      </c>
    </row>
    <row r="18" customFormat="false" ht="13.5" hidden="false" customHeight="false" outlineLevel="0" collapsed="false">
      <c r="A18" s="0" t="s">
        <v>102</v>
      </c>
      <c r="B18" s="1" t="n">
        <v>43878</v>
      </c>
    </row>
    <row r="19" customFormat="false" ht="13.5" hidden="false" customHeight="false" outlineLevel="0" collapsed="false">
      <c r="A19" s="0" t="s">
        <v>102</v>
      </c>
      <c r="B19" s="1" t="n">
        <v>43879</v>
      </c>
    </row>
    <row r="20" customFormat="false" ht="13.5" hidden="false" customHeight="false" outlineLevel="0" collapsed="false">
      <c r="A20" s="0" t="s">
        <v>102</v>
      </c>
      <c r="B20" s="1" t="n">
        <v>43880</v>
      </c>
    </row>
    <row r="21" customFormat="false" ht="13.5" hidden="false" customHeight="false" outlineLevel="0" collapsed="false">
      <c r="A21" s="0" t="s">
        <v>102</v>
      </c>
      <c r="B21" s="1" t="n">
        <v>43881</v>
      </c>
    </row>
    <row r="22" customFormat="false" ht="13.5" hidden="false" customHeight="false" outlineLevel="0" collapsed="false">
      <c r="A22" s="0" t="s">
        <v>102</v>
      </c>
      <c r="B22" s="1" t="n">
        <v>43882</v>
      </c>
    </row>
    <row r="23" customFormat="false" ht="13.5" hidden="false" customHeight="false" outlineLevel="0" collapsed="false">
      <c r="A23" s="0" t="s">
        <v>102</v>
      </c>
      <c r="B23" s="1" t="n">
        <v>43883</v>
      </c>
    </row>
    <row r="24" customFormat="false" ht="13.5" hidden="false" customHeight="false" outlineLevel="0" collapsed="false">
      <c r="A24" s="0" t="s">
        <v>102</v>
      </c>
      <c r="B24" s="1" t="n">
        <v>43884</v>
      </c>
    </row>
    <row r="25" customFormat="false" ht="13.5" hidden="false" customHeight="false" outlineLevel="0" collapsed="false">
      <c r="A25" s="0" t="s">
        <v>102</v>
      </c>
      <c r="B25" s="1" t="n">
        <v>43885</v>
      </c>
    </row>
    <row r="26" customFormat="false" ht="13.5" hidden="false" customHeight="false" outlineLevel="0" collapsed="false">
      <c r="A26" s="0" t="s">
        <v>102</v>
      </c>
      <c r="B26" s="1" t="n">
        <v>43886</v>
      </c>
    </row>
    <row r="27" customFormat="false" ht="13.5" hidden="false" customHeight="false" outlineLevel="0" collapsed="false">
      <c r="A27" s="0" t="s">
        <v>102</v>
      </c>
      <c r="B27" s="1" t="n">
        <v>43887</v>
      </c>
    </row>
    <row r="28" customFormat="false" ht="13.5" hidden="false" customHeight="false" outlineLevel="0" collapsed="false">
      <c r="A28" s="0" t="s">
        <v>102</v>
      </c>
      <c r="B28" s="1" t="n">
        <v>43888</v>
      </c>
    </row>
    <row r="29" customFormat="false" ht="13.5" hidden="false" customHeight="false" outlineLevel="0" collapsed="false">
      <c r="A29" s="0" t="s">
        <v>102</v>
      </c>
      <c r="B29" s="1" t="n">
        <v>43889</v>
      </c>
    </row>
    <row r="30" customFormat="false" ht="13.5" hidden="false" customHeight="false" outlineLevel="0" collapsed="false">
      <c r="A30" s="0" t="s">
        <v>102</v>
      </c>
      <c r="B30" s="1" t="n">
        <v>43890</v>
      </c>
    </row>
    <row r="31" customFormat="false" ht="13.5" hidden="false" customHeight="false" outlineLevel="0" collapsed="false">
      <c r="A31" s="0" t="s">
        <v>102</v>
      </c>
      <c r="B31" s="1" t="n">
        <v>43891</v>
      </c>
    </row>
    <row r="32" customFormat="false" ht="13.5" hidden="false" customHeight="false" outlineLevel="0" collapsed="false">
      <c r="A32" s="0" t="s">
        <v>102</v>
      </c>
      <c r="B32" s="1" t="n">
        <v>43892</v>
      </c>
    </row>
    <row r="33" customFormat="false" ht="13.5" hidden="false" customHeight="false" outlineLevel="0" collapsed="false">
      <c r="A33" s="0" t="s">
        <v>102</v>
      </c>
      <c r="B33" s="1" t="n">
        <v>43893</v>
      </c>
    </row>
    <row r="34" customFormat="false" ht="13.5" hidden="false" customHeight="false" outlineLevel="0" collapsed="false">
      <c r="A34" s="0" t="s">
        <v>102</v>
      </c>
      <c r="B34" s="1" t="n">
        <v>43894</v>
      </c>
    </row>
    <row r="35" customFormat="false" ht="13.5" hidden="false" customHeight="false" outlineLevel="0" collapsed="false">
      <c r="A35" s="0" t="s">
        <v>102</v>
      </c>
      <c r="B35" s="1" t="n">
        <v>43895</v>
      </c>
    </row>
    <row r="36" customFormat="false" ht="13.5" hidden="false" customHeight="false" outlineLevel="0" collapsed="false">
      <c r="A36" s="0" t="s">
        <v>102</v>
      </c>
      <c r="B36" s="1" t="n">
        <v>43896</v>
      </c>
    </row>
    <row r="37" customFormat="false" ht="13.5" hidden="false" customHeight="false" outlineLevel="0" collapsed="false">
      <c r="A37" s="0" t="s">
        <v>102</v>
      </c>
      <c r="B37" s="1" t="n">
        <v>43897</v>
      </c>
    </row>
    <row r="38" customFormat="false" ht="13.5" hidden="false" customHeight="false" outlineLevel="0" collapsed="false">
      <c r="A38" s="0" t="s">
        <v>102</v>
      </c>
      <c r="B38" s="1" t="n">
        <v>43898</v>
      </c>
    </row>
    <row r="39" customFormat="false" ht="13.5" hidden="false" customHeight="false" outlineLevel="0" collapsed="false">
      <c r="A39" s="0" t="s">
        <v>102</v>
      </c>
      <c r="B39" s="1" t="n">
        <v>43899</v>
      </c>
    </row>
    <row r="40" customFormat="false" ht="13.5" hidden="false" customHeight="false" outlineLevel="0" collapsed="false">
      <c r="A40" s="0" t="s">
        <v>102</v>
      </c>
      <c r="B40" s="1" t="n">
        <v>43900</v>
      </c>
    </row>
    <row r="41" customFormat="false" ht="13.5" hidden="false" customHeight="false" outlineLevel="0" collapsed="false">
      <c r="A41" s="0" t="s">
        <v>102</v>
      </c>
      <c r="B41" s="1" t="n">
        <v>43901</v>
      </c>
    </row>
    <row r="42" customFormat="false" ht="13.5" hidden="false" customHeight="false" outlineLevel="0" collapsed="false">
      <c r="A42" s="0" t="s">
        <v>102</v>
      </c>
      <c r="B42" s="1" t="n">
        <v>43902</v>
      </c>
    </row>
    <row r="43" customFormat="false" ht="13.5" hidden="false" customHeight="false" outlineLevel="0" collapsed="false">
      <c r="A43" s="0" t="s">
        <v>102</v>
      </c>
      <c r="B43" s="1" t="n">
        <v>43903</v>
      </c>
      <c r="C43" s="0" t="n">
        <v>3</v>
      </c>
      <c r="D43" s="0" t="n">
        <v>3</v>
      </c>
      <c r="H43" s="0" t="n">
        <v>3</v>
      </c>
      <c r="J43" s="0" t="n">
        <v>0.3</v>
      </c>
    </row>
    <row r="44" customFormat="false" ht="13.5" hidden="false" customHeight="false" outlineLevel="0" collapsed="false">
      <c r="A44" s="0" t="s">
        <v>102</v>
      </c>
      <c r="B44" s="1" t="n">
        <v>43904</v>
      </c>
      <c r="C44" s="0" t="n">
        <v>4</v>
      </c>
      <c r="D44" s="0" t="n">
        <v>1</v>
      </c>
      <c r="H44" s="0" t="n">
        <v>4</v>
      </c>
      <c r="J44" s="0" t="n">
        <v>0.4</v>
      </c>
    </row>
    <row r="45" customFormat="false" ht="13.5" hidden="false" customHeight="false" outlineLevel="0" collapsed="false">
      <c r="A45" s="0" t="s">
        <v>102</v>
      </c>
      <c r="B45" s="1" t="n">
        <v>43905</v>
      </c>
      <c r="C45" s="0" t="n">
        <v>4</v>
      </c>
      <c r="D45" s="0" t="n">
        <v>0</v>
      </c>
      <c r="H45" s="0" t="n">
        <v>4</v>
      </c>
      <c r="J45" s="0" t="n">
        <v>0.4</v>
      </c>
    </row>
    <row r="46" customFormat="false" ht="13.5" hidden="false" customHeight="false" outlineLevel="0" collapsed="false">
      <c r="A46" s="0" t="s">
        <v>102</v>
      </c>
      <c r="B46" s="1" t="n">
        <v>43906</v>
      </c>
      <c r="C46" s="0" t="n">
        <v>4</v>
      </c>
      <c r="D46" s="0" t="n">
        <v>0</v>
      </c>
      <c r="H46" s="0" t="n">
        <v>4</v>
      </c>
      <c r="J46" s="0" t="n">
        <v>0.4</v>
      </c>
    </row>
    <row r="47" customFormat="false" ht="13.5" hidden="false" customHeight="false" outlineLevel="0" collapsed="false">
      <c r="A47" s="0" t="s">
        <v>102</v>
      </c>
      <c r="B47" s="1" t="n">
        <v>43907</v>
      </c>
      <c r="C47" s="0" t="n">
        <v>4</v>
      </c>
      <c r="D47" s="0" t="n">
        <v>0</v>
      </c>
      <c r="H47" s="0" t="n">
        <v>4</v>
      </c>
      <c r="J47" s="0" t="n">
        <v>0.4</v>
      </c>
    </row>
    <row r="48" customFormat="false" ht="13.5" hidden="false" customHeight="false" outlineLevel="0" collapsed="false">
      <c r="A48" s="0" t="s">
        <v>102</v>
      </c>
      <c r="B48" s="1" t="n">
        <v>43908</v>
      </c>
      <c r="C48" s="0" t="n">
        <v>7</v>
      </c>
      <c r="D48" s="0" t="n">
        <v>3</v>
      </c>
      <c r="H48" s="0" t="n">
        <v>7</v>
      </c>
      <c r="J48" s="0" t="n">
        <v>0.6</v>
      </c>
    </row>
    <row r="49" customFormat="false" ht="13.5" hidden="false" customHeight="false" outlineLevel="0" collapsed="false">
      <c r="A49" s="0" t="s">
        <v>102</v>
      </c>
      <c r="B49" s="1" t="n">
        <v>43909</v>
      </c>
      <c r="C49" s="0" t="n">
        <v>10</v>
      </c>
      <c r="D49" s="0" t="n">
        <v>3</v>
      </c>
      <c r="E49" s="0" t="n">
        <v>1</v>
      </c>
      <c r="F49" s="0" t="n">
        <v>1</v>
      </c>
      <c r="H49" s="0" t="n">
        <v>9</v>
      </c>
      <c r="J49" s="0" t="n">
        <v>0.9</v>
      </c>
    </row>
    <row r="50" customFormat="false" ht="13.5" hidden="false" customHeight="false" outlineLevel="0" collapsed="false">
      <c r="A50" s="0" t="s">
        <v>102</v>
      </c>
      <c r="B50" s="1" t="n">
        <v>43910</v>
      </c>
      <c r="C50" s="0" t="n">
        <v>11</v>
      </c>
      <c r="D50" s="0" t="n">
        <v>1</v>
      </c>
      <c r="E50" s="0" t="n">
        <v>1</v>
      </c>
      <c r="F50" s="0" t="n">
        <v>0</v>
      </c>
      <c r="H50" s="0" t="n">
        <v>10</v>
      </c>
      <c r="J50" s="0" t="n">
        <v>1</v>
      </c>
    </row>
    <row r="51" customFormat="false" ht="13.5" hidden="false" customHeight="false" outlineLevel="0" collapsed="false">
      <c r="A51" s="0" t="s">
        <v>102</v>
      </c>
      <c r="B51" s="1" t="n">
        <v>43911</v>
      </c>
      <c r="C51" s="0" t="n">
        <v>21</v>
      </c>
      <c r="D51" s="0" t="n">
        <v>10</v>
      </c>
      <c r="E51" s="0" t="n">
        <v>1</v>
      </c>
      <c r="F51" s="0" t="n">
        <v>0</v>
      </c>
      <c r="H51" s="0" t="n">
        <v>20</v>
      </c>
      <c r="J51" s="0" t="n">
        <v>2</v>
      </c>
    </row>
    <row r="52" customFormat="false" ht="13.5" hidden="false" customHeight="false" outlineLevel="0" collapsed="false">
      <c r="A52" s="0" t="s">
        <v>102</v>
      </c>
      <c r="B52" s="1" t="n">
        <v>43912</v>
      </c>
      <c r="C52" s="0" t="n">
        <v>21</v>
      </c>
      <c r="D52" s="0" t="n">
        <v>0</v>
      </c>
      <c r="E52" s="0" t="n">
        <v>1</v>
      </c>
      <c r="F52" s="0" t="n">
        <v>0</v>
      </c>
      <c r="H52" s="0" t="n">
        <v>20</v>
      </c>
      <c r="J52" s="0" t="n">
        <v>2</v>
      </c>
    </row>
    <row r="53" customFormat="false" ht="13.5" hidden="false" customHeight="false" outlineLevel="0" collapsed="false">
      <c r="A53" s="0" t="s">
        <v>102</v>
      </c>
      <c r="B53" s="1" t="n">
        <v>43913</v>
      </c>
      <c r="C53" s="0" t="n">
        <v>35</v>
      </c>
      <c r="D53" s="0" t="n">
        <v>14</v>
      </c>
      <c r="E53" s="0" t="n">
        <v>1</v>
      </c>
      <c r="F53" s="0" t="n">
        <v>0</v>
      </c>
      <c r="H53" s="0" t="n">
        <v>34</v>
      </c>
      <c r="J53" s="0" t="n">
        <v>3</v>
      </c>
    </row>
    <row r="54" customFormat="false" ht="13.5" hidden="false" customHeight="false" outlineLevel="0" collapsed="false">
      <c r="A54" s="0" t="s">
        <v>102</v>
      </c>
      <c r="B54" s="1" t="n">
        <v>43914</v>
      </c>
      <c r="C54" s="0" t="n">
        <v>40</v>
      </c>
      <c r="D54" s="0" t="n">
        <v>5</v>
      </c>
      <c r="E54" s="0" t="n">
        <v>1</v>
      </c>
      <c r="F54" s="0" t="n">
        <v>0</v>
      </c>
      <c r="H54" s="0" t="n">
        <v>39</v>
      </c>
      <c r="I54" s="0" t="n">
        <v>3</v>
      </c>
      <c r="J54" s="0" t="n">
        <v>4</v>
      </c>
    </row>
    <row r="55" customFormat="false" ht="13.5" hidden="false" customHeight="false" outlineLevel="0" collapsed="false">
      <c r="A55" s="0" t="s">
        <v>102</v>
      </c>
      <c r="B55" s="1" t="n">
        <v>43915</v>
      </c>
      <c r="C55" s="0" t="n">
        <v>48</v>
      </c>
      <c r="D55" s="0" t="n">
        <v>8</v>
      </c>
      <c r="E55" s="0" t="n">
        <v>1</v>
      </c>
      <c r="F55" s="0" t="n">
        <v>0</v>
      </c>
      <c r="G55" s="0" t="n">
        <v>1</v>
      </c>
      <c r="H55" s="0" t="n">
        <v>46</v>
      </c>
      <c r="I55" s="0" t="n">
        <v>2</v>
      </c>
      <c r="J55" s="0" t="n">
        <v>4</v>
      </c>
      <c r="K55" s="0" t="n">
        <v>0.09</v>
      </c>
    </row>
    <row r="56" customFormat="false" ht="13.5" hidden="false" customHeight="false" outlineLevel="0" collapsed="false">
      <c r="A56" s="0" t="s">
        <v>102</v>
      </c>
      <c r="B56" s="1" t="n">
        <v>43916</v>
      </c>
      <c r="C56" s="0" t="n">
        <v>57</v>
      </c>
      <c r="D56" s="0" t="n">
        <v>9</v>
      </c>
      <c r="E56" s="0" t="n">
        <v>1</v>
      </c>
      <c r="F56" s="0" t="n">
        <v>0</v>
      </c>
      <c r="G56" s="0" t="n">
        <v>1</v>
      </c>
      <c r="H56" s="0" t="n">
        <v>55</v>
      </c>
      <c r="I56" s="0" t="n">
        <v>2</v>
      </c>
      <c r="J56" s="0" t="n">
        <v>5</v>
      </c>
      <c r="K56" s="0" t="n">
        <v>0.09</v>
      </c>
    </row>
    <row r="57" customFormat="false" ht="13.5" hidden="false" customHeight="false" outlineLevel="0" collapsed="false">
      <c r="A57" s="0" t="s">
        <v>102</v>
      </c>
      <c r="B57" s="1" t="n">
        <v>43917</v>
      </c>
      <c r="C57" s="0" t="n">
        <v>67</v>
      </c>
      <c r="D57" s="0" t="n">
        <v>10</v>
      </c>
      <c r="E57" s="0" t="n">
        <v>1</v>
      </c>
      <c r="F57" s="0" t="n">
        <v>0</v>
      </c>
      <c r="G57" s="0" t="n">
        <v>1</v>
      </c>
      <c r="H57" s="0" t="n">
        <v>65</v>
      </c>
      <c r="I57" s="0" t="n">
        <v>2</v>
      </c>
      <c r="J57" s="0" t="n">
        <v>6</v>
      </c>
      <c r="K57" s="0" t="n">
        <v>0.09</v>
      </c>
    </row>
    <row r="58" customFormat="false" ht="13.5" hidden="false" customHeight="false" outlineLevel="0" collapsed="false">
      <c r="A58" s="0" t="s">
        <v>102</v>
      </c>
      <c r="B58" s="1" t="n">
        <v>43918</v>
      </c>
      <c r="C58" s="0" t="n">
        <v>80</v>
      </c>
      <c r="D58" s="0" t="n">
        <v>13</v>
      </c>
      <c r="E58" s="0" t="n">
        <v>2</v>
      </c>
      <c r="F58" s="0" t="n">
        <v>1</v>
      </c>
      <c r="G58" s="0" t="n">
        <v>4</v>
      </c>
      <c r="H58" s="0" t="n">
        <v>74</v>
      </c>
      <c r="I58" s="0" t="n">
        <v>2</v>
      </c>
      <c r="J58" s="0" t="n">
        <v>7</v>
      </c>
      <c r="K58" s="0" t="n">
        <v>0.2</v>
      </c>
    </row>
    <row r="59" customFormat="false" ht="13.5" hidden="false" customHeight="false" outlineLevel="0" collapsed="false">
      <c r="A59" s="0" t="s">
        <v>102</v>
      </c>
      <c r="B59" s="1" t="n">
        <v>43919</v>
      </c>
      <c r="C59" s="0" t="n">
        <v>119</v>
      </c>
      <c r="D59" s="0" t="n">
        <v>39</v>
      </c>
      <c r="E59" s="0" t="n">
        <v>3</v>
      </c>
      <c r="F59" s="0" t="n">
        <v>1</v>
      </c>
      <c r="G59" s="0" t="n">
        <v>4</v>
      </c>
      <c r="H59" s="0" t="n">
        <v>112</v>
      </c>
      <c r="I59" s="0" t="n">
        <v>2</v>
      </c>
      <c r="J59" s="0" t="n">
        <v>11</v>
      </c>
      <c r="K59" s="0" t="n">
        <v>0.3</v>
      </c>
    </row>
    <row r="60" customFormat="false" ht="13.5" hidden="false" customHeight="false" outlineLevel="0" collapsed="false">
      <c r="A60" s="0" t="s">
        <v>102</v>
      </c>
      <c r="B60" s="1" t="n">
        <v>43920</v>
      </c>
      <c r="C60" s="0" t="n">
        <v>139</v>
      </c>
      <c r="D60" s="0" t="n">
        <v>20</v>
      </c>
      <c r="E60" s="0" t="n">
        <v>3</v>
      </c>
      <c r="F60" s="0" t="n">
        <v>0</v>
      </c>
      <c r="G60" s="0" t="n">
        <v>4</v>
      </c>
      <c r="H60" s="0" t="n">
        <v>132</v>
      </c>
      <c r="I60" s="0" t="n">
        <v>2</v>
      </c>
      <c r="J60" s="0" t="n">
        <v>12</v>
      </c>
      <c r="K60" s="0" t="n">
        <v>0.3</v>
      </c>
    </row>
    <row r="61" customFormat="false" ht="13.5" hidden="false" customHeight="false" outlineLevel="0" collapsed="false">
      <c r="A61" s="0" t="s">
        <v>102</v>
      </c>
      <c r="B61" s="1" t="n">
        <v>43921</v>
      </c>
      <c r="C61" s="0" t="n">
        <v>170</v>
      </c>
      <c r="D61" s="0" t="n">
        <v>31</v>
      </c>
      <c r="E61" s="0" t="n">
        <v>4</v>
      </c>
      <c r="F61" s="0" t="n">
        <v>1</v>
      </c>
      <c r="G61" s="0" t="n">
        <v>4</v>
      </c>
      <c r="H61" s="0" t="n">
        <v>162</v>
      </c>
      <c r="I61" s="0" t="n">
        <v>2</v>
      </c>
      <c r="J61" s="0" t="n">
        <v>15</v>
      </c>
      <c r="K61" s="0" t="n">
        <v>0.4</v>
      </c>
    </row>
    <row r="62" customFormat="false" ht="13.5" hidden="false" customHeight="false" outlineLevel="0" collapsed="false">
      <c r="A62" s="0" t="s">
        <v>102</v>
      </c>
      <c r="B62" s="1" t="n">
        <v>43922</v>
      </c>
      <c r="C62" s="0" t="n">
        <v>186</v>
      </c>
      <c r="D62" s="0" t="n">
        <v>16</v>
      </c>
      <c r="E62" s="0" t="n">
        <v>6</v>
      </c>
      <c r="F62" s="0" t="n">
        <v>2</v>
      </c>
      <c r="G62" s="0" t="n">
        <v>8</v>
      </c>
      <c r="H62" s="0" t="n">
        <v>172</v>
      </c>
      <c r="I62" s="0" t="n">
        <v>3</v>
      </c>
      <c r="J62" s="0" t="n">
        <v>16</v>
      </c>
      <c r="K62" s="0" t="n">
        <v>0.5</v>
      </c>
    </row>
    <row r="63" customFormat="false" ht="13.5" hidden="false" customHeight="false" outlineLevel="0" collapsed="false">
      <c r="A63" s="0" t="s">
        <v>102</v>
      </c>
      <c r="B63" s="1" t="n">
        <v>43923</v>
      </c>
      <c r="C63" s="0" t="n">
        <v>212</v>
      </c>
      <c r="D63" s="0" t="n">
        <v>26</v>
      </c>
      <c r="E63" s="0" t="n">
        <v>6</v>
      </c>
      <c r="F63" s="0" t="n">
        <v>0</v>
      </c>
      <c r="G63" s="0" t="n">
        <v>12</v>
      </c>
      <c r="H63" s="0" t="n">
        <v>194</v>
      </c>
      <c r="I63" s="0" t="n">
        <v>3</v>
      </c>
      <c r="J63" s="0" t="n">
        <v>19</v>
      </c>
      <c r="K63" s="0" t="n">
        <v>0.5</v>
      </c>
    </row>
    <row r="64" customFormat="false" ht="13.5" hidden="false" customHeight="false" outlineLevel="0" collapsed="false">
      <c r="A64" s="0" t="s">
        <v>102</v>
      </c>
      <c r="B64" s="1" t="n">
        <v>43924</v>
      </c>
      <c r="C64" s="0" t="n">
        <v>233</v>
      </c>
      <c r="D64" s="0" t="n">
        <v>21</v>
      </c>
      <c r="E64" s="0" t="n">
        <v>6</v>
      </c>
      <c r="F64" s="0" t="n">
        <v>0</v>
      </c>
      <c r="G64" s="0" t="n">
        <v>13</v>
      </c>
      <c r="H64" s="0" t="n">
        <v>214</v>
      </c>
      <c r="I64" s="0" t="n">
        <v>7</v>
      </c>
      <c r="J64" s="0" t="n">
        <v>21</v>
      </c>
      <c r="K64" s="0" t="n">
        <v>0.5</v>
      </c>
    </row>
    <row r="65" customFormat="false" ht="13.5" hidden="false" customHeight="false" outlineLevel="0" collapsed="false">
      <c r="A65" s="0" t="s">
        <v>102</v>
      </c>
      <c r="B65" s="1" t="n">
        <v>43925</v>
      </c>
      <c r="C65" s="0" t="n">
        <v>269</v>
      </c>
      <c r="D65" s="0" t="n">
        <v>36</v>
      </c>
      <c r="E65" s="0" t="n">
        <v>6</v>
      </c>
      <c r="F65" s="0" t="n">
        <v>0</v>
      </c>
      <c r="G65" s="0" t="n">
        <v>15</v>
      </c>
      <c r="H65" s="0" t="n">
        <v>248</v>
      </c>
      <c r="I65" s="0" t="n">
        <v>8</v>
      </c>
      <c r="J65" s="0" t="n">
        <v>24</v>
      </c>
      <c r="K65" s="0" t="n">
        <v>0.5</v>
      </c>
    </row>
    <row r="66" customFormat="false" ht="13.5" hidden="false" customHeight="false" outlineLevel="0" collapsed="false">
      <c r="A66" s="0" t="s">
        <v>102</v>
      </c>
      <c r="B66" s="1" t="n">
        <v>43926</v>
      </c>
      <c r="C66" s="0" t="n">
        <v>288</v>
      </c>
      <c r="D66" s="0" t="n">
        <v>19</v>
      </c>
      <c r="E66" s="0" t="n">
        <v>6</v>
      </c>
      <c r="F66" s="0" t="n">
        <v>0</v>
      </c>
      <c r="G66" s="0" t="n">
        <v>15</v>
      </c>
      <c r="H66" s="0" t="n">
        <v>267</v>
      </c>
      <c r="I66" s="0" t="n">
        <v>11</v>
      </c>
      <c r="J66" s="0" t="n">
        <v>25</v>
      </c>
      <c r="K66" s="0" t="n">
        <v>0.5</v>
      </c>
      <c r="L66" s="0" t="n">
        <v>3342</v>
      </c>
      <c r="M66" s="0" t="n">
        <v>295</v>
      </c>
    </row>
    <row r="67" customFormat="false" ht="13.5" hidden="false" customHeight="false" outlineLevel="0" collapsed="false">
      <c r="A67" s="0" t="s">
        <v>102</v>
      </c>
      <c r="B67" s="1" t="n">
        <v>43927</v>
      </c>
      <c r="C67" s="0" t="n">
        <v>320</v>
      </c>
      <c r="D67" s="0" t="n">
        <v>32</v>
      </c>
      <c r="E67" s="0" t="n">
        <v>8</v>
      </c>
      <c r="F67" s="0" t="n">
        <v>2</v>
      </c>
      <c r="G67" s="0" t="n">
        <v>15</v>
      </c>
      <c r="H67" s="0" t="n">
        <v>297</v>
      </c>
      <c r="I67" s="0" t="n">
        <v>11</v>
      </c>
      <c r="J67" s="0" t="n">
        <v>28</v>
      </c>
      <c r="K67" s="0" t="n">
        <v>0.7</v>
      </c>
      <c r="L67" s="0" t="n">
        <v>5234</v>
      </c>
      <c r="M67" s="0" t="n">
        <v>462</v>
      </c>
    </row>
    <row r="68" customFormat="false" ht="13.5" hidden="false" customHeight="false" outlineLevel="0" collapsed="false">
      <c r="A68" s="0" t="s">
        <v>102</v>
      </c>
      <c r="B68" s="1" t="n">
        <v>43928</v>
      </c>
      <c r="C68" s="0" t="n">
        <v>350</v>
      </c>
      <c r="D68" s="0" t="n">
        <v>30</v>
      </c>
      <c r="E68" s="0" t="n">
        <v>9</v>
      </c>
      <c r="F68" s="0" t="n">
        <v>1</v>
      </c>
      <c r="G68" s="0" t="n">
        <v>18</v>
      </c>
      <c r="H68" s="0" t="n">
        <v>323</v>
      </c>
      <c r="I68" s="0" t="n">
        <v>12</v>
      </c>
      <c r="J68" s="0" t="n">
        <v>31</v>
      </c>
      <c r="K68" s="0" t="n">
        <v>0.8</v>
      </c>
      <c r="L68" s="0" t="n">
        <v>5234</v>
      </c>
      <c r="M68" s="0" t="n">
        <v>462</v>
      </c>
    </row>
    <row r="69" customFormat="false" ht="13.5" hidden="false" customHeight="false" outlineLevel="0" collapsed="false">
      <c r="A69" s="0" t="s">
        <v>102</v>
      </c>
      <c r="B69" s="1" t="n">
        <v>43929</v>
      </c>
      <c r="C69" s="0" t="n">
        <v>396</v>
      </c>
      <c r="D69" s="0" t="n">
        <v>46</v>
      </c>
      <c r="E69" s="0" t="n">
        <v>11</v>
      </c>
      <c r="F69" s="0" t="n">
        <v>2</v>
      </c>
      <c r="G69" s="0" t="n">
        <v>27</v>
      </c>
      <c r="H69" s="0" t="n">
        <v>358</v>
      </c>
      <c r="I69" s="0" t="n">
        <v>15</v>
      </c>
      <c r="J69" s="0" t="n">
        <v>35</v>
      </c>
      <c r="K69" s="0" t="n">
        <v>1</v>
      </c>
      <c r="L69" s="0" t="n">
        <v>7054</v>
      </c>
      <c r="M69" s="0" t="n">
        <v>623</v>
      </c>
    </row>
    <row r="70" customFormat="false" ht="13.5" hidden="false" customHeight="false" outlineLevel="0" collapsed="false">
      <c r="A70" s="0" t="s">
        <v>102</v>
      </c>
      <c r="B70" s="1" t="n">
        <v>43930</v>
      </c>
      <c r="C70" s="0" t="n">
        <v>457</v>
      </c>
      <c r="D70" s="0" t="n">
        <v>61</v>
      </c>
      <c r="E70" s="0" t="n">
        <v>12</v>
      </c>
      <c r="F70" s="0" t="n">
        <v>1</v>
      </c>
      <c r="G70" s="0" t="n">
        <v>27</v>
      </c>
      <c r="H70" s="0" t="n">
        <v>418</v>
      </c>
      <c r="I70" s="0" t="n">
        <v>15</v>
      </c>
      <c r="J70" s="0" t="n">
        <v>40</v>
      </c>
      <c r="K70" s="0" t="n">
        <v>1</v>
      </c>
      <c r="L70" s="0" t="n">
        <v>9410</v>
      </c>
      <c r="M70" s="0" t="n">
        <v>831</v>
      </c>
    </row>
    <row r="71" customFormat="false" ht="13.5" hidden="false" customHeight="false" outlineLevel="0" collapsed="false">
      <c r="A71" s="0" t="s">
        <v>102</v>
      </c>
      <c r="B71" s="1" t="n">
        <v>43931</v>
      </c>
      <c r="C71" s="0" t="n">
        <v>515</v>
      </c>
      <c r="D71" s="0" t="n">
        <v>58</v>
      </c>
      <c r="E71" s="0" t="n">
        <v>15</v>
      </c>
      <c r="F71" s="0" t="n">
        <v>3</v>
      </c>
      <c r="G71" s="0" t="n">
        <v>28</v>
      </c>
      <c r="H71" s="0" t="n">
        <v>472</v>
      </c>
      <c r="I71" s="0" t="n">
        <v>15</v>
      </c>
      <c r="J71" s="0" t="n">
        <v>45</v>
      </c>
      <c r="K71" s="0" t="n">
        <v>1</v>
      </c>
      <c r="L71" s="0" t="n">
        <v>9410</v>
      </c>
      <c r="M71" s="0" t="n">
        <v>831</v>
      </c>
    </row>
    <row r="72" customFormat="false" ht="13.5" hidden="false" customHeight="false" outlineLevel="0" collapsed="false">
      <c r="A72" s="0" t="s">
        <v>102</v>
      </c>
      <c r="B72" s="1" t="n">
        <v>43932</v>
      </c>
      <c r="C72" s="0" t="n">
        <v>564</v>
      </c>
      <c r="D72" s="0" t="n">
        <v>49</v>
      </c>
      <c r="E72" s="0" t="n">
        <v>15</v>
      </c>
      <c r="F72" s="0" t="n">
        <v>0</v>
      </c>
      <c r="G72" s="0" t="n">
        <v>51</v>
      </c>
      <c r="H72" s="0" t="n">
        <v>498</v>
      </c>
      <c r="I72" s="0" t="n">
        <v>11</v>
      </c>
      <c r="J72" s="0" t="n">
        <v>50</v>
      </c>
      <c r="K72" s="0" t="n">
        <v>1</v>
      </c>
      <c r="L72" s="0" t="n">
        <v>12023</v>
      </c>
      <c r="M72" s="0" t="n">
        <v>1061</v>
      </c>
    </row>
    <row r="73" customFormat="false" ht="13.5" hidden="false" customHeight="false" outlineLevel="0" collapsed="false">
      <c r="A73" s="0" t="s">
        <v>102</v>
      </c>
      <c r="B73" s="1" t="n">
        <v>43933</v>
      </c>
      <c r="C73" s="0" t="n">
        <v>620</v>
      </c>
      <c r="D73" s="0" t="n">
        <v>56</v>
      </c>
      <c r="E73" s="0" t="n">
        <v>16</v>
      </c>
      <c r="F73" s="0" t="n">
        <v>1</v>
      </c>
      <c r="G73" s="0" t="n">
        <v>77</v>
      </c>
      <c r="H73" s="0" t="n">
        <v>527</v>
      </c>
      <c r="I73" s="0" t="n">
        <v>11</v>
      </c>
      <c r="J73" s="0" t="n">
        <v>55</v>
      </c>
      <c r="K73" s="0" t="n">
        <v>1</v>
      </c>
      <c r="L73" s="0" t="n">
        <v>13162</v>
      </c>
      <c r="M73" s="0" t="n">
        <v>1162</v>
      </c>
    </row>
    <row r="74" customFormat="false" ht="13.5" hidden="false" customHeight="false" outlineLevel="0" collapsed="false">
      <c r="A74" s="0" t="s">
        <v>102</v>
      </c>
      <c r="B74" s="1" t="n">
        <v>43934</v>
      </c>
      <c r="C74" s="0" t="n">
        <v>669</v>
      </c>
      <c r="D74" s="0" t="n">
        <v>49</v>
      </c>
      <c r="E74" s="0" t="n">
        <v>18</v>
      </c>
      <c r="F74" s="0" t="n">
        <v>2</v>
      </c>
      <c r="G74" s="0" t="n">
        <v>92</v>
      </c>
      <c r="H74" s="0" t="n">
        <v>559</v>
      </c>
      <c r="I74" s="0" t="n">
        <v>11</v>
      </c>
      <c r="J74" s="0" t="n">
        <v>59</v>
      </c>
      <c r="K74" s="0" t="n">
        <v>2</v>
      </c>
      <c r="L74" s="0" t="n">
        <v>13162</v>
      </c>
      <c r="M74" s="0" t="n">
        <v>1162</v>
      </c>
    </row>
    <row r="75" customFormat="false" ht="13.5" hidden="false" customHeight="false" outlineLevel="0" collapsed="false">
      <c r="A75" s="0" t="s">
        <v>102</v>
      </c>
      <c r="B75" s="1" t="n">
        <v>43935</v>
      </c>
      <c r="C75" s="0" t="n">
        <v>726</v>
      </c>
      <c r="D75" s="0" t="n">
        <v>57</v>
      </c>
      <c r="E75" s="0" t="n">
        <v>21</v>
      </c>
      <c r="F75" s="0" t="n">
        <v>3</v>
      </c>
      <c r="G75" s="0" t="n">
        <v>121</v>
      </c>
      <c r="H75" s="0" t="n">
        <v>584</v>
      </c>
      <c r="I75" s="0" t="n">
        <v>11</v>
      </c>
      <c r="J75" s="0" t="n">
        <v>64</v>
      </c>
      <c r="K75" s="0" t="n">
        <v>2</v>
      </c>
      <c r="L75" s="0" t="n">
        <v>17133</v>
      </c>
      <c r="M75" s="0" t="n">
        <v>1513</v>
      </c>
    </row>
    <row r="76" customFormat="false" ht="13.5" hidden="false" customHeight="false" outlineLevel="0" collapsed="false">
      <c r="A76" s="0" t="s">
        <v>102</v>
      </c>
      <c r="B76" s="1" t="n">
        <v>43936</v>
      </c>
      <c r="C76" s="0" t="n">
        <v>766</v>
      </c>
      <c r="D76" s="0" t="n">
        <v>40</v>
      </c>
      <c r="E76" s="0" t="n">
        <v>21</v>
      </c>
      <c r="F76" s="0" t="n">
        <v>0</v>
      </c>
      <c r="G76" s="0" t="n">
        <v>132</v>
      </c>
      <c r="H76" s="0" t="n">
        <v>613</v>
      </c>
      <c r="I76" s="0" t="n">
        <v>9</v>
      </c>
      <c r="J76" s="0" t="n">
        <v>68</v>
      </c>
      <c r="K76" s="0" t="n">
        <v>2</v>
      </c>
      <c r="L76" s="0" t="n">
        <v>18634</v>
      </c>
      <c r="M76" s="0" t="n">
        <v>1645</v>
      </c>
    </row>
    <row r="77" customFormat="false" ht="13.5" hidden="false" customHeight="false" outlineLevel="0" collapsed="false">
      <c r="A77" s="0" t="s">
        <v>102</v>
      </c>
      <c r="B77" s="1" t="n">
        <v>43937</v>
      </c>
      <c r="C77" s="0" t="n">
        <v>814</v>
      </c>
      <c r="D77" s="0" t="n">
        <v>48</v>
      </c>
      <c r="E77" s="0" t="n">
        <v>24</v>
      </c>
      <c r="F77" s="0" t="n">
        <v>3</v>
      </c>
      <c r="G77" s="0" t="n">
        <v>151</v>
      </c>
      <c r="H77" s="0" t="n">
        <v>639</v>
      </c>
      <c r="I77" s="0" t="n">
        <v>15</v>
      </c>
      <c r="J77" s="0" t="n">
        <v>72</v>
      </c>
      <c r="K77" s="0" t="n">
        <v>2</v>
      </c>
      <c r="L77" s="0" t="n">
        <v>20451</v>
      </c>
      <c r="M77" s="0" t="n">
        <v>1806</v>
      </c>
    </row>
    <row r="78" customFormat="false" ht="13.5" hidden="false" customHeight="false" outlineLevel="0" collapsed="false">
      <c r="A78" s="0" t="s">
        <v>102</v>
      </c>
      <c r="B78" s="1" t="n">
        <v>43938</v>
      </c>
      <c r="C78" s="0" t="n">
        <v>862</v>
      </c>
      <c r="D78" s="0" t="n">
        <v>48</v>
      </c>
      <c r="E78" s="0" t="n">
        <v>27</v>
      </c>
      <c r="F78" s="0" t="n">
        <v>3</v>
      </c>
      <c r="G78" s="0" t="n">
        <v>171</v>
      </c>
      <c r="H78" s="0" t="n">
        <v>664</v>
      </c>
      <c r="I78" s="0" t="n">
        <v>16</v>
      </c>
      <c r="J78" s="0" t="n">
        <v>76</v>
      </c>
      <c r="K78" s="0" t="n">
        <v>2</v>
      </c>
      <c r="L78" s="0" t="n">
        <v>21837</v>
      </c>
      <c r="M78" s="0" t="n">
        <v>1928</v>
      </c>
    </row>
    <row r="79" customFormat="false" ht="13.5" hidden="false" customHeight="false" outlineLevel="0" collapsed="false">
      <c r="A79" s="0" t="s">
        <v>102</v>
      </c>
      <c r="B79" s="1" t="n">
        <v>43939</v>
      </c>
      <c r="C79" s="0" t="n">
        <v>923</v>
      </c>
      <c r="D79" s="0" t="n">
        <v>61</v>
      </c>
      <c r="E79" s="0" t="n">
        <v>31</v>
      </c>
      <c r="F79" s="0" t="n">
        <v>4</v>
      </c>
      <c r="G79" s="0" t="n">
        <v>192</v>
      </c>
      <c r="H79" s="0" t="n">
        <v>700</v>
      </c>
      <c r="I79" s="0" t="n">
        <v>17</v>
      </c>
      <c r="J79" s="0" t="n">
        <v>81</v>
      </c>
      <c r="K79" s="0" t="n">
        <v>3</v>
      </c>
      <c r="L79" s="0" t="n">
        <v>23317</v>
      </c>
      <c r="M79" s="0" t="n">
        <v>2059</v>
      </c>
    </row>
    <row r="80" customFormat="false" ht="13.5" hidden="false" customHeight="false" outlineLevel="0" collapsed="false">
      <c r="A80" s="0" t="s">
        <v>102</v>
      </c>
      <c r="B80" s="1" t="n">
        <v>43940</v>
      </c>
      <c r="C80" s="0" t="n">
        <v>986</v>
      </c>
      <c r="D80" s="0" t="n">
        <v>63</v>
      </c>
      <c r="E80" s="0" t="n">
        <v>32</v>
      </c>
      <c r="F80" s="0" t="n">
        <v>1</v>
      </c>
      <c r="G80" s="0" t="n">
        <v>227</v>
      </c>
      <c r="H80" s="0" t="n">
        <v>727</v>
      </c>
      <c r="I80" s="0" t="n">
        <v>15</v>
      </c>
      <c r="J80" s="0" t="n">
        <v>87</v>
      </c>
      <c r="K80" s="0" t="n">
        <v>3</v>
      </c>
      <c r="L80" s="0" t="n">
        <v>25309</v>
      </c>
      <c r="M80" s="0" t="n">
        <v>2234</v>
      </c>
    </row>
    <row r="81" customFormat="false" ht="13.5" hidden="false" customHeight="false" outlineLevel="0" collapsed="false">
      <c r="A81" s="0" t="s">
        <v>102</v>
      </c>
      <c r="B81" s="1" t="n">
        <v>43941</v>
      </c>
      <c r="C81" s="0" t="n">
        <v>1035</v>
      </c>
      <c r="D81" s="0" t="n">
        <v>49</v>
      </c>
      <c r="E81" s="0" t="n">
        <v>34</v>
      </c>
      <c r="F81" s="0" t="n">
        <v>2</v>
      </c>
      <c r="G81" s="0" t="n">
        <v>255</v>
      </c>
      <c r="H81" s="0" t="n">
        <v>746</v>
      </c>
      <c r="I81" s="0" t="n">
        <v>16</v>
      </c>
      <c r="J81" s="0" t="n">
        <v>91</v>
      </c>
      <c r="K81" s="0" t="n">
        <v>3</v>
      </c>
      <c r="L81" s="0" t="n">
        <v>26982</v>
      </c>
      <c r="M81" s="0" t="n">
        <v>2382</v>
      </c>
    </row>
    <row r="82" customFormat="false" ht="13.5" hidden="false" customHeight="false" outlineLevel="0" collapsed="false">
      <c r="A82" s="0" t="s">
        <v>102</v>
      </c>
      <c r="B82" s="1" t="n">
        <v>43942</v>
      </c>
      <c r="C82" s="0" t="n">
        <v>1087</v>
      </c>
      <c r="D82" s="0" t="n">
        <v>52</v>
      </c>
      <c r="E82" s="0" t="n">
        <v>36</v>
      </c>
      <c r="F82" s="0" t="n">
        <v>2</v>
      </c>
      <c r="G82" s="0" t="n">
        <v>285</v>
      </c>
      <c r="H82" s="0" t="n">
        <v>766</v>
      </c>
      <c r="I82" s="0" t="n">
        <v>9</v>
      </c>
      <c r="J82" s="0" t="n">
        <v>96</v>
      </c>
      <c r="K82" s="0" t="n">
        <v>3</v>
      </c>
      <c r="L82" s="0" t="n">
        <v>28598</v>
      </c>
      <c r="M82" s="0" t="n">
        <v>2525</v>
      </c>
    </row>
    <row r="83" customFormat="false" ht="13.5" hidden="false" customHeight="false" outlineLevel="0" collapsed="false">
      <c r="A83" s="0" t="s">
        <v>102</v>
      </c>
      <c r="B83" s="1" t="n">
        <v>43943</v>
      </c>
      <c r="C83" s="0" t="n">
        <v>1137</v>
      </c>
      <c r="D83" s="0" t="n">
        <v>50</v>
      </c>
      <c r="E83" s="0" t="n">
        <v>38</v>
      </c>
      <c r="F83" s="0" t="n">
        <v>2</v>
      </c>
      <c r="G83" s="0" t="n">
        <v>309</v>
      </c>
      <c r="H83" s="0" t="n">
        <v>790</v>
      </c>
      <c r="I83" s="0" t="n">
        <v>18</v>
      </c>
      <c r="J83" s="0" t="n">
        <v>100</v>
      </c>
      <c r="K83" s="0" t="n">
        <v>3</v>
      </c>
      <c r="L83" s="0" t="n">
        <v>30416</v>
      </c>
      <c r="M83" s="0" t="n">
        <v>2685</v>
      </c>
    </row>
    <row r="84" customFormat="false" ht="13.5" hidden="false" customHeight="false" outlineLevel="0" collapsed="false">
      <c r="A84" s="0" t="s">
        <v>102</v>
      </c>
      <c r="B84" s="1" t="n">
        <v>43944</v>
      </c>
      <c r="C84" s="0" t="n">
        <v>1189</v>
      </c>
      <c r="D84" s="0" t="n">
        <v>52</v>
      </c>
      <c r="E84" s="0" t="n">
        <v>40</v>
      </c>
      <c r="F84" s="0" t="n">
        <v>2</v>
      </c>
      <c r="G84" s="0" t="n">
        <v>341</v>
      </c>
      <c r="H84" s="0" t="n">
        <v>808</v>
      </c>
      <c r="I84" s="0" t="n">
        <v>16</v>
      </c>
      <c r="J84" s="0" t="n">
        <v>105</v>
      </c>
      <c r="K84" s="0" t="n">
        <v>4</v>
      </c>
      <c r="L84" s="0" t="n">
        <v>30416</v>
      </c>
      <c r="M84" s="0" t="n">
        <v>2685</v>
      </c>
    </row>
    <row r="85" customFormat="false" ht="13.5" hidden="false" customHeight="false" outlineLevel="0" collapsed="false">
      <c r="A85" s="0" t="s">
        <v>102</v>
      </c>
      <c r="B85" s="1" t="n">
        <v>43945</v>
      </c>
      <c r="C85" s="0" t="n">
        <v>1235</v>
      </c>
      <c r="D85" s="0" t="n">
        <v>46</v>
      </c>
      <c r="E85" s="0" t="n">
        <v>43</v>
      </c>
      <c r="F85" s="0" t="n">
        <v>3</v>
      </c>
      <c r="G85" s="0" t="n">
        <v>365</v>
      </c>
      <c r="H85" s="0" t="n">
        <v>827</v>
      </c>
      <c r="I85" s="0" t="n">
        <v>14</v>
      </c>
      <c r="J85" s="0" t="n">
        <v>109</v>
      </c>
      <c r="K85" s="0" t="n">
        <v>4</v>
      </c>
      <c r="L85" s="0" t="n">
        <v>34243</v>
      </c>
      <c r="M85" s="0" t="n">
        <v>3023</v>
      </c>
    </row>
    <row r="86" customFormat="false" ht="13.5" hidden="false" customHeight="false" outlineLevel="0" collapsed="false">
      <c r="A86" s="0" t="s">
        <v>102</v>
      </c>
      <c r="B86" s="1" t="n">
        <v>43946</v>
      </c>
      <c r="C86" s="0" t="n">
        <v>1285</v>
      </c>
      <c r="D86" s="0" t="n">
        <v>50</v>
      </c>
      <c r="E86" s="0" t="n">
        <v>49</v>
      </c>
      <c r="F86" s="0" t="n">
        <v>6</v>
      </c>
      <c r="G86" s="0" t="n">
        <v>416</v>
      </c>
      <c r="H86" s="0" t="n">
        <v>820</v>
      </c>
      <c r="I86" s="0" t="n">
        <v>11</v>
      </c>
      <c r="J86" s="0" t="n">
        <v>113</v>
      </c>
      <c r="K86" s="0" t="n">
        <v>4</v>
      </c>
      <c r="L86" s="0" t="n">
        <v>36134</v>
      </c>
      <c r="M86" s="0" t="n">
        <v>3190</v>
      </c>
    </row>
    <row r="87" customFormat="false" ht="13.5" hidden="false" customHeight="false" outlineLevel="0" collapsed="false">
      <c r="A87" s="0" t="s">
        <v>102</v>
      </c>
      <c r="B87" s="1" t="n">
        <v>43947</v>
      </c>
      <c r="C87" s="0" t="n">
        <v>1337</v>
      </c>
      <c r="D87" s="0" t="n">
        <v>52</v>
      </c>
      <c r="E87" s="0" t="n">
        <v>51</v>
      </c>
      <c r="F87" s="0" t="n">
        <v>2</v>
      </c>
      <c r="G87" s="0" t="n">
        <v>437</v>
      </c>
      <c r="H87" s="0" t="n">
        <v>849</v>
      </c>
      <c r="I87" s="0" t="n">
        <v>11</v>
      </c>
      <c r="J87" s="0" t="n">
        <v>118</v>
      </c>
      <c r="K87" s="0" t="n">
        <v>5</v>
      </c>
      <c r="L87" s="0" t="n">
        <v>37991</v>
      </c>
      <c r="M87" s="0" t="n">
        <v>3354</v>
      </c>
    </row>
    <row r="88" customFormat="false" ht="13.5" hidden="false" customHeight="false" outlineLevel="0" collapsed="false">
      <c r="A88" s="0" t="s">
        <v>102</v>
      </c>
      <c r="B88" s="1" t="n">
        <v>43948</v>
      </c>
      <c r="C88" s="0" t="n">
        <v>1369</v>
      </c>
      <c r="D88" s="0" t="n">
        <v>32</v>
      </c>
      <c r="E88" s="0" t="n">
        <v>54</v>
      </c>
      <c r="F88" s="0" t="n">
        <v>3</v>
      </c>
      <c r="G88" s="0" t="n">
        <v>501</v>
      </c>
      <c r="H88" s="0" t="n">
        <v>814</v>
      </c>
      <c r="I88" s="0" t="n">
        <v>11</v>
      </c>
      <c r="J88" s="0" t="n">
        <v>121</v>
      </c>
      <c r="K88" s="0" t="n">
        <v>5</v>
      </c>
      <c r="L88" s="0" t="n">
        <v>39828</v>
      </c>
      <c r="M88" s="0" t="n">
        <v>3516</v>
      </c>
    </row>
    <row r="89" customFormat="false" ht="13.5" hidden="false" customHeight="false" outlineLevel="0" collapsed="false">
      <c r="A89" s="0" t="s">
        <v>102</v>
      </c>
      <c r="B89" s="1" t="n">
        <v>43949</v>
      </c>
      <c r="C89" s="0" t="n">
        <v>1389</v>
      </c>
      <c r="D89" s="0" t="n">
        <v>20</v>
      </c>
      <c r="E89" s="0" t="n">
        <v>56</v>
      </c>
      <c r="F89" s="0" t="n">
        <v>2</v>
      </c>
      <c r="G89" s="0" t="n">
        <v>525</v>
      </c>
      <c r="H89" s="0" t="n">
        <v>808</v>
      </c>
      <c r="I89" s="0" t="n">
        <v>12</v>
      </c>
      <c r="J89" s="0" t="n">
        <v>123</v>
      </c>
      <c r="K89" s="0" t="n">
        <v>5</v>
      </c>
      <c r="L89" s="0" t="n">
        <v>39828</v>
      </c>
      <c r="M89" s="0" t="n">
        <v>3516</v>
      </c>
    </row>
    <row r="90" customFormat="false" ht="13.5" hidden="false" customHeight="false" outlineLevel="0" collapsed="false">
      <c r="A90" s="0" t="s">
        <v>102</v>
      </c>
      <c r="B90" s="1" t="n">
        <v>43950</v>
      </c>
      <c r="C90" s="0" t="n">
        <v>1437</v>
      </c>
      <c r="D90" s="0" t="n">
        <v>48</v>
      </c>
      <c r="E90" s="0" t="n">
        <v>58</v>
      </c>
      <c r="F90" s="0" t="n">
        <v>2</v>
      </c>
      <c r="G90" s="0" t="n">
        <v>575</v>
      </c>
      <c r="H90" s="0" t="n">
        <v>804</v>
      </c>
      <c r="I90" s="0" t="n">
        <v>12</v>
      </c>
      <c r="J90" s="0" t="n">
        <v>127</v>
      </c>
      <c r="K90" s="0" t="n">
        <v>5</v>
      </c>
      <c r="L90" s="0" t="n">
        <v>43508</v>
      </c>
      <c r="M90" s="0" t="n">
        <v>3841</v>
      </c>
    </row>
    <row r="91" customFormat="false" ht="13.5" hidden="false" customHeight="false" outlineLevel="0" collapsed="false">
      <c r="A91" s="0" t="s">
        <v>102</v>
      </c>
      <c r="B91" s="1" t="n">
        <v>43951</v>
      </c>
      <c r="C91" s="0" t="n">
        <v>1467</v>
      </c>
      <c r="D91" s="0" t="n">
        <v>30</v>
      </c>
      <c r="E91" s="0" t="n">
        <v>58</v>
      </c>
      <c r="F91" s="0" t="n">
        <v>0</v>
      </c>
      <c r="G91" s="0" t="n">
        <v>617</v>
      </c>
      <c r="H91" s="0" t="n">
        <v>792</v>
      </c>
      <c r="I91" s="0" t="n">
        <v>14</v>
      </c>
      <c r="J91" s="0" t="n">
        <v>130</v>
      </c>
      <c r="K91" s="0" t="n">
        <v>5</v>
      </c>
      <c r="L91" s="0" t="n">
        <v>45344</v>
      </c>
      <c r="M91" s="0" t="n">
        <v>4003</v>
      </c>
    </row>
    <row r="92" customFormat="false" ht="13.5" hidden="false" customHeight="false" outlineLevel="0" collapsed="false">
      <c r="A92" s="0" t="s">
        <v>102</v>
      </c>
      <c r="B92" s="1" t="n">
        <v>43952</v>
      </c>
      <c r="C92" s="0" t="n">
        <v>1501</v>
      </c>
      <c r="D92" s="0" t="n">
        <v>34</v>
      </c>
      <c r="E92" s="0" t="n">
        <v>61</v>
      </c>
      <c r="F92" s="0" t="n">
        <v>3</v>
      </c>
      <c r="G92" s="0" t="n">
        <v>681</v>
      </c>
      <c r="H92" s="0" t="n">
        <v>759</v>
      </c>
      <c r="I92" s="0" t="n">
        <v>10</v>
      </c>
      <c r="J92" s="0" t="n">
        <v>133</v>
      </c>
      <c r="K92" s="0" t="n">
        <v>5</v>
      </c>
      <c r="L92" s="0" t="n">
        <v>47347</v>
      </c>
      <c r="M92" s="0" t="n">
        <v>4180</v>
      </c>
    </row>
    <row r="93" customFormat="false" ht="13.5" hidden="false" customHeight="false" outlineLevel="0" collapsed="false">
      <c r="A93" s="0" t="s">
        <v>102</v>
      </c>
      <c r="B93" s="1" t="n">
        <v>43953</v>
      </c>
      <c r="C93" s="0" t="n">
        <v>1537</v>
      </c>
      <c r="D93" s="0" t="n">
        <v>36</v>
      </c>
      <c r="E93" s="0" t="n">
        <v>64</v>
      </c>
      <c r="F93" s="0" t="n">
        <v>3</v>
      </c>
      <c r="G93" s="0" t="n">
        <v>714</v>
      </c>
      <c r="H93" s="0" t="n">
        <v>759</v>
      </c>
      <c r="I93" s="0" t="n">
        <v>10</v>
      </c>
      <c r="J93" s="0" t="n">
        <v>136</v>
      </c>
      <c r="K93" s="0" t="n">
        <v>6</v>
      </c>
      <c r="L93" s="0" t="n">
        <v>49409</v>
      </c>
      <c r="M93" s="0" t="n">
        <v>4362</v>
      </c>
    </row>
    <row r="94" customFormat="false" ht="13.5" hidden="false" customHeight="false" outlineLevel="0" collapsed="false">
      <c r="A94" s="0" t="s">
        <v>102</v>
      </c>
      <c r="B94" s="1" t="n">
        <v>43954</v>
      </c>
      <c r="C94" s="0" t="n">
        <v>1611</v>
      </c>
      <c r="D94" s="0" t="n">
        <v>74</v>
      </c>
      <c r="E94" s="0" t="n">
        <v>66</v>
      </c>
      <c r="F94" s="0" t="n">
        <v>2</v>
      </c>
      <c r="G94" s="0" t="n">
        <v>765</v>
      </c>
      <c r="H94" s="0" t="n">
        <v>780</v>
      </c>
      <c r="I94" s="0" t="n">
        <v>10</v>
      </c>
      <c r="J94" s="0" t="n">
        <v>142</v>
      </c>
      <c r="K94" s="0" t="n">
        <v>6</v>
      </c>
      <c r="L94" s="0" t="n">
        <v>51506</v>
      </c>
      <c r="M94" s="0" t="n">
        <v>4547</v>
      </c>
    </row>
    <row r="95" customFormat="false" ht="13.5" hidden="false" customHeight="false" outlineLevel="0" collapsed="false">
      <c r="A95" s="0" t="s">
        <v>102</v>
      </c>
      <c r="B95" s="1" t="n">
        <v>43955</v>
      </c>
      <c r="C95" s="0" t="n">
        <v>1649</v>
      </c>
      <c r="D95" s="0" t="n">
        <v>38</v>
      </c>
      <c r="E95" s="0" t="n">
        <v>67</v>
      </c>
      <c r="F95" s="0" t="n">
        <v>1</v>
      </c>
      <c r="G95" s="0" t="n">
        <v>827</v>
      </c>
      <c r="H95" s="0" t="n">
        <v>755</v>
      </c>
      <c r="I95" s="0" t="n">
        <v>13</v>
      </c>
      <c r="J95" s="0" t="n">
        <v>146</v>
      </c>
      <c r="K95" s="0" t="n">
        <v>6</v>
      </c>
      <c r="L95" s="0" t="n">
        <v>53545</v>
      </c>
      <c r="M95" s="0" t="n">
        <v>4727</v>
      </c>
    </row>
    <row r="96" customFormat="false" ht="13.5" hidden="false" customHeight="false" outlineLevel="0" collapsed="false">
      <c r="A96" s="0" t="s">
        <v>102</v>
      </c>
      <c r="B96" s="1" t="n">
        <v>43956</v>
      </c>
      <c r="C96" s="0" t="n">
        <v>1668</v>
      </c>
      <c r="D96" s="0" t="n">
        <v>19</v>
      </c>
      <c r="E96" s="0" t="n">
        <v>69</v>
      </c>
      <c r="F96" s="0" t="n">
        <v>2</v>
      </c>
      <c r="G96" s="0" t="n">
        <v>876</v>
      </c>
      <c r="H96" s="0" t="n">
        <v>723</v>
      </c>
      <c r="I96" s="0" t="n">
        <v>9</v>
      </c>
      <c r="J96" s="0" t="n">
        <v>147</v>
      </c>
      <c r="K96" s="0" t="n">
        <v>6</v>
      </c>
      <c r="L96" s="0" t="n">
        <v>55542</v>
      </c>
      <c r="M96" s="0" t="n">
        <v>4904</v>
      </c>
    </row>
    <row r="97" customFormat="false" ht="13.5" hidden="false" customHeight="false" outlineLevel="0" collapsed="false">
      <c r="A97" s="0" t="s">
        <v>102</v>
      </c>
      <c r="B97" s="1" t="n">
        <v>43957</v>
      </c>
      <c r="C97" s="0" t="n">
        <v>1685</v>
      </c>
      <c r="D97" s="0" t="n">
        <v>17</v>
      </c>
      <c r="E97" s="0" t="n">
        <v>69</v>
      </c>
      <c r="F97" s="0" t="n">
        <v>0</v>
      </c>
      <c r="G97" s="0" t="n">
        <v>954</v>
      </c>
      <c r="H97" s="0" t="n">
        <v>662</v>
      </c>
      <c r="I97" s="0" t="n">
        <v>8</v>
      </c>
      <c r="J97" s="0" t="n">
        <v>149</v>
      </c>
      <c r="K97" s="0" t="n">
        <v>6</v>
      </c>
      <c r="L97" s="0" t="n">
        <v>57711</v>
      </c>
      <c r="M97" s="0" t="n">
        <v>5095</v>
      </c>
    </row>
    <row r="98" customFormat="false" ht="13.5" hidden="false" customHeight="false" outlineLevel="0" collapsed="false">
      <c r="A98" s="0" t="s">
        <v>102</v>
      </c>
      <c r="B98" s="1" t="n">
        <v>43958</v>
      </c>
      <c r="C98" s="0" t="n">
        <v>1703</v>
      </c>
      <c r="D98" s="0" t="n">
        <v>18</v>
      </c>
      <c r="E98" s="0" t="n">
        <v>69</v>
      </c>
      <c r="F98" s="0" t="n">
        <v>0</v>
      </c>
      <c r="G98" s="0" t="n">
        <v>1001</v>
      </c>
      <c r="H98" s="0" t="n">
        <v>633</v>
      </c>
      <c r="I98" s="0" t="n">
        <v>8</v>
      </c>
      <c r="J98" s="0" t="n">
        <v>150</v>
      </c>
      <c r="K98" s="0" t="n">
        <v>6</v>
      </c>
      <c r="L98" s="0" t="n">
        <v>57711</v>
      </c>
      <c r="M98" s="0" t="n">
        <v>5095</v>
      </c>
    </row>
    <row r="99" customFormat="false" ht="13.5" hidden="false" customHeight="false" outlineLevel="0" collapsed="false">
      <c r="A99" s="0" t="s">
        <v>102</v>
      </c>
      <c r="B99" s="1" t="n">
        <v>43959</v>
      </c>
      <c r="C99" s="0" t="n">
        <v>1729</v>
      </c>
      <c r="D99" s="0" t="n">
        <v>26</v>
      </c>
      <c r="E99" s="0" t="n">
        <v>73</v>
      </c>
      <c r="F99" s="0" t="n">
        <v>4</v>
      </c>
      <c r="G99" s="0" t="n">
        <v>1031</v>
      </c>
      <c r="H99" s="0" t="n">
        <v>625</v>
      </c>
      <c r="I99" s="0" t="n">
        <v>8</v>
      </c>
      <c r="J99" s="0" t="n">
        <v>153</v>
      </c>
      <c r="K99" s="0" t="n">
        <v>6</v>
      </c>
      <c r="L99" s="0" t="n">
        <v>61613</v>
      </c>
      <c r="M99" s="0" t="n">
        <v>5440</v>
      </c>
    </row>
    <row r="100" customFormat="false" ht="13.5" hidden="false" customHeight="false" outlineLevel="0" collapsed="false">
      <c r="A100" s="0" t="s">
        <v>102</v>
      </c>
      <c r="B100" s="1" t="n">
        <v>43960</v>
      </c>
      <c r="C100" s="0" t="n">
        <v>1741</v>
      </c>
      <c r="D100" s="0" t="n">
        <v>12</v>
      </c>
      <c r="E100" s="0" t="n">
        <v>74</v>
      </c>
      <c r="F100" s="0" t="n">
        <v>1</v>
      </c>
      <c r="G100" s="0" t="n">
        <v>1078</v>
      </c>
      <c r="H100" s="0" t="n">
        <v>589</v>
      </c>
      <c r="I100" s="0" t="n">
        <v>8</v>
      </c>
      <c r="J100" s="0" t="n">
        <v>154</v>
      </c>
      <c r="K100" s="0" t="n">
        <v>7</v>
      </c>
      <c r="L100" s="0" t="n">
        <v>63560</v>
      </c>
      <c r="M100" s="0" t="n">
        <v>5612</v>
      </c>
    </row>
    <row r="101" customFormat="false" ht="13.5" hidden="false" customHeight="false" outlineLevel="0" collapsed="false">
      <c r="A101" s="0" t="s">
        <v>102</v>
      </c>
      <c r="B101" s="1" t="n">
        <v>43961</v>
      </c>
      <c r="C101" s="0" t="n">
        <v>1754</v>
      </c>
      <c r="D101" s="0" t="n">
        <v>13</v>
      </c>
      <c r="E101" s="0" t="n">
        <v>74</v>
      </c>
      <c r="F101" s="0" t="n">
        <v>0</v>
      </c>
      <c r="G101" s="0" t="n">
        <v>1140</v>
      </c>
      <c r="H101" s="0" t="n">
        <v>540</v>
      </c>
      <c r="I101" s="0" t="n">
        <v>8</v>
      </c>
      <c r="J101" s="0" t="n">
        <v>155</v>
      </c>
      <c r="K101" s="0" t="n">
        <v>7</v>
      </c>
      <c r="L101" s="0" t="n">
        <v>63560</v>
      </c>
      <c r="M101" s="0" t="n">
        <v>5612</v>
      </c>
    </row>
    <row r="102" customFormat="false" ht="13.5" hidden="false" customHeight="false" outlineLevel="0" collapsed="false">
      <c r="A102" s="0" t="s">
        <v>102</v>
      </c>
      <c r="B102" s="1" t="n">
        <v>43962</v>
      </c>
      <c r="C102" s="0" t="n">
        <v>1766</v>
      </c>
      <c r="D102" s="0" t="n">
        <v>12</v>
      </c>
      <c r="E102" s="0" t="n">
        <v>77</v>
      </c>
      <c r="F102" s="0" t="n">
        <v>3</v>
      </c>
      <c r="G102" s="0" t="n">
        <v>1193</v>
      </c>
      <c r="H102" s="0" t="n">
        <v>496</v>
      </c>
      <c r="I102" s="0" t="n">
        <v>5</v>
      </c>
      <c r="J102" s="0" t="n">
        <v>156</v>
      </c>
      <c r="K102" s="0" t="n">
        <v>7</v>
      </c>
      <c r="L102" s="0" t="n">
        <v>67335</v>
      </c>
      <c r="M102" s="0" t="n">
        <v>5945</v>
      </c>
    </row>
    <row r="103" customFormat="false" ht="13.5" hidden="false" customHeight="false" outlineLevel="0" collapsed="false">
      <c r="A103" s="0" t="s">
        <v>102</v>
      </c>
      <c r="B103" s="1" t="n">
        <v>43963</v>
      </c>
      <c r="C103" s="0" t="n">
        <v>1783</v>
      </c>
      <c r="D103" s="0" t="n">
        <v>17</v>
      </c>
      <c r="E103" s="0" t="n">
        <v>77</v>
      </c>
      <c r="F103" s="0" t="n">
        <v>0</v>
      </c>
      <c r="G103" s="0" t="n">
        <v>1229</v>
      </c>
      <c r="H103" s="0" t="n">
        <v>477</v>
      </c>
      <c r="I103" s="0" t="n">
        <v>7</v>
      </c>
      <c r="J103" s="0" t="n">
        <v>157</v>
      </c>
      <c r="K103" s="0" t="n">
        <v>7</v>
      </c>
      <c r="L103" s="0" t="n">
        <v>69182</v>
      </c>
      <c r="M103" s="0" t="n">
        <v>6108</v>
      </c>
    </row>
    <row r="104" customFormat="false" ht="13.5" hidden="false" customHeight="false" outlineLevel="0" collapsed="false">
      <c r="A104" s="0" t="s">
        <v>102</v>
      </c>
      <c r="B104" s="1" t="n">
        <v>43964</v>
      </c>
      <c r="C104" s="0" t="n">
        <v>1804</v>
      </c>
      <c r="D104" s="0" t="n">
        <v>21</v>
      </c>
      <c r="E104" s="0" t="n">
        <v>78</v>
      </c>
      <c r="F104" s="0" t="n">
        <v>1</v>
      </c>
      <c r="G104" s="0" t="n">
        <v>1277</v>
      </c>
      <c r="H104" s="0" t="n">
        <v>449</v>
      </c>
      <c r="I104" s="0" t="n">
        <v>4</v>
      </c>
      <c r="J104" s="0" t="n">
        <v>159</v>
      </c>
      <c r="K104" s="0" t="n">
        <v>7</v>
      </c>
      <c r="L104" s="0" t="n">
        <v>71157</v>
      </c>
      <c r="M104" s="0" t="n">
        <v>6282</v>
      </c>
    </row>
    <row r="105" customFormat="false" ht="13.5" hidden="false" customHeight="false" outlineLevel="0" collapsed="false">
      <c r="A105" s="0" t="s">
        <v>102</v>
      </c>
      <c r="B105" s="1" t="n">
        <v>43965</v>
      </c>
      <c r="C105" s="0" t="n">
        <v>1810</v>
      </c>
      <c r="D105" s="0" t="n">
        <v>6</v>
      </c>
      <c r="E105" s="0" t="n">
        <v>79</v>
      </c>
      <c r="F105" s="0" t="n">
        <v>1</v>
      </c>
      <c r="G105" s="0" t="n">
        <v>1326</v>
      </c>
      <c r="H105" s="0" t="n">
        <v>405</v>
      </c>
      <c r="I105" s="0" t="n">
        <v>7</v>
      </c>
      <c r="J105" s="0" t="n">
        <v>160</v>
      </c>
      <c r="K105" s="0" t="n">
        <v>7</v>
      </c>
      <c r="L105" s="0" t="n">
        <v>73129</v>
      </c>
      <c r="M105" s="0" t="n">
        <v>6456</v>
      </c>
    </row>
    <row r="106" customFormat="false" ht="13.5" hidden="false" customHeight="false" outlineLevel="0" collapsed="false">
      <c r="A106" s="0" t="s">
        <v>102</v>
      </c>
      <c r="B106" s="1" t="n">
        <v>43966</v>
      </c>
      <c r="C106" s="0" t="n">
        <v>1830</v>
      </c>
      <c r="D106" s="0" t="n">
        <v>20</v>
      </c>
      <c r="E106" s="0" t="n">
        <v>79</v>
      </c>
      <c r="F106" s="0" t="n">
        <v>0</v>
      </c>
      <c r="G106" s="0" t="n">
        <v>1383</v>
      </c>
      <c r="H106" s="0" t="n">
        <v>368</v>
      </c>
      <c r="I106" s="0" t="n">
        <v>9</v>
      </c>
      <c r="J106" s="0" t="n">
        <v>162</v>
      </c>
      <c r="K106" s="0" t="n">
        <v>7</v>
      </c>
      <c r="L106" s="0" t="n">
        <v>75142</v>
      </c>
      <c r="M106" s="0" t="n">
        <v>6634</v>
      </c>
    </row>
    <row r="107" customFormat="false" ht="13.5" hidden="false" customHeight="false" outlineLevel="0" collapsed="false">
      <c r="A107" s="0" t="s">
        <v>102</v>
      </c>
      <c r="B107" s="1" t="n">
        <v>43967</v>
      </c>
      <c r="C107" s="0" t="n">
        <v>1840</v>
      </c>
      <c r="D107" s="0" t="n">
        <v>10</v>
      </c>
      <c r="E107" s="0" t="n">
        <v>79</v>
      </c>
      <c r="F107" s="0" t="n">
        <v>0</v>
      </c>
      <c r="G107" s="0" t="n">
        <v>1425</v>
      </c>
      <c r="H107" s="0" t="n">
        <v>336</v>
      </c>
      <c r="I107" s="0" t="n">
        <v>9</v>
      </c>
      <c r="J107" s="0" t="n">
        <v>162</v>
      </c>
      <c r="K107" s="0" t="n">
        <v>7</v>
      </c>
      <c r="L107" s="0" t="n">
        <v>77374</v>
      </c>
      <c r="M107" s="0" t="n">
        <v>6831</v>
      </c>
    </row>
    <row r="108" customFormat="false" ht="13.5" hidden="false" customHeight="false" outlineLevel="0" collapsed="false">
      <c r="A108" s="0" t="s">
        <v>102</v>
      </c>
      <c r="B108" s="1" t="n">
        <v>43968</v>
      </c>
      <c r="C108" s="0" t="n">
        <v>1862</v>
      </c>
      <c r="D108" s="0" t="n">
        <v>22</v>
      </c>
      <c r="E108" s="0" t="n">
        <v>79</v>
      </c>
      <c r="F108" s="0" t="n">
        <v>0</v>
      </c>
      <c r="G108" s="0" t="n">
        <v>1460</v>
      </c>
      <c r="H108" s="0" t="n">
        <v>323</v>
      </c>
      <c r="I108" s="0" t="n">
        <v>7</v>
      </c>
      <c r="J108" s="0" t="n">
        <v>164</v>
      </c>
      <c r="K108" s="0" t="n">
        <v>7</v>
      </c>
      <c r="L108" s="0" t="n">
        <v>79834</v>
      </c>
      <c r="M108" s="0" t="n">
        <v>7048</v>
      </c>
    </row>
    <row r="109" customFormat="false" ht="13.5" hidden="false" customHeight="false" outlineLevel="0" collapsed="false">
      <c r="A109" s="0" t="s">
        <v>102</v>
      </c>
      <c r="B109" s="1" t="n">
        <v>43969</v>
      </c>
      <c r="C109" s="0" t="n">
        <v>1872</v>
      </c>
      <c r="D109" s="0" t="n">
        <v>10</v>
      </c>
      <c r="E109" s="0" t="n">
        <v>79</v>
      </c>
      <c r="F109" s="0" t="n">
        <v>0</v>
      </c>
      <c r="G109" s="0" t="n">
        <v>1495</v>
      </c>
      <c r="H109" s="0" t="n">
        <v>298</v>
      </c>
      <c r="I109" s="0" t="n">
        <v>10</v>
      </c>
      <c r="J109" s="0" t="n">
        <v>165</v>
      </c>
      <c r="K109" s="0" t="n">
        <v>7</v>
      </c>
      <c r="L109" s="0" t="n">
        <v>81917</v>
      </c>
      <c r="M109" s="0" t="n">
        <v>7232</v>
      </c>
    </row>
    <row r="110" customFormat="false" ht="13.5" hidden="false" customHeight="false" outlineLevel="0" collapsed="false">
      <c r="A110" s="0" t="s">
        <v>102</v>
      </c>
      <c r="B110" s="1" t="n">
        <v>43970</v>
      </c>
      <c r="C110" s="0" t="n">
        <v>1881</v>
      </c>
      <c r="D110" s="0" t="n">
        <v>9</v>
      </c>
      <c r="E110" s="0" t="n">
        <v>79</v>
      </c>
      <c r="F110" s="0" t="n">
        <v>0</v>
      </c>
      <c r="G110" s="0" t="n">
        <v>1505</v>
      </c>
      <c r="H110" s="0" t="n">
        <v>297</v>
      </c>
      <c r="I110" s="0" t="n">
        <v>9</v>
      </c>
      <c r="J110" s="0" t="n">
        <v>166</v>
      </c>
      <c r="K110" s="0" t="n">
        <v>7</v>
      </c>
      <c r="L110" s="0" t="n">
        <v>83868</v>
      </c>
      <c r="M110" s="0" t="n">
        <v>7404</v>
      </c>
    </row>
    <row r="111" customFormat="false" ht="13.5" hidden="false" customHeight="false" outlineLevel="0" collapsed="false">
      <c r="A111" s="0" t="s">
        <v>102</v>
      </c>
      <c r="B111" s="1" t="n">
        <v>43971</v>
      </c>
      <c r="C111" s="0" t="n">
        <v>1887</v>
      </c>
      <c r="D111" s="0" t="n">
        <v>6</v>
      </c>
      <c r="E111" s="0" t="n">
        <v>79</v>
      </c>
      <c r="F111" s="0" t="n">
        <v>0</v>
      </c>
      <c r="G111" s="0" t="n">
        <v>1538</v>
      </c>
      <c r="H111" s="0" t="n">
        <v>270</v>
      </c>
      <c r="I111" s="0" t="n">
        <v>8</v>
      </c>
      <c r="J111" s="0" t="n">
        <v>167</v>
      </c>
      <c r="K111" s="0" t="n">
        <v>7</v>
      </c>
      <c r="L111" s="0" t="n">
        <v>85556</v>
      </c>
      <c r="M111" s="0" t="n">
        <v>7553</v>
      </c>
    </row>
    <row r="112" customFormat="false" ht="13.5" hidden="false" customHeight="false" outlineLevel="0" collapsed="false">
      <c r="A112" s="0" t="s">
        <v>102</v>
      </c>
      <c r="B112" s="1" t="n">
        <v>43972</v>
      </c>
      <c r="C112" s="0" t="n">
        <v>1900</v>
      </c>
      <c r="D112" s="0" t="n">
        <v>13</v>
      </c>
      <c r="E112" s="0" t="n">
        <v>79</v>
      </c>
      <c r="F112" s="0" t="n">
        <v>0</v>
      </c>
      <c r="G112" s="0" t="n">
        <v>1573</v>
      </c>
      <c r="H112" s="0" t="n">
        <v>248</v>
      </c>
      <c r="I112" s="0" t="n">
        <v>8</v>
      </c>
      <c r="J112" s="0" t="n">
        <v>168</v>
      </c>
      <c r="K112" s="0" t="n">
        <v>7</v>
      </c>
      <c r="L112" s="0" t="n">
        <v>87288</v>
      </c>
      <c r="M112" s="0" t="n">
        <v>7706</v>
      </c>
    </row>
    <row r="113" customFormat="false" ht="13.5" hidden="false" customHeight="false" outlineLevel="0" collapsed="false">
      <c r="A113" s="0" t="s">
        <v>102</v>
      </c>
      <c r="B113" s="1" t="n">
        <v>43973</v>
      </c>
      <c r="C113" s="0" t="n">
        <v>1908</v>
      </c>
      <c r="D113" s="0" t="n">
        <v>8</v>
      </c>
      <c r="E113" s="0" t="n">
        <v>80</v>
      </c>
      <c r="F113" s="0" t="n">
        <v>1</v>
      </c>
      <c r="G113" s="0" t="n">
        <v>1603</v>
      </c>
      <c r="H113" s="0" t="n">
        <v>225</v>
      </c>
      <c r="I113" s="0" t="n">
        <v>5</v>
      </c>
      <c r="J113" s="0" t="n">
        <v>168</v>
      </c>
      <c r="K113" s="0" t="n">
        <v>7</v>
      </c>
      <c r="L113" s="0" t="n">
        <v>89031</v>
      </c>
      <c r="M113" s="0" t="n">
        <v>7860</v>
      </c>
    </row>
    <row r="114" customFormat="false" ht="13.5" hidden="false" customHeight="false" outlineLevel="0" collapsed="false">
      <c r="A114" s="0" t="s">
        <v>102</v>
      </c>
      <c r="B114" s="1" t="n">
        <v>43974</v>
      </c>
      <c r="C114" s="0" t="n">
        <v>1916</v>
      </c>
      <c r="D114" s="0" t="n">
        <v>8</v>
      </c>
      <c r="E114" s="0" t="n">
        <v>81</v>
      </c>
      <c r="F114" s="0" t="n">
        <v>1</v>
      </c>
      <c r="G114" s="0" t="n">
        <v>1631</v>
      </c>
      <c r="H114" s="0" t="n">
        <v>204</v>
      </c>
      <c r="I114" s="0" t="n">
        <v>4</v>
      </c>
      <c r="J114" s="0" t="n">
        <v>169</v>
      </c>
      <c r="K114" s="0" t="n">
        <v>7</v>
      </c>
      <c r="L114" s="0" t="n">
        <v>90911</v>
      </c>
      <c r="M114" s="0" t="n">
        <v>8026</v>
      </c>
    </row>
    <row r="115" customFormat="false" ht="13.5" hidden="false" customHeight="false" outlineLevel="0" collapsed="false">
      <c r="A115" s="0" t="s">
        <v>102</v>
      </c>
      <c r="B115" s="1" t="n">
        <v>43975</v>
      </c>
      <c r="C115" s="0" t="n">
        <v>1931</v>
      </c>
      <c r="D115" s="0" t="n">
        <v>15</v>
      </c>
      <c r="E115" s="0" t="n">
        <v>81</v>
      </c>
      <c r="F115" s="0" t="n">
        <v>0</v>
      </c>
      <c r="G115" s="0" t="n">
        <v>1671</v>
      </c>
      <c r="H115" s="0" t="n">
        <v>179</v>
      </c>
      <c r="I115" s="0" t="n">
        <v>4</v>
      </c>
      <c r="J115" s="0" t="n">
        <v>170</v>
      </c>
      <c r="K115" s="0" t="n">
        <v>7</v>
      </c>
      <c r="L115" s="0" t="n">
        <v>92629</v>
      </c>
      <c r="M115" s="0" t="n">
        <v>8177</v>
      </c>
    </row>
    <row r="116" customFormat="false" ht="13.5" hidden="false" customHeight="false" outlineLevel="0" collapsed="false">
      <c r="A116" s="0" t="s">
        <v>102</v>
      </c>
      <c r="B116" s="1" t="n">
        <v>43976</v>
      </c>
      <c r="C116" s="0" t="n">
        <v>1941</v>
      </c>
      <c r="D116" s="0" t="n">
        <v>10</v>
      </c>
      <c r="E116" s="0" t="n">
        <v>82</v>
      </c>
      <c r="F116" s="0" t="n">
        <v>1</v>
      </c>
      <c r="G116" s="0" t="n">
        <v>1689</v>
      </c>
      <c r="H116" s="0" t="n">
        <v>170</v>
      </c>
      <c r="I116" s="0" t="n">
        <v>3</v>
      </c>
      <c r="J116" s="0" t="n">
        <v>171</v>
      </c>
      <c r="K116" s="0" t="n">
        <v>7</v>
      </c>
      <c r="L116" s="0" t="n">
        <v>94060</v>
      </c>
      <c r="M116" s="0" t="n">
        <v>8304</v>
      </c>
    </row>
    <row r="117" customFormat="false" ht="13.5" hidden="false" customHeight="false" outlineLevel="0" collapsed="false">
      <c r="A117" s="0" t="s">
        <v>102</v>
      </c>
      <c r="B117" s="1" t="n">
        <v>43977</v>
      </c>
      <c r="C117" s="0" t="n">
        <v>1947</v>
      </c>
      <c r="D117" s="0" t="n">
        <v>6</v>
      </c>
      <c r="E117" s="0" t="n">
        <v>82</v>
      </c>
      <c r="F117" s="0" t="n">
        <v>0</v>
      </c>
      <c r="G117" s="0" t="n">
        <v>1704</v>
      </c>
      <c r="H117" s="0" t="n">
        <v>161</v>
      </c>
      <c r="I117" s="0" t="n">
        <v>3</v>
      </c>
      <c r="J117" s="0" t="n">
        <v>172</v>
      </c>
      <c r="K117" s="0" t="n">
        <v>7</v>
      </c>
      <c r="L117" s="0" t="n">
        <v>94060</v>
      </c>
      <c r="M117" s="0" t="n">
        <v>8304</v>
      </c>
    </row>
    <row r="118" customFormat="false" ht="13.5" hidden="false" customHeight="false" outlineLevel="0" collapsed="false">
      <c r="A118" s="0" t="s">
        <v>102</v>
      </c>
      <c r="B118" s="1" t="n">
        <v>43978</v>
      </c>
      <c r="C118" s="0" t="n">
        <v>1963</v>
      </c>
      <c r="D118" s="0" t="n">
        <v>16</v>
      </c>
      <c r="E118" s="0" t="n">
        <v>82</v>
      </c>
      <c r="F118" s="0" t="n">
        <v>0</v>
      </c>
      <c r="G118" s="0" t="n">
        <v>1709</v>
      </c>
      <c r="H118" s="0" t="n">
        <v>172</v>
      </c>
      <c r="I118" s="0" t="n">
        <v>4</v>
      </c>
      <c r="J118" s="0" t="n">
        <v>173</v>
      </c>
      <c r="K118" s="0" t="n">
        <v>7</v>
      </c>
      <c r="L118" s="0" t="n">
        <v>97003</v>
      </c>
      <c r="M118" s="0" t="n">
        <v>8564</v>
      </c>
    </row>
    <row r="119" customFormat="false" ht="13.5" hidden="false" customHeight="false" outlineLevel="0" collapsed="false">
      <c r="A119" s="0" t="s">
        <v>102</v>
      </c>
      <c r="B119" s="1" t="n">
        <v>43979</v>
      </c>
      <c r="C119" s="0" t="n">
        <v>1974</v>
      </c>
      <c r="D119" s="0" t="n">
        <v>11</v>
      </c>
      <c r="E119" s="0" t="n">
        <v>82</v>
      </c>
      <c r="F119" s="0" t="n">
        <v>0</v>
      </c>
      <c r="G119" s="0" t="n">
        <v>1724</v>
      </c>
      <c r="H119" s="0" t="n">
        <v>168</v>
      </c>
      <c r="I119" s="0" t="n">
        <v>4</v>
      </c>
      <c r="J119" s="0" t="n">
        <v>174</v>
      </c>
      <c r="K119" s="0" t="n">
        <v>7</v>
      </c>
      <c r="L119" s="0" t="n">
        <v>97003</v>
      </c>
      <c r="M119" s="0" t="n">
        <v>8564</v>
      </c>
    </row>
    <row r="120" customFormat="false" ht="13.5" hidden="false" customHeight="false" outlineLevel="0" collapsed="false">
      <c r="A120" s="0" t="s">
        <v>102</v>
      </c>
      <c r="B120" s="1" t="n">
        <v>43980</v>
      </c>
      <c r="C120" s="0" t="n">
        <v>1983</v>
      </c>
      <c r="D120" s="0" t="n">
        <v>9</v>
      </c>
      <c r="E120" s="0" t="n">
        <v>82</v>
      </c>
      <c r="F120" s="0" t="n">
        <v>0</v>
      </c>
      <c r="G120" s="0" t="n">
        <v>1734</v>
      </c>
      <c r="H120" s="0" t="n">
        <v>167</v>
      </c>
      <c r="I120" s="0" t="n">
        <v>2</v>
      </c>
      <c r="J120" s="0" t="n">
        <v>175</v>
      </c>
      <c r="K120" s="0" t="n">
        <v>7</v>
      </c>
      <c r="L120" s="0" t="n">
        <v>99745</v>
      </c>
      <c r="M120" s="0" t="n">
        <v>8806</v>
      </c>
    </row>
    <row r="121" customFormat="false" ht="13.5" hidden="false" customHeight="false" outlineLevel="0" collapsed="false">
      <c r="A121" s="0" t="s">
        <v>102</v>
      </c>
      <c r="B121" s="1" t="n">
        <v>43981</v>
      </c>
      <c r="C121" s="0" t="n">
        <v>2005</v>
      </c>
      <c r="D121" s="0" t="n">
        <v>22</v>
      </c>
      <c r="E121" s="0" t="n">
        <v>82</v>
      </c>
      <c r="F121" s="0" t="n">
        <v>0</v>
      </c>
      <c r="G121" s="0" t="n">
        <v>1760</v>
      </c>
      <c r="H121" s="0" t="n">
        <v>163</v>
      </c>
      <c r="I121" s="0" t="n">
        <v>3</v>
      </c>
      <c r="J121" s="0" t="n">
        <v>177</v>
      </c>
      <c r="K121" s="0" t="n">
        <v>7</v>
      </c>
      <c r="L121" s="0" t="n">
        <v>101108</v>
      </c>
      <c r="M121" s="0" t="n">
        <v>8926</v>
      </c>
    </row>
    <row r="122" customFormat="false" ht="13.5" hidden="false" customHeight="false" outlineLevel="0" collapsed="false">
      <c r="A122" s="0" t="s">
        <v>102</v>
      </c>
      <c r="B122" s="1" t="n">
        <v>43982</v>
      </c>
      <c r="C122" s="0" t="e">
        <f aca="false">sheet1!awr123</f>
        <v>#NAME?</v>
      </c>
      <c r="D122" s="0" t="e">
        <f aca="false">sheet1!aws123</f>
        <v>#NAME?</v>
      </c>
      <c r="E122" s="0" t="e">
        <f aca="false">sheet1!awt123</f>
        <v>#NAME?</v>
      </c>
      <c r="F122" s="0" t="e">
        <f aca="false">sheet1!awu123</f>
        <v>#NAME?</v>
      </c>
      <c r="G122" s="0" t="e">
        <f aca="false">sheet1!awv123</f>
        <v>#NAME?</v>
      </c>
      <c r="H122" s="0" t="e">
        <f aca="false">sheet1!aww123</f>
        <v>#NAME?</v>
      </c>
      <c r="I122" s="0" t="e">
        <f aca="false">sheet1!awx123</f>
        <v>#NAME?</v>
      </c>
      <c r="J122" s="0" t="e">
        <f aca="false">sheet1!awy123</f>
        <v>#NAME?</v>
      </c>
      <c r="K122" s="0" t="e">
        <f aca="false">sheet1!awz123</f>
        <v>#NAME?</v>
      </c>
      <c r="L122" s="0" t="e">
        <f aca="false">sheet1!axa123</f>
        <v>#NAME?</v>
      </c>
      <c r="M122" s="0" t="e">
        <f aca="false">sheet1!axb123</f>
        <v>#NAME?</v>
      </c>
    </row>
    <row r="123" customFormat="false" ht="13.5" hidden="false" customHeight="false" outlineLevel="0" collapsed="false">
      <c r="A123" s="0" t="s">
        <v>102</v>
      </c>
      <c r="B123" s="1" t="n">
        <v>43983</v>
      </c>
      <c r="C123" s="0" t="e">
        <f aca="false">sheet1!awr124</f>
        <v>#NAME?</v>
      </c>
      <c r="D123" s="0" t="e">
        <f aca="false">sheet1!aws124</f>
        <v>#NAME?</v>
      </c>
      <c r="E123" s="0" t="e">
        <f aca="false">sheet1!awt124</f>
        <v>#NAME?</v>
      </c>
      <c r="F123" s="0" t="e">
        <f aca="false">sheet1!awu124</f>
        <v>#NAME?</v>
      </c>
      <c r="G123" s="0" t="e">
        <f aca="false">sheet1!awv124</f>
        <v>#NAME?</v>
      </c>
      <c r="H123" s="0" t="e">
        <f aca="false">sheet1!aww124</f>
        <v>#NAME?</v>
      </c>
      <c r="I123" s="0" t="e">
        <f aca="false">sheet1!awx124</f>
        <v>#NAME?</v>
      </c>
      <c r="J123" s="0" t="e">
        <f aca="false">sheet1!awy124</f>
        <v>#NAME?</v>
      </c>
      <c r="K123" s="0" t="e">
        <f aca="false">sheet1!awz124</f>
        <v>#NAME?</v>
      </c>
      <c r="L123" s="0" t="e">
        <f aca="false">sheet1!axa124</f>
        <v>#NAME?</v>
      </c>
      <c r="M123" s="0" t="e">
        <f aca="false">sheet1!axb124</f>
        <v>#NAME?</v>
      </c>
    </row>
    <row r="124" customFormat="false" ht="13.5" hidden="false" customHeight="false" outlineLevel="0" collapsed="false">
      <c r="A124" s="0" t="s">
        <v>102</v>
      </c>
      <c r="B124" s="1" t="n">
        <v>43984</v>
      </c>
      <c r="C124" s="0" t="e">
        <f aca="false">sheet1!awr125</f>
        <v>#NAME?</v>
      </c>
      <c r="D124" s="0" t="e">
        <f aca="false">sheet1!aws125</f>
        <v>#NAME?</v>
      </c>
      <c r="E124" s="0" t="e">
        <f aca="false">sheet1!awt125</f>
        <v>#NAME?</v>
      </c>
      <c r="F124" s="0" t="e">
        <f aca="false">sheet1!awu125</f>
        <v>#NAME?</v>
      </c>
      <c r="G124" s="0" t="e">
        <f aca="false">sheet1!awv125</f>
        <v>#NAME?</v>
      </c>
      <c r="H124" s="0" t="e">
        <f aca="false">sheet1!aww125</f>
        <v>#NAME?</v>
      </c>
      <c r="I124" s="0" t="e">
        <f aca="false">sheet1!awx125</f>
        <v>#NAME?</v>
      </c>
      <c r="J124" s="0" t="e">
        <f aca="false">sheet1!awy125</f>
        <v>#NAME?</v>
      </c>
      <c r="K124" s="0" t="e">
        <f aca="false">sheet1!awz125</f>
        <v>#NAME?</v>
      </c>
      <c r="L124" s="0" t="e">
        <f aca="false">sheet1!axa125</f>
        <v>#NAME?</v>
      </c>
      <c r="M124" s="0" t="e">
        <f aca="false">sheet1!axb125</f>
        <v>#NAME?</v>
      </c>
    </row>
    <row r="125" customFormat="false" ht="13.5" hidden="false" customHeight="false" outlineLevel="0" collapsed="false">
      <c r="A125" s="0" t="s">
        <v>102</v>
      </c>
      <c r="B125" s="1" t="n">
        <v>43985</v>
      </c>
      <c r="C125" s="0" t="e">
        <f aca="false">sheet1!awr126</f>
        <v>#NAME?</v>
      </c>
      <c r="D125" s="0" t="e">
        <f aca="false">sheet1!aws126</f>
        <v>#NAME?</v>
      </c>
      <c r="E125" s="0" t="e">
        <f aca="false">sheet1!awt126</f>
        <v>#NAME?</v>
      </c>
      <c r="F125" s="0" t="e">
        <f aca="false">sheet1!awu126</f>
        <v>#NAME?</v>
      </c>
      <c r="G125" s="0" t="e">
        <f aca="false">sheet1!awv126</f>
        <v>#NAME?</v>
      </c>
      <c r="H125" s="0" t="e">
        <f aca="false">sheet1!aww126</f>
        <v>#NAME?</v>
      </c>
      <c r="I125" s="0" t="e">
        <f aca="false">sheet1!awx126</f>
        <v>#NAME?</v>
      </c>
      <c r="J125" s="0" t="e">
        <f aca="false">sheet1!awy126</f>
        <v>#NAME?</v>
      </c>
      <c r="K125" s="0" t="e">
        <f aca="false">sheet1!awz126</f>
        <v>#NAME?</v>
      </c>
      <c r="L125" s="0" t="e">
        <f aca="false">sheet1!axa126</f>
        <v>#NAME?</v>
      </c>
      <c r="M125" s="0" t="e">
        <f aca="false">sheet1!axb126</f>
        <v>#NAME?</v>
      </c>
    </row>
    <row r="126" customFormat="false" ht="13.5" hidden="false" customHeight="false" outlineLevel="0" collapsed="false">
      <c r="A126" s="0" t="s">
        <v>102</v>
      </c>
      <c r="B126" s="1" t="n">
        <v>43986</v>
      </c>
      <c r="C126" s="0" t="e">
        <f aca="false">sheet1!awr127</f>
        <v>#NAME?</v>
      </c>
      <c r="D126" s="0" t="e">
        <f aca="false">sheet1!aws127</f>
        <v>#NAME?</v>
      </c>
      <c r="E126" s="0" t="e">
        <f aca="false">sheet1!awt127</f>
        <v>#NAME?</v>
      </c>
      <c r="F126" s="0" t="e">
        <f aca="false">sheet1!awu127</f>
        <v>#NAME?</v>
      </c>
      <c r="G126" s="0" t="e">
        <f aca="false">sheet1!awv127</f>
        <v>#NAME?</v>
      </c>
      <c r="H126" s="0" t="e">
        <f aca="false">sheet1!aww127</f>
        <v>#NAME?</v>
      </c>
      <c r="I126" s="0" t="e">
        <f aca="false">sheet1!awx127</f>
        <v>#NAME?</v>
      </c>
      <c r="J126" s="0" t="e">
        <f aca="false">sheet1!awy127</f>
        <v>#NAME?</v>
      </c>
      <c r="K126" s="0" t="e">
        <f aca="false">sheet1!awz127</f>
        <v>#NAME?</v>
      </c>
      <c r="L126" s="0" t="e">
        <f aca="false">sheet1!axa127</f>
        <v>#NAME?</v>
      </c>
      <c r="M126" s="0" t="e">
        <f aca="false">sheet1!axb127</f>
        <v>#NAME?</v>
      </c>
    </row>
    <row r="127" customFormat="false" ht="13.5" hidden="false" customHeight="false" outlineLevel="0" collapsed="false">
      <c r="A127" s="0" t="s">
        <v>102</v>
      </c>
      <c r="B127" s="1" t="n">
        <v>43987</v>
      </c>
      <c r="C127" s="0" t="e">
        <f aca="false">sheet1!awr128</f>
        <v>#NAME?</v>
      </c>
      <c r="D127" s="0" t="e">
        <f aca="false">sheet1!aws128</f>
        <v>#NAME?</v>
      </c>
      <c r="E127" s="0" t="e">
        <f aca="false">sheet1!awt128</f>
        <v>#NAME?</v>
      </c>
      <c r="F127" s="0" t="e">
        <f aca="false">sheet1!awu128</f>
        <v>#NAME?</v>
      </c>
      <c r="G127" s="0" t="e">
        <f aca="false">sheet1!awv128</f>
        <v>#NAME?</v>
      </c>
      <c r="H127" s="0" t="e">
        <f aca="false">sheet1!aww128</f>
        <v>#NAME?</v>
      </c>
      <c r="I127" s="0" t="e">
        <f aca="false">sheet1!awx128</f>
        <v>#NAME?</v>
      </c>
      <c r="J127" s="0" t="e">
        <f aca="false">sheet1!awy128</f>
        <v>#NAME?</v>
      </c>
      <c r="K127" s="0" t="e">
        <f aca="false">sheet1!awz128</f>
        <v>#NAME?</v>
      </c>
      <c r="L127" s="0" t="e">
        <f aca="false">sheet1!axa128</f>
        <v>#NAME?</v>
      </c>
      <c r="M127" s="0" t="e">
        <f aca="false">sheet1!axb128</f>
        <v>#NAME?</v>
      </c>
    </row>
    <row r="128" customFormat="false" ht="13.5" hidden="false" customHeight="false" outlineLevel="0" collapsed="false">
      <c r="A128" s="0" t="s">
        <v>102</v>
      </c>
      <c r="B128" s="1" t="n">
        <v>43988</v>
      </c>
      <c r="C128" s="0" t="e">
        <f aca="false">sheet1!awr129</f>
        <v>#NAME?</v>
      </c>
      <c r="D128" s="0" t="e">
        <f aca="false">sheet1!aws129</f>
        <v>#NAME?</v>
      </c>
      <c r="E128" s="0" t="e">
        <f aca="false">sheet1!awt129</f>
        <v>#NAME?</v>
      </c>
      <c r="F128" s="0" t="e">
        <f aca="false">sheet1!awu129</f>
        <v>#NAME?</v>
      </c>
      <c r="G128" s="0" t="e">
        <f aca="false">sheet1!awv129</f>
        <v>#NAME?</v>
      </c>
      <c r="H128" s="0" t="e">
        <f aca="false">sheet1!aww129</f>
        <v>#NAME?</v>
      </c>
      <c r="I128" s="0" t="e">
        <f aca="false">sheet1!awx129</f>
        <v>#NAME?</v>
      </c>
      <c r="J128" s="0" t="e">
        <f aca="false">sheet1!awy129</f>
        <v>#NAME?</v>
      </c>
      <c r="K128" s="0" t="e">
        <f aca="false">sheet1!awz129</f>
        <v>#NAME?</v>
      </c>
      <c r="L128" s="0" t="e">
        <f aca="false">sheet1!axa129</f>
        <v>#NAME?</v>
      </c>
      <c r="M128" s="0" t="e">
        <f aca="false">sheet1!axb129</f>
        <v>#NAME?</v>
      </c>
    </row>
    <row r="129" customFormat="false" ht="13.5" hidden="false" customHeight="false" outlineLevel="0" collapsed="false">
      <c r="A129" s="0" t="s">
        <v>102</v>
      </c>
      <c r="B129" s="1" t="n">
        <v>43989</v>
      </c>
      <c r="C129" s="0" t="e">
        <f aca="false">sheet1!awr130</f>
        <v>#NAME?</v>
      </c>
      <c r="D129" s="0" t="e">
        <f aca="false">sheet1!aws130</f>
        <v>#NAME?</v>
      </c>
      <c r="E129" s="0" t="e">
        <f aca="false">sheet1!awt130</f>
        <v>#NAME?</v>
      </c>
      <c r="F129" s="0" t="e">
        <f aca="false">sheet1!awu130</f>
        <v>#NAME?</v>
      </c>
      <c r="G129" s="0" t="e">
        <f aca="false">sheet1!awv130</f>
        <v>#NAME?</v>
      </c>
      <c r="H129" s="0" t="e">
        <f aca="false">sheet1!aww130</f>
        <v>#NAME?</v>
      </c>
      <c r="I129" s="0" t="e">
        <f aca="false">sheet1!awx130</f>
        <v>#NAME?</v>
      </c>
      <c r="J129" s="0" t="e">
        <f aca="false">sheet1!awy130</f>
        <v>#NAME?</v>
      </c>
      <c r="K129" s="0" t="e">
        <f aca="false">sheet1!awz130</f>
        <v>#NAME?</v>
      </c>
      <c r="L129" s="0" t="e">
        <f aca="false">sheet1!axa130</f>
        <v>#NAME?</v>
      </c>
      <c r="M129" s="0" t="e">
        <f aca="false">sheet1!axb130</f>
        <v>#NAME?</v>
      </c>
    </row>
    <row r="130" customFormat="false" ht="13.5" hidden="false" customHeight="false" outlineLevel="0" collapsed="false">
      <c r="A130" s="0" t="s">
        <v>102</v>
      </c>
      <c r="B130" s="1" t="n">
        <v>43990</v>
      </c>
      <c r="C130" s="0" t="e">
        <f aca="false">sheet1!awr131</f>
        <v>#NAME?</v>
      </c>
      <c r="D130" s="0" t="e">
        <f aca="false">sheet1!aws131</f>
        <v>#NAME?</v>
      </c>
      <c r="E130" s="0" t="e">
        <f aca="false">sheet1!awt131</f>
        <v>#NAME?</v>
      </c>
      <c r="F130" s="0" t="e">
        <f aca="false">sheet1!awu131</f>
        <v>#NAME?</v>
      </c>
      <c r="G130" s="0" t="e">
        <f aca="false">sheet1!awv131</f>
        <v>#NAME?</v>
      </c>
      <c r="H130" s="0" t="e">
        <f aca="false">sheet1!aww131</f>
        <v>#NAME?</v>
      </c>
      <c r="I130" s="0" t="e">
        <f aca="false">sheet1!awx131</f>
        <v>#NAME?</v>
      </c>
      <c r="J130" s="0" t="e">
        <f aca="false">sheet1!awy131</f>
        <v>#NAME?</v>
      </c>
      <c r="K130" s="0" t="e">
        <f aca="false">sheet1!awz131</f>
        <v>#NAME?</v>
      </c>
      <c r="L130" s="0" t="e">
        <f aca="false">sheet1!axa131</f>
        <v>#NAME?</v>
      </c>
      <c r="M130" s="0" t="e">
        <f aca="false">sheet1!axb131</f>
        <v>#NAME?</v>
      </c>
    </row>
    <row r="131" customFormat="false" ht="13.5" hidden="false" customHeight="false" outlineLevel="0" collapsed="false">
      <c r="A131" s="0" t="s">
        <v>102</v>
      </c>
      <c r="B131" s="1" t="n">
        <v>43991</v>
      </c>
      <c r="C131" s="0" t="e">
        <f aca="false">sheet1!awr132</f>
        <v>#NAME?</v>
      </c>
      <c r="D131" s="0" t="e">
        <f aca="false">sheet1!aws132</f>
        <v>#NAME?</v>
      </c>
      <c r="E131" s="0" t="e">
        <f aca="false">sheet1!awt132</f>
        <v>#NAME?</v>
      </c>
      <c r="F131" s="0" t="e">
        <f aca="false">sheet1!awu132</f>
        <v>#NAME?</v>
      </c>
      <c r="G131" s="0" t="e">
        <f aca="false">sheet1!awv132</f>
        <v>#NAME?</v>
      </c>
      <c r="H131" s="0" t="e">
        <f aca="false">sheet1!aww132</f>
        <v>#NAME?</v>
      </c>
      <c r="I131" s="0" t="e">
        <f aca="false">sheet1!awx132</f>
        <v>#NAME?</v>
      </c>
      <c r="J131" s="0" t="e">
        <f aca="false">sheet1!awy132</f>
        <v>#NAME?</v>
      </c>
      <c r="K131" s="0" t="e">
        <f aca="false">sheet1!awz132</f>
        <v>#NAME?</v>
      </c>
      <c r="L131" s="0" t="e">
        <f aca="false">sheet1!axa132</f>
        <v>#NAME?</v>
      </c>
      <c r="M131" s="0" t="e">
        <f aca="false">sheet1!axb132</f>
        <v>#NAME?</v>
      </c>
    </row>
    <row r="132" customFormat="false" ht="13.5" hidden="false" customHeight="false" outlineLevel="0" collapsed="false">
      <c r="A132" s="0" t="s">
        <v>102</v>
      </c>
      <c r="B132" s="1" t="n">
        <v>43992</v>
      </c>
      <c r="C132" s="0" t="e">
        <f aca="false">sheet1!awr133</f>
        <v>#NAME?</v>
      </c>
      <c r="D132" s="0" t="e">
        <f aca="false">sheet1!aws133</f>
        <v>#NAME?</v>
      </c>
      <c r="E132" s="0" t="e">
        <f aca="false">sheet1!awt133</f>
        <v>#NAME?</v>
      </c>
      <c r="F132" s="0" t="e">
        <f aca="false">sheet1!awu133</f>
        <v>#NAME?</v>
      </c>
      <c r="G132" s="0" t="e">
        <f aca="false">sheet1!awv133</f>
        <v>#NAME?</v>
      </c>
      <c r="H132" s="0" t="e">
        <f aca="false">sheet1!aww133</f>
        <v>#NAME?</v>
      </c>
      <c r="I132" s="0" t="e">
        <f aca="false">sheet1!awx133</f>
        <v>#NAME?</v>
      </c>
      <c r="J132" s="0" t="e">
        <f aca="false">sheet1!awy133</f>
        <v>#NAME?</v>
      </c>
      <c r="K132" s="0" t="e">
        <f aca="false">sheet1!awz133</f>
        <v>#NAME?</v>
      </c>
      <c r="L132" s="0" t="e">
        <f aca="false">sheet1!axa133</f>
        <v>#NAME?</v>
      </c>
      <c r="M132" s="0" t="e">
        <f aca="false">sheet1!axb133</f>
        <v>#NAME?</v>
      </c>
    </row>
    <row r="133" customFormat="false" ht="13.5" hidden="false" customHeight="false" outlineLevel="0" collapsed="false">
      <c r="A133" s="0" t="s">
        <v>102</v>
      </c>
      <c r="B133" s="1" t="n">
        <v>43993</v>
      </c>
      <c r="C133" s="0" t="e">
        <f aca="false">sheet1!awr134</f>
        <v>#NAME?</v>
      </c>
      <c r="D133" s="0" t="e">
        <f aca="false">sheet1!aws134</f>
        <v>#NAME?</v>
      </c>
      <c r="E133" s="0" t="e">
        <f aca="false">sheet1!awt134</f>
        <v>#NAME?</v>
      </c>
      <c r="F133" s="0" t="e">
        <f aca="false">sheet1!awu134</f>
        <v>#NAME?</v>
      </c>
      <c r="G133" s="0" t="e">
        <f aca="false">sheet1!awv134</f>
        <v>#NAME?</v>
      </c>
      <c r="H133" s="0" t="e">
        <f aca="false">sheet1!aww134</f>
        <v>#NAME?</v>
      </c>
      <c r="I133" s="0" t="e">
        <f aca="false">sheet1!awx134</f>
        <v>#NAME?</v>
      </c>
      <c r="J133" s="0" t="e">
        <f aca="false">sheet1!awy134</f>
        <v>#NAME?</v>
      </c>
      <c r="K133" s="0" t="e">
        <f aca="false">sheet1!awz134</f>
        <v>#NAME?</v>
      </c>
      <c r="L133" s="0" t="e">
        <f aca="false">sheet1!axa134</f>
        <v>#NAME?</v>
      </c>
      <c r="M133" s="0" t="e">
        <f aca="false">sheet1!axb134</f>
        <v>#NAME?</v>
      </c>
    </row>
    <row r="134" customFormat="false" ht="13.5" hidden="false" customHeight="false" outlineLevel="0" collapsed="false">
      <c r="A134" s="0" t="s">
        <v>102</v>
      </c>
      <c r="B134" s="1" t="n">
        <v>43994</v>
      </c>
      <c r="C134" s="0" t="e">
        <f aca="false">sheet1!awr135</f>
        <v>#NAME?</v>
      </c>
      <c r="D134" s="0" t="e">
        <f aca="false">sheet1!aws135</f>
        <v>#NAME?</v>
      </c>
      <c r="E134" s="0" t="e">
        <f aca="false">sheet1!awt135</f>
        <v>#NAME?</v>
      </c>
      <c r="F134" s="0" t="e">
        <f aca="false">sheet1!awu135</f>
        <v>#NAME?</v>
      </c>
      <c r="G134" s="0" t="e">
        <f aca="false">sheet1!awv135</f>
        <v>#NAME?</v>
      </c>
      <c r="H134" s="0" t="e">
        <f aca="false">sheet1!aww135</f>
        <v>#NAME?</v>
      </c>
      <c r="I134" s="0" t="e">
        <f aca="false">sheet1!awx135</f>
        <v>#NAME?</v>
      </c>
      <c r="J134" s="0" t="e">
        <f aca="false">sheet1!awy135</f>
        <v>#NAME?</v>
      </c>
      <c r="K134" s="0" t="e">
        <f aca="false">sheet1!awz135</f>
        <v>#NAME?</v>
      </c>
      <c r="L134" s="0" t="e">
        <f aca="false">sheet1!axa135</f>
        <v>#NAME?</v>
      </c>
      <c r="M134" s="0" t="e">
        <f aca="false">sheet1!axb135</f>
        <v>#NAME?</v>
      </c>
    </row>
    <row r="135" customFormat="false" ht="13.5" hidden="false" customHeight="false" outlineLevel="0" collapsed="false">
      <c r="A135" s="0" t="s">
        <v>102</v>
      </c>
      <c r="B135" s="1" t="n">
        <v>43995</v>
      </c>
      <c r="C135" s="0" t="e">
        <f aca="false">sheet1!awr136</f>
        <v>#NAME?</v>
      </c>
      <c r="D135" s="0" t="e">
        <f aca="false">sheet1!aws136</f>
        <v>#NAME?</v>
      </c>
      <c r="E135" s="0" t="e">
        <f aca="false">sheet1!awt136</f>
        <v>#NAME?</v>
      </c>
      <c r="F135" s="0" t="e">
        <f aca="false">sheet1!awu136</f>
        <v>#NAME?</v>
      </c>
      <c r="G135" s="0" t="e">
        <f aca="false">sheet1!awv136</f>
        <v>#NAME?</v>
      </c>
      <c r="H135" s="0" t="e">
        <f aca="false">sheet1!aww136</f>
        <v>#NAME?</v>
      </c>
      <c r="I135" s="0" t="e">
        <f aca="false">sheet1!awx136</f>
        <v>#NAME?</v>
      </c>
      <c r="J135" s="0" t="e">
        <f aca="false">sheet1!awy136</f>
        <v>#NAME?</v>
      </c>
      <c r="K135" s="0" t="e">
        <f aca="false">sheet1!awz136</f>
        <v>#NAME?</v>
      </c>
      <c r="L135" s="0" t="e">
        <f aca="false">sheet1!axa136</f>
        <v>#NAME?</v>
      </c>
      <c r="M135" s="0" t="e">
        <f aca="false">sheet1!axb136</f>
        <v>#NAME?</v>
      </c>
    </row>
    <row r="136" customFormat="false" ht="13.5" hidden="false" customHeight="false" outlineLevel="0" collapsed="false">
      <c r="A136" s="0" t="s">
        <v>102</v>
      </c>
      <c r="B136" s="1" t="n">
        <v>43996</v>
      </c>
      <c r="C136" s="0" t="e">
        <f aca="false">sheet1!awr137</f>
        <v>#NAME?</v>
      </c>
      <c r="D136" s="0" t="e">
        <f aca="false">sheet1!aws137</f>
        <v>#NAME?</v>
      </c>
      <c r="E136" s="0" t="e">
        <f aca="false">sheet1!awt137</f>
        <v>#NAME?</v>
      </c>
      <c r="F136" s="0" t="e">
        <f aca="false">sheet1!awu137</f>
        <v>#NAME?</v>
      </c>
      <c r="G136" s="0" t="e">
        <f aca="false">sheet1!awv137</f>
        <v>#NAME?</v>
      </c>
      <c r="H136" s="0" t="e">
        <f aca="false">sheet1!aww137</f>
        <v>#NAME?</v>
      </c>
      <c r="I136" s="0" t="e">
        <f aca="false">sheet1!awx137</f>
        <v>#NAME?</v>
      </c>
      <c r="J136" s="0" t="e">
        <f aca="false">sheet1!awy137</f>
        <v>#NAME?</v>
      </c>
      <c r="K136" s="0" t="e">
        <f aca="false">sheet1!awz137</f>
        <v>#NAME?</v>
      </c>
      <c r="L136" s="0" t="e">
        <f aca="false">sheet1!axa137</f>
        <v>#NAME?</v>
      </c>
      <c r="M136" s="0" t="e">
        <f aca="false">sheet1!axb137</f>
        <v>#NAME?</v>
      </c>
    </row>
    <row r="137" customFormat="false" ht="13.5" hidden="false" customHeight="false" outlineLevel="0" collapsed="false">
      <c r="A137" s="0" t="s">
        <v>102</v>
      </c>
      <c r="B137" s="1" t="n">
        <v>43997</v>
      </c>
      <c r="C137" s="0" t="e">
        <f aca="false">sheet1!awr138</f>
        <v>#NAME?</v>
      </c>
      <c r="D137" s="0" t="e">
        <f aca="false">sheet1!aws138</f>
        <v>#NAME?</v>
      </c>
      <c r="E137" s="0" t="e">
        <f aca="false">sheet1!awt138</f>
        <v>#NAME?</v>
      </c>
      <c r="F137" s="0" t="e">
        <f aca="false">sheet1!awu138</f>
        <v>#NAME?</v>
      </c>
      <c r="G137" s="0" t="e">
        <f aca="false">sheet1!awv138</f>
        <v>#NAME?</v>
      </c>
      <c r="H137" s="0" t="e">
        <f aca="false">sheet1!aww138</f>
        <v>#NAME?</v>
      </c>
      <c r="I137" s="0" t="e">
        <f aca="false">sheet1!awx138</f>
        <v>#NAME?</v>
      </c>
      <c r="J137" s="0" t="e">
        <f aca="false">sheet1!awy138</f>
        <v>#NAME?</v>
      </c>
      <c r="K137" s="0" t="e">
        <f aca="false">sheet1!awz138</f>
        <v>#NAME?</v>
      </c>
      <c r="L137" s="0" t="e">
        <f aca="false">sheet1!axa138</f>
        <v>#NAME?</v>
      </c>
      <c r="M137" s="0" t="e">
        <f aca="false">sheet1!axb138</f>
        <v>#NAME?</v>
      </c>
    </row>
    <row r="138" customFormat="false" ht="13.5" hidden="false" customHeight="false" outlineLevel="0" collapsed="false">
      <c r="A138" s="0" t="s">
        <v>102</v>
      </c>
      <c r="B138" s="1" t="n">
        <v>43998</v>
      </c>
      <c r="C138" s="0" t="e">
        <f aca="false">sheet1!awr139</f>
        <v>#NAME?</v>
      </c>
      <c r="D138" s="0" t="e">
        <f aca="false">sheet1!aws139</f>
        <v>#NAME?</v>
      </c>
      <c r="E138" s="0" t="e">
        <f aca="false">sheet1!awt139</f>
        <v>#NAME?</v>
      </c>
      <c r="F138" s="0" t="e">
        <f aca="false">sheet1!awu139</f>
        <v>#NAME?</v>
      </c>
      <c r="G138" s="0" t="e">
        <f aca="false">sheet1!awv139</f>
        <v>#NAME?</v>
      </c>
      <c r="H138" s="0" t="e">
        <f aca="false">sheet1!aww139</f>
        <v>#NAME?</v>
      </c>
      <c r="I138" s="0" t="e">
        <f aca="false">sheet1!awx139</f>
        <v>#NAME?</v>
      </c>
      <c r="J138" s="0" t="e">
        <f aca="false">sheet1!awy139</f>
        <v>#NAME?</v>
      </c>
      <c r="K138" s="0" t="e">
        <f aca="false">sheet1!awz139</f>
        <v>#NAME?</v>
      </c>
      <c r="L138" s="0" t="e">
        <f aca="false">sheet1!axa139</f>
        <v>#NAME?</v>
      </c>
      <c r="M138" s="0" t="e">
        <f aca="false">sheet1!axb139</f>
        <v>#NAME?</v>
      </c>
    </row>
    <row r="139" customFormat="false" ht="13.5" hidden="false" customHeight="false" outlineLevel="0" collapsed="false">
      <c r="A139" s="0" t="s">
        <v>102</v>
      </c>
      <c r="B139" s="1" t="n">
        <v>43999</v>
      </c>
      <c r="C139" s="0" t="e">
        <f aca="false">sheet1!awr140</f>
        <v>#NAME?</v>
      </c>
      <c r="D139" s="0" t="e">
        <f aca="false">sheet1!aws140</f>
        <v>#NAME?</v>
      </c>
      <c r="E139" s="0" t="e">
        <f aca="false">sheet1!awt140</f>
        <v>#NAME?</v>
      </c>
      <c r="F139" s="0" t="e">
        <f aca="false">sheet1!awu140</f>
        <v>#NAME?</v>
      </c>
      <c r="G139" s="0" t="e">
        <f aca="false">sheet1!awv140</f>
        <v>#NAME?</v>
      </c>
      <c r="H139" s="0" t="e">
        <f aca="false">sheet1!aww140</f>
        <v>#NAME?</v>
      </c>
      <c r="I139" s="0" t="e">
        <f aca="false">sheet1!awx140</f>
        <v>#NAME?</v>
      </c>
      <c r="J139" s="0" t="e">
        <f aca="false">sheet1!awy140</f>
        <v>#NAME?</v>
      </c>
      <c r="K139" s="0" t="e">
        <f aca="false">sheet1!awz140</f>
        <v>#NAME?</v>
      </c>
      <c r="L139" s="0" t="e">
        <f aca="false">sheet1!axa140</f>
        <v>#NAME?</v>
      </c>
      <c r="M139" s="0" t="e">
        <f aca="false">sheet1!axb140</f>
        <v>#NAME?</v>
      </c>
    </row>
    <row r="140" customFormat="false" ht="13.5" hidden="false" customHeight="false" outlineLevel="0" collapsed="false">
      <c r="A140" s="0" t="s">
        <v>102</v>
      </c>
      <c r="B140" s="1" t="n">
        <v>44000</v>
      </c>
      <c r="C140" s="0" t="e">
        <f aca="false">sheet1!awr141</f>
        <v>#NAME?</v>
      </c>
      <c r="D140" s="0" t="e">
        <f aca="false">sheet1!aws141</f>
        <v>#NAME?</v>
      </c>
      <c r="E140" s="0" t="e">
        <f aca="false">sheet1!awt141</f>
        <v>#NAME?</v>
      </c>
      <c r="F140" s="0" t="e">
        <f aca="false">sheet1!awu141</f>
        <v>#NAME?</v>
      </c>
      <c r="G140" s="0" t="e">
        <f aca="false">sheet1!awv141</f>
        <v>#NAME?</v>
      </c>
      <c r="H140" s="0" t="e">
        <f aca="false">sheet1!aww141</f>
        <v>#NAME?</v>
      </c>
      <c r="I140" s="0" t="e">
        <f aca="false">sheet1!awx141</f>
        <v>#NAME?</v>
      </c>
      <c r="J140" s="0" t="e">
        <f aca="false">sheet1!awy141</f>
        <v>#NAME?</v>
      </c>
      <c r="K140" s="0" t="e">
        <f aca="false">sheet1!awz141</f>
        <v>#NAME?</v>
      </c>
      <c r="L140" s="0" t="e">
        <f aca="false">sheet1!axa141</f>
        <v>#NAME?</v>
      </c>
      <c r="M140" s="0" t="e">
        <f aca="false">sheet1!axb141</f>
        <v>#NAME?</v>
      </c>
    </row>
    <row r="141" customFormat="false" ht="13.5" hidden="false" customHeight="false" outlineLevel="0" collapsed="false">
      <c r="A141" s="0" t="s">
        <v>102</v>
      </c>
      <c r="B141" s="1" t="n">
        <v>44001</v>
      </c>
      <c r="C141" s="0" t="e">
        <f aca="false">sheet1!awr142</f>
        <v>#NAME?</v>
      </c>
      <c r="D141" s="0" t="e">
        <f aca="false">sheet1!aws142</f>
        <v>#NAME?</v>
      </c>
      <c r="E141" s="0" t="e">
        <f aca="false">sheet1!awt142</f>
        <v>#NAME?</v>
      </c>
      <c r="F141" s="0" t="e">
        <f aca="false">sheet1!awu142</f>
        <v>#NAME?</v>
      </c>
      <c r="G141" s="0" t="e">
        <f aca="false">sheet1!awv142</f>
        <v>#NAME?</v>
      </c>
      <c r="H141" s="0" t="e">
        <f aca="false">sheet1!aww142</f>
        <v>#NAME?</v>
      </c>
      <c r="I141" s="0" t="e">
        <f aca="false">sheet1!awx142</f>
        <v>#NAME?</v>
      </c>
      <c r="J141" s="0" t="e">
        <f aca="false">sheet1!awy142</f>
        <v>#NAME?</v>
      </c>
      <c r="K141" s="0" t="e">
        <f aca="false">sheet1!awz142</f>
        <v>#NAME?</v>
      </c>
      <c r="L141" s="0" t="e">
        <f aca="false">sheet1!axa142</f>
        <v>#NAME?</v>
      </c>
      <c r="M141" s="0" t="e">
        <f aca="false">sheet1!axb142</f>
        <v>#NAME?</v>
      </c>
    </row>
    <row r="142" customFormat="false" ht="13.5" hidden="false" customHeight="false" outlineLevel="0" collapsed="false">
      <c r="A142" s="0" t="s">
        <v>102</v>
      </c>
      <c r="B142" s="1" t="n">
        <v>44002</v>
      </c>
      <c r="C142" s="0" t="e">
        <f aca="false">sheet1!awr143</f>
        <v>#NAME?</v>
      </c>
      <c r="D142" s="0" t="e">
        <f aca="false">sheet1!aws143</f>
        <v>#NAME?</v>
      </c>
      <c r="E142" s="0" t="e">
        <f aca="false">sheet1!awt143</f>
        <v>#NAME?</v>
      </c>
      <c r="F142" s="0" t="e">
        <f aca="false">sheet1!awu143</f>
        <v>#NAME?</v>
      </c>
      <c r="G142" s="0" t="e">
        <f aca="false">sheet1!awv143</f>
        <v>#NAME?</v>
      </c>
      <c r="H142" s="0" t="e">
        <f aca="false">sheet1!aww143</f>
        <v>#NAME?</v>
      </c>
      <c r="I142" s="0" t="e">
        <f aca="false">sheet1!awx143</f>
        <v>#NAME?</v>
      </c>
      <c r="J142" s="0" t="e">
        <f aca="false">sheet1!awy143</f>
        <v>#NAME?</v>
      </c>
      <c r="K142" s="0" t="e">
        <f aca="false">sheet1!awz143</f>
        <v>#NAME?</v>
      </c>
      <c r="L142" s="0" t="e">
        <f aca="false">sheet1!axa143</f>
        <v>#NAME?</v>
      </c>
      <c r="M142" s="0" t="e">
        <f aca="false">sheet1!axb143</f>
        <v>#NAME?</v>
      </c>
    </row>
    <row r="143" customFormat="false" ht="13.5" hidden="false" customHeight="false" outlineLevel="0" collapsed="false">
      <c r="A143" s="0" t="s">
        <v>102</v>
      </c>
      <c r="B143" s="1" t="n">
        <v>44003</v>
      </c>
      <c r="C143" s="0" t="e">
        <f aca="false">sheet1!awr144</f>
        <v>#NAME?</v>
      </c>
      <c r="D143" s="0" t="e">
        <f aca="false">sheet1!aws144</f>
        <v>#NAME?</v>
      </c>
      <c r="E143" s="0" t="e">
        <f aca="false">sheet1!awt144</f>
        <v>#NAME?</v>
      </c>
      <c r="F143" s="0" t="e">
        <f aca="false">sheet1!awu144</f>
        <v>#NAME?</v>
      </c>
      <c r="G143" s="0" t="e">
        <f aca="false">sheet1!awv144</f>
        <v>#NAME?</v>
      </c>
      <c r="H143" s="0" t="e">
        <f aca="false">sheet1!aww144</f>
        <v>#NAME?</v>
      </c>
      <c r="I143" s="0" t="e">
        <f aca="false">sheet1!awx144</f>
        <v>#NAME?</v>
      </c>
      <c r="J143" s="0" t="e">
        <f aca="false">sheet1!awy144</f>
        <v>#NAME?</v>
      </c>
      <c r="K143" s="0" t="e">
        <f aca="false">sheet1!awz144</f>
        <v>#NAME?</v>
      </c>
      <c r="L143" s="0" t="e">
        <f aca="false">sheet1!axa144</f>
        <v>#NAME?</v>
      </c>
      <c r="M143" s="0" t="e">
        <f aca="false">sheet1!axb144</f>
        <v>#NAME?</v>
      </c>
    </row>
    <row r="144" customFormat="false" ht="13.5" hidden="false" customHeight="false" outlineLevel="0" collapsed="false">
      <c r="A144" s="0" t="s">
        <v>102</v>
      </c>
      <c r="B144" s="1" t="n">
        <v>44004</v>
      </c>
      <c r="C144" s="0" t="e">
        <f aca="false">sheet1!awr145</f>
        <v>#NAME?</v>
      </c>
      <c r="D144" s="0" t="e">
        <f aca="false">sheet1!aws145</f>
        <v>#NAME?</v>
      </c>
      <c r="E144" s="0" t="e">
        <f aca="false">sheet1!awt145</f>
        <v>#NAME?</v>
      </c>
      <c r="F144" s="0" t="e">
        <f aca="false">sheet1!awu145</f>
        <v>#NAME?</v>
      </c>
      <c r="G144" s="0" t="e">
        <f aca="false">sheet1!awv145</f>
        <v>#NAME?</v>
      </c>
      <c r="H144" s="0" t="e">
        <f aca="false">sheet1!aww145</f>
        <v>#NAME?</v>
      </c>
      <c r="I144" s="0" t="e">
        <f aca="false">sheet1!awx145</f>
        <v>#NAME?</v>
      </c>
      <c r="J144" s="0" t="e">
        <f aca="false">sheet1!awy145</f>
        <v>#NAME?</v>
      </c>
      <c r="K144" s="0" t="e">
        <f aca="false">sheet1!awz145</f>
        <v>#NAME?</v>
      </c>
      <c r="L144" s="0" t="e">
        <f aca="false">sheet1!axa145</f>
        <v>#NAME?</v>
      </c>
      <c r="M144" s="0" t="e">
        <f aca="false">sheet1!axb145</f>
        <v>#NAME?</v>
      </c>
    </row>
    <row r="145" customFormat="false" ht="13.5" hidden="false" customHeight="false" outlineLevel="0" collapsed="false">
      <c r="A145" s="0" t="s">
        <v>102</v>
      </c>
      <c r="B145" s="1" t="n">
        <v>44005</v>
      </c>
      <c r="C145" s="0" t="e">
        <f aca="false">sheet1!awr146</f>
        <v>#NAME?</v>
      </c>
      <c r="D145" s="0" t="e">
        <f aca="false">sheet1!aws146</f>
        <v>#NAME?</v>
      </c>
      <c r="E145" s="0" t="e">
        <f aca="false">sheet1!awt146</f>
        <v>#NAME?</v>
      </c>
      <c r="F145" s="0" t="e">
        <f aca="false">sheet1!awu146</f>
        <v>#NAME?</v>
      </c>
      <c r="G145" s="0" t="e">
        <f aca="false">sheet1!awv146</f>
        <v>#NAME?</v>
      </c>
      <c r="H145" s="0" t="e">
        <f aca="false">sheet1!aww146</f>
        <v>#NAME?</v>
      </c>
      <c r="I145" s="0" t="e">
        <f aca="false">sheet1!awx146</f>
        <v>#NAME?</v>
      </c>
      <c r="J145" s="0" t="e">
        <f aca="false">sheet1!awy146</f>
        <v>#NAME?</v>
      </c>
      <c r="K145" s="0" t="e">
        <f aca="false">sheet1!awz146</f>
        <v>#NAME?</v>
      </c>
      <c r="L145" s="0" t="e">
        <f aca="false">sheet1!axa146</f>
        <v>#NAME?</v>
      </c>
      <c r="M145" s="0" t="e">
        <f aca="false">sheet1!axb146</f>
        <v>#NAME?</v>
      </c>
    </row>
    <row r="146" customFormat="false" ht="13.5" hidden="false" customHeight="false" outlineLevel="0" collapsed="false">
      <c r="A146" s="0" t="s">
        <v>102</v>
      </c>
      <c r="B146" s="1" t="n">
        <v>44006</v>
      </c>
      <c r="C146" s="0" t="e">
        <f aca="false">sheet1!awr147</f>
        <v>#NAME?</v>
      </c>
      <c r="D146" s="0" t="e">
        <f aca="false">sheet1!aws147</f>
        <v>#NAME?</v>
      </c>
      <c r="E146" s="0" t="e">
        <f aca="false">sheet1!awt147</f>
        <v>#NAME?</v>
      </c>
      <c r="F146" s="0" t="e">
        <f aca="false">sheet1!awu147</f>
        <v>#NAME?</v>
      </c>
      <c r="G146" s="0" t="e">
        <f aca="false">sheet1!awv147</f>
        <v>#NAME?</v>
      </c>
      <c r="H146" s="0" t="e">
        <f aca="false">sheet1!aww147</f>
        <v>#NAME?</v>
      </c>
      <c r="I146" s="0" t="e">
        <f aca="false">sheet1!awx147</f>
        <v>#NAME?</v>
      </c>
      <c r="J146" s="0" t="e">
        <f aca="false">sheet1!awy147</f>
        <v>#NAME?</v>
      </c>
      <c r="K146" s="0" t="e">
        <f aca="false">sheet1!awz147</f>
        <v>#NAME?</v>
      </c>
      <c r="L146" s="0" t="e">
        <f aca="false">sheet1!axa147</f>
        <v>#NAME?</v>
      </c>
      <c r="M146" s="0" t="e">
        <f aca="false">sheet1!axb147</f>
        <v>#NAME?</v>
      </c>
    </row>
    <row r="147" customFormat="false" ht="13.5" hidden="false" customHeight="false" outlineLevel="0" collapsed="false">
      <c r="A147" s="0" t="s">
        <v>102</v>
      </c>
      <c r="B147" s="1" t="n">
        <v>44007</v>
      </c>
      <c r="C147" s="0" t="e">
        <f aca="false">sheet1!awr148</f>
        <v>#NAME?</v>
      </c>
      <c r="D147" s="0" t="e">
        <f aca="false">sheet1!aws148</f>
        <v>#NAME?</v>
      </c>
      <c r="E147" s="0" t="e">
        <f aca="false">sheet1!awt148</f>
        <v>#NAME?</v>
      </c>
      <c r="F147" s="0" t="e">
        <f aca="false">sheet1!awu148</f>
        <v>#NAME?</v>
      </c>
      <c r="G147" s="0" t="e">
        <f aca="false">sheet1!awv148</f>
        <v>#NAME?</v>
      </c>
      <c r="H147" s="0" t="e">
        <f aca="false">sheet1!aww148</f>
        <v>#NAME?</v>
      </c>
      <c r="I147" s="0" t="e">
        <f aca="false">sheet1!awx148</f>
        <v>#NAME?</v>
      </c>
      <c r="J147" s="0" t="e">
        <f aca="false">sheet1!awy148</f>
        <v>#NAME?</v>
      </c>
      <c r="K147" s="0" t="e">
        <f aca="false">sheet1!awz148</f>
        <v>#NAME?</v>
      </c>
      <c r="L147" s="0" t="e">
        <f aca="false">sheet1!axa148</f>
        <v>#NAME?</v>
      </c>
      <c r="M147" s="0" t="e">
        <f aca="false">sheet1!axb148</f>
        <v>#NAME?</v>
      </c>
    </row>
    <row r="148" customFormat="false" ht="13.5" hidden="false" customHeight="false" outlineLevel="0" collapsed="false">
      <c r="A148" s="0" t="s">
        <v>102</v>
      </c>
      <c r="B148" s="1" t="n">
        <v>44008</v>
      </c>
      <c r="C148" s="0" t="e">
        <f aca="false">sheet1!awr149</f>
        <v>#NAME?</v>
      </c>
      <c r="D148" s="0" t="e">
        <f aca="false">sheet1!aws149</f>
        <v>#NAME?</v>
      </c>
      <c r="E148" s="0" t="e">
        <f aca="false">sheet1!awt149</f>
        <v>#NAME?</v>
      </c>
      <c r="F148" s="0" t="e">
        <f aca="false">sheet1!awu149</f>
        <v>#NAME?</v>
      </c>
      <c r="G148" s="0" t="e">
        <f aca="false">sheet1!awv149</f>
        <v>#NAME?</v>
      </c>
      <c r="H148" s="0" t="e">
        <f aca="false">sheet1!aww149</f>
        <v>#NAME?</v>
      </c>
      <c r="I148" s="0" t="e">
        <f aca="false">sheet1!awx149</f>
        <v>#NAME?</v>
      </c>
      <c r="J148" s="0" t="e">
        <f aca="false">sheet1!awy149</f>
        <v>#NAME?</v>
      </c>
      <c r="K148" s="0" t="e">
        <f aca="false">sheet1!awz149</f>
        <v>#NAME?</v>
      </c>
      <c r="L148" s="0" t="e">
        <f aca="false">sheet1!axa149</f>
        <v>#NAME?</v>
      </c>
      <c r="M148" s="0" t="e">
        <f aca="false">sheet1!axb149</f>
        <v>#NAME?</v>
      </c>
    </row>
    <row r="149" customFormat="false" ht="13.5" hidden="false" customHeight="false" outlineLevel="0" collapsed="false">
      <c r="A149" s="0" t="s">
        <v>102</v>
      </c>
      <c r="B149" s="1" t="n">
        <v>44009</v>
      </c>
      <c r="C149" s="0" t="e">
        <f aca="false">sheet1!awr150</f>
        <v>#NAME?</v>
      </c>
      <c r="D149" s="0" t="e">
        <f aca="false">sheet1!aws150</f>
        <v>#NAME?</v>
      </c>
      <c r="E149" s="0" t="e">
        <f aca="false">sheet1!awt150</f>
        <v>#NAME?</v>
      </c>
      <c r="F149" s="0" t="e">
        <f aca="false">sheet1!awu150</f>
        <v>#NAME?</v>
      </c>
      <c r="G149" s="0" t="e">
        <f aca="false">sheet1!awv150</f>
        <v>#NAME?</v>
      </c>
      <c r="H149" s="0" t="e">
        <f aca="false">sheet1!aww150</f>
        <v>#NAME?</v>
      </c>
      <c r="I149" s="0" t="e">
        <f aca="false">sheet1!awx150</f>
        <v>#NAME?</v>
      </c>
      <c r="J149" s="0" t="e">
        <f aca="false">sheet1!awy150</f>
        <v>#NAME?</v>
      </c>
      <c r="K149" s="0" t="e">
        <f aca="false">sheet1!awz150</f>
        <v>#NAME?</v>
      </c>
      <c r="L149" s="0" t="e">
        <f aca="false">sheet1!axa150</f>
        <v>#NAME?</v>
      </c>
      <c r="M149" s="0" t="e">
        <f aca="false">sheet1!axb150</f>
        <v>#NAME?</v>
      </c>
    </row>
    <row r="150" customFormat="false" ht="13.5" hidden="false" customHeight="false" outlineLevel="0" collapsed="false">
      <c r="A150" s="0" t="s">
        <v>102</v>
      </c>
      <c r="B150" s="1" t="n">
        <v>44010</v>
      </c>
      <c r="C150" s="0" t="e">
        <f aca="false">sheet1!awr151</f>
        <v>#NAME?</v>
      </c>
      <c r="D150" s="0" t="e">
        <f aca="false">sheet1!aws151</f>
        <v>#NAME?</v>
      </c>
      <c r="E150" s="0" t="e">
        <f aca="false">sheet1!awt151</f>
        <v>#NAME?</v>
      </c>
      <c r="F150" s="0" t="e">
        <f aca="false">sheet1!awu151</f>
        <v>#NAME?</v>
      </c>
      <c r="G150" s="0" t="e">
        <f aca="false">sheet1!awv151</f>
        <v>#NAME?</v>
      </c>
      <c r="H150" s="0" t="e">
        <f aca="false">sheet1!aww151</f>
        <v>#NAME?</v>
      </c>
      <c r="I150" s="0" t="e">
        <f aca="false">sheet1!awx151</f>
        <v>#NAME?</v>
      </c>
      <c r="J150" s="0" t="e">
        <f aca="false">sheet1!awy151</f>
        <v>#NAME?</v>
      </c>
      <c r="K150" s="0" t="e">
        <f aca="false">sheet1!awz151</f>
        <v>#NAME?</v>
      </c>
      <c r="L150" s="0" t="e">
        <f aca="false">sheet1!axa151</f>
        <v>#NAME?</v>
      </c>
      <c r="M150" s="0" t="e">
        <f aca="false">sheet1!axb151</f>
        <v>#NAME?</v>
      </c>
    </row>
    <row r="151" customFormat="false" ht="13.5" hidden="false" customHeight="false" outlineLevel="0" collapsed="false">
      <c r="A151" s="0" t="s">
        <v>102</v>
      </c>
      <c r="B151" s="1" t="n">
        <v>44011</v>
      </c>
      <c r="C151" s="0" t="e">
        <f aca="false">sheet1!awr152</f>
        <v>#NAME?</v>
      </c>
      <c r="D151" s="0" t="e">
        <f aca="false">sheet1!aws152</f>
        <v>#NAME?</v>
      </c>
      <c r="E151" s="0" t="e">
        <f aca="false">sheet1!awt152</f>
        <v>#NAME?</v>
      </c>
      <c r="F151" s="0" t="e">
        <f aca="false">sheet1!awu152</f>
        <v>#NAME?</v>
      </c>
      <c r="G151" s="0" t="e">
        <f aca="false">sheet1!awv152</f>
        <v>#NAME?</v>
      </c>
      <c r="H151" s="0" t="e">
        <f aca="false">sheet1!aww152</f>
        <v>#NAME?</v>
      </c>
      <c r="I151" s="0" t="e">
        <f aca="false">sheet1!awx152</f>
        <v>#NAME?</v>
      </c>
      <c r="J151" s="0" t="e">
        <f aca="false">sheet1!awy152</f>
        <v>#NAME?</v>
      </c>
      <c r="K151" s="0" t="e">
        <f aca="false">sheet1!awz152</f>
        <v>#NAME?</v>
      </c>
      <c r="L151" s="0" t="e">
        <f aca="false">sheet1!axa152</f>
        <v>#NAME?</v>
      </c>
      <c r="M151" s="0" t="e">
        <f aca="false">sheet1!axb152</f>
        <v>#NAME?</v>
      </c>
    </row>
    <row r="152" customFormat="false" ht="13.5" hidden="false" customHeight="false" outlineLevel="0" collapsed="false">
      <c r="A152" s="0" t="s">
        <v>102</v>
      </c>
      <c r="B152" s="1" t="n">
        <v>44012</v>
      </c>
      <c r="C152" s="0" t="e">
        <f aca="false">sheet1!awr153</f>
        <v>#NAME?</v>
      </c>
      <c r="D152" s="0" t="e">
        <f aca="false">sheet1!aws153</f>
        <v>#NAME?</v>
      </c>
      <c r="E152" s="0" t="e">
        <f aca="false">sheet1!awt153</f>
        <v>#NAME?</v>
      </c>
      <c r="F152" s="0" t="e">
        <f aca="false">sheet1!awu153</f>
        <v>#NAME?</v>
      </c>
      <c r="G152" s="0" t="e">
        <f aca="false">sheet1!awv153</f>
        <v>#NAME?</v>
      </c>
      <c r="H152" s="0" t="e">
        <f aca="false">sheet1!aww153</f>
        <v>#NAME?</v>
      </c>
      <c r="I152" s="0" t="e">
        <f aca="false">sheet1!awx153</f>
        <v>#NAME?</v>
      </c>
      <c r="J152" s="0" t="e">
        <f aca="false">sheet1!awy153</f>
        <v>#NAME?</v>
      </c>
      <c r="K152" s="0" t="e">
        <f aca="false">sheet1!awz153</f>
        <v>#NAME?</v>
      </c>
      <c r="L152" s="0" t="e">
        <f aca="false">sheet1!axa153</f>
        <v>#NAME?</v>
      </c>
      <c r="M152" s="0" t="e">
        <f aca="false">sheet1!axb153</f>
        <v>#NAME?</v>
      </c>
    </row>
    <row r="153" customFormat="false" ht="13.5" hidden="false" customHeight="false" outlineLevel="0" collapsed="false">
      <c r="A153" s="0" t="s">
        <v>102</v>
      </c>
      <c r="B153" s="1" t="n">
        <v>44013</v>
      </c>
      <c r="C153" s="0" t="e">
        <f aca="false">sheet1!awr154</f>
        <v>#NAME?</v>
      </c>
      <c r="D153" s="0" t="e">
        <f aca="false">sheet1!aws154</f>
        <v>#NAME?</v>
      </c>
      <c r="E153" s="0" t="e">
        <f aca="false">sheet1!awt154</f>
        <v>#NAME?</v>
      </c>
      <c r="F153" s="0" t="e">
        <f aca="false">sheet1!awu154</f>
        <v>#NAME?</v>
      </c>
      <c r="G153" s="0" t="e">
        <f aca="false">sheet1!awv154</f>
        <v>#NAME?</v>
      </c>
      <c r="H153" s="0" t="e">
        <f aca="false">sheet1!aww154</f>
        <v>#NAME?</v>
      </c>
      <c r="I153" s="0" t="e">
        <f aca="false">sheet1!awx154</f>
        <v>#NAME?</v>
      </c>
      <c r="J153" s="0" t="e">
        <f aca="false">sheet1!awy154</f>
        <v>#NAME?</v>
      </c>
      <c r="K153" s="0" t="e">
        <f aca="false">sheet1!awz154</f>
        <v>#NAME?</v>
      </c>
      <c r="L153" s="0" t="e">
        <f aca="false">sheet1!axa154</f>
        <v>#NAME?</v>
      </c>
      <c r="M153" s="0" t="e">
        <f aca="false">sheet1!axb154</f>
        <v>#NAME?</v>
      </c>
    </row>
    <row r="154" customFormat="false" ht="13.5" hidden="false" customHeight="false" outlineLevel="0" collapsed="false">
      <c r="A154" s="0" t="s">
        <v>102</v>
      </c>
      <c r="B154" s="1" t="n">
        <v>44014</v>
      </c>
      <c r="C154" s="0" t="e">
        <f aca="false">sheet1!awr155</f>
        <v>#NAME?</v>
      </c>
      <c r="D154" s="0" t="e">
        <f aca="false">sheet1!aws155</f>
        <v>#NAME?</v>
      </c>
      <c r="E154" s="0" t="e">
        <f aca="false">sheet1!awt155</f>
        <v>#NAME?</v>
      </c>
      <c r="F154" s="0" t="e">
        <f aca="false">sheet1!awu155</f>
        <v>#NAME?</v>
      </c>
      <c r="G154" s="0" t="e">
        <f aca="false">sheet1!awv155</f>
        <v>#NAME?</v>
      </c>
      <c r="H154" s="0" t="e">
        <f aca="false">sheet1!aww155</f>
        <v>#NAME?</v>
      </c>
      <c r="I154" s="0" t="e">
        <f aca="false">sheet1!awx155</f>
        <v>#NAME?</v>
      </c>
      <c r="J154" s="0" t="e">
        <f aca="false">sheet1!awy155</f>
        <v>#NAME?</v>
      </c>
      <c r="K154" s="0" t="e">
        <f aca="false">sheet1!awz155</f>
        <v>#NAME?</v>
      </c>
      <c r="L154" s="0" t="e">
        <f aca="false">sheet1!axa155</f>
        <v>#NAME?</v>
      </c>
      <c r="M154" s="0" t="e">
        <f aca="false">sheet1!axb155</f>
        <v>#NAME?</v>
      </c>
    </row>
    <row r="155" customFormat="false" ht="13.5" hidden="false" customHeight="false" outlineLevel="0" collapsed="false">
      <c r="A155" s="0" t="s">
        <v>102</v>
      </c>
      <c r="B155" s="1" t="n">
        <v>44015</v>
      </c>
      <c r="C155" s="0" t="e">
        <f aca="false">sheet1!awr156</f>
        <v>#NAME?</v>
      </c>
      <c r="D155" s="0" t="e">
        <f aca="false">sheet1!aws156</f>
        <v>#NAME?</v>
      </c>
      <c r="E155" s="0" t="e">
        <f aca="false">sheet1!awt156</f>
        <v>#NAME?</v>
      </c>
      <c r="F155" s="0" t="e">
        <f aca="false">sheet1!awu156</f>
        <v>#NAME?</v>
      </c>
      <c r="G155" s="0" t="e">
        <f aca="false">sheet1!awv156</f>
        <v>#NAME?</v>
      </c>
      <c r="H155" s="0" t="e">
        <f aca="false">sheet1!aww156</f>
        <v>#NAME?</v>
      </c>
      <c r="I155" s="0" t="e">
        <f aca="false">sheet1!awx156</f>
        <v>#NAME?</v>
      </c>
      <c r="J155" s="0" t="e">
        <f aca="false">sheet1!awy156</f>
        <v>#NAME?</v>
      </c>
      <c r="K155" s="0" t="e">
        <f aca="false">sheet1!awz156</f>
        <v>#NAME?</v>
      </c>
      <c r="L155" s="0" t="e">
        <f aca="false">sheet1!axa156</f>
        <v>#NAME?</v>
      </c>
      <c r="M155" s="0" t="e">
        <f aca="false">sheet1!axb156</f>
        <v>#NAME?</v>
      </c>
    </row>
    <row r="156" customFormat="false" ht="13.5" hidden="false" customHeight="false" outlineLevel="0" collapsed="false">
      <c r="A156" s="0" t="s">
        <v>102</v>
      </c>
      <c r="B156" s="1" t="n">
        <v>44016</v>
      </c>
      <c r="C156" s="0" t="e">
        <f aca="false">sheet1!awr157</f>
        <v>#NAME?</v>
      </c>
      <c r="D156" s="0" t="e">
        <f aca="false">sheet1!aws157</f>
        <v>#NAME?</v>
      </c>
      <c r="E156" s="0" t="e">
        <f aca="false">sheet1!awt157</f>
        <v>#NAME?</v>
      </c>
      <c r="F156" s="0" t="e">
        <f aca="false">sheet1!awu157</f>
        <v>#NAME?</v>
      </c>
      <c r="G156" s="0" t="e">
        <f aca="false">sheet1!awv157</f>
        <v>#NAME?</v>
      </c>
      <c r="H156" s="0" t="e">
        <f aca="false">sheet1!aww157</f>
        <v>#NAME?</v>
      </c>
      <c r="I156" s="0" t="e">
        <f aca="false">sheet1!awx157</f>
        <v>#NAME?</v>
      </c>
      <c r="J156" s="0" t="e">
        <f aca="false">sheet1!awy157</f>
        <v>#NAME?</v>
      </c>
      <c r="K156" s="0" t="e">
        <f aca="false">sheet1!awz157</f>
        <v>#NAME?</v>
      </c>
      <c r="L156" s="0" t="e">
        <f aca="false">sheet1!axa157</f>
        <v>#NAME?</v>
      </c>
      <c r="M156" s="0" t="e">
        <f aca="false">sheet1!axb157</f>
        <v>#NAME?</v>
      </c>
    </row>
    <row r="157" customFormat="false" ht="13.5" hidden="false" customHeight="false" outlineLevel="0" collapsed="false">
      <c r="A157" s="0" t="s">
        <v>102</v>
      </c>
      <c r="B157" s="1" t="n">
        <v>44017</v>
      </c>
      <c r="C157" s="0" t="e">
        <f aca="false">sheet1!awr158</f>
        <v>#NAME?</v>
      </c>
      <c r="D157" s="0" t="e">
        <f aca="false">sheet1!aws158</f>
        <v>#NAME?</v>
      </c>
      <c r="E157" s="0" t="e">
        <f aca="false">sheet1!awt158</f>
        <v>#NAME?</v>
      </c>
      <c r="F157" s="0" t="e">
        <f aca="false">sheet1!awu158</f>
        <v>#NAME?</v>
      </c>
      <c r="G157" s="0" t="e">
        <f aca="false">sheet1!awv158</f>
        <v>#NAME?</v>
      </c>
      <c r="H157" s="0" t="e">
        <f aca="false">sheet1!aww158</f>
        <v>#NAME?</v>
      </c>
      <c r="I157" s="0" t="e">
        <f aca="false">sheet1!awx158</f>
        <v>#NAME?</v>
      </c>
      <c r="J157" s="0" t="e">
        <f aca="false">sheet1!awy158</f>
        <v>#NAME?</v>
      </c>
      <c r="K157" s="0" t="e">
        <f aca="false">sheet1!awz158</f>
        <v>#NAME?</v>
      </c>
      <c r="L157" s="0" t="e">
        <f aca="false">sheet1!axa158</f>
        <v>#NAME?</v>
      </c>
      <c r="M157" s="0" t="e">
        <f aca="false">sheet1!axb158</f>
        <v>#NAME?</v>
      </c>
    </row>
    <row r="158" customFormat="false" ht="13.5" hidden="false" customHeight="false" outlineLevel="0" collapsed="false">
      <c r="A158" s="0" t="s">
        <v>102</v>
      </c>
      <c r="B158" s="1" t="n">
        <v>44018</v>
      </c>
      <c r="C158" s="0" t="e">
        <f aca="false">sheet1!awr159</f>
        <v>#NAME?</v>
      </c>
      <c r="D158" s="0" t="e">
        <f aca="false">sheet1!aws159</f>
        <v>#NAME?</v>
      </c>
      <c r="E158" s="0" t="e">
        <f aca="false">sheet1!awt159</f>
        <v>#NAME?</v>
      </c>
      <c r="F158" s="0" t="e">
        <f aca="false">sheet1!awu159</f>
        <v>#NAME?</v>
      </c>
      <c r="G158" s="0" t="e">
        <f aca="false">sheet1!awv159</f>
        <v>#NAME?</v>
      </c>
      <c r="H158" s="0" t="e">
        <f aca="false">sheet1!aww159</f>
        <v>#NAME?</v>
      </c>
      <c r="I158" s="0" t="e">
        <f aca="false">sheet1!awx159</f>
        <v>#NAME?</v>
      </c>
      <c r="J158" s="0" t="e">
        <f aca="false">sheet1!awy159</f>
        <v>#NAME?</v>
      </c>
      <c r="K158" s="0" t="e">
        <f aca="false">sheet1!awz159</f>
        <v>#NAME?</v>
      </c>
      <c r="L158" s="0" t="e">
        <f aca="false">sheet1!axa159</f>
        <v>#NAME?</v>
      </c>
      <c r="M158" s="0" t="e">
        <f aca="false">sheet1!axb159</f>
        <v>#NAME?</v>
      </c>
    </row>
    <row r="159" customFormat="false" ht="13.5" hidden="false" customHeight="false" outlineLevel="0" collapsed="false">
      <c r="A159" s="0" t="s">
        <v>102</v>
      </c>
      <c r="B159" s="1" t="n">
        <v>44019</v>
      </c>
      <c r="C159" s="0" t="e">
        <f aca="false">sheet1!awr160</f>
        <v>#NAME?</v>
      </c>
      <c r="D159" s="0" t="e">
        <f aca="false">sheet1!aws160</f>
        <v>#NAME?</v>
      </c>
      <c r="E159" s="0" t="e">
        <f aca="false">sheet1!awt160</f>
        <v>#NAME?</v>
      </c>
      <c r="F159" s="0" t="e">
        <f aca="false">sheet1!awu160</f>
        <v>#NAME?</v>
      </c>
      <c r="G159" s="0" t="e">
        <f aca="false">sheet1!awv160</f>
        <v>#NAME?</v>
      </c>
      <c r="H159" s="0" t="e">
        <f aca="false">sheet1!aww160</f>
        <v>#NAME?</v>
      </c>
      <c r="I159" s="0" t="e">
        <f aca="false">sheet1!awx160</f>
        <v>#NAME?</v>
      </c>
      <c r="J159" s="0" t="e">
        <f aca="false">sheet1!awy160</f>
        <v>#NAME?</v>
      </c>
      <c r="K159" s="0" t="e">
        <f aca="false">sheet1!awz160</f>
        <v>#NAME?</v>
      </c>
      <c r="L159" s="0" t="e">
        <f aca="false">sheet1!axa160</f>
        <v>#NAME?</v>
      </c>
      <c r="M159" s="0" t="e">
        <f aca="false">sheet1!axb160</f>
        <v>#NAME?</v>
      </c>
    </row>
    <row r="160" customFormat="false" ht="13.5" hidden="false" customHeight="false" outlineLevel="0" collapsed="false">
      <c r="A160" s="0" t="s">
        <v>102</v>
      </c>
      <c r="B160" s="1" t="n">
        <v>44020</v>
      </c>
      <c r="C160" s="0" t="e">
        <f aca="false">sheet1!awr161</f>
        <v>#NAME?</v>
      </c>
      <c r="D160" s="0" t="e">
        <f aca="false">sheet1!aws161</f>
        <v>#NAME?</v>
      </c>
      <c r="E160" s="0" t="e">
        <f aca="false">sheet1!awt161</f>
        <v>#NAME?</v>
      </c>
      <c r="F160" s="0" t="e">
        <f aca="false">sheet1!awu161</f>
        <v>#NAME?</v>
      </c>
      <c r="G160" s="0" t="e">
        <f aca="false">sheet1!awv161</f>
        <v>#NAME?</v>
      </c>
      <c r="H160" s="0" t="e">
        <f aca="false">sheet1!aww161</f>
        <v>#NAME?</v>
      </c>
      <c r="I160" s="0" t="e">
        <f aca="false">sheet1!awx161</f>
        <v>#NAME?</v>
      </c>
      <c r="J160" s="0" t="e">
        <f aca="false">sheet1!awy161</f>
        <v>#NAME?</v>
      </c>
      <c r="K160" s="0" t="e">
        <f aca="false">sheet1!awz161</f>
        <v>#NAME?</v>
      </c>
      <c r="L160" s="0" t="e">
        <f aca="false">sheet1!axa161</f>
        <v>#NAME?</v>
      </c>
      <c r="M160" s="0" t="e">
        <f aca="false">sheet1!axb161</f>
        <v>#NAME?</v>
      </c>
    </row>
    <row r="161" customFormat="false" ht="13.5" hidden="false" customHeight="false" outlineLevel="0" collapsed="false">
      <c r="A161" s="0" t="s">
        <v>102</v>
      </c>
      <c r="B161" s="1" t="n">
        <v>44021</v>
      </c>
      <c r="C161" s="0" t="e">
        <f aca="false">sheet1!awr162</f>
        <v>#NAME?</v>
      </c>
      <c r="D161" s="0" t="e">
        <f aca="false">sheet1!aws162</f>
        <v>#NAME?</v>
      </c>
      <c r="E161" s="0" t="e">
        <f aca="false">sheet1!awt162</f>
        <v>#NAME?</v>
      </c>
      <c r="F161" s="0" t="e">
        <f aca="false">sheet1!awu162</f>
        <v>#NAME?</v>
      </c>
      <c r="G161" s="0" t="e">
        <f aca="false">sheet1!awv162</f>
        <v>#NAME?</v>
      </c>
      <c r="H161" s="0" t="e">
        <f aca="false">sheet1!aww162</f>
        <v>#NAME?</v>
      </c>
      <c r="I161" s="0" t="e">
        <f aca="false">sheet1!awx162</f>
        <v>#NAME?</v>
      </c>
      <c r="J161" s="0" t="e">
        <f aca="false">sheet1!awy162</f>
        <v>#NAME?</v>
      </c>
      <c r="K161" s="0" t="e">
        <f aca="false">sheet1!awz162</f>
        <v>#NAME?</v>
      </c>
      <c r="L161" s="0" t="e">
        <f aca="false">sheet1!axa162</f>
        <v>#NAME?</v>
      </c>
      <c r="M161" s="0" t="e">
        <f aca="false">sheet1!axb162</f>
        <v>#NAME?</v>
      </c>
    </row>
    <row r="162" customFormat="false" ht="13.5" hidden="false" customHeight="false" outlineLevel="0" collapsed="false">
      <c r="A162" s="0" t="s">
        <v>102</v>
      </c>
      <c r="B162" s="1" t="n">
        <v>44022</v>
      </c>
      <c r="C162" s="0" t="e">
        <f aca="false">sheet1!awr163</f>
        <v>#NAME?</v>
      </c>
      <c r="D162" s="0" t="e">
        <f aca="false">sheet1!aws163</f>
        <v>#NAME?</v>
      </c>
      <c r="E162" s="0" t="e">
        <f aca="false">sheet1!awt163</f>
        <v>#NAME?</v>
      </c>
      <c r="F162" s="0" t="e">
        <f aca="false">sheet1!awu163</f>
        <v>#NAME?</v>
      </c>
      <c r="G162" s="0" t="e">
        <f aca="false">sheet1!awv163</f>
        <v>#NAME?</v>
      </c>
      <c r="H162" s="0" t="e">
        <f aca="false">sheet1!aww163</f>
        <v>#NAME?</v>
      </c>
      <c r="I162" s="0" t="e">
        <f aca="false">sheet1!awx163</f>
        <v>#NAME?</v>
      </c>
      <c r="J162" s="0" t="e">
        <f aca="false">sheet1!awy163</f>
        <v>#NAME?</v>
      </c>
      <c r="K162" s="0" t="e">
        <f aca="false">sheet1!awz163</f>
        <v>#NAME?</v>
      </c>
      <c r="L162" s="0" t="e">
        <f aca="false">sheet1!axa163</f>
        <v>#NAME?</v>
      </c>
      <c r="M162" s="0" t="e">
        <f aca="false">sheet1!axb163</f>
        <v>#NAME?</v>
      </c>
    </row>
    <row r="163" customFormat="false" ht="13.5" hidden="false" customHeight="false" outlineLevel="0" collapsed="false">
      <c r="A163" s="0" t="s">
        <v>102</v>
      </c>
      <c r="B163" s="1" t="n">
        <v>44023</v>
      </c>
      <c r="C163" s="0" t="e">
        <f aca="false">sheet1!awr164</f>
        <v>#NAME?</v>
      </c>
      <c r="D163" s="0" t="e">
        <f aca="false">sheet1!aws164</f>
        <v>#NAME?</v>
      </c>
      <c r="E163" s="0" t="e">
        <f aca="false">sheet1!awt164</f>
        <v>#NAME?</v>
      </c>
      <c r="F163" s="0" t="e">
        <f aca="false">sheet1!awu164</f>
        <v>#NAME?</v>
      </c>
      <c r="G163" s="0" t="e">
        <f aca="false">sheet1!awv164</f>
        <v>#NAME?</v>
      </c>
      <c r="H163" s="0" t="e">
        <f aca="false">sheet1!aww164</f>
        <v>#NAME?</v>
      </c>
      <c r="I163" s="0" t="e">
        <f aca="false">sheet1!awx164</f>
        <v>#NAME?</v>
      </c>
      <c r="J163" s="0" t="e">
        <f aca="false">sheet1!awy164</f>
        <v>#NAME?</v>
      </c>
      <c r="K163" s="0" t="e">
        <f aca="false">sheet1!awz164</f>
        <v>#NAME?</v>
      </c>
      <c r="L163" s="0" t="e">
        <f aca="false">sheet1!axa164</f>
        <v>#NAME?</v>
      </c>
      <c r="M163" s="0" t="e">
        <f aca="false">sheet1!axb164</f>
        <v>#NAME?</v>
      </c>
    </row>
    <row r="164" customFormat="false" ht="13.5" hidden="false" customHeight="false" outlineLevel="0" collapsed="false">
      <c r="A164" s="0" t="s">
        <v>102</v>
      </c>
      <c r="B164" s="1" t="n">
        <v>44024</v>
      </c>
      <c r="C164" s="0" t="e">
        <f aca="false">sheet1!awr165</f>
        <v>#NAME?</v>
      </c>
      <c r="D164" s="0" t="e">
        <f aca="false">sheet1!aws165</f>
        <v>#NAME?</v>
      </c>
      <c r="E164" s="0" t="e">
        <f aca="false">sheet1!awt165</f>
        <v>#NAME?</v>
      </c>
      <c r="F164" s="0" t="e">
        <f aca="false">sheet1!awu165</f>
        <v>#NAME?</v>
      </c>
      <c r="G164" s="0" t="e">
        <f aca="false">sheet1!awv165</f>
        <v>#NAME?</v>
      </c>
      <c r="H164" s="0" t="e">
        <f aca="false">sheet1!aww165</f>
        <v>#NAME?</v>
      </c>
      <c r="I164" s="0" t="e">
        <f aca="false">sheet1!awx165</f>
        <v>#NAME?</v>
      </c>
      <c r="J164" s="0" t="e">
        <f aca="false">sheet1!awy165</f>
        <v>#NAME?</v>
      </c>
      <c r="K164" s="0" t="e">
        <f aca="false">sheet1!awz165</f>
        <v>#NAME?</v>
      </c>
      <c r="L164" s="0" t="e">
        <f aca="false">sheet1!axa165</f>
        <v>#NAME?</v>
      </c>
      <c r="M164" s="0" t="e">
        <f aca="false">sheet1!axb165</f>
        <v>#NAME?</v>
      </c>
    </row>
    <row r="165" customFormat="false" ht="13.5" hidden="false" customHeight="false" outlineLevel="0" collapsed="false">
      <c r="A165" s="0" t="s">
        <v>102</v>
      </c>
      <c r="B165" s="1" t="n">
        <v>44025</v>
      </c>
      <c r="C165" s="0" t="e">
        <f aca="false">sheet1!awr166</f>
        <v>#NAME?</v>
      </c>
      <c r="D165" s="0" t="e">
        <f aca="false">sheet1!aws166</f>
        <v>#NAME?</v>
      </c>
      <c r="E165" s="0" t="e">
        <f aca="false">sheet1!awt166</f>
        <v>#NAME?</v>
      </c>
      <c r="F165" s="0" t="e">
        <f aca="false">sheet1!awu166</f>
        <v>#NAME?</v>
      </c>
      <c r="G165" s="0" t="e">
        <f aca="false">sheet1!awv166</f>
        <v>#NAME?</v>
      </c>
      <c r="H165" s="0" t="e">
        <f aca="false">sheet1!aww166</f>
        <v>#NAME?</v>
      </c>
      <c r="I165" s="0" t="e">
        <f aca="false">sheet1!awx166</f>
        <v>#NAME?</v>
      </c>
      <c r="J165" s="0" t="e">
        <f aca="false">sheet1!awy166</f>
        <v>#NAME?</v>
      </c>
      <c r="K165" s="0" t="e">
        <f aca="false">sheet1!awz166</f>
        <v>#NAME?</v>
      </c>
      <c r="L165" s="0" t="e">
        <f aca="false">sheet1!axa166</f>
        <v>#NAME?</v>
      </c>
      <c r="M165" s="0" t="e">
        <f aca="false">sheet1!axb166</f>
        <v>#NAME?</v>
      </c>
    </row>
    <row r="166" customFormat="false" ht="13.5" hidden="false" customHeight="false" outlineLevel="0" collapsed="false">
      <c r="A166" s="0" t="s">
        <v>102</v>
      </c>
      <c r="B166" s="1" t="n">
        <v>44026</v>
      </c>
      <c r="C166" s="0" t="e">
        <f aca="false">sheet1!awr167</f>
        <v>#NAME?</v>
      </c>
      <c r="D166" s="0" t="e">
        <f aca="false">sheet1!aws167</f>
        <v>#NAME?</v>
      </c>
      <c r="E166" s="0" t="e">
        <f aca="false">sheet1!awt167</f>
        <v>#NAME?</v>
      </c>
      <c r="F166" s="0" t="e">
        <f aca="false">sheet1!awu167</f>
        <v>#NAME?</v>
      </c>
      <c r="G166" s="0" t="e">
        <f aca="false">sheet1!awv167</f>
        <v>#NAME?</v>
      </c>
      <c r="H166" s="0" t="e">
        <f aca="false">sheet1!aww167</f>
        <v>#NAME?</v>
      </c>
      <c r="I166" s="0" t="e">
        <f aca="false">sheet1!awx167</f>
        <v>#NAME?</v>
      </c>
      <c r="J166" s="0" t="e">
        <f aca="false">sheet1!awy167</f>
        <v>#NAME?</v>
      </c>
      <c r="K166" s="0" t="e">
        <f aca="false">sheet1!awz167</f>
        <v>#NAME?</v>
      </c>
      <c r="L166" s="0" t="e">
        <f aca="false">sheet1!axa167</f>
        <v>#NAME?</v>
      </c>
      <c r="M166" s="0" t="e">
        <f aca="false">sheet1!axb167</f>
        <v>#NAME?</v>
      </c>
    </row>
    <row r="167" customFormat="false" ht="13.5" hidden="false" customHeight="false" outlineLevel="0" collapsed="false">
      <c r="A167" s="0" t="s">
        <v>102</v>
      </c>
      <c r="B167" s="1" t="n">
        <v>44027</v>
      </c>
      <c r="C167" s="0" t="e">
        <f aca="false">sheet1!awr168</f>
        <v>#NAME?</v>
      </c>
      <c r="D167" s="0" t="e">
        <f aca="false">sheet1!aws168</f>
        <v>#NAME?</v>
      </c>
      <c r="E167" s="0" t="e">
        <f aca="false">sheet1!awt168</f>
        <v>#NAME?</v>
      </c>
      <c r="F167" s="0" t="e">
        <f aca="false">sheet1!awu168</f>
        <v>#NAME?</v>
      </c>
      <c r="G167" s="0" t="e">
        <f aca="false">sheet1!awv168</f>
        <v>#NAME?</v>
      </c>
      <c r="H167" s="0" t="e">
        <f aca="false">sheet1!aww168</f>
        <v>#NAME?</v>
      </c>
      <c r="I167" s="0" t="e">
        <f aca="false">sheet1!awx168</f>
        <v>#NAME?</v>
      </c>
      <c r="J167" s="0" t="e">
        <f aca="false">sheet1!awy168</f>
        <v>#NAME?</v>
      </c>
      <c r="K167" s="0" t="e">
        <f aca="false">sheet1!awz168</f>
        <v>#NAME?</v>
      </c>
      <c r="L167" s="0" t="e">
        <f aca="false">sheet1!axa168</f>
        <v>#NAME?</v>
      </c>
      <c r="M167" s="0" t="e">
        <f aca="false">sheet1!axb168</f>
        <v>#NAME?</v>
      </c>
    </row>
    <row r="168" customFormat="false" ht="13.5" hidden="false" customHeight="false" outlineLevel="0" collapsed="false">
      <c r="A168" s="0" t="s">
        <v>102</v>
      </c>
      <c r="B168" s="1" t="n">
        <v>44028</v>
      </c>
      <c r="C168" s="0" t="e">
        <f aca="false">sheet1!awr169</f>
        <v>#NAME?</v>
      </c>
      <c r="D168" s="0" t="e">
        <f aca="false">sheet1!aws169</f>
        <v>#NAME?</v>
      </c>
      <c r="E168" s="0" t="e">
        <f aca="false">sheet1!awt169</f>
        <v>#NAME?</v>
      </c>
      <c r="F168" s="0" t="e">
        <f aca="false">sheet1!awu169</f>
        <v>#NAME?</v>
      </c>
      <c r="G168" s="0" t="e">
        <f aca="false">sheet1!awv169</f>
        <v>#NAME?</v>
      </c>
      <c r="H168" s="0" t="e">
        <f aca="false">sheet1!aww169</f>
        <v>#NAME?</v>
      </c>
      <c r="I168" s="0" t="e">
        <f aca="false">sheet1!awx169</f>
        <v>#NAME?</v>
      </c>
      <c r="J168" s="0" t="e">
        <f aca="false">sheet1!awy169</f>
        <v>#NAME?</v>
      </c>
      <c r="K168" s="0" t="e">
        <f aca="false">sheet1!awz169</f>
        <v>#NAME?</v>
      </c>
      <c r="L168" s="0" t="e">
        <f aca="false">sheet1!axa169</f>
        <v>#NAME?</v>
      </c>
      <c r="M168" s="0" t="e">
        <f aca="false">sheet1!axb169</f>
        <v>#NAME?</v>
      </c>
    </row>
    <row r="169" customFormat="false" ht="13.5" hidden="false" customHeight="false" outlineLevel="0" collapsed="false">
      <c r="A169" s="0" t="s">
        <v>102</v>
      </c>
      <c r="B169" s="1" t="n">
        <v>44029</v>
      </c>
      <c r="C169" s="0" t="e">
        <f aca="false">sheet1!awr170</f>
        <v>#NAME?</v>
      </c>
      <c r="D169" s="0" t="e">
        <f aca="false">sheet1!aws170</f>
        <v>#NAME?</v>
      </c>
      <c r="E169" s="0" t="e">
        <f aca="false">sheet1!awt170</f>
        <v>#NAME?</v>
      </c>
      <c r="F169" s="0" t="e">
        <f aca="false">sheet1!awu170</f>
        <v>#NAME?</v>
      </c>
      <c r="G169" s="0" t="e">
        <f aca="false">sheet1!awv170</f>
        <v>#NAME?</v>
      </c>
      <c r="H169" s="0" t="e">
        <f aca="false">sheet1!aww170</f>
        <v>#NAME?</v>
      </c>
      <c r="I169" s="0" t="e">
        <f aca="false">sheet1!awx170</f>
        <v>#NAME?</v>
      </c>
      <c r="J169" s="0" t="e">
        <f aca="false">sheet1!awy170</f>
        <v>#NAME?</v>
      </c>
      <c r="K169" s="0" t="e">
        <f aca="false">sheet1!awz170</f>
        <v>#NAME?</v>
      </c>
      <c r="L169" s="0" t="e">
        <f aca="false">sheet1!axa170</f>
        <v>#NAME?</v>
      </c>
      <c r="M169" s="0" t="e">
        <f aca="false">sheet1!axb170</f>
        <v>#NAME?</v>
      </c>
    </row>
    <row r="170" customFormat="false" ht="13.5" hidden="false" customHeight="false" outlineLevel="0" collapsed="false">
      <c r="A170" s="0" t="s">
        <v>102</v>
      </c>
      <c r="B170" s="1" t="n">
        <v>44030</v>
      </c>
      <c r="C170" s="0" t="e">
        <f aca="false">sheet1!awr171</f>
        <v>#NAME?</v>
      </c>
      <c r="D170" s="0" t="e">
        <f aca="false">sheet1!aws171</f>
        <v>#NAME?</v>
      </c>
      <c r="E170" s="0" t="e">
        <f aca="false">sheet1!awt171</f>
        <v>#NAME?</v>
      </c>
      <c r="F170" s="0" t="e">
        <f aca="false">sheet1!awu171</f>
        <v>#NAME?</v>
      </c>
      <c r="G170" s="0" t="e">
        <f aca="false">sheet1!awv171</f>
        <v>#NAME?</v>
      </c>
      <c r="H170" s="0" t="e">
        <f aca="false">sheet1!aww171</f>
        <v>#NAME?</v>
      </c>
      <c r="I170" s="0" t="e">
        <f aca="false">sheet1!awx171</f>
        <v>#NAME?</v>
      </c>
      <c r="J170" s="0" t="e">
        <f aca="false">sheet1!awy171</f>
        <v>#NAME?</v>
      </c>
      <c r="K170" s="0" t="e">
        <f aca="false">sheet1!awz171</f>
        <v>#NAME?</v>
      </c>
      <c r="L170" s="0" t="e">
        <f aca="false">sheet1!axa171</f>
        <v>#NAME?</v>
      </c>
      <c r="M170" s="0" t="e">
        <f aca="false">sheet1!axb171</f>
        <v>#NAME?</v>
      </c>
    </row>
    <row r="171" customFormat="false" ht="13.5" hidden="false" customHeight="false" outlineLevel="0" collapsed="false">
      <c r="A171" s="0" t="s">
        <v>102</v>
      </c>
      <c r="B171" s="1" t="n">
        <v>44031</v>
      </c>
      <c r="C171" s="0" t="e">
        <f aca="false">sheet1!awr172</f>
        <v>#NAME?</v>
      </c>
      <c r="D171" s="0" t="e">
        <f aca="false">sheet1!aws172</f>
        <v>#NAME?</v>
      </c>
      <c r="E171" s="0" t="e">
        <f aca="false">sheet1!awt172</f>
        <v>#NAME?</v>
      </c>
      <c r="F171" s="0" t="e">
        <f aca="false">sheet1!awu172</f>
        <v>#NAME?</v>
      </c>
      <c r="G171" s="0" t="e">
        <f aca="false">sheet1!awv172</f>
        <v>#NAME?</v>
      </c>
      <c r="H171" s="0" t="e">
        <f aca="false">sheet1!aww172</f>
        <v>#NAME?</v>
      </c>
      <c r="I171" s="0" t="e">
        <f aca="false">sheet1!awx172</f>
        <v>#NAME?</v>
      </c>
      <c r="J171" s="0" t="e">
        <f aca="false">sheet1!awy172</f>
        <v>#NAME?</v>
      </c>
      <c r="K171" s="0" t="e">
        <f aca="false">sheet1!awz172</f>
        <v>#NAME?</v>
      </c>
      <c r="L171" s="0" t="e">
        <f aca="false">sheet1!axa172</f>
        <v>#NAME?</v>
      </c>
      <c r="M171" s="0" t="e">
        <f aca="false">sheet1!axb172</f>
        <v>#NAME?</v>
      </c>
    </row>
    <row r="172" customFormat="false" ht="13.5" hidden="false" customHeight="false" outlineLevel="0" collapsed="false">
      <c r="A172" s="0" t="s">
        <v>102</v>
      </c>
      <c r="B172" s="1" t="n">
        <v>44032</v>
      </c>
      <c r="C172" s="0" t="e">
        <f aca="false">sheet1!awr173</f>
        <v>#NAME?</v>
      </c>
      <c r="D172" s="0" t="e">
        <f aca="false">sheet1!aws173</f>
        <v>#NAME?</v>
      </c>
      <c r="E172" s="0" t="e">
        <f aca="false">sheet1!awt173</f>
        <v>#NAME?</v>
      </c>
      <c r="F172" s="0" t="e">
        <f aca="false">sheet1!awu173</f>
        <v>#NAME?</v>
      </c>
      <c r="G172" s="0" t="e">
        <f aca="false">sheet1!awv173</f>
        <v>#NAME?</v>
      </c>
      <c r="H172" s="0" t="e">
        <f aca="false">sheet1!aww173</f>
        <v>#NAME?</v>
      </c>
      <c r="I172" s="0" t="e">
        <f aca="false">sheet1!awx173</f>
        <v>#NAME?</v>
      </c>
      <c r="J172" s="0" t="e">
        <f aca="false">sheet1!awy173</f>
        <v>#NAME?</v>
      </c>
      <c r="K172" s="0" t="e">
        <f aca="false">sheet1!awz173</f>
        <v>#NAME?</v>
      </c>
      <c r="L172" s="0" t="e">
        <f aca="false">sheet1!axa173</f>
        <v>#NAME?</v>
      </c>
      <c r="M172" s="0" t="e">
        <f aca="false">sheet1!axb173</f>
        <v>#NAME?</v>
      </c>
    </row>
    <row r="173" customFormat="false" ht="13.5" hidden="false" customHeight="false" outlineLevel="0" collapsed="false">
      <c r="A173" s="0" t="s">
        <v>102</v>
      </c>
      <c r="B173" s="1" t="n">
        <v>44033</v>
      </c>
      <c r="C173" s="0" t="e">
        <f aca="false">sheet1!awr174</f>
        <v>#NAME?</v>
      </c>
      <c r="D173" s="0" t="e">
        <f aca="false">sheet1!aws174</f>
        <v>#NAME?</v>
      </c>
      <c r="E173" s="0" t="e">
        <f aca="false">sheet1!awt174</f>
        <v>#NAME?</v>
      </c>
      <c r="F173" s="0" t="e">
        <f aca="false">sheet1!awu174</f>
        <v>#NAME?</v>
      </c>
      <c r="G173" s="0" t="e">
        <f aca="false">sheet1!awv174</f>
        <v>#NAME?</v>
      </c>
      <c r="H173" s="0" t="e">
        <f aca="false">sheet1!aww174</f>
        <v>#NAME?</v>
      </c>
      <c r="I173" s="0" t="e">
        <f aca="false">sheet1!awx174</f>
        <v>#NAME?</v>
      </c>
      <c r="J173" s="0" t="e">
        <f aca="false">sheet1!awy174</f>
        <v>#NAME?</v>
      </c>
      <c r="K173" s="0" t="e">
        <f aca="false">sheet1!awz174</f>
        <v>#NAME?</v>
      </c>
      <c r="L173" s="0" t="e">
        <f aca="false">sheet1!axa174</f>
        <v>#NAME?</v>
      </c>
      <c r="M173" s="0" t="e">
        <f aca="false">sheet1!axb174</f>
        <v>#NAME?</v>
      </c>
    </row>
    <row r="174" customFormat="false" ht="13.5" hidden="false" customHeight="false" outlineLevel="0" collapsed="false">
      <c r="A174" s="0" t="s">
        <v>102</v>
      </c>
      <c r="B174" s="1" t="n">
        <v>44034</v>
      </c>
      <c r="C174" s="0" t="e">
        <f aca="false">sheet1!awr175</f>
        <v>#NAME?</v>
      </c>
      <c r="D174" s="0" t="e">
        <f aca="false">sheet1!aws175</f>
        <v>#NAME?</v>
      </c>
      <c r="E174" s="0" t="e">
        <f aca="false">sheet1!awt175</f>
        <v>#NAME?</v>
      </c>
      <c r="F174" s="0" t="e">
        <f aca="false">sheet1!awu175</f>
        <v>#NAME?</v>
      </c>
      <c r="G174" s="0" t="e">
        <f aca="false">sheet1!awv175</f>
        <v>#NAME?</v>
      </c>
      <c r="H174" s="0" t="e">
        <f aca="false">sheet1!aww175</f>
        <v>#NAME?</v>
      </c>
      <c r="I174" s="0" t="e">
        <f aca="false">sheet1!awx175</f>
        <v>#NAME?</v>
      </c>
      <c r="J174" s="0" t="e">
        <f aca="false">sheet1!awy175</f>
        <v>#NAME?</v>
      </c>
      <c r="K174" s="0" t="e">
        <f aca="false">sheet1!awz175</f>
        <v>#NAME?</v>
      </c>
      <c r="L174" s="0" t="e">
        <f aca="false">sheet1!axa175</f>
        <v>#NAME?</v>
      </c>
      <c r="M174" s="0" t="e">
        <f aca="false">sheet1!axb175</f>
        <v>#NAME?</v>
      </c>
    </row>
    <row r="175" customFormat="false" ht="13.5" hidden="false" customHeight="false" outlineLevel="0" collapsed="false">
      <c r="A175" s="0" t="s">
        <v>102</v>
      </c>
      <c r="B175" s="1" t="n">
        <v>44035</v>
      </c>
      <c r="C175" s="0" t="e">
        <f aca="false">sheet1!awr176</f>
        <v>#NAME?</v>
      </c>
      <c r="D175" s="0" t="e">
        <f aca="false">sheet1!aws176</f>
        <v>#NAME?</v>
      </c>
      <c r="E175" s="0" t="e">
        <f aca="false">sheet1!awt176</f>
        <v>#NAME?</v>
      </c>
      <c r="F175" s="0" t="e">
        <f aca="false">sheet1!awu176</f>
        <v>#NAME?</v>
      </c>
      <c r="G175" s="0" t="e">
        <f aca="false">sheet1!awv176</f>
        <v>#NAME?</v>
      </c>
      <c r="H175" s="0" t="e">
        <f aca="false">sheet1!aww176</f>
        <v>#NAME?</v>
      </c>
      <c r="I175" s="0" t="e">
        <f aca="false">sheet1!awx176</f>
        <v>#NAME?</v>
      </c>
      <c r="J175" s="0" t="e">
        <f aca="false">sheet1!awy176</f>
        <v>#NAME?</v>
      </c>
      <c r="K175" s="0" t="e">
        <f aca="false">sheet1!awz176</f>
        <v>#NAME?</v>
      </c>
      <c r="L175" s="0" t="e">
        <f aca="false">sheet1!axa176</f>
        <v>#NAME?</v>
      </c>
      <c r="M175" s="0" t="e">
        <f aca="false">sheet1!axb176</f>
        <v>#NAME?</v>
      </c>
    </row>
    <row r="176" customFormat="false" ht="13.5" hidden="false" customHeight="false" outlineLevel="0" collapsed="false">
      <c r="A176" s="0" t="s">
        <v>102</v>
      </c>
      <c r="B176" s="1" t="n">
        <v>44036</v>
      </c>
      <c r="C176" s="0" t="e">
        <f aca="false">sheet1!awr177</f>
        <v>#NAME?</v>
      </c>
      <c r="D176" s="0" t="e">
        <f aca="false">sheet1!aws177</f>
        <v>#NAME?</v>
      </c>
      <c r="E176" s="0" t="e">
        <f aca="false">sheet1!awt177</f>
        <v>#NAME?</v>
      </c>
      <c r="F176" s="0" t="e">
        <f aca="false">sheet1!awu177</f>
        <v>#NAME?</v>
      </c>
      <c r="G176" s="0" t="e">
        <f aca="false">sheet1!awv177</f>
        <v>#NAME?</v>
      </c>
      <c r="H176" s="0" t="e">
        <f aca="false">sheet1!aww177</f>
        <v>#NAME?</v>
      </c>
      <c r="I176" s="0" t="e">
        <f aca="false">sheet1!awx177</f>
        <v>#NAME?</v>
      </c>
      <c r="J176" s="0" t="e">
        <f aca="false">sheet1!awy177</f>
        <v>#NAME?</v>
      </c>
      <c r="K176" s="0" t="e">
        <f aca="false">sheet1!awz177</f>
        <v>#NAME?</v>
      </c>
      <c r="L176" s="0" t="e">
        <f aca="false">sheet1!axa177</f>
        <v>#NAME?</v>
      </c>
      <c r="M176" s="0" t="e">
        <f aca="false">sheet1!axb177</f>
        <v>#NAME?</v>
      </c>
    </row>
    <row r="177" customFormat="false" ht="13.5" hidden="false" customHeight="false" outlineLevel="0" collapsed="false">
      <c r="A177" s="0" t="s">
        <v>102</v>
      </c>
      <c r="B177" s="1" t="n">
        <v>44037</v>
      </c>
      <c r="C177" s="0" t="e">
        <f aca="false">sheet1!awr178</f>
        <v>#NAME?</v>
      </c>
      <c r="D177" s="0" t="e">
        <f aca="false">sheet1!aws178</f>
        <v>#NAME?</v>
      </c>
      <c r="E177" s="0" t="e">
        <f aca="false">sheet1!awt178</f>
        <v>#NAME?</v>
      </c>
      <c r="F177" s="0" t="e">
        <f aca="false">sheet1!awu178</f>
        <v>#NAME?</v>
      </c>
      <c r="G177" s="0" t="e">
        <f aca="false">sheet1!awv178</f>
        <v>#NAME?</v>
      </c>
      <c r="H177" s="0" t="e">
        <f aca="false">sheet1!aww178</f>
        <v>#NAME?</v>
      </c>
      <c r="I177" s="0" t="e">
        <f aca="false">sheet1!awx178</f>
        <v>#NAME?</v>
      </c>
      <c r="J177" s="0" t="e">
        <f aca="false">sheet1!awy178</f>
        <v>#NAME?</v>
      </c>
      <c r="K177" s="0" t="e">
        <f aca="false">sheet1!awz178</f>
        <v>#NAME?</v>
      </c>
      <c r="L177" s="0" t="e">
        <f aca="false">sheet1!axa178</f>
        <v>#NAME?</v>
      </c>
      <c r="M177" s="0" t="e">
        <f aca="false">sheet1!axb178</f>
        <v>#NAME?</v>
      </c>
    </row>
    <row r="178" customFormat="false" ht="13.5" hidden="false" customHeight="false" outlineLevel="0" collapsed="false">
      <c r="A178" s="0" t="s">
        <v>102</v>
      </c>
      <c r="B178" s="1" t="n">
        <v>44038</v>
      </c>
      <c r="C178" s="0" t="e">
        <f aca="false">sheet1!awr179</f>
        <v>#NAME?</v>
      </c>
      <c r="D178" s="0" t="e">
        <f aca="false">sheet1!aws179</f>
        <v>#NAME?</v>
      </c>
      <c r="E178" s="0" t="e">
        <f aca="false">sheet1!awt179</f>
        <v>#NAME?</v>
      </c>
      <c r="F178" s="0" t="e">
        <f aca="false">sheet1!awu179</f>
        <v>#NAME?</v>
      </c>
      <c r="G178" s="0" t="e">
        <f aca="false">sheet1!awv179</f>
        <v>#NAME?</v>
      </c>
      <c r="H178" s="0" t="e">
        <f aca="false">sheet1!aww179</f>
        <v>#NAME?</v>
      </c>
      <c r="I178" s="0" t="e">
        <f aca="false">sheet1!awx179</f>
        <v>#NAME?</v>
      </c>
      <c r="J178" s="0" t="e">
        <f aca="false">sheet1!awy179</f>
        <v>#NAME?</v>
      </c>
      <c r="K178" s="0" t="e">
        <f aca="false">sheet1!awz179</f>
        <v>#NAME?</v>
      </c>
      <c r="L178" s="0" t="e">
        <f aca="false">sheet1!axa179</f>
        <v>#NAME?</v>
      </c>
      <c r="M178" s="0" t="e">
        <f aca="false">sheet1!axb179</f>
        <v>#NAME?</v>
      </c>
    </row>
    <row r="179" customFormat="false" ht="13.5" hidden="false" customHeight="false" outlineLevel="0" collapsed="false">
      <c r="A179" s="0" t="s">
        <v>102</v>
      </c>
      <c r="B179" s="1" t="n">
        <v>44039</v>
      </c>
      <c r="C179" s="0" t="e">
        <f aca="false">sheet1!awr180</f>
        <v>#NAME?</v>
      </c>
      <c r="D179" s="0" t="e">
        <f aca="false">sheet1!aws180</f>
        <v>#NAME?</v>
      </c>
      <c r="E179" s="0" t="e">
        <f aca="false">sheet1!awt180</f>
        <v>#NAME?</v>
      </c>
      <c r="F179" s="0" t="e">
        <f aca="false">sheet1!awu180</f>
        <v>#NAME?</v>
      </c>
      <c r="G179" s="0" t="e">
        <f aca="false">sheet1!awv180</f>
        <v>#NAME?</v>
      </c>
      <c r="H179" s="0" t="e">
        <f aca="false">sheet1!aww180</f>
        <v>#NAME?</v>
      </c>
      <c r="I179" s="0" t="e">
        <f aca="false">sheet1!awx180</f>
        <v>#NAME?</v>
      </c>
      <c r="J179" s="0" t="e">
        <f aca="false">sheet1!awy180</f>
        <v>#NAME?</v>
      </c>
      <c r="K179" s="0" t="e">
        <f aca="false">sheet1!awz180</f>
        <v>#NAME?</v>
      </c>
      <c r="L179" s="0" t="e">
        <f aca="false">sheet1!axa180</f>
        <v>#NAME?</v>
      </c>
      <c r="M179" s="0" t="e">
        <f aca="false">sheet1!axb180</f>
        <v>#NAME?</v>
      </c>
    </row>
    <row r="180" customFormat="false" ht="13.5" hidden="false" customHeight="false" outlineLevel="0" collapsed="false">
      <c r="A180" s="0" t="s">
        <v>102</v>
      </c>
      <c r="B180" s="1" t="n">
        <v>44040</v>
      </c>
      <c r="C180" s="0" t="e">
        <f aca="false">sheet1!awr181</f>
        <v>#NAME?</v>
      </c>
      <c r="D180" s="0" t="e">
        <f aca="false">sheet1!aws181</f>
        <v>#NAME?</v>
      </c>
      <c r="E180" s="0" t="e">
        <f aca="false">sheet1!awt181</f>
        <v>#NAME?</v>
      </c>
      <c r="F180" s="0" t="e">
        <f aca="false">sheet1!awu181</f>
        <v>#NAME?</v>
      </c>
      <c r="G180" s="0" t="e">
        <f aca="false">sheet1!awv181</f>
        <v>#NAME?</v>
      </c>
      <c r="H180" s="0" t="e">
        <f aca="false">sheet1!aww181</f>
        <v>#NAME?</v>
      </c>
      <c r="I180" s="0" t="e">
        <f aca="false">sheet1!awx181</f>
        <v>#NAME?</v>
      </c>
      <c r="J180" s="0" t="e">
        <f aca="false">sheet1!awy181</f>
        <v>#NAME?</v>
      </c>
      <c r="K180" s="0" t="e">
        <f aca="false">sheet1!awz181</f>
        <v>#NAME?</v>
      </c>
      <c r="L180" s="0" t="e">
        <f aca="false">sheet1!axa181</f>
        <v>#NAME?</v>
      </c>
      <c r="M180" s="0" t="e">
        <f aca="false">sheet1!axb181</f>
        <v>#NAME?</v>
      </c>
    </row>
    <row r="181" customFormat="false" ht="13.5" hidden="false" customHeight="false" outlineLevel="0" collapsed="false">
      <c r="A181" s="0" t="s">
        <v>102</v>
      </c>
      <c r="B181" s="1" t="n">
        <v>44041</v>
      </c>
      <c r="C181" s="0" t="e">
        <f aca="false">sheet1!awr182</f>
        <v>#NAME?</v>
      </c>
      <c r="D181" s="0" t="e">
        <f aca="false">sheet1!aws182</f>
        <v>#NAME?</v>
      </c>
      <c r="E181" s="0" t="e">
        <f aca="false">sheet1!awt182</f>
        <v>#NAME?</v>
      </c>
      <c r="F181" s="0" t="e">
        <f aca="false">sheet1!awu182</f>
        <v>#NAME?</v>
      </c>
      <c r="G181" s="0" t="e">
        <f aca="false">sheet1!awv182</f>
        <v>#NAME?</v>
      </c>
      <c r="H181" s="0" t="e">
        <f aca="false">sheet1!aww182</f>
        <v>#NAME?</v>
      </c>
      <c r="I181" s="0" t="e">
        <f aca="false">sheet1!awx182</f>
        <v>#NAME?</v>
      </c>
      <c r="J181" s="0" t="e">
        <f aca="false">sheet1!awy182</f>
        <v>#NAME?</v>
      </c>
      <c r="K181" s="0" t="e">
        <f aca="false">sheet1!awz182</f>
        <v>#NAME?</v>
      </c>
      <c r="L181" s="0" t="e">
        <f aca="false">sheet1!axa182</f>
        <v>#NAME?</v>
      </c>
      <c r="M181" s="0" t="e">
        <f aca="false">sheet1!axb182</f>
        <v>#NAME?</v>
      </c>
    </row>
    <row r="182" customFormat="false" ht="13.5" hidden="false" customHeight="false" outlineLevel="0" collapsed="false">
      <c r="A182" s="0" t="s">
        <v>102</v>
      </c>
      <c r="B182" s="1" t="n">
        <v>44042</v>
      </c>
      <c r="C182" s="0" t="e">
        <f aca="false">sheet1!awr183</f>
        <v>#NAME?</v>
      </c>
      <c r="D182" s="0" t="e">
        <f aca="false">sheet1!aws183</f>
        <v>#NAME?</v>
      </c>
      <c r="E182" s="0" t="e">
        <f aca="false">sheet1!awt183</f>
        <v>#NAME?</v>
      </c>
      <c r="F182" s="0" t="e">
        <f aca="false">sheet1!awu183</f>
        <v>#NAME?</v>
      </c>
      <c r="G182" s="0" t="e">
        <f aca="false">sheet1!awv183</f>
        <v>#NAME?</v>
      </c>
      <c r="H182" s="0" t="e">
        <f aca="false">sheet1!aww183</f>
        <v>#NAME?</v>
      </c>
      <c r="I182" s="0" t="e">
        <f aca="false">sheet1!awx183</f>
        <v>#NAME?</v>
      </c>
      <c r="J182" s="0" t="e">
        <f aca="false">sheet1!awy183</f>
        <v>#NAME?</v>
      </c>
      <c r="K182" s="0" t="e">
        <f aca="false">sheet1!awz183</f>
        <v>#NAME?</v>
      </c>
      <c r="L182" s="0" t="e">
        <f aca="false">sheet1!axa183</f>
        <v>#NAME?</v>
      </c>
      <c r="M182" s="0" t="e">
        <f aca="false">sheet1!axb183</f>
        <v>#NAME?</v>
      </c>
    </row>
    <row r="183" customFormat="false" ht="13.5" hidden="false" customHeight="false" outlineLevel="0" collapsed="false">
      <c r="A183" s="0" t="s">
        <v>102</v>
      </c>
      <c r="B183" s="1" t="n">
        <v>44043</v>
      </c>
      <c r="C183" s="0" t="e">
        <f aca="false">sheet1!awr184</f>
        <v>#NAME?</v>
      </c>
      <c r="D183" s="0" t="e">
        <f aca="false">sheet1!aws184</f>
        <v>#NAME?</v>
      </c>
      <c r="E183" s="0" t="e">
        <f aca="false">sheet1!awt184</f>
        <v>#NAME?</v>
      </c>
      <c r="F183" s="0" t="e">
        <f aca="false">sheet1!awu184</f>
        <v>#NAME?</v>
      </c>
      <c r="G183" s="0" t="e">
        <f aca="false">sheet1!awv184</f>
        <v>#NAME?</v>
      </c>
      <c r="H183" s="0" t="e">
        <f aca="false">sheet1!aww184</f>
        <v>#NAME?</v>
      </c>
      <c r="I183" s="0" t="e">
        <f aca="false">sheet1!awx184</f>
        <v>#NAME?</v>
      </c>
      <c r="J183" s="0" t="e">
        <f aca="false">sheet1!awy184</f>
        <v>#NAME?</v>
      </c>
      <c r="K183" s="0" t="e">
        <f aca="false">sheet1!awz184</f>
        <v>#NAME?</v>
      </c>
      <c r="L183" s="0" t="e">
        <f aca="false">sheet1!axa184</f>
        <v>#NAME?</v>
      </c>
      <c r="M183" s="0" t="e">
        <f aca="false">sheet1!axb184</f>
        <v>#NAME?</v>
      </c>
    </row>
    <row r="184" customFormat="false" ht="13.5" hidden="false" customHeight="false" outlineLevel="0" collapsed="false">
      <c r="A184" s="0" t="s">
        <v>102</v>
      </c>
      <c r="B184" s="1" t="n">
        <v>44044</v>
      </c>
      <c r="C184" s="0" t="e">
        <f aca="false">sheet1!awr185</f>
        <v>#NAME?</v>
      </c>
      <c r="D184" s="0" t="e">
        <f aca="false">sheet1!aws185</f>
        <v>#NAME?</v>
      </c>
      <c r="E184" s="0" t="e">
        <f aca="false">sheet1!awt185</f>
        <v>#NAME?</v>
      </c>
      <c r="F184" s="0" t="e">
        <f aca="false">sheet1!awu185</f>
        <v>#NAME?</v>
      </c>
      <c r="G184" s="0" t="e">
        <f aca="false">sheet1!awv185</f>
        <v>#NAME?</v>
      </c>
      <c r="H184" s="0" t="e">
        <f aca="false">sheet1!aww185</f>
        <v>#NAME?</v>
      </c>
      <c r="I184" s="0" t="e">
        <f aca="false">sheet1!awx185</f>
        <v>#NAME?</v>
      </c>
      <c r="J184" s="0" t="e">
        <f aca="false">sheet1!awy185</f>
        <v>#NAME?</v>
      </c>
      <c r="K184" s="0" t="e">
        <f aca="false">sheet1!awz185</f>
        <v>#NAME?</v>
      </c>
      <c r="L184" s="0" t="e">
        <f aca="false">sheet1!axa185</f>
        <v>#NAME?</v>
      </c>
      <c r="M184" s="0" t="e">
        <f aca="false">sheet1!axb185</f>
        <v>#NAME?</v>
      </c>
    </row>
    <row r="185" customFormat="false" ht="13.5" hidden="false" customHeight="false" outlineLevel="0" collapsed="false">
      <c r="A185" s="0" t="s">
        <v>102</v>
      </c>
      <c r="B185" s="1" t="n">
        <v>44045</v>
      </c>
      <c r="C185" s="0" t="e">
        <f aca="false">sheet1!awr186</f>
        <v>#NAME?</v>
      </c>
      <c r="D185" s="0" t="e">
        <f aca="false">sheet1!aws186</f>
        <v>#NAME?</v>
      </c>
      <c r="E185" s="0" t="e">
        <f aca="false">sheet1!awt186</f>
        <v>#NAME?</v>
      </c>
      <c r="F185" s="0" t="e">
        <f aca="false">sheet1!awu186</f>
        <v>#NAME?</v>
      </c>
      <c r="G185" s="0" t="e">
        <f aca="false">sheet1!awv186</f>
        <v>#NAME?</v>
      </c>
      <c r="H185" s="0" t="e">
        <f aca="false">sheet1!aww186</f>
        <v>#NAME?</v>
      </c>
      <c r="I185" s="0" t="e">
        <f aca="false">sheet1!awx186</f>
        <v>#NAME?</v>
      </c>
      <c r="J185" s="0" t="e">
        <f aca="false">sheet1!awy186</f>
        <v>#NAME?</v>
      </c>
      <c r="K185" s="0" t="e">
        <f aca="false">sheet1!awz186</f>
        <v>#NAME?</v>
      </c>
      <c r="L185" s="0" t="e">
        <f aca="false">sheet1!axa186</f>
        <v>#NAME?</v>
      </c>
      <c r="M185" s="0" t="e">
        <f aca="false">sheet1!axb186</f>
        <v>#NAME?</v>
      </c>
    </row>
    <row r="186" customFormat="false" ht="13.5" hidden="false" customHeight="false" outlineLevel="0" collapsed="false">
      <c r="A186" s="0" t="s">
        <v>102</v>
      </c>
      <c r="B186" s="1" t="n">
        <v>44046</v>
      </c>
      <c r="C186" s="0" t="e">
        <f aca="false">sheet1!awr187</f>
        <v>#NAME?</v>
      </c>
      <c r="D186" s="0" t="e">
        <f aca="false">sheet1!aws187</f>
        <v>#NAME?</v>
      </c>
      <c r="E186" s="0" t="e">
        <f aca="false">sheet1!awt187</f>
        <v>#NAME?</v>
      </c>
      <c r="F186" s="0" t="e">
        <f aca="false">sheet1!awu187</f>
        <v>#NAME?</v>
      </c>
      <c r="G186" s="0" t="e">
        <f aca="false">sheet1!awv187</f>
        <v>#NAME?</v>
      </c>
      <c r="H186" s="0" t="e">
        <f aca="false">sheet1!aww187</f>
        <v>#NAME?</v>
      </c>
      <c r="I186" s="0" t="e">
        <f aca="false">sheet1!awx187</f>
        <v>#NAME?</v>
      </c>
      <c r="J186" s="0" t="e">
        <f aca="false">sheet1!awy187</f>
        <v>#NAME?</v>
      </c>
      <c r="K186" s="0" t="e">
        <f aca="false">sheet1!awz187</f>
        <v>#NAME?</v>
      </c>
      <c r="L186" s="0" t="e">
        <f aca="false">sheet1!axa187</f>
        <v>#NAME?</v>
      </c>
      <c r="M186" s="0" t="e">
        <f aca="false">sheet1!axb187</f>
        <v>#NAME?</v>
      </c>
    </row>
    <row r="187" customFormat="false" ht="13.5" hidden="false" customHeight="false" outlineLevel="0" collapsed="false">
      <c r="A187" s="0" t="s">
        <v>102</v>
      </c>
      <c r="B187" s="1" t="n">
        <v>44047</v>
      </c>
      <c r="C187" s="0" t="e">
        <f aca="false">sheet1!awr188</f>
        <v>#NAME?</v>
      </c>
      <c r="D187" s="0" t="e">
        <f aca="false">sheet1!aws188</f>
        <v>#NAME?</v>
      </c>
      <c r="E187" s="0" t="e">
        <f aca="false">sheet1!awt188</f>
        <v>#NAME?</v>
      </c>
      <c r="F187" s="0" t="e">
        <f aca="false">sheet1!awu188</f>
        <v>#NAME?</v>
      </c>
      <c r="G187" s="0" t="e">
        <f aca="false">sheet1!awv188</f>
        <v>#NAME?</v>
      </c>
      <c r="H187" s="0" t="e">
        <f aca="false">sheet1!aww188</f>
        <v>#NAME?</v>
      </c>
      <c r="I187" s="0" t="e">
        <f aca="false">sheet1!awx188</f>
        <v>#NAME?</v>
      </c>
      <c r="J187" s="0" t="e">
        <f aca="false">sheet1!awy188</f>
        <v>#NAME?</v>
      </c>
      <c r="K187" s="0" t="e">
        <f aca="false">sheet1!awz188</f>
        <v>#NAME?</v>
      </c>
      <c r="L187" s="0" t="e">
        <f aca="false">sheet1!axa188</f>
        <v>#NAME?</v>
      </c>
      <c r="M187" s="0" t="e">
        <f aca="false">sheet1!axb188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I152" activeCellId="0" sqref="I152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103</v>
      </c>
      <c r="B2" s="1" t="n">
        <v>43862</v>
      </c>
    </row>
    <row r="3" customFormat="false" ht="13.5" hidden="false" customHeight="false" outlineLevel="0" collapsed="false">
      <c r="A3" s="0" t="s">
        <v>103</v>
      </c>
      <c r="B3" s="1" t="n">
        <v>43863</v>
      </c>
    </row>
    <row r="4" customFormat="false" ht="13.5" hidden="false" customHeight="false" outlineLevel="0" collapsed="false">
      <c r="A4" s="0" t="s">
        <v>103</v>
      </c>
      <c r="B4" s="1" t="n">
        <v>43864</v>
      </c>
    </row>
    <row r="5" customFormat="false" ht="13.5" hidden="false" customHeight="false" outlineLevel="0" collapsed="false">
      <c r="A5" s="0" t="s">
        <v>103</v>
      </c>
      <c r="B5" s="1" t="n">
        <v>43865</v>
      </c>
    </row>
    <row r="6" customFormat="false" ht="13.5" hidden="false" customHeight="false" outlineLevel="0" collapsed="false">
      <c r="A6" s="0" t="s">
        <v>103</v>
      </c>
      <c r="B6" s="1" t="n">
        <v>43866</v>
      </c>
    </row>
    <row r="7" customFormat="false" ht="13.5" hidden="false" customHeight="false" outlineLevel="0" collapsed="false">
      <c r="A7" s="0" t="s">
        <v>103</v>
      </c>
      <c r="B7" s="1" t="n">
        <v>43867</v>
      </c>
    </row>
    <row r="8" customFormat="false" ht="13.5" hidden="false" customHeight="false" outlineLevel="0" collapsed="false">
      <c r="A8" s="0" t="s">
        <v>103</v>
      </c>
      <c r="B8" s="1" t="n">
        <v>43868</v>
      </c>
    </row>
    <row r="9" customFormat="false" ht="13.5" hidden="false" customHeight="false" outlineLevel="0" collapsed="false">
      <c r="A9" s="0" t="s">
        <v>103</v>
      </c>
      <c r="B9" s="1" t="n">
        <v>43869</v>
      </c>
    </row>
    <row r="10" customFormat="false" ht="13.5" hidden="false" customHeight="false" outlineLevel="0" collapsed="false">
      <c r="A10" s="0" t="s">
        <v>103</v>
      </c>
      <c r="B10" s="1" t="n">
        <v>43870</v>
      </c>
    </row>
    <row r="11" customFormat="false" ht="13.5" hidden="false" customHeight="false" outlineLevel="0" collapsed="false">
      <c r="A11" s="0" t="s">
        <v>103</v>
      </c>
      <c r="B11" s="1" t="n">
        <v>43871</v>
      </c>
    </row>
    <row r="12" customFormat="false" ht="13.5" hidden="false" customHeight="false" outlineLevel="0" collapsed="false">
      <c r="A12" s="0" t="s">
        <v>103</v>
      </c>
      <c r="B12" s="1" t="n">
        <v>43872</v>
      </c>
    </row>
    <row r="13" customFormat="false" ht="13.5" hidden="false" customHeight="false" outlineLevel="0" collapsed="false">
      <c r="A13" s="0" t="s">
        <v>103</v>
      </c>
      <c r="B13" s="1" t="n">
        <v>43873</v>
      </c>
    </row>
    <row r="14" customFormat="false" ht="13.5" hidden="false" customHeight="false" outlineLevel="0" collapsed="false">
      <c r="A14" s="0" t="s">
        <v>103</v>
      </c>
      <c r="B14" s="1" t="n">
        <v>43874</v>
      </c>
    </row>
    <row r="15" customFormat="false" ht="13.5" hidden="false" customHeight="false" outlineLevel="0" collapsed="false">
      <c r="A15" s="0" t="s">
        <v>103</v>
      </c>
      <c r="B15" s="1" t="n">
        <v>43875</v>
      </c>
    </row>
    <row r="16" customFormat="false" ht="13.5" hidden="false" customHeight="false" outlineLevel="0" collapsed="false">
      <c r="A16" s="0" t="s">
        <v>103</v>
      </c>
      <c r="B16" s="1" t="n">
        <v>43876</v>
      </c>
    </row>
    <row r="17" customFormat="false" ht="13.5" hidden="false" customHeight="false" outlineLevel="0" collapsed="false">
      <c r="A17" s="0" t="s">
        <v>103</v>
      </c>
      <c r="B17" s="1" t="n">
        <v>43877</v>
      </c>
    </row>
    <row r="18" customFormat="false" ht="13.5" hidden="false" customHeight="false" outlineLevel="0" collapsed="false">
      <c r="A18" s="0" t="s">
        <v>103</v>
      </c>
      <c r="B18" s="1" t="n">
        <v>43878</v>
      </c>
    </row>
    <row r="19" customFormat="false" ht="13.5" hidden="false" customHeight="false" outlineLevel="0" collapsed="false">
      <c r="A19" s="0" t="s">
        <v>103</v>
      </c>
      <c r="B19" s="1" t="n">
        <v>43879</v>
      </c>
    </row>
    <row r="20" customFormat="false" ht="13.5" hidden="false" customHeight="false" outlineLevel="0" collapsed="false">
      <c r="A20" s="0" t="s">
        <v>103</v>
      </c>
      <c r="B20" s="1" t="n">
        <v>43880</v>
      </c>
    </row>
    <row r="21" customFormat="false" ht="13.5" hidden="false" customHeight="false" outlineLevel="0" collapsed="false">
      <c r="A21" s="0" t="s">
        <v>103</v>
      </c>
      <c r="B21" s="1" t="n">
        <v>43881</v>
      </c>
    </row>
    <row r="22" customFormat="false" ht="13.5" hidden="false" customHeight="false" outlineLevel="0" collapsed="false">
      <c r="A22" s="0" t="s">
        <v>103</v>
      </c>
      <c r="B22" s="1" t="n">
        <v>43882</v>
      </c>
    </row>
    <row r="23" customFormat="false" ht="13.5" hidden="false" customHeight="false" outlineLevel="0" collapsed="false">
      <c r="A23" s="0" t="s">
        <v>103</v>
      </c>
      <c r="B23" s="1" t="n">
        <v>43883</v>
      </c>
    </row>
    <row r="24" customFormat="false" ht="13.5" hidden="false" customHeight="false" outlineLevel="0" collapsed="false">
      <c r="A24" s="0" t="s">
        <v>103</v>
      </c>
      <c r="B24" s="1" t="n">
        <v>43884</v>
      </c>
    </row>
    <row r="25" customFormat="false" ht="13.5" hidden="false" customHeight="false" outlineLevel="0" collapsed="false">
      <c r="A25" s="0" t="s">
        <v>103</v>
      </c>
      <c r="B25" s="1" t="n">
        <v>43885</v>
      </c>
    </row>
    <row r="26" customFormat="false" ht="13.5" hidden="false" customHeight="false" outlineLevel="0" collapsed="false">
      <c r="A26" s="0" t="s">
        <v>103</v>
      </c>
      <c r="B26" s="1" t="n">
        <v>43886</v>
      </c>
    </row>
    <row r="27" customFormat="false" ht="13.5" hidden="false" customHeight="false" outlineLevel="0" collapsed="false">
      <c r="A27" s="0" t="s">
        <v>103</v>
      </c>
      <c r="B27" s="1" t="n">
        <v>43887</v>
      </c>
    </row>
    <row r="28" customFormat="false" ht="13.5" hidden="false" customHeight="false" outlineLevel="0" collapsed="false">
      <c r="A28" s="0" t="s">
        <v>103</v>
      </c>
      <c r="B28" s="1" t="n">
        <v>43888</v>
      </c>
    </row>
    <row r="29" customFormat="false" ht="13.5" hidden="false" customHeight="false" outlineLevel="0" collapsed="false">
      <c r="A29" s="0" t="s">
        <v>103</v>
      </c>
      <c r="B29" s="1" t="n">
        <v>43889</v>
      </c>
    </row>
    <row r="30" customFormat="false" ht="13.5" hidden="false" customHeight="false" outlineLevel="0" collapsed="false">
      <c r="A30" s="0" t="s">
        <v>103</v>
      </c>
      <c r="B30" s="1" t="n">
        <v>43890</v>
      </c>
    </row>
    <row r="31" customFormat="false" ht="13.5" hidden="false" customHeight="false" outlineLevel="0" collapsed="false">
      <c r="A31" s="0" t="s">
        <v>103</v>
      </c>
      <c r="B31" s="1" t="n">
        <v>43891</v>
      </c>
    </row>
    <row r="32" customFormat="false" ht="13.5" hidden="false" customHeight="false" outlineLevel="0" collapsed="false">
      <c r="A32" s="0" t="s">
        <v>103</v>
      </c>
      <c r="B32" s="1" t="n">
        <v>43892</v>
      </c>
    </row>
    <row r="33" customFormat="false" ht="13.5" hidden="false" customHeight="false" outlineLevel="0" collapsed="false">
      <c r="A33" s="0" t="s">
        <v>103</v>
      </c>
      <c r="B33" s="1" t="n">
        <v>43893</v>
      </c>
    </row>
    <row r="34" customFormat="false" ht="13.5" hidden="false" customHeight="false" outlineLevel="0" collapsed="false">
      <c r="A34" s="0" t="s">
        <v>103</v>
      </c>
      <c r="B34" s="1" t="n">
        <v>43894</v>
      </c>
    </row>
    <row r="35" customFormat="false" ht="13.5" hidden="false" customHeight="false" outlineLevel="0" collapsed="false">
      <c r="A35" s="0" t="s">
        <v>103</v>
      </c>
      <c r="B35" s="1" t="n">
        <v>43895</v>
      </c>
    </row>
    <row r="36" customFormat="false" ht="13.5" hidden="false" customHeight="false" outlineLevel="0" collapsed="false">
      <c r="A36" s="0" t="s">
        <v>103</v>
      </c>
      <c r="B36" s="1" t="n">
        <v>43896</v>
      </c>
    </row>
    <row r="37" customFormat="false" ht="13.5" hidden="false" customHeight="false" outlineLevel="0" collapsed="false">
      <c r="A37" s="0" t="s">
        <v>103</v>
      </c>
      <c r="B37" s="1" t="n">
        <v>43897</v>
      </c>
    </row>
    <row r="38" customFormat="false" ht="13.5" hidden="false" customHeight="false" outlineLevel="0" collapsed="false">
      <c r="A38" s="0" t="s">
        <v>103</v>
      </c>
      <c r="B38" s="1" t="n">
        <v>43898</v>
      </c>
    </row>
    <row r="39" customFormat="false" ht="13.5" hidden="false" customHeight="false" outlineLevel="0" collapsed="false">
      <c r="A39" s="0" t="s">
        <v>103</v>
      </c>
      <c r="B39" s="1" t="n">
        <v>43899</v>
      </c>
    </row>
    <row r="40" customFormat="false" ht="13.5" hidden="false" customHeight="false" outlineLevel="0" collapsed="false">
      <c r="A40" s="0" t="s">
        <v>103</v>
      </c>
      <c r="B40" s="1" t="n">
        <v>43900</v>
      </c>
    </row>
    <row r="41" customFormat="false" ht="13.5" hidden="false" customHeight="false" outlineLevel="0" collapsed="false">
      <c r="A41" s="0" t="s">
        <v>103</v>
      </c>
      <c r="B41" s="1" t="n">
        <v>43901</v>
      </c>
    </row>
    <row r="42" customFormat="false" ht="13.5" hidden="false" customHeight="false" outlineLevel="0" collapsed="false">
      <c r="A42" s="0" t="s">
        <v>103</v>
      </c>
      <c r="B42" s="1" t="n">
        <v>43902</v>
      </c>
    </row>
    <row r="43" customFormat="false" ht="13.5" hidden="false" customHeight="false" outlineLevel="0" collapsed="false">
      <c r="A43" s="0" t="s">
        <v>103</v>
      </c>
      <c r="B43" s="1" t="n">
        <v>43903</v>
      </c>
    </row>
    <row r="44" customFormat="false" ht="13.5" hidden="false" customHeight="false" outlineLevel="0" collapsed="false">
      <c r="A44" s="0" t="s">
        <v>103</v>
      </c>
      <c r="B44" s="1" t="n">
        <v>43904</v>
      </c>
    </row>
    <row r="45" customFormat="false" ht="13.5" hidden="false" customHeight="false" outlineLevel="0" collapsed="false">
      <c r="A45" s="0" t="s">
        <v>103</v>
      </c>
      <c r="B45" s="1" t="n">
        <v>43905</v>
      </c>
    </row>
    <row r="46" customFormat="false" ht="13.5" hidden="false" customHeight="false" outlineLevel="0" collapsed="false">
      <c r="A46" s="0" t="s">
        <v>103</v>
      </c>
      <c r="B46" s="1" t="n">
        <v>43906</v>
      </c>
    </row>
    <row r="47" customFormat="false" ht="13.5" hidden="false" customHeight="false" outlineLevel="0" collapsed="false">
      <c r="A47" s="0" t="s">
        <v>103</v>
      </c>
      <c r="B47" s="1" t="n">
        <v>43907</v>
      </c>
    </row>
    <row r="48" customFormat="false" ht="13.5" hidden="false" customHeight="false" outlineLevel="0" collapsed="false">
      <c r="A48" s="0" t="s">
        <v>103</v>
      </c>
      <c r="B48" s="1" t="n">
        <v>43908</v>
      </c>
    </row>
    <row r="49" customFormat="false" ht="13.5" hidden="false" customHeight="false" outlineLevel="0" collapsed="false">
      <c r="A49" s="0" t="s">
        <v>103</v>
      </c>
      <c r="B49" s="1" t="n">
        <v>43909</v>
      </c>
    </row>
    <row r="50" customFormat="false" ht="14.25" hidden="false" customHeight="false" outlineLevel="0" collapsed="false">
      <c r="A50" s="0" t="s">
        <v>103</v>
      </c>
      <c r="B50" s="1" t="n">
        <v>43910</v>
      </c>
    </row>
    <row r="51" customFormat="false" ht="15.75" hidden="false" customHeight="false" outlineLevel="0" collapsed="false">
      <c r="A51" s="0" t="s">
        <v>103</v>
      </c>
      <c r="B51" s="1" t="n">
        <v>43911</v>
      </c>
      <c r="C51" s="6" t="n">
        <v>2</v>
      </c>
      <c r="D51" s="6" t="n">
        <f aca="false">C51-C50</f>
        <v>2</v>
      </c>
      <c r="E51" s="6"/>
      <c r="F51" s="6"/>
      <c r="G51" s="6"/>
      <c r="H51" s="6" t="n">
        <v>2</v>
      </c>
      <c r="I51" s="6"/>
      <c r="J51" s="6" t="n">
        <v>0.2</v>
      </c>
    </row>
    <row r="52" customFormat="false" ht="15.75" hidden="false" customHeight="false" outlineLevel="0" collapsed="false">
      <c r="A52" s="0" t="s">
        <v>103</v>
      </c>
      <c r="B52" s="1" t="n">
        <v>43912</v>
      </c>
      <c r="C52" s="6" t="n">
        <v>2</v>
      </c>
      <c r="D52" s="6" t="n">
        <f aca="false">C52-C51</f>
        <v>0</v>
      </c>
      <c r="E52" s="6"/>
      <c r="F52" s="6"/>
      <c r="G52" s="6"/>
      <c r="H52" s="6" t="n">
        <v>2</v>
      </c>
      <c r="I52" s="6"/>
      <c r="J52" s="6" t="n">
        <v>0.2</v>
      </c>
    </row>
    <row r="53" customFormat="false" ht="15.75" hidden="false" customHeight="false" outlineLevel="0" collapsed="false">
      <c r="A53" s="0" t="s">
        <v>103</v>
      </c>
      <c r="B53" s="1" t="n">
        <v>43913</v>
      </c>
      <c r="C53" s="6" t="n">
        <v>2</v>
      </c>
      <c r="D53" s="6" t="n">
        <f aca="false">C53-C52</f>
        <v>0</v>
      </c>
      <c r="E53" s="6"/>
      <c r="F53" s="6"/>
      <c r="G53" s="6"/>
      <c r="H53" s="6" t="n">
        <v>2</v>
      </c>
      <c r="I53" s="6"/>
      <c r="J53" s="6" t="n">
        <v>0.2</v>
      </c>
    </row>
    <row r="54" customFormat="false" ht="15.75" hidden="false" customHeight="false" outlineLevel="0" collapsed="false">
      <c r="A54" s="0" t="s">
        <v>103</v>
      </c>
      <c r="B54" s="1" t="n">
        <v>43914</v>
      </c>
      <c r="C54" s="0" t="n">
        <v>6</v>
      </c>
      <c r="D54" s="6" t="n">
        <f aca="false">C54-C53</f>
        <v>4</v>
      </c>
      <c r="H54" s="0" t="n">
        <v>6</v>
      </c>
      <c r="J54" s="0" t="n">
        <v>0.5</v>
      </c>
    </row>
    <row r="55" customFormat="false" ht="15.75" hidden="false" customHeight="false" outlineLevel="0" collapsed="false">
      <c r="A55" s="0" t="s">
        <v>103</v>
      </c>
      <c r="B55" s="1" t="n">
        <v>43915</v>
      </c>
      <c r="C55" s="0" t="n">
        <v>7</v>
      </c>
      <c r="D55" s="6" t="n">
        <f aca="false">C55-C54</f>
        <v>1</v>
      </c>
      <c r="H55" s="0" t="n">
        <v>7</v>
      </c>
      <c r="J55" s="0" t="n">
        <v>0.6</v>
      </c>
    </row>
    <row r="56" customFormat="false" ht="15.75" hidden="false" customHeight="false" outlineLevel="0" collapsed="false">
      <c r="A56" s="0" t="s">
        <v>103</v>
      </c>
      <c r="B56" s="1" t="n">
        <v>43916</v>
      </c>
      <c r="C56" s="0" t="n">
        <v>8</v>
      </c>
      <c r="D56" s="6" t="n">
        <f aca="false">C56-C55</f>
        <v>1</v>
      </c>
      <c r="H56" s="0" t="n">
        <v>8</v>
      </c>
      <c r="J56" s="0" t="n">
        <v>0.7</v>
      </c>
    </row>
    <row r="57" customFormat="false" ht="15.75" hidden="false" customHeight="false" outlineLevel="0" collapsed="false">
      <c r="A57" s="0" t="s">
        <v>103</v>
      </c>
      <c r="B57" s="1" t="n">
        <v>43917</v>
      </c>
      <c r="C57" s="0" t="n">
        <v>8</v>
      </c>
      <c r="D57" s="6" t="n">
        <f aca="false">C57-C56</f>
        <v>0</v>
      </c>
      <c r="H57" s="0" t="n">
        <v>8</v>
      </c>
      <c r="J57" s="0" t="n">
        <v>0.7</v>
      </c>
    </row>
    <row r="58" customFormat="false" ht="15.75" hidden="false" customHeight="false" outlineLevel="0" collapsed="false">
      <c r="A58" s="0" t="s">
        <v>103</v>
      </c>
      <c r="B58" s="1" t="n">
        <v>43918</v>
      </c>
      <c r="C58" s="0" t="n">
        <v>8</v>
      </c>
      <c r="D58" s="6" t="n">
        <f aca="false">C58-C57</f>
        <v>0</v>
      </c>
      <c r="H58" s="0" t="n">
        <v>8</v>
      </c>
      <c r="J58" s="0" t="n">
        <v>0.7</v>
      </c>
    </row>
    <row r="59" customFormat="false" ht="15.75" hidden="false" customHeight="false" outlineLevel="0" collapsed="false">
      <c r="A59" s="0" t="s">
        <v>103</v>
      </c>
      <c r="B59" s="1" t="n">
        <v>43919</v>
      </c>
      <c r="C59" s="0" t="n">
        <v>8</v>
      </c>
      <c r="D59" s="6" t="n">
        <f aca="false">C59-C58</f>
        <v>0</v>
      </c>
      <c r="H59" s="0" t="n">
        <v>8</v>
      </c>
      <c r="J59" s="0" t="n">
        <v>0.7</v>
      </c>
    </row>
    <row r="60" customFormat="false" ht="15.75" hidden="false" customHeight="false" outlineLevel="0" collapsed="false">
      <c r="A60" s="0" t="s">
        <v>103</v>
      </c>
      <c r="B60" s="1" t="n">
        <v>43920</v>
      </c>
      <c r="C60" s="0" t="n">
        <v>15</v>
      </c>
      <c r="D60" s="6" t="n">
        <f aca="false">C60-C59</f>
        <v>7</v>
      </c>
      <c r="G60" s="0" t="n">
        <v>1</v>
      </c>
      <c r="H60" s="0" t="n">
        <v>14</v>
      </c>
      <c r="J60" s="0" t="n">
        <v>1</v>
      </c>
    </row>
    <row r="61" customFormat="false" ht="15.75" hidden="false" customHeight="false" outlineLevel="0" collapsed="false">
      <c r="A61" s="0" t="s">
        <v>103</v>
      </c>
      <c r="B61" s="1" t="n">
        <v>43921</v>
      </c>
      <c r="C61" s="0" t="n">
        <v>15</v>
      </c>
      <c r="D61" s="6" t="n">
        <f aca="false">C61-C60</f>
        <v>0</v>
      </c>
      <c r="G61" s="0" t="n">
        <v>1</v>
      </c>
      <c r="H61" s="0" t="n">
        <v>14</v>
      </c>
      <c r="J61" s="0" t="n">
        <v>1</v>
      </c>
    </row>
    <row r="62" customFormat="false" ht="15.75" hidden="false" customHeight="false" outlineLevel="0" collapsed="false">
      <c r="A62" s="0" t="s">
        <v>103</v>
      </c>
      <c r="B62" s="1" t="n">
        <v>43922</v>
      </c>
      <c r="C62" s="0" t="n">
        <v>15</v>
      </c>
      <c r="D62" s="6" t="n">
        <f aca="false">C62-C61</f>
        <v>0</v>
      </c>
      <c r="G62" s="0" t="n">
        <v>1</v>
      </c>
      <c r="H62" s="0" t="n">
        <v>14</v>
      </c>
      <c r="J62" s="0" t="n">
        <v>1</v>
      </c>
    </row>
    <row r="63" customFormat="false" ht="15.75" hidden="false" customHeight="false" outlineLevel="0" collapsed="false">
      <c r="A63" s="0" t="s">
        <v>103</v>
      </c>
      <c r="B63" s="1" t="n">
        <v>43923</v>
      </c>
      <c r="C63" s="0" t="n">
        <v>16</v>
      </c>
      <c r="D63" s="6" t="n">
        <f aca="false">C63-C62</f>
        <v>1</v>
      </c>
      <c r="G63" s="0" t="n">
        <v>1</v>
      </c>
      <c r="H63" s="0" t="n">
        <v>15</v>
      </c>
      <c r="J63" s="0" t="n">
        <v>1</v>
      </c>
    </row>
    <row r="64" customFormat="false" ht="15.75" hidden="false" customHeight="false" outlineLevel="0" collapsed="false">
      <c r="A64" s="0" t="s">
        <v>103</v>
      </c>
      <c r="B64" s="1" t="n">
        <v>43924</v>
      </c>
      <c r="C64" s="0" t="n">
        <v>16</v>
      </c>
      <c r="D64" s="6" t="n">
        <f aca="false">C64-C63</f>
        <v>0</v>
      </c>
      <c r="G64" s="0" t="n">
        <v>1</v>
      </c>
      <c r="H64" s="0" t="n">
        <v>15</v>
      </c>
      <c r="J64" s="0" t="n">
        <v>1</v>
      </c>
    </row>
    <row r="65" customFormat="false" ht="15.75" hidden="false" customHeight="false" outlineLevel="0" collapsed="false">
      <c r="A65" s="0" t="s">
        <v>103</v>
      </c>
      <c r="B65" s="1" t="n">
        <v>43925</v>
      </c>
      <c r="C65" s="0" t="n">
        <v>18</v>
      </c>
      <c r="D65" s="6" t="n">
        <f aca="false">C65-C64</f>
        <v>2</v>
      </c>
      <c r="G65" s="0" t="n">
        <v>1</v>
      </c>
      <c r="H65" s="0" t="n">
        <v>17</v>
      </c>
      <c r="J65" s="0" t="n">
        <v>2</v>
      </c>
    </row>
    <row r="66" customFormat="false" ht="15.75" hidden="false" customHeight="false" outlineLevel="0" collapsed="false">
      <c r="A66" s="0" t="s">
        <v>103</v>
      </c>
      <c r="B66" s="1" t="n">
        <v>43926</v>
      </c>
      <c r="C66" s="0" t="n">
        <v>20</v>
      </c>
      <c r="D66" s="6" t="n">
        <f aca="false">C66-C65</f>
        <v>2</v>
      </c>
      <c r="G66" s="0" t="n">
        <v>1</v>
      </c>
      <c r="H66" s="0" t="n">
        <v>19</v>
      </c>
      <c r="J66" s="0" t="n">
        <v>2</v>
      </c>
      <c r="L66" s="0" t="n">
        <v>200</v>
      </c>
      <c r="M66" s="0" t="n">
        <v>18</v>
      </c>
    </row>
    <row r="67" customFormat="false" ht="15.75" hidden="false" customHeight="false" outlineLevel="0" collapsed="false">
      <c r="A67" s="0" t="s">
        <v>103</v>
      </c>
      <c r="B67" s="1" t="n">
        <v>43927</v>
      </c>
      <c r="C67" s="0" t="n">
        <v>21</v>
      </c>
      <c r="D67" s="6" t="n">
        <f aca="false">C67-C66</f>
        <v>1</v>
      </c>
      <c r="E67" s="0" t="n">
        <v>1</v>
      </c>
      <c r="F67" s="0" t="n">
        <f aca="false">E67-E66</f>
        <v>1</v>
      </c>
      <c r="G67" s="0" t="n">
        <v>1</v>
      </c>
      <c r="H67" s="0" t="n">
        <v>19</v>
      </c>
      <c r="J67" s="0" t="n">
        <v>2</v>
      </c>
      <c r="K67" s="0" t="n">
        <v>0.09</v>
      </c>
      <c r="L67" s="0" t="n">
        <v>247</v>
      </c>
      <c r="M67" s="0" t="n">
        <v>22</v>
      </c>
    </row>
    <row r="68" customFormat="false" ht="15.75" hidden="false" customHeight="false" outlineLevel="0" collapsed="false">
      <c r="A68" s="0" t="s">
        <v>103</v>
      </c>
      <c r="B68" s="1" t="n">
        <v>43928</v>
      </c>
      <c r="C68" s="0" t="n">
        <v>24</v>
      </c>
      <c r="D68" s="6" t="n">
        <f aca="false">C68-C67</f>
        <v>3</v>
      </c>
      <c r="E68" s="0" t="n">
        <v>1</v>
      </c>
      <c r="F68" s="0" t="n">
        <f aca="false">E68-E67</f>
        <v>0</v>
      </c>
      <c r="H68" s="0" t="n">
        <v>23</v>
      </c>
      <c r="J68" s="0" t="n">
        <v>2</v>
      </c>
      <c r="K68" s="0" t="n">
        <v>0.09</v>
      </c>
      <c r="L68" s="0" t="n">
        <v>247</v>
      </c>
      <c r="M68" s="0" t="n">
        <v>22</v>
      </c>
    </row>
    <row r="69" customFormat="false" ht="15.75" hidden="false" customHeight="false" outlineLevel="0" collapsed="false">
      <c r="A69" s="0" t="s">
        <v>103</v>
      </c>
      <c r="B69" s="1" t="n">
        <v>43929</v>
      </c>
      <c r="C69" s="0" t="n">
        <v>25</v>
      </c>
      <c r="D69" s="6" t="n">
        <f aca="false">C69-C68</f>
        <v>1</v>
      </c>
      <c r="E69" s="0" t="n">
        <v>1</v>
      </c>
      <c r="F69" s="0" t="n">
        <f aca="false">E69-E68</f>
        <v>0</v>
      </c>
      <c r="H69" s="0" t="n">
        <v>24</v>
      </c>
      <c r="J69" s="0" t="n">
        <v>2</v>
      </c>
      <c r="K69" s="0" t="n">
        <v>0.09</v>
      </c>
      <c r="L69" s="0" t="n">
        <v>257</v>
      </c>
      <c r="M69" s="0" t="n">
        <v>23</v>
      </c>
    </row>
    <row r="70" customFormat="false" ht="15.75" hidden="false" customHeight="false" outlineLevel="0" collapsed="false">
      <c r="A70" s="0" t="s">
        <v>103</v>
      </c>
      <c r="B70" s="1" t="n">
        <v>43930</v>
      </c>
      <c r="C70" s="0" t="n">
        <v>27</v>
      </c>
      <c r="D70" s="6" t="n">
        <f aca="false">C70-C69</f>
        <v>2</v>
      </c>
      <c r="E70" s="0" t="n">
        <v>1</v>
      </c>
      <c r="F70" s="0" t="n">
        <f aca="false">E70-E69</f>
        <v>0</v>
      </c>
      <c r="H70" s="0" t="n">
        <v>26</v>
      </c>
      <c r="J70" s="0" t="n">
        <v>2</v>
      </c>
      <c r="K70" s="0" t="n">
        <v>0.09</v>
      </c>
      <c r="L70" s="0" t="n">
        <v>257</v>
      </c>
      <c r="M70" s="0" t="n">
        <v>23</v>
      </c>
    </row>
    <row r="71" customFormat="false" ht="15.75" hidden="false" customHeight="false" outlineLevel="0" collapsed="false">
      <c r="A71" s="0" t="s">
        <v>103</v>
      </c>
      <c r="B71" s="1" t="n">
        <v>43931</v>
      </c>
      <c r="C71" s="0" t="n">
        <v>30</v>
      </c>
      <c r="D71" s="6" t="n">
        <f aca="false">C71-C70</f>
        <v>3</v>
      </c>
      <c r="E71" s="0" t="n">
        <v>2</v>
      </c>
      <c r="F71" s="0" t="n">
        <f aca="false">E71-E70</f>
        <v>1</v>
      </c>
      <c r="H71" s="0" t="n">
        <v>28</v>
      </c>
      <c r="J71" s="0" t="n">
        <v>3</v>
      </c>
      <c r="K71" s="0" t="n">
        <v>0.2</v>
      </c>
      <c r="L71" s="0" t="n">
        <v>257</v>
      </c>
      <c r="M71" s="0" t="n">
        <v>23</v>
      </c>
    </row>
    <row r="72" customFormat="false" ht="15.75" hidden="false" customHeight="false" outlineLevel="0" collapsed="false">
      <c r="A72" s="0" t="s">
        <v>103</v>
      </c>
      <c r="B72" s="1" t="n">
        <v>43932</v>
      </c>
      <c r="C72" s="0" t="n">
        <v>31</v>
      </c>
      <c r="D72" s="6" t="n">
        <f aca="false">C72-C71</f>
        <v>1</v>
      </c>
      <c r="E72" s="0" t="n">
        <v>2</v>
      </c>
      <c r="F72" s="0" t="n">
        <f aca="false">E72-E71</f>
        <v>0</v>
      </c>
      <c r="H72" s="0" t="n">
        <v>29</v>
      </c>
      <c r="J72" s="0" t="n">
        <v>3</v>
      </c>
      <c r="K72" s="0" t="n">
        <v>0.2</v>
      </c>
      <c r="L72" s="0" t="n">
        <v>365</v>
      </c>
      <c r="M72" s="0" t="n">
        <v>32</v>
      </c>
    </row>
    <row r="73" customFormat="false" ht="15.75" hidden="false" customHeight="false" outlineLevel="0" collapsed="false">
      <c r="A73" s="0" t="s">
        <v>103</v>
      </c>
      <c r="B73" s="1" t="n">
        <v>43933</v>
      </c>
      <c r="C73" s="0" t="n">
        <v>33</v>
      </c>
      <c r="D73" s="6" t="n">
        <f aca="false">C73-C72</f>
        <v>2</v>
      </c>
      <c r="E73" s="0" t="n">
        <v>2</v>
      </c>
      <c r="F73" s="0" t="n">
        <f aca="false">E73-E72</f>
        <v>0</v>
      </c>
      <c r="H73" s="0" t="n">
        <v>31</v>
      </c>
      <c r="J73" s="0" t="n">
        <v>3</v>
      </c>
      <c r="K73" s="0" t="n">
        <v>0.2</v>
      </c>
      <c r="L73" s="0" t="n">
        <v>365</v>
      </c>
      <c r="M73" s="0" t="n">
        <v>32</v>
      </c>
    </row>
    <row r="74" customFormat="false" ht="15.75" hidden="false" customHeight="false" outlineLevel="0" collapsed="false">
      <c r="A74" s="0" t="s">
        <v>103</v>
      </c>
      <c r="B74" s="1" t="n">
        <v>43934</v>
      </c>
      <c r="C74" s="0" t="n">
        <v>33</v>
      </c>
      <c r="D74" s="6" t="n">
        <f aca="false">C74-C73</f>
        <v>0</v>
      </c>
      <c r="E74" s="0" t="n">
        <v>3</v>
      </c>
      <c r="F74" s="0" t="n">
        <f aca="false">E74-E73</f>
        <v>1</v>
      </c>
      <c r="H74" s="0" t="n">
        <v>30</v>
      </c>
      <c r="J74" s="0" t="n">
        <v>3</v>
      </c>
      <c r="K74" s="0" t="n">
        <v>0.3</v>
      </c>
      <c r="L74" s="0" t="n">
        <v>365</v>
      </c>
      <c r="M74" s="0" t="n">
        <v>32</v>
      </c>
    </row>
    <row r="75" customFormat="false" ht="15.75" hidden="false" customHeight="false" outlineLevel="0" collapsed="false">
      <c r="A75" s="0" t="s">
        <v>103</v>
      </c>
      <c r="B75" s="1" t="n">
        <v>43935</v>
      </c>
      <c r="C75" s="0" t="n">
        <v>40</v>
      </c>
      <c r="D75" s="6" t="n">
        <f aca="false">C75-C74</f>
        <v>7</v>
      </c>
      <c r="E75" s="0" t="n">
        <v>3</v>
      </c>
      <c r="F75" s="0" t="n">
        <f aca="false">E75-E74</f>
        <v>0</v>
      </c>
      <c r="G75" s="0" t="n">
        <v>0</v>
      </c>
      <c r="H75" s="0" t="n">
        <v>37</v>
      </c>
      <c r="I75" s="0" t="n">
        <v>0</v>
      </c>
      <c r="J75" s="0" t="n">
        <v>4</v>
      </c>
      <c r="K75" s="0" t="n">
        <v>0.3</v>
      </c>
      <c r="L75" s="0" t="n">
        <v>365</v>
      </c>
      <c r="M75" s="0" t="n">
        <v>32</v>
      </c>
    </row>
    <row r="76" customFormat="false" ht="15.75" hidden="false" customHeight="false" outlineLevel="0" collapsed="false">
      <c r="A76" s="0" t="s">
        <v>103</v>
      </c>
      <c r="B76" s="1" t="n">
        <v>43936</v>
      </c>
      <c r="C76" s="0" t="n">
        <v>40</v>
      </c>
      <c r="D76" s="6" t="n">
        <f aca="false">C76-C75</f>
        <v>0</v>
      </c>
      <c r="E76" s="0" t="n">
        <v>3</v>
      </c>
      <c r="F76" s="0" t="n">
        <f aca="false">E76-E75</f>
        <v>0</v>
      </c>
      <c r="G76" s="0" t="n">
        <v>0</v>
      </c>
      <c r="H76" s="0" t="n">
        <v>37</v>
      </c>
      <c r="I76" s="0" t="n">
        <v>0</v>
      </c>
      <c r="J76" s="0" t="n">
        <v>4</v>
      </c>
      <c r="K76" s="0" t="n">
        <v>0.3</v>
      </c>
      <c r="L76" s="0" t="n">
        <v>365</v>
      </c>
      <c r="M76" s="0" t="n">
        <v>32</v>
      </c>
    </row>
    <row r="77" customFormat="false" ht="15.75" hidden="false" customHeight="false" outlineLevel="0" collapsed="false">
      <c r="A77" s="0" t="s">
        <v>103</v>
      </c>
      <c r="B77" s="1" t="n">
        <v>43937</v>
      </c>
      <c r="C77" s="0" t="n">
        <v>41</v>
      </c>
      <c r="D77" s="6" t="n">
        <f aca="false">C77-C76</f>
        <v>1</v>
      </c>
      <c r="E77" s="0" t="n">
        <v>3</v>
      </c>
      <c r="F77" s="0" t="n">
        <f aca="false">E77-E76</f>
        <v>0</v>
      </c>
      <c r="G77" s="0" t="n">
        <v>0</v>
      </c>
      <c r="H77" s="0" t="n">
        <v>38</v>
      </c>
      <c r="I77" s="0" t="n">
        <v>0</v>
      </c>
      <c r="J77" s="0" t="n">
        <v>4</v>
      </c>
      <c r="K77" s="0" t="n">
        <v>0.3</v>
      </c>
      <c r="L77" s="0" t="n">
        <v>365</v>
      </c>
      <c r="M77" s="0" t="n">
        <v>32</v>
      </c>
    </row>
    <row r="78" customFormat="false" ht="15.75" hidden="false" customHeight="false" outlineLevel="0" collapsed="false">
      <c r="A78" s="0" t="s">
        <v>103</v>
      </c>
      <c r="B78" s="1" t="n">
        <v>43938</v>
      </c>
      <c r="C78" s="0" t="n">
        <v>41</v>
      </c>
      <c r="D78" s="6" t="n">
        <f aca="false">C78-C77</f>
        <v>0</v>
      </c>
      <c r="E78" s="0" t="n">
        <v>3</v>
      </c>
      <c r="F78" s="0" t="n">
        <f aca="false">E78-E77</f>
        <v>0</v>
      </c>
      <c r="G78" s="0" t="n">
        <v>0</v>
      </c>
      <c r="H78" s="0" t="n">
        <v>38</v>
      </c>
      <c r="I78" s="0" t="n">
        <v>0</v>
      </c>
      <c r="J78" s="0" t="n">
        <v>4</v>
      </c>
      <c r="K78" s="0" t="n">
        <v>0.3</v>
      </c>
      <c r="L78" s="0" t="n">
        <v>365</v>
      </c>
      <c r="M78" s="0" t="n">
        <v>32</v>
      </c>
    </row>
    <row r="79" customFormat="false" ht="15.75" hidden="false" customHeight="false" outlineLevel="0" collapsed="false">
      <c r="A79" s="0" t="s">
        <v>103</v>
      </c>
      <c r="B79" s="1" t="n">
        <v>43939</v>
      </c>
      <c r="C79" s="0" t="n">
        <v>43</v>
      </c>
      <c r="D79" s="6" t="n">
        <f aca="false">C79-C78</f>
        <v>2</v>
      </c>
      <c r="E79" s="0" t="n">
        <v>3</v>
      </c>
      <c r="F79" s="0" t="n">
        <f aca="false">E79-E78</f>
        <v>0</v>
      </c>
      <c r="G79" s="0" t="n">
        <v>0</v>
      </c>
      <c r="H79" s="0" t="n">
        <v>40</v>
      </c>
      <c r="I79" s="0" t="n">
        <v>0</v>
      </c>
      <c r="J79" s="0" t="n">
        <v>4</v>
      </c>
      <c r="K79" s="0" t="n">
        <v>0.3</v>
      </c>
      <c r="L79" s="0" t="n">
        <v>365</v>
      </c>
      <c r="M79" s="0" t="n">
        <v>32</v>
      </c>
    </row>
    <row r="80" customFormat="false" ht="15.75" hidden="false" customHeight="false" outlineLevel="0" collapsed="false">
      <c r="A80" s="0" t="s">
        <v>103</v>
      </c>
      <c r="B80" s="1" t="n">
        <v>43940</v>
      </c>
      <c r="C80" s="0" t="n">
        <v>44</v>
      </c>
      <c r="D80" s="6" t="n">
        <f aca="false">C80-C79</f>
        <v>1</v>
      </c>
      <c r="E80" s="0" t="n">
        <v>3</v>
      </c>
      <c r="F80" s="0" t="n">
        <f aca="false">E80-E79</f>
        <v>0</v>
      </c>
      <c r="G80" s="0" t="n">
        <v>0</v>
      </c>
      <c r="H80" s="0" t="n">
        <v>41</v>
      </c>
      <c r="I80" s="0" t="n">
        <v>0</v>
      </c>
      <c r="J80" s="0" t="n">
        <v>4</v>
      </c>
      <c r="K80" s="0" t="n">
        <v>0.3</v>
      </c>
      <c r="L80" s="0" t="n">
        <v>498</v>
      </c>
      <c r="M80" s="0" t="n">
        <v>44</v>
      </c>
    </row>
    <row r="81" customFormat="false" ht="15.75" hidden="false" customHeight="false" outlineLevel="0" collapsed="false">
      <c r="A81" s="0" t="s">
        <v>103</v>
      </c>
      <c r="B81" s="1" t="n">
        <v>43941</v>
      </c>
      <c r="C81" s="0" t="n">
        <v>47</v>
      </c>
      <c r="D81" s="6" t="n">
        <f aca="false">C81-C80</f>
        <v>3</v>
      </c>
      <c r="E81" s="0" t="n">
        <v>3</v>
      </c>
      <c r="F81" s="0" t="n">
        <f aca="false">E81-E80</f>
        <v>0</v>
      </c>
      <c r="G81" s="0" t="n">
        <v>0</v>
      </c>
      <c r="H81" s="0" t="n">
        <v>44</v>
      </c>
      <c r="I81" s="0" t="n">
        <v>0</v>
      </c>
      <c r="J81" s="0" t="n">
        <v>4</v>
      </c>
      <c r="K81" s="0" t="n">
        <v>0.3</v>
      </c>
      <c r="L81" s="0" t="n">
        <v>498</v>
      </c>
      <c r="M81" s="0" t="n">
        <v>44</v>
      </c>
    </row>
    <row r="82" customFormat="false" ht="15.75" hidden="false" customHeight="false" outlineLevel="0" collapsed="false">
      <c r="A82" s="0" t="s">
        <v>103</v>
      </c>
      <c r="B82" s="1" t="n">
        <v>43942</v>
      </c>
      <c r="C82" s="0" t="n">
        <v>47</v>
      </c>
      <c r="D82" s="6" t="n">
        <f aca="false">C82-C81</f>
        <v>0</v>
      </c>
      <c r="E82" s="0" t="n">
        <v>3</v>
      </c>
      <c r="F82" s="0" t="n">
        <f aca="false">E82-E81</f>
        <v>0</v>
      </c>
      <c r="G82" s="0" t="n">
        <v>0</v>
      </c>
      <c r="H82" s="0" t="n">
        <v>44</v>
      </c>
      <c r="I82" s="0" t="n">
        <v>0</v>
      </c>
      <c r="J82" s="0" t="n">
        <v>4</v>
      </c>
      <c r="K82" s="0" t="n">
        <v>0.3</v>
      </c>
      <c r="L82" s="0" t="n">
        <v>498</v>
      </c>
      <c r="M82" s="0" t="n">
        <v>44</v>
      </c>
    </row>
    <row r="83" customFormat="false" ht="15.75" hidden="false" customHeight="false" outlineLevel="0" collapsed="false">
      <c r="A83" s="0" t="s">
        <v>103</v>
      </c>
      <c r="B83" s="1" t="n">
        <v>43943</v>
      </c>
      <c r="C83" s="0" t="n">
        <v>57</v>
      </c>
      <c r="D83" s="6" t="n">
        <f aca="false">C83-C82</f>
        <v>10</v>
      </c>
      <c r="E83" s="0" t="n">
        <v>3</v>
      </c>
      <c r="F83" s="0" t="n">
        <f aca="false">E83-E82</f>
        <v>0</v>
      </c>
      <c r="G83" s="0" t="n">
        <v>0</v>
      </c>
      <c r="H83" s="0" t="n">
        <v>54</v>
      </c>
      <c r="I83" s="0" t="n">
        <v>0</v>
      </c>
      <c r="J83" s="0" t="n">
        <v>5</v>
      </c>
      <c r="K83" s="0" t="n">
        <v>0.3</v>
      </c>
      <c r="L83" s="0" t="n">
        <v>618</v>
      </c>
      <c r="M83" s="0" t="n">
        <v>54</v>
      </c>
    </row>
    <row r="84" customFormat="false" ht="15.75" hidden="false" customHeight="false" outlineLevel="0" collapsed="false">
      <c r="A84" s="0" t="s">
        <v>103</v>
      </c>
      <c r="B84" s="1" t="n">
        <v>43944</v>
      </c>
      <c r="C84" s="0" t="n">
        <v>58</v>
      </c>
      <c r="D84" s="6" t="n">
        <f aca="false">C84-C83</f>
        <v>1</v>
      </c>
      <c r="E84" s="0" t="n">
        <v>4</v>
      </c>
      <c r="F84" s="0" t="n">
        <f aca="false">E84-E83</f>
        <v>1</v>
      </c>
      <c r="G84" s="0" t="n">
        <v>2</v>
      </c>
      <c r="H84" s="0" t="n">
        <v>52</v>
      </c>
      <c r="I84" s="0" t="n">
        <v>0</v>
      </c>
      <c r="J84" s="0" t="n">
        <v>5</v>
      </c>
      <c r="K84" s="0" t="n">
        <v>0.4</v>
      </c>
      <c r="L84" s="0" t="n">
        <v>642</v>
      </c>
      <c r="M84" s="0" t="n">
        <v>56</v>
      </c>
    </row>
    <row r="85" customFormat="false" ht="15.75" hidden="false" customHeight="false" outlineLevel="0" collapsed="false">
      <c r="A85" s="0" t="s">
        <v>103</v>
      </c>
      <c r="B85" s="1" t="n">
        <v>43945</v>
      </c>
      <c r="C85" s="0" t="n">
        <v>62</v>
      </c>
      <c r="D85" s="6" t="n">
        <f aca="false">C85-C84</f>
        <v>4</v>
      </c>
      <c r="E85" s="0" t="n">
        <v>4</v>
      </c>
      <c r="F85" s="0" t="n">
        <f aca="false">E85-E84</f>
        <v>0</v>
      </c>
      <c r="G85" s="0" t="n">
        <v>2</v>
      </c>
      <c r="H85" s="0" t="n">
        <v>56</v>
      </c>
      <c r="I85" s="0" t="n">
        <v>0</v>
      </c>
      <c r="J85" s="0" t="n">
        <v>5</v>
      </c>
      <c r="K85" s="0" t="n">
        <v>0.4</v>
      </c>
      <c r="L85" s="0" t="n">
        <v>642</v>
      </c>
      <c r="M85" s="0" t="n">
        <v>56</v>
      </c>
    </row>
    <row r="86" customFormat="false" ht="15.75" hidden="false" customHeight="false" outlineLevel="0" collapsed="false">
      <c r="A86" s="0" t="s">
        <v>103</v>
      </c>
      <c r="B86" s="1" t="n">
        <v>43946</v>
      </c>
      <c r="C86" s="0" t="n">
        <v>72</v>
      </c>
      <c r="D86" s="6" t="n">
        <f aca="false">C86-C85</f>
        <v>10</v>
      </c>
      <c r="E86" s="0" t="n">
        <v>5</v>
      </c>
      <c r="F86" s="0" t="n">
        <f aca="false">E86-E85</f>
        <v>1</v>
      </c>
      <c r="G86" s="0" t="n">
        <v>2</v>
      </c>
      <c r="H86" s="0" t="n">
        <v>65</v>
      </c>
      <c r="I86" s="0" t="n">
        <v>0</v>
      </c>
      <c r="J86" s="0" t="n">
        <v>6</v>
      </c>
      <c r="K86" s="0" t="n">
        <v>0.4</v>
      </c>
      <c r="L86" s="0" t="n">
        <v>690</v>
      </c>
      <c r="M86" s="0" t="n">
        <v>61</v>
      </c>
    </row>
    <row r="87" customFormat="false" ht="15.75" hidden="false" customHeight="false" outlineLevel="0" collapsed="false">
      <c r="A87" s="0" t="s">
        <v>103</v>
      </c>
      <c r="B87" s="1" t="n">
        <v>43947</v>
      </c>
      <c r="C87" s="0" t="n">
        <v>72</v>
      </c>
      <c r="D87" s="6" t="n">
        <f aca="false">C87-C86</f>
        <v>0</v>
      </c>
      <c r="E87" s="0" t="n">
        <v>6</v>
      </c>
      <c r="F87" s="0" t="n">
        <f aca="false">E87-E86</f>
        <v>1</v>
      </c>
      <c r="G87" s="0" t="n">
        <v>6</v>
      </c>
      <c r="H87" s="0" t="n">
        <v>60</v>
      </c>
      <c r="I87" s="0" t="n">
        <v>0</v>
      </c>
      <c r="J87" s="0" t="n">
        <v>6</v>
      </c>
      <c r="K87" s="0" t="n">
        <v>0.5</v>
      </c>
      <c r="L87" s="0" t="n">
        <v>719</v>
      </c>
      <c r="M87" s="0" t="n">
        <v>63</v>
      </c>
    </row>
    <row r="88" customFormat="false" ht="15.75" hidden="false" customHeight="false" outlineLevel="0" collapsed="false">
      <c r="A88" s="0" t="s">
        <v>103</v>
      </c>
      <c r="B88" s="1" t="n">
        <v>43948</v>
      </c>
      <c r="C88" s="0" t="n">
        <v>72</v>
      </c>
      <c r="D88" s="6" t="n">
        <f aca="false">C88-C87</f>
        <v>0</v>
      </c>
      <c r="E88" s="0" t="n">
        <v>6</v>
      </c>
      <c r="F88" s="0" t="n">
        <f aca="false">E88-E87</f>
        <v>0</v>
      </c>
      <c r="G88" s="0" t="n">
        <v>6</v>
      </c>
      <c r="H88" s="0" t="n">
        <v>60</v>
      </c>
      <c r="I88" s="0" t="n">
        <v>0</v>
      </c>
      <c r="J88" s="0" t="n">
        <v>6</v>
      </c>
      <c r="K88" s="0" t="n">
        <v>0.5</v>
      </c>
      <c r="L88" s="0" t="n">
        <v>719</v>
      </c>
      <c r="M88" s="0" t="n">
        <v>63</v>
      </c>
    </row>
    <row r="89" customFormat="false" ht="15.75" hidden="false" customHeight="false" outlineLevel="0" collapsed="false">
      <c r="A89" s="0" t="s">
        <v>103</v>
      </c>
      <c r="B89" s="1" t="n">
        <v>43949</v>
      </c>
      <c r="C89" s="0" t="n">
        <v>74</v>
      </c>
      <c r="D89" s="6" t="n">
        <f aca="false">C89-C88</f>
        <v>2</v>
      </c>
      <c r="E89" s="0" t="n">
        <v>6</v>
      </c>
      <c r="F89" s="0" t="n">
        <f aca="false">E89-E88</f>
        <v>0</v>
      </c>
      <c r="G89" s="0" t="n">
        <v>7</v>
      </c>
      <c r="H89" s="0" t="n">
        <v>61</v>
      </c>
      <c r="I89" s="0" t="n">
        <v>0</v>
      </c>
      <c r="J89" s="0" t="n">
        <v>6</v>
      </c>
      <c r="K89" s="0" t="n">
        <v>0.5</v>
      </c>
      <c r="L89" s="0" t="n">
        <v>769</v>
      </c>
      <c r="M89" s="0" t="n">
        <v>67</v>
      </c>
    </row>
    <row r="90" customFormat="false" ht="15.75" hidden="false" customHeight="false" outlineLevel="0" collapsed="false">
      <c r="A90" s="0" t="s">
        <v>103</v>
      </c>
      <c r="B90" s="1" t="n">
        <v>43950</v>
      </c>
      <c r="C90" s="0" t="n">
        <v>76</v>
      </c>
      <c r="D90" s="6" t="n">
        <f aca="false">C90-C89</f>
        <v>2</v>
      </c>
      <c r="E90" s="0" t="n">
        <v>6</v>
      </c>
      <c r="F90" s="0" t="n">
        <f aca="false">E90-E89</f>
        <v>0</v>
      </c>
      <c r="G90" s="0" t="n">
        <v>8</v>
      </c>
      <c r="H90" s="0" t="n">
        <v>62</v>
      </c>
      <c r="I90" s="0" t="n">
        <v>0</v>
      </c>
      <c r="J90" s="0" t="n">
        <v>7</v>
      </c>
      <c r="K90" s="0" t="n">
        <v>0.5</v>
      </c>
      <c r="L90" s="0" t="n">
        <v>776</v>
      </c>
      <c r="M90" s="0" t="n">
        <v>68</v>
      </c>
    </row>
    <row r="91" customFormat="false" ht="15.75" hidden="false" customHeight="false" outlineLevel="0" collapsed="false">
      <c r="A91" s="0" t="s">
        <v>103</v>
      </c>
      <c r="B91" s="1" t="n">
        <v>43951</v>
      </c>
      <c r="C91" s="0" t="n">
        <v>76</v>
      </c>
      <c r="D91" s="6" t="n">
        <f aca="false">C91-C90</f>
        <v>0</v>
      </c>
      <c r="E91" s="0" t="n">
        <v>6</v>
      </c>
      <c r="F91" s="0" t="n">
        <f aca="false">E91-E90</f>
        <v>0</v>
      </c>
      <c r="G91" s="0" t="n">
        <v>8</v>
      </c>
      <c r="H91" s="0" t="n">
        <v>62</v>
      </c>
      <c r="I91" s="0" t="n">
        <v>0</v>
      </c>
      <c r="J91" s="0" t="n">
        <v>7</v>
      </c>
      <c r="K91" s="0" t="n">
        <v>0.5</v>
      </c>
      <c r="L91" s="0" t="n">
        <v>776</v>
      </c>
      <c r="M91" s="0" t="n">
        <v>68</v>
      </c>
    </row>
    <row r="92" customFormat="false" ht="15.75" hidden="false" customHeight="false" outlineLevel="0" collapsed="false">
      <c r="A92" s="0" t="s">
        <v>103</v>
      </c>
      <c r="B92" s="1" t="n">
        <v>43952</v>
      </c>
      <c r="C92" s="0" t="n">
        <v>76</v>
      </c>
      <c r="D92" s="6" t="n">
        <f aca="false">C92-C91</f>
        <v>0</v>
      </c>
      <c r="E92" s="0" t="n">
        <v>7</v>
      </c>
      <c r="F92" s="0" t="n">
        <f aca="false">E92-E91</f>
        <v>1</v>
      </c>
      <c r="G92" s="0" t="n">
        <v>8</v>
      </c>
      <c r="H92" s="0" t="n">
        <v>61</v>
      </c>
      <c r="I92" s="0" t="n">
        <v>0</v>
      </c>
      <c r="J92" s="0" t="n">
        <v>7</v>
      </c>
      <c r="K92" s="0" t="n">
        <v>0.6</v>
      </c>
      <c r="L92" s="0" t="n">
        <v>776</v>
      </c>
      <c r="M92" s="0" t="n">
        <v>68</v>
      </c>
    </row>
    <row r="93" customFormat="false" ht="15.75" hidden="false" customHeight="false" outlineLevel="0" collapsed="false">
      <c r="A93" s="0" t="s">
        <v>103</v>
      </c>
      <c r="B93" s="1" t="n">
        <v>43953</v>
      </c>
      <c r="C93" s="0" t="n">
        <v>81</v>
      </c>
      <c r="D93" s="6" t="n">
        <f aca="false">C93-C92</f>
        <v>5</v>
      </c>
      <c r="E93" s="0" t="n">
        <v>8</v>
      </c>
      <c r="F93" s="0" t="n">
        <f aca="false">E93-E92</f>
        <v>1</v>
      </c>
      <c r="G93" s="0" t="n">
        <v>8</v>
      </c>
      <c r="H93" s="0" t="n">
        <v>65</v>
      </c>
      <c r="I93" s="0" t="n">
        <v>0</v>
      </c>
      <c r="J93" s="0" t="n">
        <v>7</v>
      </c>
      <c r="K93" s="0" t="n">
        <v>0.7</v>
      </c>
      <c r="L93" s="0" t="n">
        <v>827</v>
      </c>
      <c r="M93" s="0" t="n">
        <v>73</v>
      </c>
    </row>
    <row r="94" customFormat="false" ht="15.75" hidden="false" customHeight="false" outlineLevel="0" collapsed="false">
      <c r="A94" s="0" t="s">
        <v>103</v>
      </c>
      <c r="B94" s="1" t="n">
        <v>43954</v>
      </c>
      <c r="C94" s="0" t="n">
        <v>85</v>
      </c>
      <c r="D94" s="6" t="n">
        <f aca="false">C94-C93</f>
        <v>4</v>
      </c>
      <c r="E94" s="0" t="n">
        <v>8</v>
      </c>
      <c r="F94" s="0" t="n">
        <f aca="false">E94-E93</f>
        <v>0</v>
      </c>
      <c r="G94" s="0" t="n">
        <v>10</v>
      </c>
      <c r="H94" s="0" t="n">
        <v>67</v>
      </c>
      <c r="I94" s="0" t="n">
        <v>0</v>
      </c>
      <c r="J94" s="0" t="n">
        <v>7</v>
      </c>
      <c r="K94" s="0" t="n">
        <v>0.7</v>
      </c>
      <c r="L94" s="0" t="n">
        <v>848</v>
      </c>
      <c r="M94" s="0" t="n">
        <v>74</v>
      </c>
    </row>
    <row r="95" customFormat="false" ht="15.75" hidden="false" customHeight="false" outlineLevel="0" collapsed="false">
      <c r="A95" s="0" t="s">
        <v>103</v>
      </c>
      <c r="B95" s="1" t="n">
        <v>43955</v>
      </c>
      <c r="C95" s="0" t="n">
        <v>85</v>
      </c>
      <c r="D95" s="6" t="n">
        <f aca="false">C95-C94</f>
        <v>0</v>
      </c>
      <c r="E95" s="0" t="n">
        <v>8</v>
      </c>
      <c r="F95" s="0" t="n">
        <f aca="false">E95-E94</f>
        <v>0</v>
      </c>
      <c r="G95" s="0" t="n">
        <v>10</v>
      </c>
      <c r="H95" s="0" t="n">
        <v>67</v>
      </c>
      <c r="I95" s="0" t="n">
        <v>0</v>
      </c>
      <c r="J95" s="0" t="n">
        <v>7</v>
      </c>
      <c r="K95" s="0" t="n">
        <v>0.7</v>
      </c>
      <c r="L95" s="0" t="n">
        <v>935</v>
      </c>
      <c r="M95" s="0" t="n">
        <v>82</v>
      </c>
    </row>
    <row r="96" customFormat="false" ht="15.75" hidden="false" customHeight="false" outlineLevel="0" collapsed="false">
      <c r="A96" s="0" t="s">
        <v>103</v>
      </c>
      <c r="B96" s="1" t="n">
        <v>43956</v>
      </c>
      <c r="C96" s="0" t="n">
        <v>100</v>
      </c>
      <c r="D96" s="6" t="n">
        <f aca="false">C96-C95</f>
        <v>15</v>
      </c>
      <c r="E96" s="0" t="n">
        <v>11</v>
      </c>
      <c r="F96" s="0" t="n">
        <f aca="false">E96-E95</f>
        <v>3</v>
      </c>
      <c r="G96" s="0" t="n">
        <v>10</v>
      </c>
      <c r="H96" s="0" t="n">
        <v>79</v>
      </c>
      <c r="I96" s="0" t="n">
        <v>0</v>
      </c>
      <c r="J96" s="0" t="n">
        <v>9</v>
      </c>
      <c r="K96" s="0" t="n">
        <v>1</v>
      </c>
      <c r="L96" s="0" t="n">
        <v>1026</v>
      </c>
      <c r="M96" s="0" t="n">
        <v>90</v>
      </c>
    </row>
    <row r="97" customFormat="false" ht="15.75" hidden="false" customHeight="false" outlineLevel="0" collapsed="false">
      <c r="A97" s="0" t="s">
        <v>103</v>
      </c>
      <c r="B97" s="1" t="n">
        <v>43957</v>
      </c>
      <c r="C97" s="0" t="n">
        <v>100</v>
      </c>
      <c r="D97" s="6" t="n">
        <f aca="false">C97-C96</f>
        <v>0</v>
      </c>
      <c r="E97" s="0" t="n">
        <v>11</v>
      </c>
      <c r="F97" s="0" t="n">
        <f aca="false">E97-E96</f>
        <v>0</v>
      </c>
      <c r="G97" s="0" t="n">
        <v>10</v>
      </c>
      <c r="H97" s="0" t="n">
        <v>79</v>
      </c>
      <c r="I97" s="0" t="n">
        <v>0</v>
      </c>
      <c r="J97" s="0" t="n">
        <v>9</v>
      </c>
      <c r="K97" s="0" t="n">
        <v>1</v>
      </c>
      <c r="L97" s="0" t="n">
        <v>1026</v>
      </c>
      <c r="M97" s="0" t="n">
        <v>90</v>
      </c>
    </row>
    <row r="98" customFormat="false" ht="15.75" hidden="false" customHeight="false" outlineLevel="0" collapsed="false">
      <c r="A98" s="0" t="s">
        <v>103</v>
      </c>
      <c r="B98" s="1" t="n">
        <v>43958</v>
      </c>
      <c r="C98" s="0" t="n">
        <v>101</v>
      </c>
      <c r="D98" s="6" t="n">
        <f aca="false">C98-C97</f>
        <v>1</v>
      </c>
      <c r="E98" s="0" t="n">
        <v>12</v>
      </c>
      <c r="F98" s="0" t="n">
        <f aca="false">E98-E97</f>
        <v>1</v>
      </c>
      <c r="G98" s="0" t="n">
        <v>10</v>
      </c>
      <c r="H98" s="0" t="n">
        <v>79</v>
      </c>
      <c r="I98" s="0" t="n">
        <v>0</v>
      </c>
      <c r="J98" s="0" t="n">
        <v>9</v>
      </c>
      <c r="K98" s="0" t="n">
        <v>1</v>
      </c>
      <c r="L98" s="0" t="n">
        <v>1037</v>
      </c>
      <c r="M98" s="0" t="n">
        <v>91</v>
      </c>
    </row>
    <row r="99" customFormat="false" ht="15.75" hidden="false" customHeight="false" outlineLevel="0" collapsed="false">
      <c r="A99" s="0" t="s">
        <v>103</v>
      </c>
      <c r="B99" s="1" t="n">
        <v>43959</v>
      </c>
      <c r="C99" s="0" t="n">
        <v>108</v>
      </c>
      <c r="D99" s="6" t="n">
        <f aca="false">C99-C98</f>
        <v>7</v>
      </c>
      <c r="E99" s="0" t="n">
        <v>12</v>
      </c>
      <c r="F99" s="0" t="n">
        <f aca="false">E99-E98</f>
        <v>0</v>
      </c>
      <c r="G99" s="0" t="n">
        <v>15</v>
      </c>
      <c r="H99" s="0" t="n">
        <v>81</v>
      </c>
      <c r="I99" s="0" t="n">
        <v>0</v>
      </c>
      <c r="J99" s="0" t="n">
        <v>9</v>
      </c>
      <c r="K99" s="0" t="n">
        <v>1</v>
      </c>
      <c r="L99" s="0" t="n">
        <v>1091</v>
      </c>
      <c r="M99" s="0" t="n">
        <v>96</v>
      </c>
    </row>
    <row r="100" customFormat="false" ht="15.75" hidden="false" customHeight="false" outlineLevel="0" collapsed="false">
      <c r="A100" s="0" t="s">
        <v>103</v>
      </c>
      <c r="B100" s="1" t="n">
        <v>43960</v>
      </c>
      <c r="C100" s="0" t="n">
        <v>129</v>
      </c>
      <c r="D100" s="6" t="n">
        <f aca="false">C100-C99</f>
        <v>21</v>
      </c>
      <c r="E100" s="0" t="n">
        <v>12</v>
      </c>
      <c r="F100" s="0" t="n">
        <f aca="false">E100-E99</f>
        <v>0</v>
      </c>
      <c r="G100" s="0" t="n">
        <v>16</v>
      </c>
      <c r="H100" s="0" t="n">
        <v>101</v>
      </c>
      <c r="I100" s="0" t="n">
        <v>0</v>
      </c>
      <c r="J100" s="0" t="n">
        <v>11</v>
      </c>
      <c r="K100" s="0" t="n">
        <v>1</v>
      </c>
      <c r="L100" s="0" t="n">
        <v>1142</v>
      </c>
      <c r="M100" s="0" t="n">
        <v>100</v>
      </c>
    </row>
    <row r="101" customFormat="false" ht="15.75" hidden="false" customHeight="false" outlineLevel="0" collapsed="false">
      <c r="A101" s="0" t="s">
        <v>103</v>
      </c>
      <c r="B101" s="1" t="n">
        <v>43961</v>
      </c>
      <c r="C101" s="0" t="n">
        <v>151</v>
      </c>
      <c r="D101" s="6" t="n">
        <f aca="false">C101-C100</f>
        <v>22</v>
      </c>
      <c r="E101" s="0" t="n">
        <v>12</v>
      </c>
      <c r="F101" s="0" t="n">
        <f aca="false">E101-E100</f>
        <v>0</v>
      </c>
      <c r="G101" s="0" t="n">
        <v>17</v>
      </c>
      <c r="H101" s="0" t="n">
        <v>122</v>
      </c>
      <c r="I101" s="0" t="n">
        <v>0</v>
      </c>
      <c r="J101" s="0" t="n">
        <v>13</v>
      </c>
      <c r="K101" s="0" t="n">
        <v>1</v>
      </c>
      <c r="L101" s="0" t="n">
        <v>1160</v>
      </c>
      <c r="M101" s="0" t="n">
        <v>102</v>
      </c>
    </row>
    <row r="102" customFormat="false" ht="15.75" hidden="false" customHeight="false" outlineLevel="0" collapsed="false">
      <c r="A102" s="0" t="s">
        <v>103</v>
      </c>
      <c r="B102" s="1" t="n">
        <v>43962</v>
      </c>
      <c r="C102" s="0" t="n">
        <v>151</v>
      </c>
      <c r="D102" s="6" t="n">
        <f aca="false">C102-C101</f>
        <v>0</v>
      </c>
      <c r="E102" s="0" t="n">
        <v>12</v>
      </c>
      <c r="F102" s="0" t="n">
        <f aca="false">E102-E101</f>
        <v>0</v>
      </c>
      <c r="G102" s="0" t="n">
        <v>17</v>
      </c>
      <c r="H102" s="0" t="n">
        <v>122</v>
      </c>
      <c r="I102" s="0" t="n">
        <v>0</v>
      </c>
      <c r="J102" s="0" t="n">
        <v>13</v>
      </c>
      <c r="K102" s="0" t="n">
        <v>1</v>
      </c>
      <c r="L102" s="0" t="n">
        <v>1160</v>
      </c>
      <c r="M102" s="0" t="n">
        <v>102</v>
      </c>
    </row>
    <row r="103" customFormat="false" ht="15.75" hidden="false" customHeight="false" outlineLevel="0" collapsed="false">
      <c r="A103" s="0" t="s">
        <v>103</v>
      </c>
      <c r="B103" s="1" t="n">
        <v>43963</v>
      </c>
      <c r="C103" s="0" t="n">
        <v>182</v>
      </c>
      <c r="D103" s="6" t="n">
        <f aca="false">C103-C102</f>
        <v>31</v>
      </c>
      <c r="E103" s="0" t="n">
        <v>15</v>
      </c>
      <c r="F103" s="0" t="n">
        <f aca="false">E103-E102</f>
        <v>3</v>
      </c>
      <c r="G103" s="0" t="n">
        <v>17</v>
      </c>
      <c r="H103" s="0" t="n">
        <v>150</v>
      </c>
      <c r="I103" s="0" t="n">
        <v>0</v>
      </c>
      <c r="J103" s="0" t="n">
        <v>16</v>
      </c>
      <c r="K103" s="0" t="n">
        <v>1</v>
      </c>
      <c r="L103" s="0" t="n">
        <v>1296</v>
      </c>
      <c r="M103" s="0" t="n">
        <v>114</v>
      </c>
    </row>
    <row r="104" customFormat="false" ht="15.75" hidden="false" customHeight="false" outlineLevel="0" collapsed="false">
      <c r="A104" s="0" t="s">
        <v>103</v>
      </c>
      <c r="B104" s="1" t="n">
        <v>43964</v>
      </c>
      <c r="C104" s="0" t="n">
        <v>209</v>
      </c>
      <c r="D104" s="6" t="n">
        <f aca="false">C104-C103</f>
        <v>27</v>
      </c>
      <c r="E104" s="0" t="n">
        <v>16</v>
      </c>
      <c r="F104" s="0" t="n">
        <f aca="false">E104-E103</f>
        <v>1</v>
      </c>
      <c r="G104" s="0" t="n">
        <v>17</v>
      </c>
      <c r="H104" s="0" t="n">
        <v>176</v>
      </c>
      <c r="I104" s="0" t="n">
        <v>0</v>
      </c>
      <c r="J104" s="0" t="n">
        <v>18</v>
      </c>
      <c r="K104" s="0" t="n">
        <v>1</v>
      </c>
      <c r="L104" s="0" t="n">
        <v>1296</v>
      </c>
      <c r="M104" s="0" t="n">
        <v>114</v>
      </c>
    </row>
    <row r="105" customFormat="false" ht="15.75" hidden="false" customHeight="false" outlineLevel="0" collapsed="false">
      <c r="A105" s="0" t="s">
        <v>103</v>
      </c>
      <c r="B105" s="1" t="n">
        <v>43965</v>
      </c>
      <c r="C105" s="0" t="n">
        <v>219</v>
      </c>
      <c r="D105" s="6" t="n">
        <f aca="false">C105-C104</f>
        <v>10</v>
      </c>
      <c r="E105" s="0" t="n">
        <v>18</v>
      </c>
      <c r="F105" s="0" t="n">
        <f aca="false">E105-E104</f>
        <v>2</v>
      </c>
      <c r="G105" s="0" t="n">
        <v>17</v>
      </c>
      <c r="H105" s="0" t="n">
        <v>184</v>
      </c>
      <c r="I105" s="0" t="n">
        <v>0</v>
      </c>
      <c r="J105" s="0" t="n">
        <v>19</v>
      </c>
      <c r="K105" s="0" t="n">
        <v>2</v>
      </c>
      <c r="L105" s="0" t="n">
        <v>1296</v>
      </c>
      <c r="M105" s="0" t="n">
        <v>114</v>
      </c>
    </row>
    <row r="106" customFormat="false" ht="15.75" hidden="false" customHeight="false" outlineLevel="0" collapsed="false">
      <c r="A106" s="0" t="s">
        <v>103</v>
      </c>
      <c r="B106" s="1" t="n">
        <v>43966</v>
      </c>
      <c r="C106" s="0" t="n">
        <v>234</v>
      </c>
      <c r="D106" s="6" t="n">
        <f aca="false">C106-C105</f>
        <v>15</v>
      </c>
      <c r="E106" s="0" t="n">
        <v>18</v>
      </c>
      <c r="F106" s="0" t="n">
        <f aca="false">E106-E105</f>
        <v>0</v>
      </c>
      <c r="G106" s="0" t="n">
        <v>17</v>
      </c>
      <c r="H106" s="0" t="n">
        <v>199</v>
      </c>
      <c r="I106" s="0" t="n">
        <v>0</v>
      </c>
      <c r="J106" s="0" t="n">
        <v>21</v>
      </c>
      <c r="K106" s="0" t="n">
        <v>2</v>
      </c>
      <c r="L106" s="0" t="n">
        <v>1408</v>
      </c>
      <c r="M106" s="0" t="n">
        <v>123</v>
      </c>
    </row>
    <row r="107" customFormat="false" ht="15.75" hidden="false" customHeight="false" outlineLevel="0" collapsed="false">
      <c r="A107" s="0" t="s">
        <v>103</v>
      </c>
      <c r="B107" s="1" t="n">
        <v>43967</v>
      </c>
      <c r="C107" s="0" t="n">
        <v>273</v>
      </c>
      <c r="D107" s="6" t="n">
        <f aca="false">C107-C106</f>
        <v>39</v>
      </c>
      <c r="E107" s="0" t="n">
        <v>20</v>
      </c>
      <c r="F107" s="0" t="n">
        <f aca="false">E107-E106</f>
        <v>2</v>
      </c>
      <c r="G107" s="0" t="n">
        <v>18</v>
      </c>
      <c r="H107" s="0" t="n">
        <v>235</v>
      </c>
      <c r="I107" s="0" t="n">
        <v>0</v>
      </c>
      <c r="J107" s="0" t="n">
        <v>24</v>
      </c>
      <c r="K107" s="0" t="n">
        <v>2</v>
      </c>
      <c r="L107" s="0" t="n">
        <v>1502</v>
      </c>
      <c r="M107" s="0" t="n">
        <v>132</v>
      </c>
    </row>
    <row r="108" customFormat="false" ht="15.75" hidden="false" customHeight="false" outlineLevel="0" collapsed="false">
      <c r="A108" s="0" t="s">
        <v>103</v>
      </c>
      <c r="B108" s="1" t="n">
        <v>43968</v>
      </c>
      <c r="C108" s="0" t="n">
        <v>358</v>
      </c>
      <c r="D108" s="6" t="n">
        <f aca="false">C108-C107</f>
        <v>85</v>
      </c>
      <c r="E108" s="0" t="n">
        <v>20</v>
      </c>
      <c r="F108" s="0" t="n">
        <f aca="false">E108-E107</f>
        <v>0</v>
      </c>
      <c r="G108" s="0" t="n">
        <v>29</v>
      </c>
      <c r="H108" s="0" t="n">
        <v>309</v>
      </c>
      <c r="I108" s="0" t="n">
        <v>0</v>
      </c>
      <c r="J108" s="0" t="n">
        <v>31</v>
      </c>
      <c r="K108" s="0" t="n">
        <v>2</v>
      </c>
      <c r="L108" s="0" t="n">
        <v>1669</v>
      </c>
      <c r="M108" s="0" t="n">
        <v>147</v>
      </c>
    </row>
    <row r="109" customFormat="false" ht="15.75" hidden="false" customHeight="false" outlineLevel="0" collapsed="false">
      <c r="A109" s="0" t="s">
        <v>103</v>
      </c>
      <c r="B109" s="1" t="n">
        <v>43969</v>
      </c>
      <c r="C109" s="0" t="n">
        <v>358</v>
      </c>
      <c r="D109" s="6" t="n">
        <f aca="false">C109-C108</f>
        <v>0</v>
      </c>
      <c r="E109" s="0" t="n">
        <v>20</v>
      </c>
      <c r="F109" s="0" t="n">
        <f aca="false">E109-E108</f>
        <v>0</v>
      </c>
      <c r="G109" s="0" t="n">
        <v>29</v>
      </c>
      <c r="H109" s="0" t="n">
        <v>309</v>
      </c>
      <c r="I109" s="0" t="n">
        <v>0</v>
      </c>
      <c r="J109" s="0" t="n">
        <v>31</v>
      </c>
      <c r="K109" s="0" t="n">
        <v>2</v>
      </c>
      <c r="L109" s="0" t="n">
        <v>1669</v>
      </c>
      <c r="M109" s="0" t="n">
        <v>147</v>
      </c>
    </row>
    <row r="110" customFormat="false" ht="15.75" hidden="false" customHeight="false" outlineLevel="0" collapsed="false">
      <c r="A110" s="0" t="s">
        <v>103</v>
      </c>
      <c r="B110" s="1" t="n">
        <v>43970</v>
      </c>
      <c r="C110" s="0" t="n">
        <v>456</v>
      </c>
      <c r="D110" s="6" t="n">
        <f aca="false">C110-C109</f>
        <v>98</v>
      </c>
      <c r="E110" s="0" t="n">
        <v>20</v>
      </c>
      <c r="F110" s="0" t="n">
        <f aca="false">E110-E109</f>
        <v>0</v>
      </c>
      <c r="G110" s="0" t="n">
        <v>21</v>
      </c>
      <c r="H110" s="0" t="n">
        <v>415</v>
      </c>
      <c r="I110" s="0" t="n">
        <v>0</v>
      </c>
      <c r="J110" s="0" t="n">
        <v>40</v>
      </c>
      <c r="K110" s="0" t="n">
        <v>2</v>
      </c>
      <c r="L110" s="0" t="n">
        <v>1669</v>
      </c>
      <c r="M110" s="0" t="n">
        <v>147</v>
      </c>
    </row>
    <row r="111" customFormat="false" ht="15.75" hidden="false" customHeight="false" outlineLevel="0" collapsed="false">
      <c r="A111" s="0" t="s">
        <v>103</v>
      </c>
      <c r="B111" s="1" t="n">
        <v>43971</v>
      </c>
      <c r="C111" s="0" t="n">
        <v>533</v>
      </c>
      <c r="D111" s="6" t="n">
        <f aca="false">C111-C110</f>
        <v>77</v>
      </c>
      <c r="E111" s="0" t="n">
        <v>21</v>
      </c>
      <c r="F111" s="0" t="n">
        <f aca="false">E111-E110</f>
        <v>1</v>
      </c>
      <c r="G111" s="0" t="n">
        <v>21</v>
      </c>
      <c r="H111" s="0" t="n">
        <v>491</v>
      </c>
      <c r="I111" s="0" t="n">
        <v>0</v>
      </c>
      <c r="J111" s="0" t="n">
        <v>47</v>
      </c>
      <c r="K111" s="0" t="n">
        <v>2</v>
      </c>
      <c r="L111" s="0" t="n">
        <v>2120</v>
      </c>
      <c r="M111" s="0" t="n">
        <v>186</v>
      </c>
    </row>
    <row r="112" customFormat="false" ht="15.75" hidden="false" customHeight="false" outlineLevel="0" collapsed="false">
      <c r="A112" s="0" t="s">
        <v>103</v>
      </c>
      <c r="B112" s="1" t="n">
        <v>43972</v>
      </c>
      <c r="C112" s="0" t="n">
        <v>596</v>
      </c>
      <c r="D112" s="6" t="n">
        <f aca="false">C112-C111</f>
        <v>63</v>
      </c>
      <c r="E112" s="0" t="n">
        <v>22</v>
      </c>
      <c r="F112" s="0" t="n">
        <f aca="false">E112-E111</f>
        <v>1</v>
      </c>
      <c r="G112" s="0" t="n">
        <v>21</v>
      </c>
      <c r="H112" s="0" t="n">
        <v>553</v>
      </c>
      <c r="I112" s="0" t="n">
        <v>0</v>
      </c>
      <c r="J112" s="0" t="n">
        <v>52</v>
      </c>
      <c r="K112" s="0" t="n">
        <v>2</v>
      </c>
      <c r="L112" s="0" t="n">
        <v>2270</v>
      </c>
      <c r="M112" s="0" t="n">
        <v>199</v>
      </c>
    </row>
    <row r="113" customFormat="false" ht="15.75" hidden="false" customHeight="false" outlineLevel="0" collapsed="false">
      <c r="A113" s="0" t="s">
        <v>103</v>
      </c>
      <c r="B113" s="1" t="n">
        <v>43973</v>
      </c>
      <c r="C113" s="0" t="n">
        <v>663</v>
      </c>
      <c r="D113" s="6" t="n">
        <f aca="false">C113-C112</f>
        <v>67</v>
      </c>
      <c r="E113" s="0" t="n">
        <v>22</v>
      </c>
      <c r="F113" s="0" t="n">
        <f aca="false">E113-E112</f>
        <v>0</v>
      </c>
      <c r="G113" s="0" t="n">
        <v>21</v>
      </c>
      <c r="H113" s="0" t="n">
        <v>620</v>
      </c>
      <c r="I113" s="0" t="n">
        <v>0</v>
      </c>
      <c r="J113" s="0" t="n">
        <v>58</v>
      </c>
      <c r="K113" s="0" t="n">
        <v>2</v>
      </c>
      <c r="L113" s="0" t="n">
        <v>2270</v>
      </c>
      <c r="M113" s="0" t="n">
        <v>199</v>
      </c>
    </row>
    <row r="114" customFormat="false" ht="15.75" hidden="false" customHeight="false" outlineLevel="0" collapsed="false">
      <c r="A114" s="0" t="s">
        <v>103</v>
      </c>
      <c r="B114" s="1" t="n">
        <v>43974</v>
      </c>
      <c r="C114" s="0" t="n">
        <v>734</v>
      </c>
      <c r="D114" s="6" t="n">
        <f aca="false">C114-C113</f>
        <v>71</v>
      </c>
      <c r="E114" s="0" t="n">
        <v>25</v>
      </c>
      <c r="F114" s="0" t="n">
        <f aca="false">E114-E113</f>
        <v>3</v>
      </c>
      <c r="G114" s="0" t="n">
        <v>21</v>
      </c>
      <c r="H114" s="0" t="n">
        <v>688</v>
      </c>
      <c r="I114" s="0" t="n">
        <v>0</v>
      </c>
      <c r="J114" s="0" t="n">
        <v>64</v>
      </c>
      <c r="K114" s="0" t="n">
        <v>2</v>
      </c>
      <c r="L114" s="0" t="n">
        <v>2519</v>
      </c>
      <c r="M114" s="0" t="n">
        <v>221</v>
      </c>
    </row>
    <row r="115" customFormat="false" ht="15.75" hidden="false" customHeight="false" outlineLevel="0" collapsed="false">
      <c r="A115" s="0" t="s">
        <v>103</v>
      </c>
      <c r="B115" s="1" t="n">
        <v>43975</v>
      </c>
      <c r="C115" s="0" t="n">
        <v>812</v>
      </c>
      <c r="D115" s="6" t="n">
        <f aca="false">C115-C114</f>
        <v>78</v>
      </c>
      <c r="E115" s="0" t="n">
        <v>25</v>
      </c>
      <c r="F115" s="0" t="n">
        <f aca="false">E115-E114</f>
        <v>0</v>
      </c>
      <c r="G115" s="0" t="n">
        <v>22</v>
      </c>
      <c r="H115" s="0" t="n">
        <v>765</v>
      </c>
      <c r="I115" s="0" t="n">
        <v>0</v>
      </c>
      <c r="J115" s="0" t="n">
        <v>71</v>
      </c>
      <c r="K115" s="0" t="n">
        <v>2</v>
      </c>
      <c r="L115" s="0" t="n">
        <v>2582</v>
      </c>
      <c r="M115" s="0" t="n">
        <v>227</v>
      </c>
    </row>
    <row r="116" customFormat="false" ht="15.75" hidden="false" customHeight="false" outlineLevel="0" collapsed="false">
      <c r="A116" s="0" t="s">
        <v>103</v>
      </c>
      <c r="B116" s="1" t="n">
        <v>43976</v>
      </c>
      <c r="C116" s="0" t="n">
        <v>865</v>
      </c>
      <c r="D116" s="6" t="n">
        <f aca="false">C116-C115</f>
        <v>53</v>
      </c>
      <c r="E116" s="0" t="n">
        <v>26</v>
      </c>
      <c r="F116" s="0" t="n">
        <f aca="false">E116-E115</f>
        <v>1</v>
      </c>
      <c r="G116" s="0" t="n">
        <v>22</v>
      </c>
      <c r="H116" s="0" t="n">
        <v>817</v>
      </c>
      <c r="I116" s="0" t="n">
        <v>0</v>
      </c>
      <c r="J116" s="0" t="n">
        <v>76</v>
      </c>
      <c r="K116" s="0" t="n">
        <v>2</v>
      </c>
      <c r="L116" s="0" t="n">
        <v>2718</v>
      </c>
      <c r="M116" s="0" t="n">
        <v>239</v>
      </c>
    </row>
    <row r="117" customFormat="false" ht="15.75" hidden="false" customHeight="false" outlineLevel="0" collapsed="false">
      <c r="A117" s="0" t="s">
        <v>103</v>
      </c>
      <c r="B117" s="1" t="n">
        <v>43977</v>
      </c>
      <c r="C117" s="0" t="n">
        <v>958</v>
      </c>
      <c r="D117" s="6" t="n">
        <f aca="false">C117-C116</f>
        <v>93</v>
      </c>
      <c r="E117" s="0" t="n">
        <v>27</v>
      </c>
      <c r="F117" s="0" t="n">
        <f aca="false">E117-E116</f>
        <v>1</v>
      </c>
      <c r="G117" s="0" t="n">
        <v>22</v>
      </c>
      <c r="H117" s="0" t="n">
        <v>909</v>
      </c>
      <c r="I117" s="0" t="n">
        <v>0</v>
      </c>
      <c r="J117" s="0" t="n">
        <v>84</v>
      </c>
      <c r="K117" s="0" t="n">
        <v>2</v>
      </c>
      <c r="L117" s="0" t="n">
        <v>2718</v>
      </c>
      <c r="M117" s="0" t="n">
        <v>239</v>
      </c>
    </row>
    <row r="118" customFormat="false" ht="15.75" hidden="false" customHeight="false" outlineLevel="0" collapsed="false">
      <c r="A118" s="0" t="s">
        <v>103</v>
      </c>
      <c r="B118" s="1" t="n">
        <v>43978</v>
      </c>
      <c r="C118" s="0" t="n">
        <v>1063</v>
      </c>
      <c r="D118" s="6" t="n">
        <f aca="false">C118-C117</f>
        <v>105</v>
      </c>
      <c r="E118" s="0" t="n">
        <v>31</v>
      </c>
      <c r="F118" s="0" t="n">
        <f aca="false">E118-E117</f>
        <v>4</v>
      </c>
      <c r="G118" s="0" t="n">
        <v>22</v>
      </c>
      <c r="H118" s="0" t="n">
        <v>1010</v>
      </c>
      <c r="I118" s="0" t="n">
        <v>0</v>
      </c>
      <c r="J118" s="0" t="n">
        <v>93</v>
      </c>
      <c r="K118" s="0" t="n">
        <v>3</v>
      </c>
      <c r="L118" s="0" t="n">
        <v>3328</v>
      </c>
      <c r="M118" s="0" t="n">
        <v>292</v>
      </c>
    </row>
    <row r="119" customFormat="false" ht="15.75" hidden="false" customHeight="false" outlineLevel="0" collapsed="false">
      <c r="A119" s="0" t="s">
        <v>103</v>
      </c>
      <c r="B119" s="1" t="n">
        <v>43979</v>
      </c>
      <c r="C119" s="0" t="n">
        <v>1174</v>
      </c>
      <c r="D119" s="6" t="n">
        <f aca="false">C119-C118</f>
        <v>111</v>
      </c>
      <c r="E119" s="0" t="n">
        <v>33</v>
      </c>
      <c r="F119" s="0" t="n">
        <f aca="false">E119-E118</f>
        <v>2</v>
      </c>
      <c r="G119" s="0" t="n">
        <v>22</v>
      </c>
      <c r="H119" s="0" t="n">
        <v>1119</v>
      </c>
      <c r="I119" s="0" t="n">
        <v>0</v>
      </c>
      <c r="J119" s="0" t="n">
        <v>103</v>
      </c>
      <c r="K119" s="0" t="n">
        <v>3</v>
      </c>
      <c r="L119" s="0" t="n">
        <v>3475</v>
      </c>
      <c r="M119" s="0" t="n">
        <v>305</v>
      </c>
    </row>
    <row r="120" customFormat="false" ht="15.75" hidden="false" customHeight="false" outlineLevel="0" collapsed="false">
      <c r="A120" s="0" t="s">
        <v>103</v>
      </c>
      <c r="B120" s="1" t="n">
        <v>43980</v>
      </c>
      <c r="C120" s="0" t="n">
        <v>1320</v>
      </c>
      <c r="D120" s="6" t="n">
        <f aca="false">C120-C119</f>
        <v>146</v>
      </c>
      <c r="E120" s="0" t="n">
        <v>34</v>
      </c>
      <c r="F120" s="0" t="n">
        <f aca="false">E120-E119</f>
        <v>1</v>
      </c>
      <c r="G120" s="0" t="n">
        <v>22</v>
      </c>
      <c r="H120" s="0" t="n">
        <v>1264</v>
      </c>
      <c r="I120" s="0" t="n">
        <v>0</v>
      </c>
      <c r="J120" s="0" t="n">
        <v>116</v>
      </c>
      <c r="K120" s="0" t="n">
        <v>3</v>
      </c>
      <c r="L120" s="0" t="n">
        <v>3475</v>
      </c>
      <c r="M120" s="0" t="n">
        <v>305</v>
      </c>
    </row>
    <row r="121" customFormat="false" ht="15.75" hidden="false" customHeight="false" outlineLevel="0" collapsed="false">
      <c r="A121" s="0" t="s">
        <v>103</v>
      </c>
      <c r="B121" s="1" t="n">
        <v>43981</v>
      </c>
      <c r="C121" s="0" t="n">
        <v>1443</v>
      </c>
      <c r="D121" s="6" t="n">
        <f aca="false">C121-C120</f>
        <v>123</v>
      </c>
      <c r="E121" s="0" t="n">
        <v>35</v>
      </c>
      <c r="F121" s="0" t="n">
        <f aca="false">E121-E120</f>
        <v>1</v>
      </c>
      <c r="G121" s="0" t="n">
        <v>22</v>
      </c>
      <c r="H121" s="0" t="n">
        <v>1386</v>
      </c>
      <c r="I121" s="0" t="n">
        <v>0</v>
      </c>
      <c r="J121" s="0" t="n">
        <v>127</v>
      </c>
      <c r="K121" s="0" t="n">
        <v>3</v>
      </c>
      <c r="L121" s="0" t="n">
        <v>3475</v>
      </c>
      <c r="M121" s="0" t="n">
        <v>305</v>
      </c>
    </row>
    <row r="122" customFormat="false" ht="15.75" hidden="false" customHeight="false" outlineLevel="0" collapsed="false">
      <c r="A122" s="0" t="s">
        <v>103</v>
      </c>
      <c r="B122" s="1" t="n">
        <v>43982</v>
      </c>
      <c r="C122" s="0" t="n">
        <v>1584</v>
      </c>
      <c r="D122" s="6" t="n">
        <f aca="false">C122-C121</f>
        <v>141</v>
      </c>
      <c r="E122" s="0" t="n">
        <v>35</v>
      </c>
      <c r="F122" s="0" t="n">
        <f aca="false">E122-E121</f>
        <v>0</v>
      </c>
      <c r="G122" s="0" t="n">
        <v>22</v>
      </c>
      <c r="H122" s="0" t="n">
        <v>1527</v>
      </c>
      <c r="I122" s="0" t="n">
        <v>0</v>
      </c>
      <c r="J122" s="0" t="n">
        <v>139</v>
      </c>
      <c r="K122" s="0" t="n">
        <v>3</v>
      </c>
      <c r="L122" s="0" t="n">
        <v>4106</v>
      </c>
      <c r="M122" s="0" t="n">
        <v>360</v>
      </c>
    </row>
    <row r="123" customFormat="false" ht="15.75" hidden="false" customHeight="false" outlineLevel="0" collapsed="false">
      <c r="A123" s="0" t="s">
        <v>103</v>
      </c>
      <c r="B123" s="1" t="n">
        <v>43983</v>
      </c>
      <c r="C123" s="0" t="n">
        <v>1865</v>
      </c>
      <c r="D123" s="6" t="n">
        <f aca="false">C123-C122</f>
        <v>281</v>
      </c>
      <c r="E123" s="0" t="n">
        <v>41</v>
      </c>
      <c r="F123" s="0" t="n">
        <f aca="false">E123-E122</f>
        <v>6</v>
      </c>
      <c r="G123" s="0" t="n">
        <v>24</v>
      </c>
      <c r="H123" s="0" t="n">
        <v>1800</v>
      </c>
      <c r="I123" s="0" t="n">
        <v>0</v>
      </c>
      <c r="J123" s="0" t="n">
        <v>164</v>
      </c>
      <c r="K123" s="0" t="n">
        <v>4</v>
      </c>
      <c r="L123" s="0" t="n">
        <v>4577</v>
      </c>
      <c r="M123" s="0" t="n">
        <v>402</v>
      </c>
    </row>
    <row r="124" customFormat="false" ht="15.75" hidden="false" customHeight="false" outlineLevel="0" collapsed="false">
      <c r="A124" s="0" t="s">
        <v>103</v>
      </c>
      <c r="B124" s="1" t="n">
        <v>43984</v>
      </c>
      <c r="C124" s="0" t="n">
        <v>2124</v>
      </c>
      <c r="D124" s="6" t="n">
        <f aca="false">C124-C123</f>
        <v>259</v>
      </c>
      <c r="E124" s="0" t="n">
        <v>44</v>
      </c>
      <c r="F124" s="0" t="n">
        <f aca="false">E124-E123</f>
        <v>3</v>
      </c>
      <c r="G124" s="0" t="n">
        <v>24</v>
      </c>
      <c r="H124" s="0" t="n">
        <v>2056</v>
      </c>
      <c r="I124" s="0" t="n">
        <v>0</v>
      </c>
      <c r="J124" s="0" t="n">
        <v>186</v>
      </c>
      <c r="K124" s="0" t="n">
        <v>4</v>
      </c>
      <c r="L124" s="0" t="n">
        <v>5244</v>
      </c>
      <c r="M124" s="0" t="n">
        <v>460</v>
      </c>
    </row>
    <row r="125" customFormat="false" ht="13.5" hidden="false" customHeight="false" outlineLevel="0" collapsed="false">
      <c r="A125" s="0" t="s">
        <v>103</v>
      </c>
      <c r="B125" s="1" t="n">
        <v>43985</v>
      </c>
      <c r="C125" s="0" t="e">
        <f aca="false">sheet1!axc126</f>
        <v>#NAME?</v>
      </c>
      <c r="D125" s="0" t="e">
        <f aca="false">sheet1!axd126</f>
        <v>#NAME?</v>
      </c>
      <c r="E125" s="0" t="e">
        <f aca="false">sheet1!axe126</f>
        <v>#NAME?</v>
      </c>
      <c r="F125" s="0" t="e">
        <f aca="false">sheet1!axf126</f>
        <v>#NAME?</v>
      </c>
      <c r="G125" s="0" t="e">
        <f aca="false">sheet1!axg126</f>
        <v>#NAME?</v>
      </c>
      <c r="H125" s="0" t="e">
        <f aca="false">sheet1!axh126</f>
        <v>#NAME?</v>
      </c>
      <c r="I125" s="0" t="e">
        <f aca="false">sheet1!axi126</f>
        <v>#NAME?</v>
      </c>
      <c r="J125" s="0" t="e">
        <f aca="false">sheet1!axj126</f>
        <v>#NAME?</v>
      </c>
      <c r="K125" s="0" t="e">
        <f aca="false">sheet1!axk126</f>
        <v>#NAME?</v>
      </c>
      <c r="L125" s="0" t="e">
        <f aca="false">sheet1!axl126</f>
        <v>#NAME?</v>
      </c>
      <c r="M125" s="0" t="e">
        <f aca="false">sheet1!axm126</f>
        <v>#NAME?</v>
      </c>
    </row>
    <row r="126" customFormat="false" ht="13.5" hidden="false" customHeight="false" outlineLevel="0" collapsed="false">
      <c r="A126" s="0" t="s">
        <v>103</v>
      </c>
      <c r="B126" s="1" t="n">
        <v>43986</v>
      </c>
      <c r="C126" s="0" t="e">
        <f aca="false">sheet1!axc127</f>
        <v>#NAME?</v>
      </c>
      <c r="D126" s="0" t="e">
        <f aca="false">sheet1!axd127</f>
        <v>#NAME?</v>
      </c>
      <c r="E126" s="0" t="e">
        <f aca="false">sheet1!axe127</f>
        <v>#NAME?</v>
      </c>
      <c r="F126" s="0" t="e">
        <f aca="false">sheet1!axf127</f>
        <v>#NAME?</v>
      </c>
      <c r="G126" s="0" t="e">
        <f aca="false">sheet1!axg127</f>
        <v>#NAME?</v>
      </c>
      <c r="H126" s="0" t="e">
        <f aca="false">sheet1!axh127</f>
        <v>#NAME?</v>
      </c>
      <c r="I126" s="0" t="e">
        <f aca="false">sheet1!axi127</f>
        <v>#NAME?</v>
      </c>
      <c r="J126" s="0" t="e">
        <f aca="false">sheet1!axj127</f>
        <v>#NAME?</v>
      </c>
      <c r="K126" s="0" t="e">
        <f aca="false">sheet1!axk127</f>
        <v>#NAME?</v>
      </c>
      <c r="L126" s="0" t="e">
        <f aca="false">sheet1!axl127</f>
        <v>#NAME?</v>
      </c>
      <c r="M126" s="0" t="e">
        <f aca="false">sheet1!axm127</f>
        <v>#NAME?</v>
      </c>
    </row>
    <row r="127" customFormat="false" ht="13.5" hidden="false" customHeight="false" outlineLevel="0" collapsed="false">
      <c r="A127" s="0" t="s">
        <v>103</v>
      </c>
      <c r="B127" s="1" t="n">
        <v>43987</v>
      </c>
      <c r="C127" s="0" t="e">
        <f aca="false">sheet1!axc128</f>
        <v>#NAME?</v>
      </c>
      <c r="D127" s="0" t="e">
        <f aca="false">sheet1!axd128</f>
        <v>#NAME?</v>
      </c>
      <c r="E127" s="0" t="e">
        <f aca="false">sheet1!axe128</f>
        <v>#NAME?</v>
      </c>
      <c r="F127" s="0" t="e">
        <f aca="false">sheet1!axf128</f>
        <v>#NAME?</v>
      </c>
      <c r="G127" s="0" t="e">
        <f aca="false">sheet1!axg128</f>
        <v>#NAME?</v>
      </c>
      <c r="H127" s="0" t="e">
        <f aca="false">sheet1!axh128</f>
        <v>#NAME?</v>
      </c>
      <c r="I127" s="0" t="e">
        <f aca="false">sheet1!axi128</f>
        <v>#NAME?</v>
      </c>
      <c r="J127" s="0" t="e">
        <f aca="false">sheet1!axj128</f>
        <v>#NAME?</v>
      </c>
      <c r="K127" s="0" t="e">
        <f aca="false">sheet1!axk128</f>
        <v>#NAME?</v>
      </c>
      <c r="L127" s="0" t="e">
        <f aca="false">sheet1!axl128</f>
        <v>#NAME?</v>
      </c>
      <c r="M127" s="0" t="e">
        <f aca="false">sheet1!axm128</f>
        <v>#NAME?</v>
      </c>
    </row>
    <row r="128" customFormat="false" ht="13.5" hidden="false" customHeight="false" outlineLevel="0" collapsed="false">
      <c r="A128" s="0" t="s">
        <v>103</v>
      </c>
      <c r="B128" s="1" t="n">
        <v>43988</v>
      </c>
      <c r="C128" s="0" t="e">
        <f aca="false">sheet1!axc129</f>
        <v>#NAME?</v>
      </c>
      <c r="D128" s="0" t="e">
        <f aca="false">sheet1!axd129</f>
        <v>#NAME?</v>
      </c>
      <c r="E128" s="0" t="e">
        <f aca="false">sheet1!axe129</f>
        <v>#NAME?</v>
      </c>
      <c r="F128" s="0" t="e">
        <f aca="false">sheet1!axf129</f>
        <v>#NAME?</v>
      </c>
      <c r="G128" s="0" t="e">
        <f aca="false">sheet1!axg129</f>
        <v>#NAME?</v>
      </c>
      <c r="H128" s="0" t="e">
        <f aca="false">sheet1!axh129</f>
        <v>#NAME?</v>
      </c>
      <c r="I128" s="0" t="e">
        <f aca="false">sheet1!axi129</f>
        <v>#NAME?</v>
      </c>
      <c r="J128" s="0" t="e">
        <f aca="false">sheet1!axj129</f>
        <v>#NAME?</v>
      </c>
      <c r="K128" s="0" t="e">
        <f aca="false">sheet1!axk129</f>
        <v>#NAME?</v>
      </c>
      <c r="L128" s="0" t="e">
        <f aca="false">sheet1!axl129</f>
        <v>#NAME?</v>
      </c>
      <c r="M128" s="0" t="e">
        <f aca="false">sheet1!axm129</f>
        <v>#NAME?</v>
      </c>
    </row>
    <row r="129" customFormat="false" ht="13.5" hidden="false" customHeight="false" outlineLevel="0" collapsed="false">
      <c r="A129" s="0" t="s">
        <v>103</v>
      </c>
      <c r="B129" s="1" t="n">
        <v>43989</v>
      </c>
      <c r="C129" s="0" t="e">
        <f aca="false">sheet1!axc130</f>
        <v>#NAME?</v>
      </c>
      <c r="D129" s="0" t="e">
        <f aca="false">sheet1!axd130</f>
        <v>#NAME?</v>
      </c>
      <c r="E129" s="0" t="e">
        <f aca="false">sheet1!axe130</f>
        <v>#NAME?</v>
      </c>
      <c r="F129" s="0" t="e">
        <f aca="false">sheet1!axf130</f>
        <v>#NAME?</v>
      </c>
      <c r="G129" s="0" t="e">
        <f aca="false">sheet1!axg130</f>
        <v>#NAME?</v>
      </c>
      <c r="H129" s="0" t="e">
        <f aca="false">sheet1!axh130</f>
        <v>#NAME?</v>
      </c>
      <c r="I129" s="0" t="e">
        <f aca="false">sheet1!axi130</f>
        <v>#NAME?</v>
      </c>
      <c r="J129" s="0" t="e">
        <f aca="false">sheet1!axj130</f>
        <v>#NAME?</v>
      </c>
      <c r="K129" s="0" t="e">
        <f aca="false">sheet1!axk130</f>
        <v>#NAME?</v>
      </c>
      <c r="L129" s="0" t="e">
        <f aca="false">sheet1!axl130</f>
        <v>#NAME?</v>
      </c>
      <c r="M129" s="0" t="e">
        <f aca="false">sheet1!axm130</f>
        <v>#NAME?</v>
      </c>
    </row>
    <row r="130" customFormat="false" ht="13.5" hidden="false" customHeight="false" outlineLevel="0" collapsed="false">
      <c r="A130" s="0" t="s">
        <v>103</v>
      </c>
      <c r="B130" s="1" t="n">
        <v>43990</v>
      </c>
      <c r="C130" s="0" t="e">
        <f aca="false">sheet1!axc131</f>
        <v>#NAME?</v>
      </c>
      <c r="D130" s="0" t="e">
        <f aca="false">sheet1!axd131</f>
        <v>#NAME?</v>
      </c>
      <c r="E130" s="0" t="e">
        <f aca="false">sheet1!axe131</f>
        <v>#NAME?</v>
      </c>
      <c r="F130" s="0" t="e">
        <f aca="false">sheet1!axf131</f>
        <v>#NAME?</v>
      </c>
      <c r="G130" s="0" t="e">
        <f aca="false">sheet1!axg131</f>
        <v>#NAME?</v>
      </c>
      <c r="H130" s="0" t="e">
        <f aca="false">sheet1!axh131</f>
        <v>#NAME?</v>
      </c>
      <c r="I130" s="0" t="e">
        <f aca="false">sheet1!axi131</f>
        <v>#NAME?</v>
      </c>
      <c r="J130" s="0" t="e">
        <f aca="false">sheet1!axj131</f>
        <v>#NAME?</v>
      </c>
      <c r="K130" s="0" t="e">
        <f aca="false">sheet1!axk131</f>
        <v>#NAME?</v>
      </c>
      <c r="L130" s="0" t="e">
        <f aca="false">sheet1!axl131</f>
        <v>#NAME?</v>
      </c>
      <c r="M130" s="0" t="e">
        <f aca="false">sheet1!axm131</f>
        <v>#NAME?</v>
      </c>
    </row>
    <row r="131" customFormat="false" ht="13.5" hidden="false" customHeight="false" outlineLevel="0" collapsed="false">
      <c r="A131" s="0" t="s">
        <v>103</v>
      </c>
      <c r="B131" s="1" t="n">
        <v>43991</v>
      </c>
      <c r="C131" s="0" t="e">
        <f aca="false">sheet1!axc132</f>
        <v>#NAME?</v>
      </c>
      <c r="D131" s="0" t="e">
        <f aca="false">sheet1!axd132</f>
        <v>#NAME?</v>
      </c>
      <c r="E131" s="0" t="e">
        <f aca="false">sheet1!axe132</f>
        <v>#NAME?</v>
      </c>
      <c r="F131" s="0" t="e">
        <f aca="false">sheet1!axf132</f>
        <v>#NAME?</v>
      </c>
      <c r="G131" s="0" t="e">
        <f aca="false">sheet1!axg132</f>
        <v>#NAME?</v>
      </c>
      <c r="H131" s="0" t="e">
        <f aca="false">sheet1!axh132</f>
        <v>#NAME?</v>
      </c>
      <c r="I131" s="0" t="e">
        <f aca="false">sheet1!axi132</f>
        <v>#NAME?</v>
      </c>
      <c r="J131" s="0" t="e">
        <f aca="false">sheet1!axj132</f>
        <v>#NAME?</v>
      </c>
      <c r="K131" s="0" t="e">
        <f aca="false">sheet1!axk132</f>
        <v>#NAME?</v>
      </c>
      <c r="L131" s="0" t="e">
        <f aca="false">sheet1!axl132</f>
        <v>#NAME?</v>
      </c>
      <c r="M131" s="0" t="e">
        <f aca="false">sheet1!axm132</f>
        <v>#NAME?</v>
      </c>
    </row>
    <row r="132" customFormat="false" ht="13.5" hidden="false" customHeight="false" outlineLevel="0" collapsed="false">
      <c r="A132" s="0" t="s">
        <v>103</v>
      </c>
      <c r="B132" s="1" t="n">
        <v>43992</v>
      </c>
      <c r="C132" s="0" t="e">
        <f aca="false">sheet1!axc133</f>
        <v>#NAME?</v>
      </c>
      <c r="D132" s="0" t="e">
        <f aca="false">sheet1!axd133</f>
        <v>#NAME?</v>
      </c>
      <c r="E132" s="0" t="e">
        <f aca="false">sheet1!axe133</f>
        <v>#NAME?</v>
      </c>
      <c r="F132" s="0" t="e">
        <f aca="false">sheet1!axf133</f>
        <v>#NAME?</v>
      </c>
      <c r="G132" s="0" t="e">
        <f aca="false">sheet1!axg133</f>
        <v>#NAME?</v>
      </c>
      <c r="H132" s="0" t="e">
        <f aca="false">sheet1!axh133</f>
        <v>#NAME?</v>
      </c>
      <c r="I132" s="0" t="e">
        <f aca="false">sheet1!axi133</f>
        <v>#NAME?</v>
      </c>
      <c r="J132" s="0" t="e">
        <f aca="false">sheet1!axj133</f>
        <v>#NAME?</v>
      </c>
      <c r="K132" s="0" t="e">
        <f aca="false">sheet1!axk133</f>
        <v>#NAME?</v>
      </c>
      <c r="L132" s="0" t="e">
        <f aca="false">sheet1!axl133</f>
        <v>#NAME?</v>
      </c>
      <c r="M132" s="0" t="e">
        <f aca="false">sheet1!axm133</f>
        <v>#NAME?</v>
      </c>
    </row>
    <row r="133" customFormat="false" ht="13.5" hidden="false" customHeight="false" outlineLevel="0" collapsed="false">
      <c r="A133" s="0" t="s">
        <v>103</v>
      </c>
      <c r="B133" s="1" t="n">
        <v>43993</v>
      </c>
      <c r="C133" s="0" t="e">
        <f aca="false">sheet1!axc134</f>
        <v>#NAME?</v>
      </c>
      <c r="D133" s="0" t="e">
        <f aca="false">sheet1!axd134</f>
        <v>#NAME?</v>
      </c>
      <c r="E133" s="0" t="e">
        <f aca="false">sheet1!axe134</f>
        <v>#NAME?</v>
      </c>
      <c r="F133" s="0" t="e">
        <f aca="false">sheet1!axf134</f>
        <v>#NAME?</v>
      </c>
      <c r="G133" s="0" t="e">
        <f aca="false">sheet1!axg134</f>
        <v>#NAME?</v>
      </c>
      <c r="H133" s="0" t="e">
        <f aca="false">sheet1!axh134</f>
        <v>#NAME?</v>
      </c>
      <c r="I133" s="0" t="e">
        <f aca="false">sheet1!axi134</f>
        <v>#NAME?</v>
      </c>
      <c r="J133" s="0" t="e">
        <f aca="false">sheet1!axj134</f>
        <v>#NAME?</v>
      </c>
      <c r="K133" s="0" t="e">
        <f aca="false">sheet1!axk134</f>
        <v>#NAME?</v>
      </c>
      <c r="L133" s="0" t="e">
        <f aca="false">sheet1!axl134</f>
        <v>#NAME?</v>
      </c>
      <c r="M133" s="0" t="e">
        <f aca="false">sheet1!axm134</f>
        <v>#NAME?</v>
      </c>
    </row>
    <row r="134" customFormat="false" ht="13.5" hidden="false" customHeight="false" outlineLevel="0" collapsed="false">
      <c r="A134" s="0" t="s">
        <v>103</v>
      </c>
      <c r="B134" s="1" t="n">
        <v>43994</v>
      </c>
      <c r="C134" s="0" t="e">
        <f aca="false">sheet1!axc135</f>
        <v>#NAME?</v>
      </c>
      <c r="D134" s="0" t="e">
        <f aca="false">sheet1!axd135</f>
        <v>#NAME?</v>
      </c>
      <c r="E134" s="0" t="e">
        <f aca="false">sheet1!axe135</f>
        <v>#NAME?</v>
      </c>
      <c r="F134" s="0" t="e">
        <f aca="false">sheet1!axf135</f>
        <v>#NAME?</v>
      </c>
      <c r="G134" s="0" t="e">
        <f aca="false">sheet1!axg135</f>
        <v>#NAME?</v>
      </c>
      <c r="H134" s="0" t="e">
        <f aca="false">sheet1!axh135</f>
        <v>#NAME?</v>
      </c>
      <c r="I134" s="0" t="e">
        <f aca="false">sheet1!axi135</f>
        <v>#NAME?</v>
      </c>
      <c r="J134" s="0" t="e">
        <f aca="false">sheet1!axj135</f>
        <v>#NAME?</v>
      </c>
      <c r="K134" s="0" t="e">
        <f aca="false">sheet1!axk135</f>
        <v>#NAME?</v>
      </c>
      <c r="L134" s="0" t="e">
        <f aca="false">sheet1!axl135</f>
        <v>#NAME?</v>
      </c>
      <c r="M134" s="0" t="e">
        <f aca="false">sheet1!axm135</f>
        <v>#NAME?</v>
      </c>
    </row>
    <row r="135" customFormat="false" ht="13.5" hidden="false" customHeight="false" outlineLevel="0" collapsed="false">
      <c r="A135" s="0" t="s">
        <v>103</v>
      </c>
      <c r="B135" s="1" t="n">
        <v>43995</v>
      </c>
      <c r="C135" s="0" t="e">
        <f aca="false">sheet1!axc136</f>
        <v>#NAME?</v>
      </c>
      <c r="D135" s="0" t="e">
        <f aca="false">sheet1!axd136</f>
        <v>#NAME?</v>
      </c>
      <c r="E135" s="0" t="e">
        <f aca="false">sheet1!axe136</f>
        <v>#NAME?</v>
      </c>
      <c r="F135" s="0" t="e">
        <f aca="false">sheet1!axf136</f>
        <v>#NAME?</v>
      </c>
      <c r="G135" s="0" t="e">
        <f aca="false">sheet1!axg136</f>
        <v>#NAME?</v>
      </c>
      <c r="H135" s="0" t="e">
        <f aca="false">sheet1!axh136</f>
        <v>#NAME?</v>
      </c>
      <c r="I135" s="0" t="e">
        <f aca="false">sheet1!axi136</f>
        <v>#NAME?</v>
      </c>
      <c r="J135" s="0" t="e">
        <f aca="false">sheet1!axj136</f>
        <v>#NAME?</v>
      </c>
      <c r="K135" s="0" t="e">
        <f aca="false">sheet1!axk136</f>
        <v>#NAME?</v>
      </c>
      <c r="L135" s="0" t="e">
        <f aca="false">sheet1!axl136</f>
        <v>#NAME?</v>
      </c>
      <c r="M135" s="0" t="e">
        <f aca="false">sheet1!axm136</f>
        <v>#NAME?</v>
      </c>
    </row>
    <row r="136" customFormat="false" ht="13.5" hidden="false" customHeight="false" outlineLevel="0" collapsed="false">
      <c r="A136" s="0" t="s">
        <v>103</v>
      </c>
      <c r="B136" s="1" t="n">
        <v>43996</v>
      </c>
      <c r="C136" s="0" t="e">
        <f aca="false">sheet1!axc137</f>
        <v>#NAME?</v>
      </c>
      <c r="D136" s="0" t="e">
        <f aca="false">sheet1!axd137</f>
        <v>#NAME?</v>
      </c>
      <c r="E136" s="0" t="e">
        <f aca="false">sheet1!axe137</f>
        <v>#NAME?</v>
      </c>
      <c r="F136" s="0" t="e">
        <f aca="false">sheet1!axf137</f>
        <v>#NAME?</v>
      </c>
      <c r="G136" s="0" t="e">
        <f aca="false">sheet1!axg137</f>
        <v>#NAME?</v>
      </c>
      <c r="H136" s="0" t="e">
        <f aca="false">sheet1!axh137</f>
        <v>#NAME?</v>
      </c>
      <c r="I136" s="0" t="e">
        <f aca="false">sheet1!axi137</f>
        <v>#NAME?</v>
      </c>
      <c r="J136" s="0" t="e">
        <f aca="false">sheet1!axj137</f>
        <v>#NAME?</v>
      </c>
      <c r="K136" s="0" t="e">
        <f aca="false">sheet1!axk137</f>
        <v>#NAME?</v>
      </c>
      <c r="L136" s="0" t="e">
        <f aca="false">sheet1!axl137</f>
        <v>#NAME?</v>
      </c>
      <c r="M136" s="0" t="e">
        <f aca="false">sheet1!axm137</f>
        <v>#NAME?</v>
      </c>
    </row>
    <row r="137" customFormat="false" ht="13.5" hidden="false" customHeight="false" outlineLevel="0" collapsed="false">
      <c r="A137" s="0" t="s">
        <v>103</v>
      </c>
      <c r="B137" s="1" t="n">
        <v>43997</v>
      </c>
      <c r="C137" s="0" t="e">
        <f aca="false">sheet1!axc138</f>
        <v>#NAME?</v>
      </c>
      <c r="D137" s="0" t="e">
        <f aca="false">sheet1!axd138</f>
        <v>#NAME?</v>
      </c>
      <c r="E137" s="0" t="e">
        <f aca="false">sheet1!axe138</f>
        <v>#NAME?</v>
      </c>
      <c r="F137" s="0" t="e">
        <f aca="false">sheet1!axf138</f>
        <v>#NAME?</v>
      </c>
      <c r="G137" s="0" t="e">
        <f aca="false">sheet1!axg138</f>
        <v>#NAME?</v>
      </c>
      <c r="H137" s="0" t="e">
        <f aca="false">sheet1!axh138</f>
        <v>#NAME?</v>
      </c>
      <c r="I137" s="0" t="n">
        <v>0</v>
      </c>
      <c r="J137" s="0" t="e">
        <f aca="false">sheet1!axj138</f>
        <v>#NAME?</v>
      </c>
      <c r="K137" s="0" t="e">
        <f aca="false">sheet1!axk138</f>
        <v>#NAME?</v>
      </c>
      <c r="L137" s="0" t="e">
        <f aca="false">sheet1!axl138</f>
        <v>#NAME?</v>
      </c>
      <c r="M137" s="0" t="e">
        <f aca="false">sheet1!axm138</f>
        <v>#NAME?</v>
      </c>
    </row>
    <row r="138" customFormat="false" ht="13.5" hidden="false" customHeight="false" outlineLevel="0" collapsed="false">
      <c r="A138" s="0" t="s">
        <v>103</v>
      </c>
      <c r="B138" s="1" t="n">
        <v>43998</v>
      </c>
      <c r="C138" s="0" t="e">
        <f aca="false">sheet1!axc139</f>
        <v>#NAME?</v>
      </c>
      <c r="D138" s="0" t="e">
        <f aca="false">sheet1!axd139</f>
        <v>#NAME?</v>
      </c>
      <c r="E138" s="0" t="e">
        <f aca="false">sheet1!axe139</f>
        <v>#NAME?</v>
      </c>
      <c r="F138" s="0" t="e">
        <f aca="false">sheet1!axf139</f>
        <v>#NAME?</v>
      </c>
      <c r="G138" s="0" t="e">
        <f aca="false">sheet1!axg139</f>
        <v>#NAME?</v>
      </c>
      <c r="H138" s="0" t="e">
        <f aca="false">sheet1!axh139</f>
        <v>#NAME?</v>
      </c>
      <c r="I138" s="0" t="e">
        <f aca="false">sheet1!axi139</f>
        <v>#NAME?</v>
      </c>
      <c r="J138" s="0" t="e">
        <f aca="false">sheet1!axj139</f>
        <v>#NAME?</v>
      </c>
      <c r="K138" s="0" t="e">
        <f aca="false">sheet1!axk139</f>
        <v>#NAME?</v>
      </c>
      <c r="L138" s="0" t="e">
        <f aca="false">sheet1!axl139</f>
        <v>#NAME?</v>
      </c>
      <c r="M138" s="0" t="e">
        <f aca="false">sheet1!axm139</f>
        <v>#NAME?</v>
      </c>
    </row>
    <row r="139" customFormat="false" ht="13.5" hidden="false" customHeight="false" outlineLevel="0" collapsed="false">
      <c r="A139" s="0" t="s">
        <v>103</v>
      </c>
      <c r="B139" s="1" t="n">
        <v>43999</v>
      </c>
      <c r="C139" s="0" t="e">
        <f aca="false">sheet1!axc140</f>
        <v>#NAME?</v>
      </c>
      <c r="D139" s="0" t="e">
        <f aca="false">sheet1!axd140</f>
        <v>#NAME?</v>
      </c>
      <c r="E139" s="0" t="e">
        <f aca="false">sheet1!axe140</f>
        <v>#NAME?</v>
      </c>
      <c r="F139" s="0" t="e">
        <f aca="false">sheet1!axf140</f>
        <v>#NAME?</v>
      </c>
      <c r="G139" s="0" t="e">
        <f aca="false">sheet1!axg140</f>
        <v>#NAME?</v>
      </c>
      <c r="H139" s="0" t="e">
        <f aca="false">sheet1!axh140</f>
        <v>#NAME?</v>
      </c>
      <c r="I139" s="0" t="e">
        <f aca="false">sheet1!axi140</f>
        <v>#NAME?</v>
      </c>
      <c r="J139" s="0" t="e">
        <f aca="false">sheet1!axj140</f>
        <v>#NAME?</v>
      </c>
      <c r="K139" s="0" t="e">
        <f aca="false">sheet1!axk140</f>
        <v>#NAME?</v>
      </c>
      <c r="L139" s="0" t="e">
        <f aca="false">sheet1!axl140</f>
        <v>#NAME?</v>
      </c>
      <c r="M139" s="0" t="e">
        <f aca="false">sheet1!axm140</f>
        <v>#NAME?</v>
      </c>
    </row>
    <row r="140" customFormat="false" ht="13.5" hidden="false" customHeight="false" outlineLevel="0" collapsed="false">
      <c r="A140" s="0" t="s">
        <v>103</v>
      </c>
      <c r="B140" s="1" t="n">
        <v>44000</v>
      </c>
      <c r="C140" s="0" t="e">
        <f aca="false">sheet1!axc141</f>
        <v>#NAME?</v>
      </c>
      <c r="D140" s="0" t="e">
        <f aca="false">sheet1!axd141</f>
        <v>#NAME?</v>
      </c>
      <c r="E140" s="0" t="e">
        <f aca="false">sheet1!axe141</f>
        <v>#NAME?</v>
      </c>
      <c r="F140" s="0" t="e">
        <f aca="false">sheet1!axf141</f>
        <v>#NAME?</v>
      </c>
      <c r="G140" s="0" t="e">
        <f aca="false">sheet1!axg141</f>
        <v>#NAME?</v>
      </c>
      <c r="H140" s="0" t="e">
        <f aca="false">sheet1!axh141</f>
        <v>#NAME?</v>
      </c>
      <c r="I140" s="0" t="e">
        <f aca="false">sheet1!axi141</f>
        <v>#NAME?</v>
      </c>
      <c r="J140" s="0" t="e">
        <f aca="false">sheet1!axj141</f>
        <v>#NAME?</v>
      </c>
      <c r="K140" s="0" t="e">
        <f aca="false">sheet1!axk141</f>
        <v>#NAME?</v>
      </c>
      <c r="L140" s="0" t="e">
        <f aca="false">sheet1!axl141</f>
        <v>#NAME?</v>
      </c>
      <c r="M140" s="0" t="e">
        <f aca="false">sheet1!axm141</f>
        <v>#NAME?</v>
      </c>
    </row>
    <row r="141" customFormat="false" ht="13.5" hidden="false" customHeight="false" outlineLevel="0" collapsed="false">
      <c r="A141" s="0" t="s">
        <v>103</v>
      </c>
      <c r="B141" s="1" t="n">
        <v>44001</v>
      </c>
      <c r="C141" s="0" t="e">
        <f aca="false">sheet1!axc142</f>
        <v>#NAME?</v>
      </c>
      <c r="D141" s="0" t="e">
        <f aca="false">sheet1!axd142</f>
        <v>#NAME?</v>
      </c>
      <c r="E141" s="0" t="e">
        <f aca="false">sheet1!axe142</f>
        <v>#NAME?</v>
      </c>
      <c r="F141" s="0" t="e">
        <f aca="false">sheet1!axf142</f>
        <v>#NAME?</v>
      </c>
      <c r="G141" s="0" t="e">
        <f aca="false">sheet1!axg142</f>
        <v>#NAME?</v>
      </c>
      <c r="H141" s="0" t="e">
        <f aca="false">sheet1!axh142</f>
        <v>#NAME?</v>
      </c>
      <c r="I141" s="0" t="e">
        <f aca="false">sheet1!axi142</f>
        <v>#NAME?</v>
      </c>
      <c r="J141" s="0" t="e">
        <f aca="false">sheet1!axj142</f>
        <v>#NAME?</v>
      </c>
      <c r="K141" s="0" t="e">
        <f aca="false">sheet1!axk142</f>
        <v>#NAME?</v>
      </c>
      <c r="L141" s="0" t="e">
        <f aca="false">sheet1!axl142</f>
        <v>#NAME?</v>
      </c>
      <c r="M141" s="0" t="e">
        <f aca="false">sheet1!axm142</f>
        <v>#NAME?</v>
      </c>
    </row>
    <row r="142" customFormat="false" ht="13.5" hidden="false" customHeight="false" outlineLevel="0" collapsed="false">
      <c r="A142" s="0" t="s">
        <v>103</v>
      </c>
      <c r="B142" s="1" t="n">
        <v>44002</v>
      </c>
      <c r="C142" s="0" t="e">
        <f aca="false">sheet1!axc143</f>
        <v>#NAME?</v>
      </c>
      <c r="D142" s="0" t="e">
        <f aca="false">sheet1!axd143</f>
        <v>#NAME?</v>
      </c>
      <c r="E142" s="0" t="e">
        <f aca="false">sheet1!axe143</f>
        <v>#NAME?</v>
      </c>
      <c r="F142" s="0" t="e">
        <f aca="false">sheet1!axf143</f>
        <v>#NAME?</v>
      </c>
      <c r="G142" s="0" t="e">
        <f aca="false">sheet1!axg143</f>
        <v>#NAME?</v>
      </c>
      <c r="H142" s="0" t="e">
        <f aca="false">sheet1!axh143</f>
        <v>#NAME?</v>
      </c>
      <c r="I142" s="0" t="e">
        <f aca="false">sheet1!axi143</f>
        <v>#NAME?</v>
      </c>
      <c r="J142" s="0" t="e">
        <f aca="false">sheet1!axj143</f>
        <v>#NAME?</v>
      </c>
      <c r="K142" s="0" t="e">
        <f aca="false">sheet1!axk143</f>
        <v>#NAME?</v>
      </c>
      <c r="L142" s="0" t="e">
        <f aca="false">sheet1!axl143</f>
        <v>#NAME?</v>
      </c>
      <c r="M142" s="0" t="e">
        <f aca="false">sheet1!axm143</f>
        <v>#NAME?</v>
      </c>
    </row>
    <row r="143" customFormat="false" ht="13.5" hidden="false" customHeight="false" outlineLevel="0" collapsed="false">
      <c r="A143" s="0" t="s">
        <v>103</v>
      </c>
      <c r="B143" s="1" t="n">
        <v>44003</v>
      </c>
      <c r="C143" s="0" t="e">
        <f aca="false">sheet1!axc144</f>
        <v>#NAME?</v>
      </c>
      <c r="D143" s="0" t="e">
        <f aca="false">sheet1!axd144</f>
        <v>#NAME?</v>
      </c>
      <c r="E143" s="0" t="e">
        <f aca="false">sheet1!axe144</f>
        <v>#NAME?</v>
      </c>
      <c r="F143" s="0" t="e">
        <f aca="false">sheet1!axf144</f>
        <v>#NAME?</v>
      </c>
      <c r="G143" s="0" t="e">
        <f aca="false">sheet1!axg144</f>
        <v>#NAME?</v>
      </c>
      <c r="H143" s="0" t="e">
        <f aca="false">sheet1!axh144</f>
        <v>#NAME?</v>
      </c>
      <c r="I143" s="0" t="e">
        <f aca="false">sheet1!axi144</f>
        <v>#NAME?</v>
      </c>
      <c r="J143" s="0" t="e">
        <f aca="false">sheet1!axj144</f>
        <v>#NAME?</v>
      </c>
      <c r="K143" s="0" t="e">
        <f aca="false">sheet1!axk144</f>
        <v>#NAME?</v>
      </c>
      <c r="L143" s="0" t="e">
        <f aca="false">sheet1!axl144</f>
        <v>#NAME?</v>
      </c>
      <c r="M143" s="0" t="e">
        <f aca="false">sheet1!axm144</f>
        <v>#NAME?</v>
      </c>
    </row>
    <row r="144" customFormat="false" ht="13.5" hidden="false" customHeight="false" outlineLevel="0" collapsed="false">
      <c r="A144" s="0" t="s">
        <v>103</v>
      </c>
      <c r="B144" s="1" t="n">
        <v>44004</v>
      </c>
      <c r="C144" s="0" t="e">
        <f aca="false">sheet1!axc145</f>
        <v>#NAME?</v>
      </c>
      <c r="D144" s="0" t="e">
        <f aca="false">sheet1!axd145</f>
        <v>#NAME?</v>
      </c>
      <c r="E144" s="0" t="e">
        <f aca="false">sheet1!axe145</f>
        <v>#NAME?</v>
      </c>
      <c r="F144" s="0" t="e">
        <f aca="false">sheet1!axf145</f>
        <v>#NAME?</v>
      </c>
      <c r="G144" s="0" t="e">
        <f aca="false">sheet1!axg145</f>
        <v>#NAME?</v>
      </c>
      <c r="H144" s="0" t="e">
        <f aca="false">sheet1!axh145</f>
        <v>#NAME?</v>
      </c>
      <c r="I144" s="0" t="e">
        <f aca="false">sheet1!axi145</f>
        <v>#NAME?</v>
      </c>
      <c r="J144" s="0" t="e">
        <f aca="false">sheet1!axj145</f>
        <v>#NAME?</v>
      </c>
      <c r="K144" s="0" t="e">
        <f aca="false">sheet1!axk145</f>
        <v>#NAME?</v>
      </c>
      <c r="L144" s="0" t="e">
        <f aca="false">sheet1!axl145</f>
        <v>#NAME?</v>
      </c>
      <c r="M144" s="0" t="e">
        <f aca="false">sheet1!axm145</f>
        <v>#NAME?</v>
      </c>
    </row>
    <row r="145" customFormat="false" ht="13.5" hidden="false" customHeight="false" outlineLevel="0" collapsed="false">
      <c r="A145" s="0" t="s">
        <v>103</v>
      </c>
      <c r="B145" s="1" t="n">
        <v>44005</v>
      </c>
      <c r="C145" s="0" t="e">
        <f aca="false">sheet1!axc146</f>
        <v>#NAME?</v>
      </c>
      <c r="D145" s="0" t="e">
        <f aca="false">sheet1!axd146</f>
        <v>#NAME?</v>
      </c>
      <c r="E145" s="0" t="e">
        <f aca="false">sheet1!axe146</f>
        <v>#NAME?</v>
      </c>
      <c r="F145" s="0" t="e">
        <f aca="false">sheet1!axf146</f>
        <v>#NAME?</v>
      </c>
      <c r="G145" s="0" t="e">
        <f aca="false">sheet1!axg146</f>
        <v>#NAME?</v>
      </c>
      <c r="H145" s="0" t="e">
        <f aca="false">sheet1!axh146</f>
        <v>#NAME?</v>
      </c>
      <c r="I145" s="0" t="e">
        <f aca="false">sheet1!axi146</f>
        <v>#NAME?</v>
      </c>
      <c r="J145" s="0" t="e">
        <f aca="false">sheet1!axj146</f>
        <v>#NAME?</v>
      </c>
      <c r="K145" s="0" t="e">
        <f aca="false">sheet1!axk146</f>
        <v>#NAME?</v>
      </c>
      <c r="L145" s="0" t="e">
        <f aca="false">sheet1!axl146</f>
        <v>#NAME?</v>
      </c>
      <c r="M145" s="0" t="e">
        <f aca="false">sheet1!axm146</f>
        <v>#NAME?</v>
      </c>
    </row>
    <row r="146" customFormat="false" ht="13.5" hidden="false" customHeight="false" outlineLevel="0" collapsed="false">
      <c r="A146" s="0" t="s">
        <v>103</v>
      </c>
      <c r="B146" s="1" t="n">
        <v>44006</v>
      </c>
      <c r="C146" s="0" t="e">
        <f aca="false">sheet1!axc147</f>
        <v>#NAME?</v>
      </c>
      <c r="D146" s="0" t="e">
        <f aca="false">sheet1!axd147</f>
        <v>#NAME?</v>
      </c>
      <c r="E146" s="0" t="e">
        <f aca="false">sheet1!axe147</f>
        <v>#NAME?</v>
      </c>
      <c r="F146" s="0" t="e">
        <f aca="false">sheet1!axf147</f>
        <v>#NAME?</v>
      </c>
      <c r="G146" s="0" t="e">
        <f aca="false">sheet1!axg147</f>
        <v>#NAME?</v>
      </c>
      <c r="H146" s="0" t="e">
        <f aca="false">sheet1!axh147</f>
        <v>#NAME?</v>
      </c>
      <c r="I146" s="0" t="e">
        <f aca="false">sheet1!axi147</f>
        <v>#NAME?</v>
      </c>
      <c r="J146" s="0" t="e">
        <f aca="false">sheet1!axj147</f>
        <v>#NAME?</v>
      </c>
      <c r="K146" s="0" t="e">
        <f aca="false">sheet1!axk147</f>
        <v>#NAME?</v>
      </c>
      <c r="L146" s="0" t="e">
        <f aca="false">sheet1!axl147</f>
        <v>#NAME?</v>
      </c>
      <c r="M146" s="0" t="e">
        <f aca="false">sheet1!axm147</f>
        <v>#NAME?</v>
      </c>
    </row>
    <row r="147" customFormat="false" ht="13.5" hidden="false" customHeight="false" outlineLevel="0" collapsed="false">
      <c r="A147" s="0" t="s">
        <v>103</v>
      </c>
      <c r="B147" s="1" t="n">
        <v>44007</v>
      </c>
      <c r="C147" s="0" t="e">
        <f aca="false">sheet1!axc148</f>
        <v>#NAME?</v>
      </c>
      <c r="D147" s="0" t="e">
        <f aca="false">sheet1!axd148</f>
        <v>#NAME?</v>
      </c>
      <c r="E147" s="0" t="e">
        <f aca="false">sheet1!axe148</f>
        <v>#NAME?</v>
      </c>
      <c r="F147" s="0" t="e">
        <f aca="false">sheet1!axf148</f>
        <v>#NAME?</v>
      </c>
      <c r="G147" s="0" t="e">
        <f aca="false">sheet1!axg148</f>
        <v>#NAME?</v>
      </c>
      <c r="H147" s="0" t="e">
        <f aca="false">sheet1!axh148</f>
        <v>#NAME?</v>
      </c>
      <c r="I147" s="0" t="e">
        <f aca="false">sheet1!axi148</f>
        <v>#NAME?</v>
      </c>
      <c r="J147" s="0" t="e">
        <f aca="false">sheet1!axj148</f>
        <v>#NAME?</v>
      </c>
      <c r="K147" s="0" t="e">
        <f aca="false">sheet1!axk148</f>
        <v>#NAME?</v>
      </c>
      <c r="L147" s="0" t="e">
        <f aca="false">sheet1!axl148</f>
        <v>#NAME?</v>
      </c>
      <c r="M147" s="0" t="e">
        <f aca="false">sheet1!axm148</f>
        <v>#NAME?</v>
      </c>
    </row>
    <row r="148" customFormat="false" ht="13.5" hidden="false" customHeight="false" outlineLevel="0" collapsed="false">
      <c r="A148" s="0" t="s">
        <v>103</v>
      </c>
      <c r="B148" s="1" t="n">
        <v>44008</v>
      </c>
      <c r="C148" s="0" t="e">
        <f aca="false">sheet1!axc149</f>
        <v>#NAME?</v>
      </c>
      <c r="D148" s="0" t="e">
        <f aca="false">sheet1!axd149</f>
        <v>#NAME?</v>
      </c>
      <c r="E148" s="0" t="e">
        <f aca="false">sheet1!axe149</f>
        <v>#NAME?</v>
      </c>
      <c r="F148" s="0" t="e">
        <f aca="false">sheet1!axf149</f>
        <v>#NAME?</v>
      </c>
      <c r="G148" s="0" t="e">
        <f aca="false">sheet1!axg149</f>
        <v>#NAME?</v>
      </c>
      <c r="H148" s="0" t="e">
        <f aca="false">sheet1!axh149</f>
        <v>#NAME?</v>
      </c>
      <c r="I148" s="0" t="e">
        <f aca="false">sheet1!axi149</f>
        <v>#NAME?</v>
      </c>
      <c r="J148" s="0" t="e">
        <f aca="false">sheet1!axj149</f>
        <v>#NAME?</v>
      </c>
      <c r="K148" s="0" t="e">
        <f aca="false">sheet1!axk149</f>
        <v>#NAME?</v>
      </c>
      <c r="L148" s="0" t="e">
        <f aca="false">sheet1!axl149</f>
        <v>#NAME?</v>
      </c>
      <c r="M148" s="0" t="e">
        <f aca="false">sheet1!axm149</f>
        <v>#NAME?</v>
      </c>
    </row>
    <row r="149" customFormat="false" ht="13.5" hidden="false" customHeight="false" outlineLevel="0" collapsed="false">
      <c r="A149" s="0" t="s">
        <v>103</v>
      </c>
      <c r="B149" s="1" t="n">
        <v>44009</v>
      </c>
      <c r="C149" s="0" t="e">
        <f aca="false">sheet1!axc150</f>
        <v>#NAME?</v>
      </c>
      <c r="D149" s="0" t="e">
        <f aca="false">sheet1!axd150</f>
        <v>#NAME?</v>
      </c>
      <c r="E149" s="0" t="e">
        <f aca="false">sheet1!axe150</f>
        <v>#NAME?</v>
      </c>
      <c r="F149" s="0" t="e">
        <f aca="false">sheet1!axf150</f>
        <v>#NAME?</v>
      </c>
      <c r="G149" s="0" t="e">
        <f aca="false">sheet1!axg150</f>
        <v>#NAME?</v>
      </c>
      <c r="H149" s="0" t="e">
        <f aca="false">sheet1!axh150</f>
        <v>#NAME?</v>
      </c>
      <c r="I149" s="0" t="e">
        <f aca="false">sheet1!axi150</f>
        <v>#NAME?</v>
      </c>
      <c r="J149" s="0" t="e">
        <f aca="false">sheet1!axj150</f>
        <v>#NAME?</v>
      </c>
      <c r="K149" s="0" t="e">
        <f aca="false">sheet1!axk150</f>
        <v>#NAME?</v>
      </c>
      <c r="L149" s="0" t="e">
        <f aca="false">sheet1!axl150</f>
        <v>#NAME?</v>
      </c>
      <c r="M149" s="0" t="e">
        <f aca="false">sheet1!axm150</f>
        <v>#NAME?</v>
      </c>
    </row>
    <row r="150" customFormat="false" ht="13.5" hidden="false" customHeight="false" outlineLevel="0" collapsed="false">
      <c r="A150" s="0" t="s">
        <v>103</v>
      </c>
      <c r="B150" s="1" t="n">
        <v>44010</v>
      </c>
      <c r="C150" s="0" t="e">
        <f aca="false">sheet1!axc151</f>
        <v>#NAME?</v>
      </c>
      <c r="D150" s="0" t="e">
        <f aca="false">sheet1!axd151</f>
        <v>#NAME?</v>
      </c>
      <c r="E150" s="0" t="e">
        <f aca="false">sheet1!axe151</f>
        <v>#NAME?</v>
      </c>
      <c r="F150" s="0" t="e">
        <f aca="false">sheet1!axf151</f>
        <v>#NAME?</v>
      </c>
      <c r="G150" s="0" t="e">
        <f aca="false">sheet1!axg151</f>
        <v>#NAME?</v>
      </c>
      <c r="H150" s="0" t="e">
        <f aca="false">sheet1!axh151</f>
        <v>#NAME?</v>
      </c>
      <c r="I150" s="0" t="e">
        <f aca="false">sheet1!axi151</f>
        <v>#NAME?</v>
      </c>
      <c r="J150" s="0" t="e">
        <f aca="false">sheet1!axj151</f>
        <v>#NAME?</v>
      </c>
      <c r="K150" s="0" t="e">
        <f aca="false">sheet1!axk151</f>
        <v>#NAME?</v>
      </c>
      <c r="L150" s="0" t="e">
        <f aca="false">sheet1!axl151</f>
        <v>#NAME?</v>
      </c>
      <c r="M150" s="0" t="e">
        <f aca="false">sheet1!axm151</f>
        <v>#NAME?</v>
      </c>
    </row>
    <row r="151" customFormat="false" ht="13.5" hidden="false" customHeight="false" outlineLevel="0" collapsed="false">
      <c r="A151" s="0" t="s">
        <v>103</v>
      </c>
      <c r="B151" s="1" t="n">
        <v>44011</v>
      </c>
      <c r="C151" s="0" t="e">
        <f aca="false">sheet1!axc152</f>
        <v>#NAME?</v>
      </c>
      <c r="D151" s="0" t="e">
        <f aca="false">sheet1!axd152</f>
        <v>#NAME?</v>
      </c>
      <c r="E151" s="0" t="e">
        <f aca="false">sheet1!axe152</f>
        <v>#NAME?</v>
      </c>
      <c r="F151" s="0" t="e">
        <f aca="false">sheet1!axf152</f>
        <v>#NAME?</v>
      </c>
      <c r="G151" s="0" t="e">
        <f aca="false">sheet1!axg152</f>
        <v>#NAME?</v>
      </c>
      <c r="H151" s="0" t="e">
        <f aca="false">sheet1!axh152</f>
        <v>#NAME?</v>
      </c>
      <c r="I151" s="0" t="e">
        <f aca="false">sheet1!axi152</f>
        <v>#NAME?</v>
      </c>
      <c r="J151" s="0" t="e">
        <f aca="false">sheet1!axj152</f>
        <v>#NAME?</v>
      </c>
      <c r="K151" s="0" t="e">
        <f aca="false">sheet1!axk152</f>
        <v>#NAME?</v>
      </c>
      <c r="L151" s="0" t="e">
        <f aca="false">sheet1!axl152</f>
        <v>#NAME?</v>
      </c>
      <c r="M151" s="0" t="e">
        <f aca="false">sheet1!axm152</f>
        <v>#NAME?</v>
      </c>
    </row>
    <row r="152" customFormat="false" ht="13.5" hidden="false" customHeight="false" outlineLevel="0" collapsed="false">
      <c r="A152" s="0" t="s">
        <v>103</v>
      </c>
      <c r="B152" s="1" t="n">
        <v>44012</v>
      </c>
      <c r="C152" s="0" t="e">
        <f aca="false">sheet1!axc153</f>
        <v>#NAME?</v>
      </c>
      <c r="D152" s="0" t="e">
        <f aca="false">sheet1!axd153</f>
        <v>#NAME?</v>
      </c>
      <c r="E152" s="0" t="e">
        <f aca="false">sheet1!axe153</f>
        <v>#NAME?</v>
      </c>
      <c r="F152" s="0" t="e">
        <f aca="false">sheet1!axf153</f>
        <v>#NAME?</v>
      </c>
      <c r="G152" s="0" t="e">
        <f aca="false">sheet1!axg153</f>
        <v>#NAME?</v>
      </c>
      <c r="H152" s="0" t="e">
        <f aca="false">sheet1!axh153</f>
        <v>#NAME?</v>
      </c>
      <c r="I152" s="0" t="e">
        <f aca="false">sheet1!axi153</f>
        <v>#NAME?</v>
      </c>
      <c r="J152" s="0" t="e">
        <f aca="false">sheet1!axj153</f>
        <v>#NAME?</v>
      </c>
      <c r="K152" s="0" t="e">
        <f aca="false">sheet1!axk153</f>
        <v>#NAME?</v>
      </c>
      <c r="L152" s="0" t="e">
        <f aca="false">sheet1!axl153</f>
        <v>#NAME?</v>
      </c>
      <c r="M152" s="0" t="e">
        <f aca="false">sheet1!axm153</f>
        <v>#NAME?</v>
      </c>
    </row>
    <row r="153" customFormat="false" ht="13.5" hidden="false" customHeight="false" outlineLevel="0" collapsed="false">
      <c r="A153" s="0" t="s">
        <v>103</v>
      </c>
      <c r="B153" s="1" t="n">
        <v>44013</v>
      </c>
      <c r="C153" s="0" t="e">
        <f aca="false">sheet1!axc154</f>
        <v>#NAME?</v>
      </c>
      <c r="D153" s="0" t="e">
        <f aca="false">sheet1!axd154</f>
        <v>#NAME?</v>
      </c>
      <c r="E153" s="0" t="e">
        <f aca="false">sheet1!axe154</f>
        <v>#NAME?</v>
      </c>
      <c r="F153" s="0" t="e">
        <f aca="false">sheet1!axf154</f>
        <v>#NAME?</v>
      </c>
      <c r="G153" s="0" t="e">
        <f aca="false">sheet1!axg154</f>
        <v>#NAME?</v>
      </c>
      <c r="H153" s="0" t="e">
        <f aca="false">sheet1!axh154</f>
        <v>#NAME?</v>
      </c>
      <c r="I153" s="0" t="e">
        <f aca="false">sheet1!axi154</f>
        <v>#NAME?</v>
      </c>
      <c r="J153" s="0" t="e">
        <f aca="false">sheet1!axj154</f>
        <v>#NAME?</v>
      </c>
      <c r="K153" s="0" t="e">
        <f aca="false">sheet1!axk154</f>
        <v>#NAME?</v>
      </c>
      <c r="L153" s="0" t="e">
        <f aca="false">sheet1!axl154</f>
        <v>#NAME?</v>
      </c>
      <c r="M153" s="0" t="e">
        <f aca="false">sheet1!axm154</f>
        <v>#NAME?</v>
      </c>
    </row>
    <row r="154" customFormat="false" ht="13.5" hidden="false" customHeight="false" outlineLevel="0" collapsed="false">
      <c r="A154" s="0" t="s">
        <v>103</v>
      </c>
      <c r="B154" s="1" t="n">
        <v>44014</v>
      </c>
      <c r="C154" s="0" t="e">
        <f aca="false">sheet1!axc155</f>
        <v>#NAME?</v>
      </c>
      <c r="D154" s="0" t="e">
        <f aca="false">sheet1!axd155</f>
        <v>#NAME?</v>
      </c>
      <c r="E154" s="0" t="e">
        <f aca="false">sheet1!axe155</f>
        <v>#NAME?</v>
      </c>
      <c r="F154" s="0" t="e">
        <f aca="false">sheet1!axf155</f>
        <v>#NAME?</v>
      </c>
      <c r="G154" s="0" t="e">
        <f aca="false">sheet1!axg155</f>
        <v>#NAME?</v>
      </c>
      <c r="H154" s="0" t="e">
        <f aca="false">sheet1!axh155</f>
        <v>#NAME?</v>
      </c>
      <c r="I154" s="0" t="e">
        <f aca="false">sheet1!axi155</f>
        <v>#NAME?</v>
      </c>
      <c r="J154" s="0" t="e">
        <f aca="false">sheet1!axj155</f>
        <v>#NAME?</v>
      </c>
      <c r="K154" s="0" t="e">
        <f aca="false">sheet1!axk155</f>
        <v>#NAME?</v>
      </c>
      <c r="L154" s="0" t="e">
        <f aca="false">sheet1!axl155</f>
        <v>#NAME?</v>
      </c>
      <c r="M154" s="0" t="e">
        <f aca="false">sheet1!axm155</f>
        <v>#NAME?</v>
      </c>
    </row>
    <row r="155" customFormat="false" ht="13.5" hidden="false" customHeight="false" outlineLevel="0" collapsed="false">
      <c r="A155" s="0" t="s">
        <v>103</v>
      </c>
      <c r="B155" s="1" t="n">
        <v>44015</v>
      </c>
      <c r="C155" s="0" t="e">
        <f aca="false">sheet1!axc156</f>
        <v>#NAME?</v>
      </c>
      <c r="D155" s="0" t="e">
        <f aca="false">sheet1!axd156</f>
        <v>#NAME?</v>
      </c>
      <c r="E155" s="0" t="e">
        <f aca="false">sheet1!axe156</f>
        <v>#NAME?</v>
      </c>
      <c r="F155" s="0" t="e">
        <f aca="false">sheet1!axf156</f>
        <v>#NAME?</v>
      </c>
      <c r="G155" s="0" t="e">
        <f aca="false">sheet1!axg156</f>
        <v>#NAME?</v>
      </c>
      <c r="H155" s="0" t="e">
        <f aca="false">sheet1!axh156</f>
        <v>#NAME?</v>
      </c>
      <c r="I155" s="0" t="e">
        <f aca="false">sheet1!axi156</f>
        <v>#NAME?</v>
      </c>
      <c r="J155" s="0" t="e">
        <f aca="false">sheet1!axj156</f>
        <v>#NAME?</v>
      </c>
      <c r="K155" s="0" t="e">
        <f aca="false">sheet1!axk156</f>
        <v>#NAME?</v>
      </c>
      <c r="L155" s="0" t="e">
        <f aca="false">sheet1!axl156</f>
        <v>#NAME?</v>
      </c>
      <c r="M155" s="0" t="e">
        <f aca="false">sheet1!axm156</f>
        <v>#NAME?</v>
      </c>
    </row>
    <row r="156" customFormat="false" ht="13.5" hidden="false" customHeight="false" outlineLevel="0" collapsed="false">
      <c r="A156" s="0" t="s">
        <v>103</v>
      </c>
      <c r="B156" s="1" t="n">
        <v>44016</v>
      </c>
      <c r="C156" s="0" t="e">
        <f aca="false">sheet1!axc157</f>
        <v>#NAME?</v>
      </c>
      <c r="D156" s="0" t="e">
        <f aca="false">sheet1!axd157</f>
        <v>#NAME?</v>
      </c>
      <c r="E156" s="0" t="e">
        <f aca="false">sheet1!axe157</f>
        <v>#NAME?</v>
      </c>
      <c r="F156" s="0" t="e">
        <f aca="false">sheet1!axf157</f>
        <v>#NAME?</v>
      </c>
      <c r="G156" s="0" t="e">
        <f aca="false">sheet1!axg157</f>
        <v>#NAME?</v>
      </c>
      <c r="H156" s="0" t="e">
        <f aca="false">sheet1!axh157</f>
        <v>#NAME?</v>
      </c>
      <c r="I156" s="0" t="e">
        <f aca="false">sheet1!axi157</f>
        <v>#NAME?</v>
      </c>
      <c r="J156" s="0" t="e">
        <f aca="false">sheet1!axj157</f>
        <v>#NAME?</v>
      </c>
      <c r="K156" s="0" t="e">
        <f aca="false">sheet1!axk157</f>
        <v>#NAME?</v>
      </c>
      <c r="L156" s="0" t="e">
        <f aca="false">sheet1!axl157</f>
        <v>#NAME?</v>
      </c>
      <c r="M156" s="0" t="e">
        <f aca="false">sheet1!axm157</f>
        <v>#NAME?</v>
      </c>
    </row>
    <row r="157" customFormat="false" ht="13.5" hidden="false" customHeight="false" outlineLevel="0" collapsed="false">
      <c r="A157" s="0" t="s">
        <v>103</v>
      </c>
      <c r="B157" s="1" t="n">
        <v>44017</v>
      </c>
      <c r="C157" s="0" t="e">
        <f aca="false">sheet1!axc158</f>
        <v>#NAME?</v>
      </c>
      <c r="D157" s="0" t="e">
        <f aca="false">sheet1!axd158</f>
        <v>#NAME?</v>
      </c>
      <c r="E157" s="0" t="e">
        <f aca="false">sheet1!axe158</f>
        <v>#NAME?</v>
      </c>
      <c r="F157" s="0" t="e">
        <f aca="false">sheet1!axf158</f>
        <v>#NAME?</v>
      </c>
      <c r="G157" s="0" t="e">
        <f aca="false">sheet1!axg158</f>
        <v>#NAME?</v>
      </c>
      <c r="H157" s="0" t="e">
        <f aca="false">sheet1!axh158</f>
        <v>#NAME?</v>
      </c>
      <c r="I157" s="0" t="e">
        <f aca="false">sheet1!axi158</f>
        <v>#NAME?</v>
      </c>
      <c r="J157" s="0" t="e">
        <f aca="false">sheet1!axj158</f>
        <v>#NAME?</v>
      </c>
      <c r="K157" s="0" t="e">
        <f aca="false">sheet1!axk158</f>
        <v>#NAME?</v>
      </c>
      <c r="L157" s="0" t="e">
        <f aca="false">sheet1!axl158</f>
        <v>#NAME?</v>
      </c>
      <c r="M157" s="0" t="e">
        <f aca="false">sheet1!axm158</f>
        <v>#NAME?</v>
      </c>
    </row>
    <row r="158" customFormat="false" ht="13.5" hidden="false" customHeight="false" outlineLevel="0" collapsed="false">
      <c r="A158" s="0" t="s">
        <v>103</v>
      </c>
      <c r="B158" s="1" t="n">
        <v>44018</v>
      </c>
      <c r="C158" s="0" t="e">
        <f aca="false">sheet1!axc159</f>
        <v>#NAME?</v>
      </c>
      <c r="D158" s="0" t="e">
        <f aca="false">sheet1!axd159</f>
        <v>#NAME?</v>
      </c>
      <c r="E158" s="0" t="e">
        <f aca="false">sheet1!axe159</f>
        <v>#NAME?</v>
      </c>
      <c r="F158" s="0" t="e">
        <f aca="false">sheet1!axf159</f>
        <v>#NAME?</v>
      </c>
      <c r="G158" s="0" t="e">
        <f aca="false">sheet1!axg159</f>
        <v>#NAME?</v>
      </c>
      <c r="H158" s="0" t="e">
        <f aca="false">sheet1!axh159</f>
        <v>#NAME?</v>
      </c>
      <c r="I158" s="0" t="e">
        <f aca="false">sheet1!axi159</f>
        <v>#NAME?</v>
      </c>
      <c r="J158" s="0" t="e">
        <f aca="false">sheet1!axj159</f>
        <v>#NAME?</v>
      </c>
      <c r="K158" s="0" t="e">
        <f aca="false">sheet1!axk159</f>
        <v>#NAME?</v>
      </c>
      <c r="L158" s="0" t="e">
        <f aca="false">sheet1!axl159</f>
        <v>#NAME?</v>
      </c>
      <c r="M158" s="0" t="e">
        <f aca="false">sheet1!axm159</f>
        <v>#NAME?</v>
      </c>
    </row>
    <row r="159" customFormat="false" ht="13.5" hidden="false" customHeight="false" outlineLevel="0" collapsed="false">
      <c r="A159" s="0" t="s">
        <v>103</v>
      </c>
      <c r="B159" s="1" t="n">
        <v>44019</v>
      </c>
      <c r="C159" s="0" t="e">
        <f aca="false">sheet1!axc160</f>
        <v>#NAME?</v>
      </c>
      <c r="D159" s="0" t="e">
        <f aca="false">sheet1!axd160</f>
        <v>#NAME?</v>
      </c>
      <c r="E159" s="0" t="e">
        <f aca="false">sheet1!axe160</f>
        <v>#NAME?</v>
      </c>
      <c r="F159" s="0" t="e">
        <f aca="false">sheet1!axf160</f>
        <v>#NAME?</v>
      </c>
      <c r="G159" s="0" t="e">
        <f aca="false">sheet1!axg160</f>
        <v>#NAME?</v>
      </c>
      <c r="H159" s="0" t="e">
        <f aca="false">sheet1!axh160</f>
        <v>#NAME?</v>
      </c>
      <c r="I159" s="0" t="e">
        <f aca="false">sheet1!axi160</f>
        <v>#NAME?</v>
      </c>
      <c r="J159" s="0" t="e">
        <f aca="false">sheet1!axj160</f>
        <v>#NAME?</v>
      </c>
      <c r="K159" s="0" t="e">
        <f aca="false">sheet1!axk160</f>
        <v>#NAME?</v>
      </c>
      <c r="L159" s="0" t="e">
        <f aca="false">sheet1!axl160</f>
        <v>#NAME?</v>
      </c>
      <c r="M159" s="0" t="e">
        <f aca="false">sheet1!axm160</f>
        <v>#NAME?</v>
      </c>
    </row>
    <row r="160" customFormat="false" ht="13.5" hidden="false" customHeight="false" outlineLevel="0" collapsed="false">
      <c r="A160" s="0" t="s">
        <v>103</v>
      </c>
      <c r="B160" s="1" t="n">
        <v>44020</v>
      </c>
      <c r="C160" s="0" t="e">
        <f aca="false">sheet1!axc161</f>
        <v>#NAME?</v>
      </c>
      <c r="D160" s="0" t="e">
        <f aca="false">sheet1!axd161</f>
        <v>#NAME?</v>
      </c>
      <c r="E160" s="0" t="e">
        <f aca="false">sheet1!axe161</f>
        <v>#NAME?</v>
      </c>
      <c r="F160" s="0" t="e">
        <f aca="false">sheet1!axf161</f>
        <v>#NAME?</v>
      </c>
      <c r="G160" s="0" t="e">
        <f aca="false">sheet1!axg161</f>
        <v>#NAME?</v>
      </c>
      <c r="H160" s="0" t="e">
        <f aca="false">sheet1!axh161</f>
        <v>#NAME?</v>
      </c>
      <c r="I160" s="0" t="e">
        <f aca="false">sheet1!axi161</f>
        <v>#NAME?</v>
      </c>
      <c r="J160" s="0" t="e">
        <f aca="false">sheet1!axj161</f>
        <v>#NAME?</v>
      </c>
      <c r="K160" s="0" t="e">
        <f aca="false">sheet1!axk161</f>
        <v>#NAME?</v>
      </c>
      <c r="L160" s="0" t="e">
        <f aca="false">sheet1!axl161</f>
        <v>#NAME?</v>
      </c>
      <c r="M160" s="0" t="e">
        <f aca="false">sheet1!axm161</f>
        <v>#NAME?</v>
      </c>
    </row>
    <row r="161" customFormat="false" ht="13.5" hidden="false" customHeight="false" outlineLevel="0" collapsed="false">
      <c r="A161" s="0" t="s">
        <v>103</v>
      </c>
      <c r="B161" s="1" t="n">
        <v>44021</v>
      </c>
      <c r="C161" s="0" t="e">
        <f aca="false">sheet1!axc162</f>
        <v>#NAME?</v>
      </c>
      <c r="D161" s="0" t="e">
        <f aca="false">sheet1!axd162</f>
        <v>#NAME?</v>
      </c>
      <c r="E161" s="0" t="e">
        <f aca="false">sheet1!axe162</f>
        <v>#NAME?</v>
      </c>
      <c r="F161" s="0" t="e">
        <f aca="false">sheet1!axf162</f>
        <v>#NAME?</v>
      </c>
      <c r="G161" s="0" t="e">
        <f aca="false">sheet1!axg162</f>
        <v>#NAME?</v>
      </c>
      <c r="H161" s="0" t="e">
        <f aca="false">sheet1!axh162</f>
        <v>#NAME?</v>
      </c>
      <c r="I161" s="0" t="e">
        <f aca="false">sheet1!axi162</f>
        <v>#NAME?</v>
      </c>
      <c r="J161" s="0" t="e">
        <f aca="false">sheet1!axj162</f>
        <v>#NAME?</v>
      </c>
      <c r="K161" s="0" t="e">
        <f aca="false">sheet1!axk162</f>
        <v>#NAME?</v>
      </c>
      <c r="L161" s="0" t="e">
        <f aca="false">sheet1!axl162</f>
        <v>#NAME?</v>
      </c>
      <c r="M161" s="0" t="e">
        <f aca="false">sheet1!axm162</f>
        <v>#NAME?</v>
      </c>
    </row>
    <row r="162" customFormat="false" ht="13.5" hidden="false" customHeight="false" outlineLevel="0" collapsed="false">
      <c r="A162" s="0" t="s">
        <v>103</v>
      </c>
      <c r="B162" s="1" t="n">
        <v>44022</v>
      </c>
      <c r="C162" s="0" t="e">
        <f aca="false">sheet1!axc163</f>
        <v>#NAME?</v>
      </c>
      <c r="D162" s="0" t="e">
        <f aca="false">sheet1!axd163</f>
        <v>#NAME?</v>
      </c>
      <c r="E162" s="0" t="e">
        <f aca="false">sheet1!axe163</f>
        <v>#NAME?</v>
      </c>
      <c r="F162" s="0" t="e">
        <f aca="false">sheet1!axf163</f>
        <v>#NAME?</v>
      </c>
      <c r="G162" s="0" t="e">
        <f aca="false">sheet1!axg163</f>
        <v>#NAME?</v>
      </c>
      <c r="H162" s="0" t="e">
        <f aca="false">sheet1!axh163</f>
        <v>#NAME?</v>
      </c>
      <c r="I162" s="0" t="e">
        <f aca="false">sheet1!axi163</f>
        <v>#NAME?</v>
      </c>
      <c r="J162" s="0" t="e">
        <f aca="false">sheet1!axj163</f>
        <v>#NAME?</v>
      </c>
      <c r="K162" s="0" t="e">
        <f aca="false">sheet1!axk163</f>
        <v>#NAME?</v>
      </c>
      <c r="L162" s="0" t="e">
        <f aca="false">sheet1!axl163</f>
        <v>#NAME?</v>
      </c>
      <c r="M162" s="0" t="e">
        <f aca="false">sheet1!axm163</f>
        <v>#NAME?</v>
      </c>
    </row>
    <row r="163" customFormat="false" ht="13.5" hidden="false" customHeight="false" outlineLevel="0" collapsed="false">
      <c r="A163" s="0" t="s">
        <v>103</v>
      </c>
      <c r="B163" s="1" t="n">
        <v>44023</v>
      </c>
      <c r="C163" s="0" t="e">
        <f aca="false">sheet1!axc164</f>
        <v>#NAME?</v>
      </c>
      <c r="D163" s="0" t="e">
        <f aca="false">sheet1!axd164</f>
        <v>#NAME?</v>
      </c>
      <c r="E163" s="0" t="e">
        <f aca="false">sheet1!axe164</f>
        <v>#NAME?</v>
      </c>
      <c r="F163" s="0" t="e">
        <f aca="false">sheet1!axf164</f>
        <v>#NAME?</v>
      </c>
      <c r="G163" s="0" t="e">
        <f aca="false">sheet1!axg164</f>
        <v>#NAME?</v>
      </c>
      <c r="H163" s="0" t="e">
        <f aca="false">sheet1!axh164</f>
        <v>#NAME?</v>
      </c>
      <c r="I163" s="0" t="e">
        <f aca="false">sheet1!axi164</f>
        <v>#NAME?</v>
      </c>
      <c r="J163" s="0" t="e">
        <f aca="false">sheet1!axj164</f>
        <v>#NAME?</v>
      </c>
      <c r="K163" s="0" t="e">
        <f aca="false">sheet1!axk164</f>
        <v>#NAME?</v>
      </c>
      <c r="L163" s="0" t="e">
        <f aca="false">sheet1!axl164</f>
        <v>#NAME?</v>
      </c>
      <c r="M163" s="0" t="e">
        <f aca="false">sheet1!axm164</f>
        <v>#NAME?</v>
      </c>
    </row>
    <row r="164" customFormat="false" ht="13.5" hidden="false" customHeight="false" outlineLevel="0" collapsed="false">
      <c r="A164" s="0" t="s">
        <v>103</v>
      </c>
      <c r="B164" s="1" t="n">
        <v>44024</v>
      </c>
      <c r="C164" s="0" t="e">
        <f aca="false">sheet1!axc165</f>
        <v>#NAME?</v>
      </c>
      <c r="D164" s="0" t="e">
        <f aca="false">sheet1!axd165</f>
        <v>#NAME?</v>
      </c>
      <c r="E164" s="0" t="e">
        <f aca="false">sheet1!axe165</f>
        <v>#NAME?</v>
      </c>
      <c r="F164" s="0" t="e">
        <f aca="false">sheet1!axf165</f>
        <v>#NAME?</v>
      </c>
      <c r="G164" s="0" t="e">
        <f aca="false">sheet1!axg165</f>
        <v>#NAME?</v>
      </c>
      <c r="H164" s="0" t="e">
        <f aca="false">sheet1!axh165</f>
        <v>#NAME?</v>
      </c>
      <c r="I164" s="0" t="e">
        <f aca="false">sheet1!axi165</f>
        <v>#NAME?</v>
      </c>
      <c r="J164" s="0" t="e">
        <f aca="false">sheet1!axj165</f>
        <v>#NAME?</v>
      </c>
      <c r="K164" s="0" t="e">
        <f aca="false">sheet1!axk165</f>
        <v>#NAME?</v>
      </c>
      <c r="L164" s="0" t="e">
        <f aca="false">sheet1!axl165</f>
        <v>#NAME?</v>
      </c>
      <c r="M164" s="0" t="e">
        <f aca="false">sheet1!axm165</f>
        <v>#NAME?</v>
      </c>
    </row>
    <row r="165" customFormat="false" ht="13.5" hidden="false" customHeight="false" outlineLevel="0" collapsed="false">
      <c r="A165" s="0" t="s">
        <v>103</v>
      </c>
      <c r="B165" s="1" t="n">
        <v>44025</v>
      </c>
      <c r="C165" s="0" t="e">
        <f aca="false">sheet1!axc166</f>
        <v>#NAME?</v>
      </c>
      <c r="D165" s="0" t="e">
        <f aca="false">sheet1!axd166</f>
        <v>#NAME?</v>
      </c>
      <c r="E165" s="0" t="e">
        <f aca="false">sheet1!axe166</f>
        <v>#NAME?</v>
      </c>
      <c r="F165" s="0" t="e">
        <f aca="false">sheet1!axf166</f>
        <v>#NAME?</v>
      </c>
      <c r="G165" s="0" t="e">
        <f aca="false">sheet1!axg166</f>
        <v>#NAME?</v>
      </c>
      <c r="H165" s="0" t="e">
        <f aca="false">sheet1!axh166</f>
        <v>#NAME?</v>
      </c>
      <c r="I165" s="0" t="e">
        <f aca="false">sheet1!axi166</f>
        <v>#NAME?</v>
      </c>
      <c r="J165" s="0" t="e">
        <f aca="false">sheet1!axj166</f>
        <v>#NAME?</v>
      </c>
      <c r="K165" s="0" t="e">
        <f aca="false">sheet1!axk166</f>
        <v>#NAME?</v>
      </c>
      <c r="L165" s="0" t="e">
        <f aca="false">sheet1!axl166</f>
        <v>#NAME?</v>
      </c>
      <c r="M165" s="0" t="e">
        <f aca="false">sheet1!axm166</f>
        <v>#NAME?</v>
      </c>
    </row>
    <row r="166" customFormat="false" ht="13.5" hidden="false" customHeight="false" outlineLevel="0" collapsed="false">
      <c r="A166" s="0" t="s">
        <v>103</v>
      </c>
      <c r="B166" s="1" t="n">
        <v>44026</v>
      </c>
      <c r="C166" s="0" t="e">
        <f aca="false">sheet1!axc167</f>
        <v>#NAME?</v>
      </c>
      <c r="D166" s="0" t="e">
        <f aca="false">sheet1!axd167</f>
        <v>#NAME?</v>
      </c>
      <c r="E166" s="0" t="e">
        <f aca="false">sheet1!axe167</f>
        <v>#NAME?</v>
      </c>
      <c r="F166" s="0" t="e">
        <f aca="false">sheet1!axf167</f>
        <v>#NAME?</v>
      </c>
      <c r="G166" s="0" t="e">
        <f aca="false">sheet1!axg167</f>
        <v>#NAME?</v>
      </c>
      <c r="H166" s="0" t="e">
        <f aca="false">sheet1!axh167</f>
        <v>#NAME?</v>
      </c>
      <c r="I166" s="0" t="e">
        <f aca="false">sheet1!axi167</f>
        <v>#NAME?</v>
      </c>
      <c r="J166" s="0" t="e">
        <f aca="false">sheet1!axj167</f>
        <v>#NAME?</v>
      </c>
      <c r="K166" s="0" t="e">
        <f aca="false">sheet1!axk167</f>
        <v>#NAME?</v>
      </c>
      <c r="L166" s="0" t="e">
        <f aca="false">sheet1!axl167</f>
        <v>#NAME?</v>
      </c>
      <c r="M166" s="0" t="e">
        <f aca="false">sheet1!axm167</f>
        <v>#NAME?</v>
      </c>
    </row>
    <row r="167" customFormat="false" ht="13.5" hidden="false" customHeight="false" outlineLevel="0" collapsed="false">
      <c r="A167" s="0" t="s">
        <v>103</v>
      </c>
      <c r="B167" s="1" t="n">
        <v>44027</v>
      </c>
      <c r="C167" s="0" t="e">
        <f aca="false">sheet1!axc168</f>
        <v>#NAME?</v>
      </c>
      <c r="D167" s="0" t="e">
        <f aca="false">sheet1!axd168</f>
        <v>#NAME?</v>
      </c>
      <c r="E167" s="0" t="e">
        <f aca="false">sheet1!axe168</f>
        <v>#NAME?</v>
      </c>
      <c r="F167" s="0" t="e">
        <f aca="false">sheet1!axf168</f>
        <v>#NAME?</v>
      </c>
      <c r="G167" s="0" t="e">
        <f aca="false">sheet1!axg168</f>
        <v>#NAME?</v>
      </c>
      <c r="H167" s="0" t="e">
        <f aca="false">sheet1!axh168</f>
        <v>#NAME?</v>
      </c>
      <c r="I167" s="0" t="e">
        <f aca="false">sheet1!axi168</f>
        <v>#NAME?</v>
      </c>
      <c r="J167" s="0" t="e">
        <f aca="false">sheet1!axj168</f>
        <v>#NAME?</v>
      </c>
      <c r="K167" s="0" t="e">
        <f aca="false">sheet1!axk168</f>
        <v>#NAME?</v>
      </c>
      <c r="L167" s="0" t="e">
        <f aca="false">sheet1!axl168</f>
        <v>#NAME?</v>
      </c>
      <c r="M167" s="0" t="e">
        <f aca="false">sheet1!axm168</f>
        <v>#NAME?</v>
      </c>
    </row>
    <row r="168" customFormat="false" ht="13.5" hidden="false" customHeight="false" outlineLevel="0" collapsed="false">
      <c r="A168" s="0" t="s">
        <v>103</v>
      </c>
      <c r="B168" s="1" t="n">
        <v>44028</v>
      </c>
      <c r="C168" s="0" t="e">
        <f aca="false">sheet1!axc169</f>
        <v>#NAME?</v>
      </c>
      <c r="D168" s="0" t="e">
        <f aca="false">sheet1!axd169</f>
        <v>#NAME?</v>
      </c>
      <c r="E168" s="0" t="e">
        <f aca="false">sheet1!axe169</f>
        <v>#NAME?</v>
      </c>
      <c r="F168" s="0" t="e">
        <f aca="false">sheet1!axf169</f>
        <v>#NAME?</v>
      </c>
      <c r="G168" s="0" t="e">
        <f aca="false">sheet1!axg169</f>
        <v>#NAME?</v>
      </c>
      <c r="H168" s="0" t="e">
        <f aca="false">sheet1!axh169</f>
        <v>#NAME?</v>
      </c>
      <c r="I168" s="0" t="e">
        <f aca="false">sheet1!axi169</f>
        <v>#NAME?</v>
      </c>
      <c r="J168" s="0" t="e">
        <f aca="false">sheet1!axj169</f>
        <v>#NAME?</v>
      </c>
      <c r="K168" s="0" t="e">
        <f aca="false">sheet1!axk169</f>
        <v>#NAME?</v>
      </c>
      <c r="L168" s="0" t="e">
        <f aca="false">sheet1!axl169</f>
        <v>#NAME?</v>
      </c>
      <c r="M168" s="0" t="e">
        <f aca="false">sheet1!axm169</f>
        <v>#NAME?</v>
      </c>
    </row>
    <row r="169" customFormat="false" ht="13.5" hidden="false" customHeight="false" outlineLevel="0" collapsed="false">
      <c r="A169" s="0" t="s">
        <v>103</v>
      </c>
      <c r="B169" s="1" t="n">
        <v>44029</v>
      </c>
      <c r="C169" s="0" t="e">
        <f aca="false">sheet1!axc170</f>
        <v>#NAME?</v>
      </c>
      <c r="D169" s="0" t="e">
        <f aca="false">sheet1!axd170</f>
        <v>#NAME?</v>
      </c>
      <c r="E169" s="0" t="e">
        <f aca="false">sheet1!axe170</f>
        <v>#NAME?</v>
      </c>
      <c r="F169" s="0" t="e">
        <f aca="false">sheet1!axf170</f>
        <v>#NAME?</v>
      </c>
      <c r="G169" s="0" t="e">
        <f aca="false">sheet1!axg170</f>
        <v>#NAME?</v>
      </c>
      <c r="H169" s="0" t="e">
        <f aca="false">sheet1!axh170</f>
        <v>#NAME?</v>
      </c>
      <c r="I169" s="0" t="e">
        <f aca="false">sheet1!axi170</f>
        <v>#NAME?</v>
      </c>
      <c r="J169" s="0" t="e">
        <f aca="false">sheet1!axj170</f>
        <v>#NAME?</v>
      </c>
      <c r="K169" s="0" t="e">
        <f aca="false">sheet1!axk170</f>
        <v>#NAME?</v>
      </c>
      <c r="L169" s="0" t="e">
        <f aca="false">sheet1!axl170</f>
        <v>#NAME?</v>
      </c>
      <c r="M169" s="0" t="e">
        <f aca="false">sheet1!axm170</f>
        <v>#NAME?</v>
      </c>
    </row>
    <row r="170" customFormat="false" ht="13.5" hidden="false" customHeight="false" outlineLevel="0" collapsed="false">
      <c r="A170" s="0" t="s">
        <v>103</v>
      </c>
      <c r="B170" s="1" t="n">
        <v>44030</v>
      </c>
      <c r="C170" s="0" t="e">
        <f aca="false">sheet1!axc171</f>
        <v>#NAME?</v>
      </c>
      <c r="D170" s="0" t="e">
        <f aca="false">sheet1!axd171</f>
        <v>#NAME?</v>
      </c>
      <c r="E170" s="0" t="e">
        <f aca="false">sheet1!axe171</f>
        <v>#NAME?</v>
      </c>
      <c r="F170" s="0" t="e">
        <f aca="false">sheet1!axf171</f>
        <v>#NAME?</v>
      </c>
      <c r="G170" s="0" t="e">
        <f aca="false">sheet1!axg171</f>
        <v>#NAME?</v>
      </c>
      <c r="H170" s="0" t="e">
        <f aca="false">sheet1!axh171</f>
        <v>#NAME?</v>
      </c>
      <c r="I170" s="0" t="e">
        <f aca="false">sheet1!axi171</f>
        <v>#NAME?</v>
      </c>
      <c r="J170" s="0" t="e">
        <f aca="false">sheet1!axj171</f>
        <v>#NAME?</v>
      </c>
      <c r="K170" s="0" t="e">
        <f aca="false">sheet1!axk171</f>
        <v>#NAME?</v>
      </c>
      <c r="L170" s="0" t="e">
        <f aca="false">sheet1!axl171</f>
        <v>#NAME?</v>
      </c>
      <c r="M170" s="0" t="e">
        <f aca="false">sheet1!axm171</f>
        <v>#NAME?</v>
      </c>
    </row>
    <row r="171" customFormat="false" ht="13.5" hidden="false" customHeight="false" outlineLevel="0" collapsed="false">
      <c r="A171" s="0" t="s">
        <v>103</v>
      </c>
      <c r="B171" s="1" t="n">
        <v>44031</v>
      </c>
      <c r="C171" s="0" t="e">
        <f aca="false">sheet1!axc172</f>
        <v>#NAME?</v>
      </c>
      <c r="D171" s="0" t="e">
        <f aca="false">sheet1!axd172</f>
        <v>#NAME?</v>
      </c>
      <c r="E171" s="0" t="e">
        <f aca="false">sheet1!axe172</f>
        <v>#NAME?</v>
      </c>
      <c r="F171" s="0" t="e">
        <f aca="false">sheet1!axf172</f>
        <v>#NAME?</v>
      </c>
      <c r="G171" s="0" t="e">
        <f aca="false">sheet1!axg172</f>
        <v>#NAME?</v>
      </c>
      <c r="H171" s="0" t="e">
        <f aca="false">sheet1!axh172</f>
        <v>#NAME?</v>
      </c>
      <c r="I171" s="0" t="e">
        <f aca="false">sheet1!axi172</f>
        <v>#NAME?</v>
      </c>
      <c r="J171" s="0" t="e">
        <f aca="false">sheet1!axj172</f>
        <v>#NAME?</v>
      </c>
      <c r="K171" s="0" t="e">
        <f aca="false">sheet1!axk172</f>
        <v>#NAME?</v>
      </c>
      <c r="L171" s="0" t="e">
        <f aca="false">sheet1!axl172</f>
        <v>#NAME?</v>
      </c>
      <c r="M171" s="0" t="e">
        <f aca="false">sheet1!axm172</f>
        <v>#NAME?</v>
      </c>
    </row>
    <row r="172" customFormat="false" ht="13.5" hidden="false" customHeight="false" outlineLevel="0" collapsed="false">
      <c r="A172" s="0" t="s">
        <v>103</v>
      </c>
      <c r="B172" s="1" t="n">
        <v>44032</v>
      </c>
      <c r="C172" s="0" t="e">
        <f aca="false">sheet1!axc173</f>
        <v>#NAME?</v>
      </c>
      <c r="D172" s="0" t="e">
        <f aca="false">sheet1!axd173</f>
        <v>#NAME?</v>
      </c>
      <c r="E172" s="0" t="e">
        <f aca="false">sheet1!axe173</f>
        <v>#NAME?</v>
      </c>
      <c r="F172" s="0" t="e">
        <f aca="false">sheet1!axf173</f>
        <v>#NAME?</v>
      </c>
      <c r="G172" s="0" t="e">
        <f aca="false">sheet1!axg173</f>
        <v>#NAME?</v>
      </c>
      <c r="H172" s="0" t="e">
        <f aca="false">sheet1!axh173</f>
        <v>#NAME?</v>
      </c>
      <c r="I172" s="0" t="e">
        <f aca="false">sheet1!axi173</f>
        <v>#NAME?</v>
      </c>
      <c r="J172" s="0" t="e">
        <f aca="false">sheet1!axj173</f>
        <v>#NAME?</v>
      </c>
      <c r="K172" s="0" t="e">
        <f aca="false">sheet1!axk173</f>
        <v>#NAME?</v>
      </c>
      <c r="L172" s="0" t="e">
        <f aca="false">sheet1!axl173</f>
        <v>#NAME?</v>
      </c>
      <c r="M172" s="0" t="e">
        <f aca="false">sheet1!axm173</f>
        <v>#NAME?</v>
      </c>
    </row>
    <row r="173" customFormat="false" ht="13.5" hidden="false" customHeight="false" outlineLevel="0" collapsed="false">
      <c r="A173" s="0" t="s">
        <v>103</v>
      </c>
      <c r="B173" s="1" t="n">
        <v>44033</v>
      </c>
      <c r="C173" s="0" t="e">
        <f aca="false">sheet1!axc174</f>
        <v>#NAME?</v>
      </c>
      <c r="D173" s="0" t="e">
        <f aca="false">sheet1!axd174</f>
        <v>#NAME?</v>
      </c>
      <c r="E173" s="0" t="e">
        <f aca="false">sheet1!axe174</f>
        <v>#NAME?</v>
      </c>
      <c r="F173" s="0" t="e">
        <f aca="false">sheet1!axf174</f>
        <v>#NAME?</v>
      </c>
      <c r="G173" s="0" t="e">
        <f aca="false">sheet1!axg174</f>
        <v>#NAME?</v>
      </c>
      <c r="H173" s="0" t="e">
        <f aca="false">sheet1!axh174</f>
        <v>#NAME?</v>
      </c>
      <c r="I173" s="0" t="e">
        <f aca="false">sheet1!axi174</f>
        <v>#NAME?</v>
      </c>
      <c r="J173" s="0" t="e">
        <f aca="false">sheet1!axj174</f>
        <v>#NAME?</v>
      </c>
      <c r="K173" s="0" t="e">
        <f aca="false">sheet1!axk174</f>
        <v>#NAME?</v>
      </c>
      <c r="L173" s="0" t="e">
        <f aca="false">sheet1!axl174</f>
        <v>#NAME?</v>
      </c>
      <c r="M173" s="0" t="e">
        <f aca="false">sheet1!axm174</f>
        <v>#NAME?</v>
      </c>
    </row>
    <row r="174" customFormat="false" ht="13.5" hidden="false" customHeight="false" outlineLevel="0" collapsed="false">
      <c r="A174" s="0" t="s">
        <v>103</v>
      </c>
      <c r="B174" s="1" t="n">
        <v>44034</v>
      </c>
      <c r="C174" s="0" t="e">
        <f aca="false">sheet1!axc175</f>
        <v>#NAME?</v>
      </c>
      <c r="D174" s="0" t="e">
        <f aca="false">sheet1!axd175</f>
        <v>#NAME?</v>
      </c>
      <c r="E174" s="0" t="e">
        <f aca="false">sheet1!axe175</f>
        <v>#NAME?</v>
      </c>
      <c r="F174" s="0" t="e">
        <f aca="false">sheet1!axf175</f>
        <v>#NAME?</v>
      </c>
      <c r="G174" s="0" t="e">
        <f aca="false">sheet1!axg175</f>
        <v>#NAME?</v>
      </c>
      <c r="H174" s="0" t="e">
        <f aca="false">sheet1!axh175</f>
        <v>#NAME?</v>
      </c>
      <c r="I174" s="0" t="e">
        <f aca="false">sheet1!axi175</f>
        <v>#NAME?</v>
      </c>
      <c r="J174" s="0" t="e">
        <f aca="false">sheet1!axj175</f>
        <v>#NAME?</v>
      </c>
      <c r="K174" s="0" t="e">
        <f aca="false">sheet1!axk175</f>
        <v>#NAME?</v>
      </c>
      <c r="L174" s="0" t="e">
        <f aca="false">sheet1!axl175</f>
        <v>#NAME?</v>
      </c>
      <c r="M174" s="0" t="e">
        <f aca="false">sheet1!axm175</f>
        <v>#NAME?</v>
      </c>
    </row>
    <row r="175" customFormat="false" ht="13.5" hidden="false" customHeight="false" outlineLevel="0" collapsed="false">
      <c r="A175" s="0" t="s">
        <v>103</v>
      </c>
      <c r="B175" s="1" t="n">
        <v>44035</v>
      </c>
      <c r="C175" s="0" t="e">
        <f aca="false">sheet1!axc176</f>
        <v>#NAME?</v>
      </c>
      <c r="D175" s="0" t="e">
        <f aca="false">sheet1!axd176</f>
        <v>#NAME?</v>
      </c>
      <c r="E175" s="0" t="e">
        <f aca="false">sheet1!axe176</f>
        <v>#NAME?</v>
      </c>
      <c r="F175" s="0" t="e">
        <f aca="false">sheet1!axf176</f>
        <v>#NAME?</v>
      </c>
      <c r="G175" s="0" t="e">
        <f aca="false">sheet1!axg176</f>
        <v>#NAME?</v>
      </c>
      <c r="H175" s="0" t="e">
        <f aca="false">sheet1!axh176</f>
        <v>#NAME?</v>
      </c>
      <c r="I175" s="0" t="e">
        <f aca="false">sheet1!axi176</f>
        <v>#NAME?</v>
      </c>
      <c r="J175" s="0" t="e">
        <f aca="false">sheet1!axj176</f>
        <v>#NAME?</v>
      </c>
      <c r="K175" s="0" t="e">
        <f aca="false">sheet1!axk176</f>
        <v>#NAME?</v>
      </c>
      <c r="L175" s="0" t="e">
        <f aca="false">sheet1!axl176</f>
        <v>#NAME?</v>
      </c>
      <c r="M175" s="0" t="e">
        <f aca="false">sheet1!axm176</f>
        <v>#NAME?</v>
      </c>
    </row>
    <row r="176" customFormat="false" ht="13.5" hidden="false" customHeight="false" outlineLevel="0" collapsed="false">
      <c r="A176" s="0" t="s">
        <v>103</v>
      </c>
      <c r="B176" s="1" t="n">
        <v>44036</v>
      </c>
      <c r="C176" s="0" t="e">
        <f aca="false">sheet1!axc177</f>
        <v>#NAME?</v>
      </c>
      <c r="D176" s="0" t="e">
        <f aca="false">sheet1!axd177</f>
        <v>#NAME?</v>
      </c>
      <c r="E176" s="0" t="e">
        <f aca="false">sheet1!axe177</f>
        <v>#NAME?</v>
      </c>
      <c r="F176" s="0" t="e">
        <f aca="false">sheet1!axf177</f>
        <v>#NAME?</v>
      </c>
      <c r="G176" s="0" t="e">
        <f aca="false">sheet1!axg177</f>
        <v>#NAME?</v>
      </c>
      <c r="H176" s="0" t="e">
        <f aca="false">sheet1!axh177</f>
        <v>#NAME?</v>
      </c>
      <c r="I176" s="0" t="e">
        <f aca="false">sheet1!axi177</f>
        <v>#NAME?</v>
      </c>
      <c r="J176" s="0" t="e">
        <f aca="false">sheet1!axj177</f>
        <v>#NAME?</v>
      </c>
      <c r="K176" s="0" t="e">
        <f aca="false">sheet1!axk177</f>
        <v>#NAME?</v>
      </c>
      <c r="L176" s="0" t="e">
        <f aca="false">sheet1!axl177</f>
        <v>#NAME?</v>
      </c>
      <c r="M176" s="0" t="e">
        <f aca="false">sheet1!axm177</f>
        <v>#NAME?</v>
      </c>
    </row>
    <row r="177" customFormat="false" ht="13.5" hidden="false" customHeight="false" outlineLevel="0" collapsed="false">
      <c r="A177" s="0" t="s">
        <v>103</v>
      </c>
      <c r="B177" s="1" t="n">
        <v>44037</v>
      </c>
      <c r="C177" s="0" t="e">
        <f aca="false">sheet1!axc178</f>
        <v>#NAME?</v>
      </c>
      <c r="D177" s="0" t="e">
        <f aca="false">sheet1!axd178</f>
        <v>#NAME?</v>
      </c>
      <c r="E177" s="0" t="e">
        <f aca="false">sheet1!axe178</f>
        <v>#NAME?</v>
      </c>
      <c r="F177" s="0" t="e">
        <f aca="false">sheet1!axf178</f>
        <v>#NAME?</v>
      </c>
      <c r="G177" s="0" t="e">
        <f aca="false">sheet1!axg178</f>
        <v>#NAME?</v>
      </c>
      <c r="H177" s="0" t="e">
        <f aca="false">sheet1!axh178</f>
        <v>#NAME?</v>
      </c>
      <c r="I177" s="0" t="e">
        <f aca="false">sheet1!axi178</f>
        <v>#NAME?</v>
      </c>
      <c r="J177" s="0" t="e">
        <f aca="false">sheet1!axj178</f>
        <v>#NAME?</v>
      </c>
      <c r="K177" s="0" t="e">
        <f aca="false">sheet1!axk178</f>
        <v>#NAME?</v>
      </c>
      <c r="L177" s="0" t="e">
        <f aca="false">sheet1!axl178</f>
        <v>#NAME?</v>
      </c>
      <c r="M177" s="0" t="e">
        <f aca="false">sheet1!axm178</f>
        <v>#NAME?</v>
      </c>
    </row>
    <row r="178" customFormat="false" ht="13.5" hidden="false" customHeight="false" outlineLevel="0" collapsed="false">
      <c r="A178" s="0" t="s">
        <v>103</v>
      </c>
      <c r="B178" s="1" t="n">
        <v>44038</v>
      </c>
      <c r="C178" s="0" t="e">
        <f aca="false">sheet1!axc179</f>
        <v>#NAME?</v>
      </c>
      <c r="D178" s="0" t="e">
        <f aca="false">sheet1!axd179</f>
        <v>#NAME?</v>
      </c>
      <c r="E178" s="0" t="e">
        <f aca="false">sheet1!axe179</f>
        <v>#NAME?</v>
      </c>
      <c r="F178" s="0" t="e">
        <f aca="false">sheet1!axf179</f>
        <v>#NAME?</v>
      </c>
      <c r="G178" s="0" t="e">
        <f aca="false">sheet1!axg179</f>
        <v>#NAME?</v>
      </c>
      <c r="H178" s="0" t="e">
        <f aca="false">sheet1!axh179</f>
        <v>#NAME?</v>
      </c>
      <c r="I178" s="0" t="e">
        <f aca="false">sheet1!axi179</f>
        <v>#NAME?</v>
      </c>
      <c r="J178" s="0" t="e">
        <f aca="false">sheet1!axj179</f>
        <v>#NAME?</v>
      </c>
      <c r="K178" s="0" t="e">
        <f aca="false">sheet1!axk179</f>
        <v>#NAME?</v>
      </c>
      <c r="L178" s="0" t="e">
        <f aca="false">sheet1!axl179</f>
        <v>#NAME?</v>
      </c>
      <c r="M178" s="0" t="e">
        <f aca="false">sheet1!axm179</f>
        <v>#NAME?</v>
      </c>
    </row>
    <row r="179" customFormat="false" ht="13.5" hidden="false" customHeight="false" outlineLevel="0" collapsed="false">
      <c r="A179" s="0" t="s">
        <v>103</v>
      </c>
      <c r="B179" s="1" t="n">
        <v>44039</v>
      </c>
      <c r="C179" s="0" t="e">
        <f aca="false">sheet1!axc180</f>
        <v>#NAME?</v>
      </c>
      <c r="D179" s="0" t="e">
        <f aca="false">sheet1!axd180</f>
        <v>#NAME?</v>
      </c>
      <c r="E179" s="0" t="e">
        <f aca="false">sheet1!axe180</f>
        <v>#NAME?</v>
      </c>
      <c r="F179" s="0" t="e">
        <f aca="false">sheet1!axf180</f>
        <v>#NAME?</v>
      </c>
      <c r="G179" s="0" t="e">
        <f aca="false">sheet1!axg180</f>
        <v>#NAME?</v>
      </c>
      <c r="H179" s="0" t="e">
        <f aca="false">sheet1!axh180</f>
        <v>#NAME?</v>
      </c>
      <c r="I179" s="0" t="e">
        <f aca="false">sheet1!axi180</f>
        <v>#NAME?</v>
      </c>
      <c r="J179" s="0" t="e">
        <f aca="false">sheet1!axj180</f>
        <v>#NAME?</v>
      </c>
      <c r="K179" s="0" t="e">
        <f aca="false">sheet1!axk180</f>
        <v>#NAME?</v>
      </c>
      <c r="L179" s="0" t="e">
        <f aca="false">sheet1!axl180</f>
        <v>#NAME?</v>
      </c>
      <c r="M179" s="0" t="e">
        <f aca="false">sheet1!axm180</f>
        <v>#NAME?</v>
      </c>
    </row>
    <row r="180" customFormat="false" ht="13.5" hidden="false" customHeight="false" outlineLevel="0" collapsed="false">
      <c r="A180" s="0" t="s">
        <v>103</v>
      </c>
      <c r="B180" s="1" t="n">
        <v>44040</v>
      </c>
      <c r="C180" s="0" t="e">
        <f aca="false">sheet1!axc181</f>
        <v>#NAME?</v>
      </c>
      <c r="D180" s="0" t="e">
        <f aca="false">sheet1!axd181</f>
        <v>#NAME?</v>
      </c>
      <c r="E180" s="0" t="e">
        <f aca="false">sheet1!axe181</f>
        <v>#NAME?</v>
      </c>
      <c r="F180" s="0" t="e">
        <f aca="false">sheet1!axf181</f>
        <v>#NAME?</v>
      </c>
      <c r="G180" s="0" t="e">
        <f aca="false">sheet1!axg181</f>
        <v>#NAME?</v>
      </c>
      <c r="H180" s="0" t="e">
        <f aca="false">sheet1!axh181</f>
        <v>#NAME?</v>
      </c>
      <c r="I180" s="0" t="e">
        <f aca="false">sheet1!axi181</f>
        <v>#NAME?</v>
      </c>
      <c r="J180" s="0" t="e">
        <f aca="false">sheet1!axj181</f>
        <v>#NAME?</v>
      </c>
      <c r="K180" s="0" t="e">
        <f aca="false">sheet1!axk181</f>
        <v>#NAME?</v>
      </c>
      <c r="L180" s="0" t="e">
        <f aca="false">sheet1!axl181</f>
        <v>#NAME?</v>
      </c>
      <c r="M180" s="0" t="e">
        <f aca="false">sheet1!axm181</f>
        <v>#NAME?</v>
      </c>
    </row>
    <row r="181" customFormat="false" ht="13.5" hidden="false" customHeight="false" outlineLevel="0" collapsed="false">
      <c r="A181" s="0" t="s">
        <v>103</v>
      </c>
      <c r="B181" s="1" t="n">
        <v>44041</v>
      </c>
      <c r="C181" s="0" t="e">
        <f aca="false">sheet1!axc182</f>
        <v>#NAME?</v>
      </c>
      <c r="D181" s="0" t="e">
        <f aca="false">sheet1!axd182</f>
        <v>#NAME?</v>
      </c>
      <c r="E181" s="0" t="e">
        <f aca="false">sheet1!axe182</f>
        <v>#NAME?</v>
      </c>
      <c r="F181" s="0" t="e">
        <f aca="false">sheet1!axf182</f>
        <v>#NAME?</v>
      </c>
      <c r="G181" s="0" t="e">
        <f aca="false">sheet1!axg182</f>
        <v>#NAME?</v>
      </c>
      <c r="H181" s="0" t="e">
        <f aca="false">sheet1!axh182</f>
        <v>#NAME?</v>
      </c>
      <c r="I181" s="0" t="e">
        <f aca="false">sheet1!axi182</f>
        <v>#NAME?</v>
      </c>
      <c r="J181" s="0" t="e">
        <f aca="false">sheet1!axj182</f>
        <v>#NAME?</v>
      </c>
      <c r="K181" s="0" t="e">
        <f aca="false">sheet1!axk182</f>
        <v>#NAME?</v>
      </c>
      <c r="L181" s="0" t="e">
        <f aca="false">sheet1!axl182</f>
        <v>#NAME?</v>
      </c>
      <c r="M181" s="0" t="e">
        <f aca="false">sheet1!axm182</f>
        <v>#NAME?</v>
      </c>
    </row>
    <row r="182" customFormat="false" ht="13.5" hidden="false" customHeight="false" outlineLevel="0" collapsed="false">
      <c r="A182" s="0" t="s">
        <v>103</v>
      </c>
      <c r="B182" s="1" t="n">
        <v>44042</v>
      </c>
      <c r="C182" s="0" t="e">
        <f aca="false">sheet1!axc183</f>
        <v>#NAME?</v>
      </c>
      <c r="D182" s="0" t="e">
        <f aca="false">sheet1!axd183</f>
        <v>#NAME?</v>
      </c>
      <c r="E182" s="0" t="e">
        <f aca="false">sheet1!axe183</f>
        <v>#NAME?</v>
      </c>
      <c r="F182" s="0" t="e">
        <f aca="false">sheet1!axf183</f>
        <v>#NAME?</v>
      </c>
      <c r="G182" s="0" t="e">
        <f aca="false">sheet1!axg183</f>
        <v>#NAME?</v>
      </c>
      <c r="H182" s="0" t="e">
        <f aca="false">sheet1!axh183</f>
        <v>#NAME?</v>
      </c>
      <c r="I182" s="0" t="e">
        <f aca="false">sheet1!axi183</f>
        <v>#NAME?</v>
      </c>
      <c r="J182" s="0" t="e">
        <f aca="false">sheet1!axj183</f>
        <v>#NAME?</v>
      </c>
      <c r="K182" s="0" t="e">
        <f aca="false">sheet1!axk183</f>
        <v>#NAME?</v>
      </c>
      <c r="L182" s="0" t="e">
        <f aca="false">sheet1!axl183</f>
        <v>#NAME?</v>
      </c>
      <c r="M182" s="0" t="e">
        <f aca="false">sheet1!axm183</f>
        <v>#NAME?</v>
      </c>
    </row>
    <row r="183" customFormat="false" ht="13.5" hidden="false" customHeight="false" outlineLevel="0" collapsed="false">
      <c r="A183" s="0" t="s">
        <v>103</v>
      </c>
      <c r="B183" s="1" t="n">
        <v>44043</v>
      </c>
      <c r="C183" s="0" t="e">
        <f aca="false">sheet1!axc184</f>
        <v>#NAME?</v>
      </c>
      <c r="D183" s="0" t="e">
        <f aca="false">sheet1!axd184</f>
        <v>#NAME?</v>
      </c>
      <c r="E183" s="0" t="e">
        <f aca="false">sheet1!axe184</f>
        <v>#NAME?</v>
      </c>
      <c r="F183" s="0" t="e">
        <f aca="false">sheet1!axf184</f>
        <v>#NAME?</v>
      </c>
      <c r="G183" s="0" t="e">
        <f aca="false">sheet1!axg184</f>
        <v>#NAME?</v>
      </c>
      <c r="H183" s="0" t="e">
        <f aca="false">sheet1!axh184</f>
        <v>#NAME?</v>
      </c>
      <c r="I183" s="0" t="e">
        <f aca="false">sheet1!axi184</f>
        <v>#NAME?</v>
      </c>
      <c r="J183" s="0" t="e">
        <f aca="false">sheet1!axj184</f>
        <v>#NAME?</v>
      </c>
      <c r="K183" s="0" t="e">
        <f aca="false">sheet1!axk184</f>
        <v>#NAME?</v>
      </c>
      <c r="L183" s="0" t="e">
        <f aca="false">sheet1!axl184</f>
        <v>#NAME?</v>
      </c>
      <c r="M183" s="0" t="e">
        <f aca="false">sheet1!axm184</f>
        <v>#NAME?</v>
      </c>
    </row>
    <row r="184" customFormat="false" ht="13.5" hidden="false" customHeight="false" outlineLevel="0" collapsed="false">
      <c r="A184" s="0" t="s">
        <v>103</v>
      </c>
      <c r="B184" s="1" t="n">
        <v>44044</v>
      </c>
      <c r="C184" s="0" t="e">
        <f aca="false">sheet1!axc185</f>
        <v>#NAME?</v>
      </c>
      <c r="D184" s="0" t="e">
        <f aca="false">sheet1!axd185</f>
        <v>#NAME?</v>
      </c>
      <c r="E184" s="0" t="e">
        <f aca="false">sheet1!axe185</f>
        <v>#NAME?</v>
      </c>
      <c r="F184" s="0" t="e">
        <f aca="false">sheet1!axf185</f>
        <v>#NAME?</v>
      </c>
      <c r="G184" s="0" t="e">
        <f aca="false">sheet1!axg185</f>
        <v>#NAME?</v>
      </c>
      <c r="H184" s="0" t="e">
        <f aca="false">sheet1!axh185</f>
        <v>#NAME?</v>
      </c>
      <c r="I184" s="0" t="e">
        <f aca="false">sheet1!axi185</f>
        <v>#NAME?</v>
      </c>
      <c r="J184" s="0" t="e">
        <f aca="false">sheet1!axj185</f>
        <v>#NAME?</v>
      </c>
      <c r="K184" s="0" t="e">
        <f aca="false">sheet1!axk185</f>
        <v>#NAME?</v>
      </c>
      <c r="L184" s="0" t="e">
        <f aca="false">sheet1!axl185</f>
        <v>#NAME?</v>
      </c>
      <c r="M184" s="0" t="e">
        <f aca="false">sheet1!axm185</f>
        <v>#NAME?</v>
      </c>
    </row>
    <row r="185" customFormat="false" ht="13.5" hidden="false" customHeight="false" outlineLevel="0" collapsed="false">
      <c r="A185" s="0" t="s">
        <v>103</v>
      </c>
      <c r="B185" s="1" t="n">
        <v>44045</v>
      </c>
      <c r="C185" s="0" t="e">
        <f aca="false">sheet1!axc186</f>
        <v>#NAME?</v>
      </c>
      <c r="D185" s="0" t="e">
        <f aca="false">sheet1!axd186</f>
        <v>#NAME?</v>
      </c>
      <c r="E185" s="0" t="e">
        <f aca="false">sheet1!axe186</f>
        <v>#NAME?</v>
      </c>
      <c r="F185" s="0" t="e">
        <f aca="false">sheet1!axf186</f>
        <v>#NAME?</v>
      </c>
      <c r="G185" s="0" t="e">
        <f aca="false">sheet1!axg186</f>
        <v>#NAME?</v>
      </c>
      <c r="H185" s="0" t="e">
        <f aca="false">sheet1!axh186</f>
        <v>#NAME?</v>
      </c>
      <c r="I185" s="0" t="e">
        <f aca="false">sheet1!axi186</f>
        <v>#NAME?</v>
      </c>
      <c r="J185" s="0" t="e">
        <f aca="false">sheet1!axj186</f>
        <v>#NAME?</v>
      </c>
      <c r="K185" s="0" t="e">
        <f aca="false">sheet1!axk186</f>
        <v>#NAME?</v>
      </c>
      <c r="L185" s="0" t="e">
        <f aca="false">sheet1!axl186</f>
        <v>#NAME?</v>
      </c>
      <c r="M185" s="0" t="e">
        <f aca="false">sheet1!axm186</f>
        <v>#NAME?</v>
      </c>
    </row>
    <row r="186" customFormat="false" ht="13.5" hidden="false" customHeight="false" outlineLevel="0" collapsed="false">
      <c r="A186" s="0" t="s">
        <v>103</v>
      </c>
      <c r="B186" s="1" t="n">
        <v>44046</v>
      </c>
      <c r="C186" s="0" t="e">
        <f aca="false">sheet1!axc187</f>
        <v>#NAME?</v>
      </c>
      <c r="D186" s="0" t="e">
        <f aca="false">sheet1!axd187</f>
        <v>#NAME?</v>
      </c>
      <c r="E186" s="0" t="e">
        <f aca="false">sheet1!axe187</f>
        <v>#NAME?</v>
      </c>
      <c r="F186" s="0" t="e">
        <f aca="false">sheet1!axf187</f>
        <v>#NAME?</v>
      </c>
      <c r="G186" s="0" t="e">
        <f aca="false">sheet1!axg187</f>
        <v>#NAME?</v>
      </c>
      <c r="H186" s="0" t="e">
        <f aca="false">sheet1!axh187</f>
        <v>#NAME?</v>
      </c>
      <c r="I186" s="0" t="e">
        <f aca="false">sheet1!axi187</f>
        <v>#NAME?</v>
      </c>
      <c r="J186" s="0" t="e">
        <f aca="false">sheet1!axj187</f>
        <v>#NAME?</v>
      </c>
      <c r="K186" s="0" t="e">
        <f aca="false">sheet1!axk187</f>
        <v>#NAME?</v>
      </c>
      <c r="L186" s="0" t="e">
        <f aca="false">sheet1!axl187</f>
        <v>#NAME?</v>
      </c>
      <c r="M186" s="0" t="e">
        <f aca="false">sheet1!axm187</f>
        <v>#NAME?</v>
      </c>
    </row>
    <row r="187" customFormat="false" ht="13.5" hidden="false" customHeight="false" outlineLevel="0" collapsed="false">
      <c r="A187" s="0" t="s">
        <v>103</v>
      </c>
      <c r="B187" s="1" t="n">
        <v>44047</v>
      </c>
      <c r="C187" s="0" t="e">
        <f aca="false">sheet1!axc188</f>
        <v>#NAME?</v>
      </c>
      <c r="D187" s="0" t="e">
        <f aca="false">sheet1!axd188</f>
        <v>#NAME?</v>
      </c>
      <c r="E187" s="0" t="e">
        <f aca="false">sheet1!axe188</f>
        <v>#NAME?</v>
      </c>
      <c r="F187" s="0" t="e">
        <f aca="false">sheet1!axf188</f>
        <v>#NAME?</v>
      </c>
      <c r="G187" s="0" t="e">
        <f aca="false">sheet1!axg188</f>
        <v>#NAME?</v>
      </c>
      <c r="H187" s="0" t="e">
        <f aca="false">sheet1!axh188</f>
        <v>#NAME?</v>
      </c>
      <c r="I187" s="0" t="e">
        <f aca="false">sheet1!axi188</f>
        <v>#NAME?</v>
      </c>
      <c r="J187" s="0" t="e">
        <f aca="false">sheet1!axj188</f>
        <v>#NAME?</v>
      </c>
      <c r="K187" s="0" t="e">
        <f aca="false">sheet1!axk188</f>
        <v>#NAME?</v>
      </c>
      <c r="L187" s="0" t="e">
        <f aca="false">sheet1!axl188</f>
        <v>#NAME?</v>
      </c>
      <c r="M187" s="0" t="e">
        <f aca="false">sheet1!axm188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K144" activeCellId="0" sqref="K144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104</v>
      </c>
      <c r="B2" s="1" t="n">
        <v>43862</v>
      </c>
    </row>
    <row r="3" customFormat="false" ht="13.5" hidden="false" customHeight="false" outlineLevel="0" collapsed="false">
      <c r="A3" s="0" t="s">
        <v>104</v>
      </c>
      <c r="B3" s="1" t="n">
        <v>43863</v>
      </c>
    </row>
    <row r="4" customFormat="false" ht="13.5" hidden="false" customHeight="false" outlineLevel="0" collapsed="false">
      <c r="A4" s="0" t="s">
        <v>104</v>
      </c>
      <c r="B4" s="1" t="n">
        <v>43864</v>
      </c>
    </row>
    <row r="5" customFormat="false" ht="13.5" hidden="false" customHeight="false" outlineLevel="0" collapsed="false">
      <c r="A5" s="0" t="s">
        <v>104</v>
      </c>
      <c r="B5" s="1" t="n">
        <v>43865</v>
      </c>
    </row>
    <row r="6" customFormat="false" ht="13.5" hidden="false" customHeight="false" outlineLevel="0" collapsed="false">
      <c r="A6" s="0" t="s">
        <v>104</v>
      </c>
      <c r="B6" s="1" t="n">
        <v>43866</v>
      </c>
    </row>
    <row r="7" customFormat="false" ht="13.5" hidden="false" customHeight="false" outlineLevel="0" collapsed="false">
      <c r="A7" s="0" t="s">
        <v>104</v>
      </c>
      <c r="B7" s="1" t="n">
        <v>43867</v>
      </c>
    </row>
    <row r="8" customFormat="false" ht="13.5" hidden="false" customHeight="false" outlineLevel="0" collapsed="false">
      <c r="A8" s="0" t="s">
        <v>104</v>
      </c>
      <c r="B8" s="1" t="n">
        <v>43868</v>
      </c>
    </row>
    <row r="9" customFormat="false" ht="13.5" hidden="false" customHeight="false" outlineLevel="0" collapsed="false">
      <c r="A9" s="0" t="s">
        <v>104</v>
      </c>
      <c r="B9" s="1" t="n">
        <v>43869</v>
      </c>
    </row>
    <row r="10" customFormat="false" ht="13.5" hidden="false" customHeight="false" outlineLevel="0" collapsed="false">
      <c r="A10" s="0" t="s">
        <v>104</v>
      </c>
      <c r="B10" s="1" t="n">
        <v>43870</v>
      </c>
    </row>
    <row r="11" customFormat="false" ht="13.5" hidden="false" customHeight="false" outlineLevel="0" collapsed="false">
      <c r="A11" s="0" t="s">
        <v>104</v>
      </c>
      <c r="B11" s="1" t="n">
        <v>43871</v>
      </c>
    </row>
    <row r="12" customFormat="false" ht="13.5" hidden="false" customHeight="false" outlineLevel="0" collapsed="false">
      <c r="A12" s="0" t="s">
        <v>104</v>
      </c>
      <c r="B12" s="1" t="n">
        <v>43872</v>
      </c>
    </row>
    <row r="13" customFormat="false" ht="13.5" hidden="false" customHeight="false" outlineLevel="0" collapsed="false">
      <c r="A13" s="0" t="s">
        <v>104</v>
      </c>
      <c r="B13" s="1" t="n">
        <v>43873</v>
      </c>
    </row>
    <row r="14" customFormat="false" ht="13.5" hidden="false" customHeight="false" outlineLevel="0" collapsed="false">
      <c r="A14" s="0" t="s">
        <v>104</v>
      </c>
      <c r="B14" s="1" t="n">
        <v>43874</v>
      </c>
    </row>
    <row r="15" customFormat="false" ht="13.5" hidden="false" customHeight="false" outlineLevel="0" collapsed="false">
      <c r="A15" s="0" t="s">
        <v>104</v>
      </c>
      <c r="B15" s="1" t="n">
        <v>43875</v>
      </c>
    </row>
    <row r="16" customFormat="false" ht="13.5" hidden="false" customHeight="false" outlineLevel="0" collapsed="false">
      <c r="A16" s="0" t="s">
        <v>104</v>
      </c>
      <c r="B16" s="1" t="n">
        <v>43876</v>
      </c>
    </row>
    <row r="17" customFormat="false" ht="13.5" hidden="false" customHeight="false" outlineLevel="0" collapsed="false">
      <c r="A17" s="0" t="s">
        <v>104</v>
      </c>
      <c r="B17" s="1" t="n">
        <v>43877</v>
      </c>
    </row>
    <row r="18" customFormat="false" ht="13.5" hidden="false" customHeight="false" outlineLevel="0" collapsed="false">
      <c r="A18" s="0" t="s">
        <v>104</v>
      </c>
      <c r="B18" s="1" t="n">
        <v>43878</v>
      </c>
    </row>
    <row r="19" customFormat="false" ht="13.5" hidden="false" customHeight="false" outlineLevel="0" collapsed="false">
      <c r="A19" s="0" t="s">
        <v>104</v>
      </c>
      <c r="B19" s="1" t="n">
        <v>43879</v>
      </c>
    </row>
    <row r="20" customFormat="false" ht="13.5" hidden="false" customHeight="false" outlineLevel="0" collapsed="false">
      <c r="A20" s="0" t="s">
        <v>104</v>
      </c>
      <c r="B20" s="1" t="n">
        <v>43880</v>
      </c>
    </row>
    <row r="21" customFormat="false" ht="13.5" hidden="false" customHeight="false" outlineLevel="0" collapsed="false">
      <c r="A21" s="0" t="s">
        <v>104</v>
      </c>
      <c r="B21" s="1" t="n">
        <v>43881</v>
      </c>
    </row>
    <row r="22" customFormat="false" ht="13.5" hidden="false" customHeight="false" outlineLevel="0" collapsed="false">
      <c r="A22" s="0" t="s">
        <v>104</v>
      </c>
      <c r="B22" s="1" t="n">
        <v>43882</v>
      </c>
    </row>
    <row r="23" customFormat="false" ht="13.5" hidden="false" customHeight="false" outlineLevel="0" collapsed="false">
      <c r="A23" s="0" t="s">
        <v>104</v>
      </c>
      <c r="B23" s="1" t="n">
        <v>43883</v>
      </c>
    </row>
    <row r="24" customFormat="false" ht="13.5" hidden="false" customHeight="false" outlineLevel="0" collapsed="false">
      <c r="A24" s="0" t="s">
        <v>104</v>
      </c>
      <c r="B24" s="1" t="n">
        <v>43884</v>
      </c>
    </row>
    <row r="25" customFormat="false" ht="13.5" hidden="false" customHeight="false" outlineLevel="0" collapsed="false">
      <c r="A25" s="0" t="s">
        <v>104</v>
      </c>
      <c r="B25" s="1" t="n">
        <v>43885</v>
      </c>
    </row>
    <row r="26" customFormat="false" ht="13.5" hidden="false" customHeight="false" outlineLevel="0" collapsed="false">
      <c r="A26" s="0" t="s">
        <v>104</v>
      </c>
      <c r="B26" s="1" t="n">
        <v>43886</v>
      </c>
    </row>
    <row r="27" customFormat="false" ht="13.5" hidden="false" customHeight="false" outlineLevel="0" collapsed="false">
      <c r="A27" s="0" t="s">
        <v>104</v>
      </c>
      <c r="B27" s="1" t="n">
        <v>43887</v>
      </c>
    </row>
    <row r="28" customFormat="false" ht="13.5" hidden="false" customHeight="false" outlineLevel="0" collapsed="false">
      <c r="A28" s="0" t="s">
        <v>104</v>
      </c>
      <c r="B28" s="1" t="n">
        <v>43888</v>
      </c>
    </row>
    <row r="29" customFormat="false" ht="13.5" hidden="false" customHeight="false" outlineLevel="0" collapsed="false">
      <c r="A29" s="0" t="s">
        <v>104</v>
      </c>
      <c r="B29" s="1" t="n">
        <v>43889</v>
      </c>
    </row>
    <row r="30" customFormat="false" ht="13.5" hidden="false" customHeight="false" outlineLevel="0" collapsed="false">
      <c r="A30" s="0" t="s">
        <v>104</v>
      </c>
      <c r="B30" s="1" t="n">
        <v>43890</v>
      </c>
    </row>
    <row r="31" customFormat="false" ht="13.5" hidden="false" customHeight="false" outlineLevel="0" collapsed="false">
      <c r="A31" s="0" t="s">
        <v>104</v>
      </c>
      <c r="B31" s="1" t="n">
        <v>43891</v>
      </c>
    </row>
    <row r="32" customFormat="false" ht="13.5" hidden="false" customHeight="false" outlineLevel="0" collapsed="false">
      <c r="A32" s="0" t="s">
        <v>104</v>
      </c>
      <c r="B32" s="1" t="n">
        <v>43892</v>
      </c>
    </row>
    <row r="33" customFormat="false" ht="13.5" hidden="false" customHeight="false" outlineLevel="0" collapsed="false">
      <c r="A33" s="0" t="s">
        <v>104</v>
      </c>
      <c r="B33" s="1" t="n">
        <v>43893</v>
      </c>
    </row>
    <row r="34" customFormat="false" ht="13.5" hidden="false" customHeight="false" outlineLevel="0" collapsed="false">
      <c r="A34" s="0" t="s">
        <v>104</v>
      </c>
      <c r="B34" s="1" t="n">
        <v>43894</v>
      </c>
    </row>
    <row r="35" customFormat="false" ht="13.5" hidden="false" customHeight="false" outlineLevel="0" collapsed="false">
      <c r="A35" s="0" t="s">
        <v>104</v>
      </c>
      <c r="B35" s="1" t="n">
        <v>43895</v>
      </c>
    </row>
    <row r="36" customFormat="false" ht="13.5" hidden="false" customHeight="false" outlineLevel="0" collapsed="false">
      <c r="A36" s="0" t="s">
        <v>104</v>
      </c>
      <c r="B36" s="1" t="n">
        <v>43896</v>
      </c>
    </row>
    <row r="37" customFormat="false" ht="13.5" hidden="false" customHeight="false" outlineLevel="0" collapsed="false">
      <c r="A37" s="0" t="s">
        <v>104</v>
      </c>
      <c r="B37" s="1" t="n">
        <v>43897</v>
      </c>
    </row>
    <row r="38" customFormat="false" ht="13.5" hidden="false" customHeight="false" outlineLevel="0" collapsed="false">
      <c r="A38" s="0" t="s">
        <v>104</v>
      </c>
      <c r="B38" s="1" t="n">
        <v>43898</v>
      </c>
    </row>
    <row r="39" customFormat="false" ht="13.5" hidden="false" customHeight="false" outlineLevel="0" collapsed="false">
      <c r="A39" s="0" t="s">
        <v>104</v>
      </c>
      <c r="B39" s="1" t="n">
        <v>43899</v>
      </c>
    </row>
    <row r="40" customFormat="false" ht="13.5" hidden="false" customHeight="false" outlineLevel="0" collapsed="false">
      <c r="A40" s="0" t="s">
        <v>104</v>
      </c>
      <c r="B40" s="1" t="n">
        <v>43900</v>
      </c>
    </row>
    <row r="41" customFormat="false" ht="13.5" hidden="false" customHeight="false" outlineLevel="0" collapsed="false">
      <c r="A41" s="0" t="s">
        <v>104</v>
      </c>
      <c r="B41" s="1" t="n">
        <v>43901</v>
      </c>
    </row>
    <row r="42" customFormat="false" ht="13.5" hidden="false" customHeight="false" outlineLevel="0" collapsed="false">
      <c r="A42" s="0" t="s">
        <v>104</v>
      </c>
      <c r="B42" s="1" t="n">
        <v>43902</v>
      </c>
    </row>
    <row r="43" customFormat="false" ht="13.5" hidden="false" customHeight="false" outlineLevel="0" collapsed="false">
      <c r="A43" s="0" t="s">
        <v>104</v>
      </c>
      <c r="B43" s="1" t="n">
        <v>43903</v>
      </c>
    </row>
    <row r="44" customFormat="false" ht="13.5" hidden="false" customHeight="false" outlineLevel="0" collapsed="false">
      <c r="A44" s="0" t="s">
        <v>104</v>
      </c>
      <c r="B44" s="1" t="n">
        <v>43904</v>
      </c>
    </row>
    <row r="45" customFormat="false" ht="13.5" hidden="false" customHeight="false" outlineLevel="0" collapsed="false">
      <c r="A45" s="0" t="s">
        <v>104</v>
      </c>
      <c r="B45" s="1" t="n">
        <v>43905</v>
      </c>
    </row>
    <row r="46" customFormat="false" ht="13.5" hidden="false" customHeight="false" outlineLevel="0" collapsed="false">
      <c r="A46" s="0" t="s">
        <v>104</v>
      </c>
      <c r="B46" s="1" t="n">
        <v>43906</v>
      </c>
    </row>
    <row r="47" customFormat="false" ht="13.5" hidden="false" customHeight="false" outlineLevel="0" collapsed="false">
      <c r="A47" s="0" t="s">
        <v>104</v>
      </c>
      <c r="B47" s="1" t="n">
        <v>43907</v>
      </c>
      <c r="C47" s="0" t="n">
        <v>1</v>
      </c>
      <c r="D47" s="0" t="n">
        <f aca="false">C47-C46</f>
        <v>1</v>
      </c>
      <c r="H47" s="0" t="n">
        <v>1</v>
      </c>
      <c r="J47" s="0" t="n">
        <v>0.1</v>
      </c>
    </row>
    <row r="48" customFormat="false" ht="13.5" hidden="false" customHeight="false" outlineLevel="0" collapsed="false">
      <c r="A48" s="0" t="s">
        <v>104</v>
      </c>
      <c r="B48" s="1" t="n">
        <v>43908</v>
      </c>
      <c r="C48" s="0" t="n">
        <v>1</v>
      </c>
      <c r="D48" s="0" t="n">
        <f aca="false">C48-C47</f>
        <v>0</v>
      </c>
      <c r="H48" s="0" t="n">
        <v>1</v>
      </c>
      <c r="J48" s="0" t="n">
        <v>0.1</v>
      </c>
    </row>
    <row r="49" customFormat="false" ht="13.5" hidden="false" customHeight="false" outlineLevel="0" collapsed="false">
      <c r="A49" s="0" t="s">
        <v>104</v>
      </c>
      <c r="B49" s="1" t="n">
        <v>43909</v>
      </c>
      <c r="C49" s="0" t="n">
        <v>1</v>
      </c>
      <c r="D49" s="0" t="n">
        <f aca="false">C49-C48</f>
        <v>0</v>
      </c>
      <c r="H49" s="0" t="n">
        <v>1</v>
      </c>
      <c r="J49" s="0" t="n">
        <v>0.06</v>
      </c>
    </row>
    <row r="50" customFormat="false" ht="13.5" hidden="false" customHeight="false" outlineLevel="0" collapsed="false">
      <c r="A50" s="0" t="s">
        <v>104</v>
      </c>
      <c r="B50" s="1" t="n">
        <v>43910</v>
      </c>
      <c r="C50" s="0" t="n">
        <v>1</v>
      </c>
      <c r="D50" s="0" t="n">
        <f aca="false">C50-C49</f>
        <v>0</v>
      </c>
      <c r="H50" s="0" t="n">
        <v>1</v>
      </c>
      <c r="J50" s="0" t="n">
        <v>0.06</v>
      </c>
    </row>
    <row r="51" customFormat="false" ht="13.5" hidden="false" customHeight="false" outlineLevel="0" collapsed="false">
      <c r="A51" s="0" t="s">
        <v>104</v>
      </c>
      <c r="B51" s="1" t="n">
        <v>43911</v>
      </c>
      <c r="C51" s="0" t="n">
        <v>1</v>
      </c>
      <c r="D51" s="0" t="n">
        <f aca="false">C51-C50</f>
        <v>0</v>
      </c>
      <c r="H51" s="0" t="n">
        <v>1</v>
      </c>
      <c r="J51" s="0" t="n">
        <v>0.06</v>
      </c>
    </row>
    <row r="52" customFormat="false" ht="13.5" hidden="false" customHeight="false" outlineLevel="0" collapsed="false">
      <c r="A52" s="0" t="s">
        <v>104</v>
      </c>
      <c r="B52" s="1" t="n">
        <v>43912</v>
      </c>
      <c r="C52" s="0" t="n">
        <v>1</v>
      </c>
      <c r="D52" s="0" t="n">
        <f aca="false">C52-C51</f>
        <v>0</v>
      </c>
      <c r="H52" s="0" t="n">
        <v>1</v>
      </c>
      <c r="J52" s="0" t="n">
        <v>0.06</v>
      </c>
    </row>
    <row r="53" customFormat="false" ht="13.5" hidden="false" customHeight="false" outlineLevel="0" collapsed="false">
      <c r="A53" s="0" t="s">
        <v>104</v>
      </c>
      <c r="B53" s="1" t="n">
        <v>43913</v>
      </c>
      <c r="C53" s="0" t="n">
        <v>1</v>
      </c>
      <c r="D53" s="0" t="n">
        <f aca="false">C53-C52</f>
        <v>0</v>
      </c>
      <c r="H53" s="0" t="n">
        <v>1</v>
      </c>
      <c r="J53" s="0" t="n">
        <v>0.06</v>
      </c>
    </row>
    <row r="54" customFormat="false" ht="13.5" hidden="false" customHeight="false" outlineLevel="0" collapsed="false">
      <c r="A54" s="0" t="s">
        <v>104</v>
      </c>
      <c r="B54" s="1" t="n">
        <v>43914</v>
      </c>
      <c r="C54" s="0" t="n">
        <v>1</v>
      </c>
      <c r="D54" s="0" t="n">
        <f aca="false">C54-C53</f>
        <v>0</v>
      </c>
      <c r="H54" s="0" t="n">
        <v>1</v>
      </c>
      <c r="J54" s="0" t="n">
        <v>0.06</v>
      </c>
    </row>
    <row r="55" customFormat="false" ht="13.5" hidden="false" customHeight="false" outlineLevel="0" collapsed="false">
      <c r="A55" s="0" t="s">
        <v>104</v>
      </c>
      <c r="B55" s="1" t="n">
        <v>43915</v>
      </c>
      <c r="C55" s="0" t="n">
        <v>1</v>
      </c>
      <c r="D55" s="0" t="n">
        <f aca="false">C55-C54</f>
        <v>0</v>
      </c>
      <c r="H55" s="0" t="n">
        <v>1</v>
      </c>
      <c r="J55" s="0" t="n">
        <v>0.06</v>
      </c>
    </row>
    <row r="56" customFormat="false" ht="13.5" hidden="false" customHeight="false" outlineLevel="0" collapsed="false">
      <c r="A56" s="0" t="s">
        <v>104</v>
      </c>
      <c r="B56" s="1" t="n">
        <v>43916</v>
      </c>
      <c r="C56" s="0" t="n">
        <v>1</v>
      </c>
      <c r="D56" s="0" t="n">
        <f aca="false">C56-C55</f>
        <v>0</v>
      </c>
      <c r="H56" s="0" t="n">
        <v>1</v>
      </c>
      <c r="J56" s="0" t="n">
        <v>0.06</v>
      </c>
    </row>
    <row r="57" customFormat="false" ht="13.5" hidden="false" customHeight="false" outlineLevel="0" collapsed="false">
      <c r="A57" s="0" t="s">
        <v>104</v>
      </c>
      <c r="B57" s="1" t="n">
        <v>43917</v>
      </c>
      <c r="C57" s="0" t="n">
        <v>2</v>
      </c>
      <c r="D57" s="0" t="n">
        <f aca="false">C57-C56</f>
        <v>1</v>
      </c>
      <c r="H57" s="0" t="n">
        <v>2</v>
      </c>
      <c r="J57" s="0" t="n">
        <v>0.1</v>
      </c>
    </row>
    <row r="58" customFormat="false" ht="13.5" hidden="false" customHeight="false" outlineLevel="0" collapsed="false">
      <c r="A58" s="0" t="s">
        <v>104</v>
      </c>
      <c r="B58" s="1" t="n">
        <v>43918</v>
      </c>
      <c r="C58" s="0" t="n">
        <v>3</v>
      </c>
      <c r="D58" s="0" t="n">
        <f aca="false">C58-C57</f>
        <v>1</v>
      </c>
      <c r="H58" s="0" t="n">
        <v>3</v>
      </c>
      <c r="J58" s="0" t="n">
        <v>0.2</v>
      </c>
    </row>
    <row r="59" customFormat="false" ht="13.5" hidden="false" customHeight="false" outlineLevel="0" collapsed="false">
      <c r="A59" s="0" t="s">
        <v>104</v>
      </c>
      <c r="B59" s="1" t="n">
        <v>43919</v>
      </c>
      <c r="C59" s="0" t="n">
        <v>3</v>
      </c>
      <c r="D59" s="0" t="n">
        <f aca="false">C59-C58</f>
        <v>0</v>
      </c>
      <c r="H59" s="0" t="n">
        <v>3</v>
      </c>
      <c r="J59" s="0" t="n">
        <v>0.2</v>
      </c>
    </row>
    <row r="60" customFormat="false" ht="13.5" hidden="false" customHeight="false" outlineLevel="0" collapsed="false">
      <c r="A60" s="0" t="s">
        <v>104</v>
      </c>
      <c r="B60" s="1" t="n">
        <v>43920</v>
      </c>
      <c r="C60" s="0" t="n">
        <v>3</v>
      </c>
      <c r="D60" s="0" t="n">
        <f aca="false">C60-C59</f>
        <v>0</v>
      </c>
      <c r="H60" s="0" t="n">
        <v>3</v>
      </c>
      <c r="J60" s="0" t="n">
        <v>0.2</v>
      </c>
    </row>
    <row r="61" customFormat="false" ht="13.5" hidden="false" customHeight="false" outlineLevel="0" collapsed="false">
      <c r="A61" s="0" t="s">
        <v>104</v>
      </c>
      <c r="B61" s="1" t="n">
        <v>43921</v>
      </c>
      <c r="C61" s="0" t="n">
        <v>3</v>
      </c>
      <c r="D61" s="0" t="n">
        <f aca="false">C61-C60</f>
        <v>0</v>
      </c>
      <c r="H61" s="0" t="n">
        <v>3</v>
      </c>
      <c r="J61" s="0" t="n">
        <v>0.2</v>
      </c>
    </row>
    <row r="62" customFormat="false" ht="13.5" hidden="false" customHeight="false" outlineLevel="0" collapsed="false">
      <c r="A62" s="0" t="s">
        <v>104</v>
      </c>
      <c r="B62" s="1" t="n">
        <v>43922</v>
      </c>
      <c r="C62" s="0" t="n">
        <v>5</v>
      </c>
      <c r="D62" s="0" t="n">
        <f aca="false">C62-C61</f>
        <v>2</v>
      </c>
      <c r="G62" s="0" t="n">
        <v>1</v>
      </c>
      <c r="H62" s="0" t="n">
        <v>4</v>
      </c>
      <c r="J62" s="0" t="n">
        <v>0.3</v>
      </c>
    </row>
    <row r="63" customFormat="false" ht="13.5" hidden="false" customHeight="false" outlineLevel="0" collapsed="false">
      <c r="A63" s="0" t="s">
        <v>104</v>
      </c>
      <c r="B63" s="1" t="n">
        <v>43923</v>
      </c>
      <c r="C63" s="0" t="n">
        <v>5</v>
      </c>
      <c r="D63" s="0" t="n">
        <f aca="false">C63-C62</f>
        <v>0</v>
      </c>
      <c r="G63" s="0" t="n">
        <v>1</v>
      </c>
      <c r="H63" s="0" t="n">
        <v>4</v>
      </c>
      <c r="J63" s="0" t="n">
        <v>0.3</v>
      </c>
    </row>
    <row r="64" customFormat="false" ht="13.5" hidden="false" customHeight="false" outlineLevel="0" collapsed="false">
      <c r="A64" s="0" t="s">
        <v>104</v>
      </c>
      <c r="B64" s="1" t="n">
        <v>43924</v>
      </c>
      <c r="C64" s="0" t="n">
        <v>5</v>
      </c>
      <c r="D64" s="0" t="n">
        <f aca="false">C64-C63</f>
        <v>0</v>
      </c>
      <c r="G64" s="0" t="n">
        <v>1</v>
      </c>
      <c r="H64" s="0" t="n">
        <v>4</v>
      </c>
      <c r="J64" s="0" t="n">
        <v>0.3</v>
      </c>
    </row>
    <row r="65" customFormat="false" ht="13.5" hidden="false" customHeight="false" outlineLevel="0" collapsed="false">
      <c r="A65" s="0" t="s">
        <v>104</v>
      </c>
      <c r="B65" s="1" t="n">
        <v>43925</v>
      </c>
      <c r="C65" s="0" t="n">
        <v>7</v>
      </c>
      <c r="D65" s="0" t="n">
        <f aca="false">C65-C64</f>
        <v>2</v>
      </c>
      <c r="G65" s="0" t="n">
        <v>1</v>
      </c>
      <c r="H65" s="0" t="n">
        <v>6</v>
      </c>
      <c r="J65" s="0" t="n">
        <v>0.4</v>
      </c>
    </row>
    <row r="66" customFormat="false" ht="13.5" hidden="false" customHeight="false" outlineLevel="0" collapsed="false">
      <c r="A66" s="0" t="s">
        <v>104</v>
      </c>
      <c r="B66" s="1" t="n">
        <v>43926</v>
      </c>
      <c r="C66" s="0" t="n">
        <v>7</v>
      </c>
      <c r="D66" s="0" t="n">
        <f aca="false">C66-C65</f>
        <v>0</v>
      </c>
      <c r="G66" s="0" t="n">
        <v>1</v>
      </c>
      <c r="H66" s="0" t="n">
        <v>6</v>
      </c>
      <c r="J66" s="0" t="n">
        <v>0.4</v>
      </c>
    </row>
    <row r="67" customFormat="false" ht="13.5" hidden="false" customHeight="false" outlineLevel="0" collapsed="false">
      <c r="A67" s="0" t="s">
        <v>104</v>
      </c>
      <c r="B67" s="1" t="n">
        <v>43927</v>
      </c>
      <c r="C67" s="0" t="n">
        <v>7</v>
      </c>
      <c r="D67" s="0" t="n">
        <f aca="false">C67-C66</f>
        <v>0</v>
      </c>
      <c r="G67" s="0" t="n">
        <v>1</v>
      </c>
      <c r="H67" s="0" t="n">
        <v>6</v>
      </c>
      <c r="J67" s="0" t="n">
        <v>0.4</v>
      </c>
    </row>
    <row r="68" customFormat="false" ht="13.5" hidden="false" customHeight="false" outlineLevel="0" collapsed="false">
      <c r="A68" s="0" t="s">
        <v>104</v>
      </c>
      <c r="B68" s="1" t="n">
        <v>43928</v>
      </c>
      <c r="C68" s="0" t="n">
        <v>7</v>
      </c>
      <c r="D68" s="0" t="n">
        <f aca="false">C68-C67</f>
        <v>0</v>
      </c>
      <c r="G68" s="0" t="n">
        <v>1</v>
      </c>
      <c r="H68" s="0" t="n">
        <v>6</v>
      </c>
      <c r="J68" s="0" t="n">
        <v>0.4</v>
      </c>
    </row>
    <row r="69" customFormat="false" ht="13.5" hidden="false" customHeight="false" outlineLevel="0" collapsed="false">
      <c r="A69" s="0" t="s">
        <v>104</v>
      </c>
      <c r="B69" s="1" t="n">
        <v>43929</v>
      </c>
      <c r="C69" s="0" t="n">
        <v>8</v>
      </c>
      <c r="D69" s="0" t="n">
        <f aca="false">C69-C68</f>
        <v>1</v>
      </c>
      <c r="G69" s="0" t="n">
        <v>1</v>
      </c>
      <c r="H69" s="0" t="n">
        <v>7</v>
      </c>
      <c r="J69" s="0" t="n">
        <v>0.5</v>
      </c>
    </row>
    <row r="70" customFormat="false" ht="13.5" hidden="false" customHeight="false" outlineLevel="0" collapsed="false">
      <c r="A70" s="0" t="s">
        <v>104</v>
      </c>
      <c r="B70" s="1" t="n">
        <v>43930</v>
      </c>
      <c r="C70" s="0" t="n">
        <v>12</v>
      </c>
      <c r="D70" s="0" t="n">
        <f aca="false">C70-C69</f>
        <v>4</v>
      </c>
      <c r="E70" s="0" t="n">
        <v>1</v>
      </c>
      <c r="F70" s="0" t="n">
        <f aca="false">E70-E69</f>
        <v>1</v>
      </c>
      <c r="G70" s="0" t="n">
        <v>1</v>
      </c>
      <c r="H70" s="0" t="n">
        <v>10</v>
      </c>
      <c r="J70" s="0" t="n">
        <v>0.8</v>
      </c>
      <c r="K70" s="0" t="n">
        <v>0.06</v>
      </c>
    </row>
    <row r="71" customFormat="false" ht="13.5" hidden="false" customHeight="false" outlineLevel="0" collapsed="false">
      <c r="A71" s="0" t="s">
        <v>104</v>
      </c>
      <c r="B71" s="1" t="n">
        <v>43931</v>
      </c>
      <c r="C71" s="0" t="n">
        <v>12</v>
      </c>
      <c r="D71" s="0" t="n">
        <f aca="false">C71-C70</f>
        <v>0</v>
      </c>
      <c r="E71" s="0" t="n">
        <v>1</v>
      </c>
      <c r="F71" s="0" t="n">
        <f aca="false">E71-E70</f>
        <v>0</v>
      </c>
      <c r="G71" s="0" t="n">
        <v>1</v>
      </c>
      <c r="H71" s="0" t="n">
        <v>10</v>
      </c>
      <c r="J71" s="0" t="n">
        <v>0.8</v>
      </c>
      <c r="K71" s="0" t="n">
        <v>0.06</v>
      </c>
    </row>
    <row r="72" customFormat="false" ht="13.5" hidden="false" customHeight="false" outlineLevel="0" collapsed="false">
      <c r="A72" s="0" t="s">
        <v>104</v>
      </c>
      <c r="B72" s="1" t="n">
        <v>43932</v>
      </c>
      <c r="C72" s="0" t="n">
        <v>21</v>
      </c>
      <c r="D72" s="0" t="n">
        <f aca="false">C72-C71</f>
        <v>9</v>
      </c>
      <c r="E72" s="0" t="n">
        <v>1</v>
      </c>
      <c r="F72" s="0" t="n">
        <f aca="false">E72-E71</f>
        <v>0</v>
      </c>
      <c r="G72" s="0" t="n">
        <v>1</v>
      </c>
      <c r="H72" s="0" t="n">
        <v>19</v>
      </c>
      <c r="J72" s="0" t="n">
        <v>1</v>
      </c>
      <c r="K72" s="0" t="n">
        <v>0.06</v>
      </c>
    </row>
    <row r="73" customFormat="false" ht="13.5" hidden="false" customHeight="false" outlineLevel="0" collapsed="false">
      <c r="A73" s="0" t="s">
        <v>104</v>
      </c>
      <c r="B73" s="1" t="n">
        <v>43933</v>
      </c>
      <c r="C73" s="0" t="n">
        <v>21</v>
      </c>
      <c r="D73" s="0" t="n">
        <f aca="false">C73-C72</f>
        <v>0</v>
      </c>
      <c r="E73" s="0" t="n">
        <v>1</v>
      </c>
      <c r="F73" s="0" t="n">
        <f aca="false">E73-E72</f>
        <v>0</v>
      </c>
      <c r="G73" s="0" t="n">
        <v>1</v>
      </c>
      <c r="H73" s="0" t="n">
        <v>19</v>
      </c>
      <c r="J73" s="0" t="n">
        <v>1</v>
      </c>
      <c r="K73" s="0" t="n">
        <v>0.06</v>
      </c>
    </row>
    <row r="74" customFormat="false" ht="13.5" hidden="false" customHeight="false" outlineLevel="0" collapsed="false">
      <c r="A74" s="0" t="s">
        <v>104</v>
      </c>
      <c r="B74" s="1" t="n">
        <v>43934</v>
      </c>
      <c r="C74" s="0" t="n">
        <v>25</v>
      </c>
      <c r="D74" s="0" t="n">
        <f aca="false">C74-C73</f>
        <v>4</v>
      </c>
      <c r="E74" s="0" t="n">
        <v>1</v>
      </c>
      <c r="F74" s="0" t="n">
        <f aca="false">E74-E73</f>
        <v>0</v>
      </c>
      <c r="G74" s="0" t="n">
        <v>2</v>
      </c>
      <c r="H74" s="0" t="n">
        <v>22</v>
      </c>
      <c r="I74" s="0" t="n">
        <v>2</v>
      </c>
      <c r="J74" s="0" t="n">
        <v>2</v>
      </c>
      <c r="K74" s="0" t="n">
        <v>0.06</v>
      </c>
    </row>
    <row r="75" customFormat="false" ht="13.5" hidden="false" customHeight="false" outlineLevel="0" collapsed="false">
      <c r="A75" s="0" t="s">
        <v>104</v>
      </c>
      <c r="B75" s="1" t="n">
        <v>43935</v>
      </c>
      <c r="C75" s="0" t="n">
        <v>60</v>
      </c>
      <c r="D75" s="0" t="n">
        <f aca="false">C75-C74</f>
        <v>35</v>
      </c>
      <c r="E75" s="0" t="n">
        <v>2</v>
      </c>
      <c r="F75" s="0" t="n">
        <f aca="false">E75-E74</f>
        <v>1</v>
      </c>
      <c r="G75" s="0" t="n">
        <v>2</v>
      </c>
      <c r="H75" s="0" t="n">
        <v>56</v>
      </c>
      <c r="I75" s="0" t="n">
        <v>2</v>
      </c>
      <c r="J75" s="0" t="n">
        <v>4</v>
      </c>
      <c r="K75" s="0" t="n">
        <v>0.1</v>
      </c>
    </row>
    <row r="76" customFormat="false" ht="13.5" hidden="false" customHeight="false" outlineLevel="0" collapsed="false">
      <c r="A76" s="0" t="s">
        <v>104</v>
      </c>
      <c r="B76" s="1" t="n">
        <v>43936</v>
      </c>
      <c r="C76" s="0" t="n">
        <v>60</v>
      </c>
      <c r="D76" s="0" t="n">
        <f aca="false">C76-C75</f>
        <v>0</v>
      </c>
      <c r="E76" s="0" t="n">
        <v>2</v>
      </c>
      <c r="F76" s="0" t="n">
        <f aca="false">E76-E75</f>
        <v>0</v>
      </c>
      <c r="G76" s="0" t="n">
        <v>2</v>
      </c>
      <c r="H76" s="0" t="n">
        <v>56</v>
      </c>
      <c r="I76" s="0" t="n">
        <v>2</v>
      </c>
      <c r="J76" s="0" t="n">
        <v>4</v>
      </c>
      <c r="K76" s="0" t="n">
        <v>0.1</v>
      </c>
    </row>
    <row r="77" customFormat="false" ht="13.5" hidden="false" customHeight="false" outlineLevel="0" collapsed="false">
      <c r="A77" s="0" t="s">
        <v>104</v>
      </c>
      <c r="B77" s="1" t="n">
        <v>43937</v>
      </c>
      <c r="C77" s="0" t="n">
        <v>80</v>
      </c>
      <c r="D77" s="0" t="n">
        <f aca="false">C77-C76</f>
        <v>20</v>
      </c>
      <c r="E77" s="0" t="n">
        <v>5</v>
      </c>
      <c r="F77" s="0" t="n">
        <f aca="false">E77-E76</f>
        <v>3</v>
      </c>
      <c r="G77" s="0" t="n">
        <v>2</v>
      </c>
      <c r="H77" s="0" t="n">
        <v>73</v>
      </c>
      <c r="I77" s="0" t="n">
        <v>2</v>
      </c>
      <c r="J77" s="0" t="n">
        <v>5</v>
      </c>
      <c r="K77" s="0" t="n">
        <v>0.3</v>
      </c>
    </row>
    <row r="78" customFormat="false" ht="13.5" hidden="false" customHeight="false" outlineLevel="0" collapsed="false">
      <c r="A78" s="0" t="s">
        <v>104</v>
      </c>
      <c r="B78" s="1" t="n">
        <v>43938</v>
      </c>
      <c r="C78" s="0" t="n">
        <v>80</v>
      </c>
      <c r="D78" s="0" t="n">
        <f aca="false">C78-C77</f>
        <v>0</v>
      </c>
      <c r="E78" s="0" t="n">
        <v>5</v>
      </c>
      <c r="F78" s="0" t="n">
        <f aca="false">E78-E77</f>
        <v>0</v>
      </c>
      <c r="G78" s="0" t="n">
        <v>2</v>
      </c>
      <c r="H78" s="0" t="n">
        <v>73</v>
      </c>
      <c r="I78" s="0" t="n">
        <v>2</v>
      </c>
      <c r="J78" s="0" t="n">
        <v>5</v>
      </c>
      <c r="K78" s="0" t="n">
        <v>0.3</v>
      </c>
    </row>
    <row r="79" customFormat="false" ht="13.5" hidden="false" customHeight="false" outlineLevel="0" collapsed="false">
      <c r="A79" s="0" t="s">
        <v>104</v>
      </c>
      <c r="B79" s="1" t="n">
        <v>43939</v>
      </c>
      <c r="C79" s="0" t="n">
        <v>116</v>
      </c>
      <c r="D79" s="0" t="n">
        <f aca="false">C79-C78</f>
        <v>36</v>
      </c>
      <c r="E79" s="0" t="n">
        <v>6</v>
      </c>
      <c r="F79" s="0" t="n">
        <f aca="false">E79-E78</f>
        <v>1</v>
      </c>
      <c r="G79" s="0" t="n">
        <v>2</v>
      </c>
      <c r="H79" s="0" t="n">
        <v>108</v>
      </c>
      <c r="I79" s="0" t="n">
        <v>2</v>
      </c>
      <c r="J79" s="0" t="n">
        <v>7</v>
      </c>
      <c r="K79" s="0" t="n">
        <v>0.4</v>
      </c>
    </row>
    <row r="80" customFormat="false" ht="13.5" hidden="false" customHeight="false" outlineLevel="0" collapsed="false">
      <c r="A80" s="0" t="s">
        <v>104</v>
      </c>
      <c r="B80" s="1" t="n">
        <v>43940</v>
      </c>
      <c r="C80" s="0" t="n">
        <v>135</v>
      </c>
      <c r="D80" s="0" t="n">
        <f aca="false">C80-C79</f>
        <v>19</v>
      </c>
      <c r="E80" s="0" t="n">
        <v>7</v>
      </c>
      <c r="F80" s="0" t="n">
        <f aca="false">E80-E79</f>
        <v>1</v>
      </c>
      <c r="G80" s="0" t="n">
        <v>2</v>
      </c>
      <c r="H80" s="0" t="n">
        <v>126</v>
      </c>
      <c r="I80" s="0" t="n">
        <v>2</v>
      </c>
      <c r="J80" s="0" t="n">
        <v>8</v>
      </c>
      <c r="K80" s="0" t="n">
        <v>0.4</v>
      </c>
    </row>
    <row r="81" customFormat="false" ht="13.5" hidden="false" customHeight="false" outlineLevel="0" collapsed="false">
      <c r="A81" s="0" t="s">
        <v>104</v>
      </c>
      <c r="B81" s="1" t="n">
        <v>43941</v>
      </c>
      <c r="C81" s="0" t="n">
        <v>164</v>
      </c>
      <c r="D81" s="0" t="n">
        <f aca="false">C81-C80</f>
        <v>29</v>
      </c>
      <c r="E81" s="0" t="n">
        <v>7</v>
      </c>
      <c r="F81" s="0" t="n">
        <f aca="false">E81-E80</f>
        <v>0</v>
      </c>
      <c r="G81" s="0" t="n">
        <v>3</v>
      </c>
      <c r="H81" s="0" t="n">
        <v>154</v>
      </c>
      <c r="I81" s="0" t="n">
        <v>2</v>
      </c>
      <c r="J81" s="0" t="n">
        <v>10</v>
      </c>
      <c r="K81" s="0" t="n">
        <v>0.4</v>
      </c>
    </row>
    <row r="82" customFormat="false" ht="13.5" hidden="false" customHeight="false" outlineLevel="0" collapsed="false">
      <c r="A82" s="0" t="s">
        <v>104</v>
      </c>
      <c r="B82" s="1" t="n">
        <v>43942</v>
      </c>
      <c r="C82" s="0" t="n">
        <v>164</v>
      </c>
      <c r="D82" s="0" t="n">
        <f aca="false">C82-C81</f>
        <v>0</v>
      </c>
      <c r="E82" s="0" t="n">
        <v>7</v>
      </c>
      <c r="F82" s="0" t="n">
        <f aca="false">E82-E81</f>
        <v>0</v>
      </c>
      <c r="G82" s="0" t="n">
        <v>3</v>
      </c>
      <c r="H82" s="0" t="n">
        <v>154</v>
      </c>
      <c r="I82" s="0" t="n">
        <v>2</v>
      </c>
      <c r="J82" s="0" t="n">
        <v>10</v>
      </c>
      <c r="K82" s="0" t="n">
        <v>0.4</v>
      </c>
    </row>
    <row r="83" customFormat="false" ht="13.5" hidden="false" customHeight="false" outlineLevel="0" collapsed="false">
      <c r="A83" s="0" t="s">
        <v>104</v>
      </c>
      <c r="B83" s="1" t="n">
        <v>43943</v>
      </c>
      <c r="C83" s="0" t="n">
        <v>286</v>
      </c>
      <c r="D83" s="0" t="n">
        <f aca="false">C83-C82</f>
        <v>122</v>
      </c>
      <c r="E83" s="0" t="n">
        <v>8</v>
      </c>
      <c r="F83" s="0" t="n">
        <f aca="false">E83-E82</f>
        <v>1</v>
      </c>
      <c r="G83" s="0" t="n">
        <v>4</v>
      </c>
      <c r="H83" s="0" t="n">
        <v>274</v>
      </c>
      <c r="I83" s="0" t="n">
        <v>2</v>
      </c>
      <c r="J83" s="0" t="n">
        <v>18</v>
      </c>
      <c r="K83" s="0" t="n">
        <v>0.5</v>
      </c>
    </row>
    <row r="84" customFormat="false" ht="13.5" hidden="false" customHeight="false" outlineLevel="0" collapsed="false">
      <c r="A84" s="0" t="s">
        <v>104</v>
      </c>
      <c r="B84" s="1" t="n">
        <v>43944</v>
      </c>
      <c r="C84" s="0" t="n">
        <v>286</v>
      </c>
      <c r="D84" s="0" t="n">
        <f aca="false">C84-C83</f>
        <v>0</v>
      </c>
      <c r="E84" s="0" t="n">
        <v>8</v>
      </c>
      <c r="F84" s="0" t="n">
        <f aca="false">E84-E83</f>
        <v>0</v>
      </c>
      <c r="G84" s="0" t="n">
        <v>4</v>
      </c>
      <c r="H84" s="0" t="n">
        <v>274</v>
      </c>
      <c r="I84" s="0" t="n">
        <v>2</v>
      </c>
      <c r="J84" s="0" t="n">
        <v>18</v>
      </c>
      <c r="K84" s="0" t="n">
        <v>0.5</v>
      </c>
    </row>
    <row r="85" customFormat="false" ht="13.5" hidden="false" customHeight="false" outlineLevel="0" collapsed="false">
      <c r="A85" s="0" t="s">
        <v>104</v>
      </c>
      <c r="B85" s="1" t="n">
        <v>43945</v>
      </c>
      <c r="C85" s="0" t="n">
        <v>328</v>
      </c>
      <c r="D85" s="0" t="n">
        <f aca="false">C85-C84</f>
        <v>42</v>
      </c>
      <c r="E85" s="0" t="n">
        <v>16</v>
      </c>
      <c r="F85" s="0" t="n">
        <f aca="false">E85-E84</f>
        <v>8</v>
      </c>
      <c r="G85" s="0" t="n">
        <v>8</v>
      </c>
      <c r="H85" s="0" t="n">
        <v>304</v>
      </c>
      <c r="I85" s="0" t="n">
        <v>2</v>
      </c>
      <c r="J85" s="0" t="n">
        <v>21</v>
      </c>
      <c r="K85" s="0" t="n">
        <v>1</v>
      </c>
    </row>
    <row r="86" customFormat="false" ht="13.5" hidden="false" customHeight="false" outlineLevel="0" collapsed="false">
      <c r="A86" s="0" t="s">
        <v>104</v>
      </c>
      <c r="B86" s="1" t="n">
        <v>43946</v>
      </c>
      <c r="C86" s="0" t="n">
        <v>328</v>
      </c>
      <c r="D86" s="0" t="n">
        <f aca="false">C86-C85</f>
        <v>0</v>
      </c>
      <c r="E86" s="0" t="n">
        <v>16</v>
      </c>
      <c r="F86" s="0" t="n">
        <f aca="false">E86-E85</f>
        <v>0</v>
      </c>
      <c r="G86" s="0" t="n">
        <v>8</v>
      </c>
      <c r="H86" s="0" t="n">
        <v>304</v>
      </c>
      <c r="I86" s="0" t="n">
        <v>2</v>
      </c>
      <c r="J86" s="0" t="n">
        <v>21</v>
      </c>
      <c r="K86" s="0" t="n">
        <v>1</v>
      </c>
    </row>
    <row r="87" customFormat="false" ht="13.5" hidden="false" customHeight="false" outlineLevel="0" collapsed="false">
      <c r="A87" s="0" t="s">
        <v>104</v>
      </c>
      <c r="B87" s="1" t="n">
        <v>43947</v>
      </c>
      <c r="C87" s="0" t="n">
        <v>390</v>
      </c>
      <c r="D87" s="0" t="n">
        <f aca="false">C87-C86</f>
        <v>62</v>
      </c>
      <c r="E87" s="0" t="n">
        <v>18</v>
      </c>
      <c r="F87" s="0" t="n">
        <f aca="false">E87-E86</f>
        <v>2</v>
      </c>
      <c r="G87" s="0" t="n">
        <v>8</v>
      </c>
      <c r="H87" s="0" t="n">
        <v>364</v>
      </c>
      <c r="I87" s="0" t="n">
        <v>2</v>
      </c>
      <c r="J87" s="0" t="n">
        <v>25</v>
      </c>
      <c r="K87" s="0" t="n">
        <v>1</v>
      </c>
    </row>
    <row r="88" customFormat="false" ht="13.5" hidden="false" customHeight="false" outlineLevel="0" collapsed="false">
      <c r="A88" s="0" t="s">
        <v>104</v>
      </c>
      <c r="B88" s="1" t="n">
        <v>43948</v>
      </c>
      <c r="C88" s="0" t="n">
        <v>436</v>
      </c>
      <c r="D88" s="0" t="n">
        <f aca="false">C88-C87</f>
        <v>46</v>
      </c>
      <c r="E88" s="0" t="n">
        <v>23</v>
      </c>
      <c r="F88" s="0" t="n">
        <f aca="false">E88-E87</f>
        <v>5</v>
      </c>
      <c r="G88" s="0" t="n">
        <v>10</v>
      </c>
      <c r="H88" s="0" t="n">
        <v>403</v>
      </c>
      <c r="I88" s="0" t="n">
        <v>2</v>
      </c>
      <c r="J88" s="0" t="n">
        <v>27</v>
      </c>
      <c r="K88" s="0" t="n">
        <v>1</v>
      </c>
    </row>
    <row r="89" customFormat="false" ht="13.5" hidden="false" customHeight="false" outlineLevel="0" collapsed="false">
      <c r="A89" s="0" t="s">
        <v>104</v>
      </c>
      <c r="B89" s="1" t="n">
        <v>43949</v>
      </c>
      <c r="C89" s="0" t="n">
        <v>480</v>
      </c>
      <c r="D89" s="0" t="n">
        <f aca="false">C89-C88</f>
        <v>44</v>
      </c>
      <c r="E89" s="0" t="n">
        <v>26</v>
      </c>
      <c r="F89" s="0" t="n">
        <f aca="false">E89-E88</f>
        <v>3</v>
      </c>
      <c r="G89" s="0" t="n">
        <v>10</v>
      </c>
      <c r="H89" s="0" t="n">
        <v>444</v>
      </c>
      <c r="I89" s="0" t="n">
        <v>2</v>
      </c>
      <c r="J89" s="0" t="n">
        <v>30</v>
      </c>
      <c r="K89" s="0" t="n">
        <v>2</v>
      </c>
    </row>
    <row r="90" customFormat="false" ht="13.5" hidden="false" customHeight="false" outlineLevel="0" collapsed="false">
      <c r="A90" s="0" t="s">
        <v>104</v>
      </c>
      <c r="B90" s="1" t="n">
        <v>43950</v>
      </c>
      <c r="C90" s="0" t="n">
        <v>528</v>
      </c>
      <c r="D90" s="0" t="n">
        <f aca="false">C90-C89</f>
        <v>48</v>
      </c>
      <c r="E90" s="0" t="n">
        <v>28</v>
      </c>
      <c r="F90" s="0" t="n">
        <f aca="false">E90-E89</f>
        <v>2</v>
      </c>
      <c r="G90" s="0" t="n">
        <v>19</v>
      </c>
      <c r="H90" s="0" t="n">
        <v>481</v>
      </c>
      <c r="I90" s="0" t="n">
        <v>2</v>
      </c>
      <c r="J90" s="0" t="n">
        <v>33</v>
      </c>
      <c r="K90" s="0" t="n">
        <v>2</v>
      </c>
    </row>
    <row r="91" customFormat="false" ht="13.5" hidden="false" customHeight="false" outlineLevel="0" collapsed="false">
      <c r="A91" s="0" t="s">
        <v>104</v>
      </c>
      <c r="B91" s="1" t="n">
        <v>43951</v>
      </c>
      <c r="C91" s="0" t="n">
        <v>582</v>
      </c>
      <c r="D91" s="0" t="n">
        <f aca="false">C91-C90</f>
        <v>54</v>
      </c>
      <c r="E91" s="0" t="n">
        <v>28</v>
      </c>
      <c r="F91" s="0" t="n">
        <f aca="false">E91-E90</f>
        <v>0</v>
      </c>
      <c r="G91" s="0" t="n">
        <v>20</v>
      </c>
      <c r="H91" s="0" t="n">
        <v>534</v>
      </c>
      <c r="I91" s="0" t="n">
        <v>2</v>
      </c>
      <c r="J91" s="0" t="n">
        <v>37</v>
      </c>
      <c r="K91" s="0" t="n">
        <v>2</v>
      </c>
    </row>
    <row r="92" customFormat="false" ht="13.5" hidden="false" customHeight="false" outlineLevel="0" collapsed="false">
      <c r="A92" s="0" t="s">
        <v>104</v>
      </c>
      <c r="B92" s="1" t="n">
        <v>43952</v>
      </c>
      <c r="C92" s="0" t="n">
        <v>601</v>
      </c>
      <c r="D92" s="0" t="n">
        <f aca="false">C92-C91</f>
        <v>19</v>
      </c>
      <c r="E92" s="0" t="n">
        <v>28</v>
      </c>
      <c r="F92" s="0" t="n">
        <f aca="false">E92-E91</f>
        <v>0</v>
      </c>
      <c r="G92" s="0" t="n">
        <v>31</v>
      </c>
      <c r="H92" s="0" t="n">
        <v>542</v>
      </c>
      <c r="I92" s="0" t="n">
        <v>2</v>
      </c>
      <c r="J92" s="0" t="n">
        <v>38</v>
      </c>
      <c r="K92" s="0" t="n">
        <v>2</v>
      </c>
    </row>
    <row r="93" customFormat="false" ht="13.5" hidden="false" customHeight="false" outlineLevel="0" collapsed="false">
      <c r="A93" s="0" t="s">
        <v>104</v>
      </c>
      <c r="B93" s="1" t="n">
        <v>43953</v>
      </c>
      <c r="C93" s="0" t="n">
        <v>601</v>
      </c>
      <c r="D93" s="0" t="n">
        <f aca="false">C93-C92</f>
        <v>0</v>
      </c>
      <c r="E93" s="0" t="n">
        <v>28</v>
      </c>
      <c r="F93" s="0" t="n">
        <f aca="false">E93-E92</f>
        <v>0</v>
      </c>
      <c r="G93" s="0" t="n">
        <v>31</v>
      </c>
      <c r="H93" s="0" t="n">
        <v>542</v>
      </c>
      <c r="I93" s="0" t="n">
        <v>2</v>
      </c>
      <c r="J93" s="0" t="n">
        <v>38</v>
      </c>
      <c r="K93" s="0" t="n">
        <v>2</v>
      </c>
    </row>
    <row r="94" customFormat="false" ht="13.5" hidden="false" customHeight="false" outlineLevel="0" collapsed="false">
      <c r="A94" s="0" t="s">
        <v>104</v>
      </c>
      <c r="B94" s="1" t="n">
        <v>43954</v>
      </c>
      <c r="C94" s="0" t="n">
        <v>671</v>
      </c>
      <c r="D94" s="0" t="n">
        <f aca="false">C94-C93</f>
        <v>70</v>
      </c>
      <c r="E94" s="0" t="n">
        <v>31</v>
      </c>
      <c r="F94" s="0" t="n">
        <f aca="false">E94-E93</f>
        <v>3</v>
      </c>
      <c r="G94" s="0" t="n">
        <v>34</v>
      </c>
      <c r="H94" s="0" t="n">
        <v>606</v>
      </c>
      <c r="I94" s="0" t="n">
        <v>2</v>
      </c>
      <c r="J94" s="0" t="n">
        <v>42</v>
      </c>
      <c r="K94" s="0" t="n">
        <v>2</v>
      </c>
    </row>
    <row r="95" customFormat="false" ht="13.5" hidden="false" customHeight="false" outlineLevel="0" collapsed="false">
      <c r="A95" s="0" t="s">
        <v>104</v>
      </c>
      <c r="B95" s="1" t="n">
        <v>43955</v>
      </c>
      <c r="C95" s="0" t="n">
        <v>722</v>
      </c>
      <c r="D95" s="0" t="n">
        <f aca="false">C95-C94</f>
        <v>51</v>
      </c>
      <c r="E95" s="0" t="n">
        <v>32</v>
      </c>
      <c r="F95" s="0" t="n">
        <f aca="false">E95-E94</f>
        <v>1</v>
      </c>
      <c r="G95" s="0" t="n">
        <v>44</v>
      </c>
      <c r="H95" s="0" t="n">
        <v>646</v>
      </c>
      <c r="I95" s="0" t="n">
        <v>2</v>
      </c>
      <c r="J95" s="0" t="n">
        <v>45</v>
      </c>
      <c r="K95" s="0" t="n">
        <v>2</v>
      </c>
    </row>
    <row r="96" customFormat="false" ht="13.5" hidden="false" customHeight="false" outlineLevel="0" collapsed="false">
      <c r="A96" s="0" t="s">
        <v>104</v>
      </c>
      <c r="B96" s="1" t="n">
        <v>43956</v>
      </c>
      <c r="C96" s="0" t="n">
        <v>756</v>
      </c>
      <c r="D96" s="0" t="n">
        <f aca="false">C96-C95</f>
        <v>34</v>
      </c>
      <c r="E96" s="0" t="n">
        <v>35</v>
      </c>
      <c r="F96" s="0" t="n">
        <f aca="false">E96-E95</f>
        <v>3</v>
      </c>
      <c r="G96" s="0" t="n">
        <v>61</v>
      </c>
      <c r="H96" s="0" t="n">
        <v>660</v>
      </c>
      <c r="I96" s="0" t="n">
        <v>2</v>
      </c>
      <c r="J96" s="0" t="n">
        <v>48</v>
      </c>
      <c r="K96" s="0" t="n">
        <v>2</v>
      </c>
    </row>
    <row r="97" customFormat="false" ht="13.5" hidden="false" customHeight="false" outlineLevel="0" collapsed="false">
      <c r="A97" s="0" t="s">
        <v>104</v>
      </c>
      <c r="B97" s="1" t="n">
        <v>43957</v>
      </c>
      <c r="C97" s="0" t="n">
        <v>835</v>
      </c>
      <c r="D97" s="0" t="n">
        <f aca="false">C97-C96</f>
        <v>79</v>
      </c>
      <c r="E97" s="0" t="n">
        <v>38</v>
      </c>
      <c r="F97" s="0" t="n">
        <f aca="false">E97-E96</f>
        <v>3</v>
      </c>
      <c r="G97" s="0" t="n">
        <v>75</v>
      </c>
      <c r="H97" s="0" t="n">
        <v>722</v>
      </c>
      <c r="I97" s="0" t="n">
        <v>2</v>
      </c>
      <c r="J97" s="0" t="n">
        <v>53</v>
      </c>
      <c r="K97" s="0" t="n">
        <v>2</v>
      </c>
    </row>
    <row r="98" customFormat="false" ht="13.5" hidden="false" customHeight="false" outlineLevel="0" collapsed="false">
      <c r="A98" s="0" t="s">
        <v>104</v>
      </c>
      <c r="B98" s="1" t="n">
        <v>43958</v>
      </c>
      <c r="C98" s="0" t="n">
        <v>873</v>
      </c>
      <c r="D98" s="0" t="n">
        <f aca="false">C98-C97</f>
        <v>38</v>
      </c>
      <c r="E98" s="0" t="n">
        <v>39</v>
      </c>
      <c r="F98" s="0" t="n">
        <f aca="false">E98-E97</f>
        <v>1</v>
      </c>
      <c r="G98" s="0" t="n">
        <v>87</v>
      </c>
      <c r="H98" s="0" t="n">
        <v>747</v>
      </c>
      <c r="I98" s="0" t="n">
        <v>2</v>
      </c>
      <c r="J98" s="0" t="n">
        <v>55</v>
      </c>
      <c r="K98" s="0" t="n">
        <v>2</v>
      </c>
    </row>
    <row r="99" customFormat="false" ht="13.5" hidden="false" customHeight="false" outlineLevel="0" collapsed="false">
      <c r="A99" s="0" t="s">
        <v>104</v>
      </c>
      <c r="B99" s="1" t="n">
        <v>43959</v>
      </c>
      <c r="C99" s="0" t="n">
        <v>928</v>
      </c>
      <c r="D99" s="0" t="n">
        <f aca="false">C99-C98</f>
        <v>55</v>
      </c>
      <c r="E99" s="0" t="n">
        <v>44</v>
      </c>
      <c r="F99" s="0" t="n">
        <f aca="false">E99-E98</f>
        <v>5</v>
      </c>
      <c r="G99" s="0" t="n">
        <v>106</v>
      </c>
      <c r="H99" s="0" t="n">
        <v>778</v>
      </c>
      <c r="I99" s="0" t="n">
        <v>2</v>
      </c>
      <c r="J99" s="0" t="n">
        <v>58</v>
      </c>
      <c r="K99" s="0" t="n">
        <v>3</v>
      </c>
    </row>
    <row r="100" customFormat="false" ht="13.5" hidden="false" customHeight="false" outlineLevel="0" collapsed="false">
      <c r="A100" s="0" t="s">
        <v>104</v>
      </c>
      <c r="B100" s="1" t="n">
        <v>43960</v>
      </c>
      <c r="C100" s="0" t="n">
        <v>928</v>
      </c>
      <c r="D100" s="0" t="n">
        <f aca="false">C100-C99</f>
        <v>0</v>
      </c>
      <c r="E100" s="0" t="n">
        <v>44</v>
      </c>
      <c r="F100" s="0" t="n">
        <f aca="false">E100-E99</f>
        <v>0</v>
      </c>
      <c r="G100" s="0" t="n">
        <v>106</v>
      </c>
      <c r="H100" s="0" t="n">
        <v>778</v>
      </c>
      <c r="I100" s="0" t="n">
        <v>2</v>
      </c>
      <c r="J100" s="0" t="n">
        <v>58</v>
      </c>
      <c r="K100" s="0" t="n">
        <v>3</v>
      </c>
    </row>
    <row r="101" customFormat="false" ht="13.5" hidden="false" customHeight="false" outlineLevel="0" collapsed="false">
      <c r="A101" s="0" t="s">
        <v>104</v>
      </c>
      <c r="B101" s="1" t="n">
        <v>43961</v>
      </c>
      <c r="C101" s="0" t="n">
        <v>997</v>
      </c>
      <c r="D101" s="0" t="n">
        <f aca="false">C101-C100</f>
        <v>69</v>
      </c>
      <c r="E101" s="0" t="n">
        <v>48</v>
      </c>
      <c r="F101" s="0" t="n">
        <f aca="false">E101-E100</f>
        <v>4</v>
      </c>
      <c r="G101" s="0" t="n">
        <v>110</v>
      </c>
      <c r="H101" s="0" t="n">
        <v>839</v>
      </c>
      <c r="I101" s="0" t="n">
        <v>2</v>
      </c>
      <c r="J101" s="0" t="n">
        <v>63</v>
      </c>
      <c r="K101" s="0" t="n">
        <v>3</v>
      </c>
    </row>
    <row r="102" customFormat="false" ht="13.5" hidden="false" customHeight="false" outlineLevel="0" collapsed="false">
      <c r="A102" s="0" t="s">
        <v>104</v>
      </c>
      <c r="B102" s="1" t="n">
        <v>43962</v>
      </c>
      <c r="C102" s="0" t="n">
        <v>1054</v>
      </c>
      <c r="D102" s="0" t="n">
        <f aca="false">C102-C101</f>
        <v>57</v>
      </c>
      <c r="E102" s="0" t="n">
        <v>51</v>
      </c>
      <c r="F102" s="0" t="n">
        <f aca="false">E102-E101</f>
        <v>3</v>
      </c>
      <c r="G102" s="0" t="n">
        <v>118</v>
      </c>
      <c r="H102" s="0" t="n">
        <v>885</v>
      </c>
      <c r="I102" s="0" t="n">
        <v>2</v>
      </c>
      <c r="J102" s="0" t="n">
        <v>66</v>
      </c>
      <c r="K102" s="0" t="n">
        <v>3</v>
      </c>
    </row>
    <row r="103" customFormat="false" ht="13.5" hidden="false" customHeight="false" outlineLevel="0" collapsed="false">
      <c r="A103" s="0" t="s">
        <v>104</v>
      </c>
      <c r="B103" s="1" t="n">
        <v>43963</v>
      </c>
      <c r="C103" s="0" t="n">
        <v>1089</v>
      </c>
      <c r="D103" s="0" t="n">
        <f aca="false">C103-C102</f>
        <v>35</v>
      </c>
      <c r="E103" s="0" t="n">
        <v>52</v>
      </c>
      <c r="F103" s="0" t="n">
        <f aca="false">E103-E102</f>
        <v>1</v>
      </c>
      <c r="G103" s="0" t="n">
        <v>121</v>
      </c>
      <c r="H103" s="0" t="n">
        <v>916</v>
      </c>
      <c r="I103" s="0" t="n">
        <v>2</v>
      </c>
      <c r="J103" s="0" t="n">
        <v>69</v>
      </c>
      <c r="K103" s="0" t="n">
        <v>3</v>
      </c>
    </row>
    <row r="104" customFormat="false" ht="13.5" hidden="false" customHeight="false" outlineLevel="0" collapsed="false">
      <c r="A104" s="0" t="s">
        <v>104</v>
      </c>
      <c r="B104" s="1" t="n">
        <v>43964</v>
      </c>
      <c r="C104" s="0" t="n">
        <v>1170</v>
      </c>
      <c r="D104" s="0" t="n">
        <f aca="false">C104-C103</f>
        <v>81</v>
      </c>
      <c r="E104" s="0" t="n">
        <v>52</v>
      </c>
      <c r="F104" s="0" t="n">
        <f aca="false">E104-E103</f>
        <v>0</v>
      </c>
      <c r="G104" s="0" t="n">
        <v>126</v>
      </c>
      <c r="H104" s="0" t="n">
        <v>992</v>
      </c>
      <c r="I104" s="0" t="n">
        <v>2</v>
      </c>
      <c r="J104" s="0" t="n">
        <v>74</v>
      </c>
      <c r="K104" s="0" t="n">
        <v>3</v>
      </c>
    </row>
    <row r="105" customFormat="false" ht="13.5" hidden="false" customHeight="false" outlineLevel="0" collapsed="false">
      <c r="A105" s="0" t="s">
        <v>104</v>
      </c>
      <c r="B105" s="1" t="n">
        <v>43965</v>
      </c>
      <c r="C105" s="0" t="n">
        <v>1219</v>
      </c>
      <c r="D105" s="0" t="n">
        <f aca="false">C105-C104</f>
        <v>49</v>
      </c>
      <c r="E105" s="0" t="n">
        <v>52</v>
      </c>
      <c r="F105" s="0" t="n">
        <f aca="false">E105-E104</f>
        <v>0</v>
      </c>
      <c r="G105" s="0" t="n">
        <v>130</v>
      </c>
      <c r="H105" s="0" t="n">
        <v>1037</v>
      </c>
      <c r="I105" s="0" t="n">
        <v>2</v>
      </c>
      <c r="J105" s="0" t="n">
        <v>77</v>
      </c>
      <c r="K105" s="0" t="n">
        <v>3</v>
      </c>
    </row>
    <row r="106" customFormat="false" ht="13.5" hidden="false" customHeight="false" outlineLevel="0" collapsed="false">
      <c r="A106" s="0" t="s">
        <v>104</v>
      </c>
      <c r="B106" s="1" t="n">
        <v>43966</v>
      </c>
      <c r="C106" s="0" t="n">
        <v>1284</v>
      </c>
      <c r="D106" s="0" t="n">
        <f aca="false">C106-C105</f>
        <v>65</v>
      </c>
      <c r="E106" s="0" t="n">
        <v>53</v>
      </c>
      <c r="F106" s="0" t="n">
        <f aca="false">E106-E105</f>
        <v>1</v>
      </c>
      <c r="G106" s="0" t="n">
        <v>135</v>
      </c>
      <c r="H106" s="0" t="n">
        <v>1096</v>
      </c>
      <c r="I106" s="0" t="n">
        <v>2</v>
      </c>
      <c r="J106" s="0" t="n">
        <v>81</v>
      </c>
      <c r="K106" s="0" t="n">
        <v>3</v>
      </c>
    </row>
    <row r="107" customFormat="false" ht="13.5" hidden="false" customHeight="false" outlineLevel="0" collapsed="false">
      <c r="A107" s="0" t="s">
        <v>104</v>
      </c>
      <c r="B107" s="1" t="n">
        <v>43967</v>
      </c>
      <c r="C107" s="0" t="n">
        <v>1284</v>
      </c>
      <c r="D107" s="0" t="n">
        <f aca="false">C107-C106</f>
        <v>0</v>
      </c>
      <c r="E107" s="0" t="n">
        <v>53</v>
      </c>
      <c r="F107" s="0" t="n">
        <f aca="false">E107-E106</f>
        <v>0</v>
      </c>
      <c r="G107" s="0" t="n">
        <v>135</v>
      </c>
      <c r="H107" s="0" t="n">
        <v>1096</v>
      </c>
      <c r="I107" s="0" t="n">
        <v>2</v>
      </c>
      <c r="J107" s="0" t="n">
        <v>81</v>
      </c>
      <c r="K107" s="0" t="n">
        <v>3</v>
      </c>
    </row>
    <row r="108" customFormat="false" ht="13.5" hidden="false" customHeight="false" outlineLevel="0" collapsed="false">
      <c r="A108" s="0" t="s">
        <v>104</v>
      </c>
      <c r="B108" s="1" t="n">
        <v>43968</v>
      </c>
      <c r="C108" s="0" t="n">
        <v>1357</v>
      </c>
      <c r="D108" s="0" t="n">
        <f aca="false">C108-C107</f>
        <v>73</v>
      </c>
      <c r="E108" s="0" t="n">
        <v>55</v>
      </c>
      <c r="F108" s="0" t="n">
        <f aca="false">E108-E107</f>
        <v>2</v>
      </c>
      <c r="G108" s="0" t="n">
        <v>148</v>
      </c>
      <c r="H108" s="0" t="n">
        <v>1154</v>
      </c>
      <c r="I108" s="0" t="n">
        <v>2</v>
      </c>
      <c r="J108" s="0" t="n">
        <v>86</v>
      </c>
      <c r="K108" s="0" t="n">
        <v>3</v>
      </c>
    </row>
    <row r="109" customFormat="false" ht="13.5" hidden="false" customHeight="false" outlineLevel="0" collapsed="false">
      <c r="A109" s="0" t="s">
        <v>104</v>
      </c>
      <c r="B109" s="1" t="n">
        <v>43969</v>
      </c>
      <c r="C109" s="0" t="n">
        <v>1421</v>
      </c>
      <c r="D109" s="0" t="n">
        <f aca="false">C109-C108</f>
        <v>64</v>
      </c>
      <c r="E109" s="0" t="n">
        <v>56</v>
      </c>
      <c r="F109" s="0" t="n">
        <f aca="false">E109-E108</f>
        <v>1</v>
      </c>
      <c r="G109" s="0" t="n">
        <v>152</v>
      </c>
      <c r="H109" s="0" t="n">
        <v>1213</v>
      </c>
      <c r="I109" s="0" t="n">
        <v>2</v>
      </c>
      <c r="J109" s="0" t="n">
        <v>90</v>
      </c>
      <c r="K109" s="0" t="n">
        <v>4</v>
      </c>
    </row>
    <row r="110" customFormat="false" ht="13.5" hidden="false" customHeight="false" outlineLevel="0" collapsed="false">
      <c r="A110" s="0" t="s">
        <v>104</v>
      </c>
      <c r="B110" s="1" t="n">
        <v>43970</v>
      </c>
      <c r="C110" s="0" t="n">
        <v>1455</v>
      </c>
      <c r="D110" s="0" t="n">
        <f aca="false">C110-C109</f>
        <v>34</v>
      </c>
      <c r="E110" s="0" t="n">
        <v>57</v>
      </c>
      <c r="F110" s="0" t="n">
        <f aca="false">E110-E109</f>
        <v>1</v>
      </c>
      <c r="G110" s="0" t="n">
        <v>163</v>
      </c>
      <c r="H110" s="0" t="n">
        <v>1235</v>
      </c>
      <c r="I110" s="0" t="n">
        <v>2</v>
      </c>
      <c r="J110" s="0" t="n">
        <v>92</v>
      </c>
      <c r="K110" s="0" t="n">
        <v>4</v>
      </c>
    </row>
    <row r="111" customFormat="false" ht="13.5" hidden="false" customHeight="false" outlineLevel="0" collapsed="false">
      <c r="A111" s="0" t="s">
        <v>104</v>
      </c>
      <c r="B111" s="1" t="n">
        <v>43971</v>
      </c>
      <c r="C111" s="0" t="n">
        <v>1502</v>
      </c>
      <c r="D111" s="0" t="n">
        <f aca="false">C111-C110</f>
        <v>47</v>
      </c>
      <c r="E111" s="0" t="n">
        <v>59</v>
      </c>
      <c r="F111" s="0" t="n">
        <f aca="false">E111-E110</f>
        <v>2</v>
      </c>
      <c r="G111" s="0" t="n">
        <v>178</v>
      </c>
      <c r="H111" s="0" t="n">
        <v>1265</v>
      </c>
      <c r="I111" s="0" t="n">
        <v>2</v>
      </c>
      <c r="J111" s="0" t="n">
        <v>95</v>
      </c>
      <c r="K111" s="0" t="n">
        <v>4</v>
      </c>
    </row>
    <row r="112" customFormat="false" ht="13.5" hidden="false" customHeight="false" outlineLevel="0" collapsed="false">
      <c r="A112" s="0" t="s">
        <v>104</v>
      </c>
      <c r="B112" s="1" t="n">
        <v>43972</v>
      </c>
      <c r="C112" s="0" t="n">
        <v>1573</v>
      </c>
      <c r="D112" s="0" t="n">
        <f aca="false">C112-C111</f>
        <v>71</v>
      </c>
      <c r="E112" s="0" t="n">
        <v>61</v>
      </c>
      <c r="F112" s="0" t="n">
        <f aca="false">E112-E111</f>
        <v>2</v>
      </c>
      <c r="G112" s="0" t="n">
        <v>188</v>
      </c>
      <c r="H112" s="0" t="n">
        <v>1324</v>
      </c>
      <c r="I112" s="0" t="n">
        <v>2</v>
      </c>
      <c r="J112" s="0" t="n">
        <v>99</v>
      </c>
      <c r="K112" s="0" t="n">
        <v>4</v>
      </c>
    </row>
    <row r="113" customFormat="false" ht="13.5" hidden="false" customHeight="false" outlineLevel="0" collapsed="false">
      <c r="A113" s="0" t="s">
        <v>104</v>
      </c>
      <c r="B113" s="1" t="n">
        <v>43973</v>
      </c>
      <c r="C113" s="0" t="n">
        <v>1594</v>
      </c>
      <c r="D113" s="0" t="n">
        <f aca="false">C113-C112</f>
        <v>21</v>
      </c>
      <c r="E113" s="0" t="n">
        <v>61</v>
      </c>
      <c r="F113" s="0" t="n">
        <f aca="false">E113-E112</f>
        <v>0</v>
      </c>
      <c r="G113" s="0" t="n">
        <v>204</v>
      </c>
      <c r="H113" s="0" t="n">
        <v>1329</v>
      </c>
      <c r="I113" s="0" t="n">
        <v>2</v>
      </c>
      <c r="J113" s="0" t="n">
        <v>101</v>
      </c>
      <c r="K113" s="0" t="n">
        <v>4</v>
      </c>
    </row>
    <row r="114" customFormat="false" ht="13.5" hidden="false" customHeight="false" outlineLevel="0" collapsed="false">
      <c r="A114" s="0" t="s">
        <v>104</v>
      </c>
      <c r="B114" s="1" t="n">
        <v>43974</v>
      </c>
      <c r="C114" s="0" t="n">
        <v>1594</v>
      </c>
      <c r="D114" s="0" t="n">
        <f aca="false">C114-C113</f>
        <v>0</v>
      </c>
      <c r="E114" s="0" t="n">
        <v>61</v>
      </c>
      <c r="F114" s="0" t="n">
        <f aca="false">E114-E113</f>
        <v>0</v>
      </c>
      <c r="G114" s="0" t="n">
        <v>204</v>
      </c>
      <c r="H114" s="0" t="n">
        <v>1329</v>
      </c>
      <c r="I114" s="0" t="n">
        <v>2</v>
      </c>
      <c r="J114" s="0" t="n">
        <v>101</v>
      </c>
      <c r="K114" s="0" t="n">
        <v>4</v>
      </c>
    </row>
    <row r="115" customFormat="false" ht="13.5" hidden="false" customHeight="false" outlineLevel="0" collapsed="false">
      <c r="A115" s="0" t="s">
        <v>104</v>
      </c>
      <c r="B115" s="1" t="n">
        <v>43975</v>
      </c>
      <c r="C115" s="0" t="n">
        <v>1594</v>
      </c>
      <c r="D115" s="0" t="n">
        <f aca="false">C115-C114</f>
        <v>0</v>
      </c>
      <c r="E115" s="0" t="n">
        <v>61</v>
      </c>
      <c r="F115" s="0" t="n">
        <f aca="false">E115-E114</f>
        <v>0</v>
      </c>
      <c r="G115" s="0" t="n">
        <v>204</v>
      </c>
      <c r="H115" s="0" t="n">
        <v>1329</v>
      </c>
      <c r="I115" s="0" t="n">
        <v>2</v>
      </c>
      <c r="J115" s="0" t="n">
        <v>101</v>
      </c>
      <c r="K115" s="0" t="n">
        <v>4</v>
      </c>
    </row>
    <row r="116" customFormat="false" ht="13.5" hidden="false" customHeight="false" outlineLevel="0" collapsed="false">
      <c r="A116" s="0" t="s">
        <v>104</v>
      </c>
      <c r="B116" s="1" t="n">
        <v>43976</v>
      </c>
      <c r="C116" s="0" t="n">
        <v>1594</v>
      </c>
      <c r="D116" s="0" t="n">
        <f aca="false">C116-C115</f>
        <v>0</v>
      </c>
      <c r="E116" s="0" t="n">
        <v>61</v>
      </c>
      <c r="F116" s="0" t="n">
        <f aca="false">E116-E115</f>
        <v>0</v>
      </c>
      <c r="G116" s="0" t="n">
        <v>204</v>
      </c>
      <c r="H116" s="0" t="n">
        <v>1329</v>
      </c>
      <c r="I116" s="0" t="n">
        <v>2</v>
      </c>
      <c r="J116" s="0" t="n">
        <v>101</v>
      </c>
      <c r="K116" s="0" t="n">
        <v>4</v>
      </c>
    </row>
    <row r="117" customFormat="false" ht="13.5" hidden="false" customHeight="false" outlineLevel="0" collapsed="false">
      <c r="A117" s="0" t="s">
        <v>104</v>
      </c>
      <c r="B117" s="1" t="n">
        <v>43977</v>
      </c>
      <c r="C117" s="0" t="n">
        <v>1689</v>
      </c>
      <c r="D117" s="0" t="n">
        <f aca="false">C117-C116</f>
        <v>95</v>
      </c>
      <c r="E117" s="0" t="n">
        <v>66</v>
      </c>
      <c r="F117" s="0" t="n">
        <f aca="false">E117-E116</f>
        <v>5</v>
      </c>
      <c r="G117" s="0" t="n">
        <v>235</v>
      </c>
      <c r="H117" s="0" t="n">
        <v>1388</v>
      </c>
      <c r="I117" s="0" t="n">
        <v>2</v>
      </c>
      <c r="J117" s="0" t="n">
        <v>107</v>
      </c>
      <c r="K117" s="0" t="n">
        <v>4</v>
      </c>
    </row>
    <row r="118" customFormat="false" ht="13.5" hidden="false" customHeight="false" outlineLevel="0" collapsed="false">
      <c r="A118" s="0" t="s">
        <v>104</v>
      </c>
      <c r="B118" s="1" t="n">
        <v>43978</v>
      </c>
      <c r="C118" s="0" t="n">
        <v>1711</v>
      </c>
      <c r="D118" s="0" t="n">
        <f aca="false">C118-C117</f>
        <v>22</v>
      </c>
      <c r="E118" s="0" t="n">
        <v>67</v>
      </c>
      <c r="F118" s="0" t="n">
        <f aca="false">E118-E117</f>
        <v>1</v>
      </c>
      <c r="G118" s="0" t="n">
        <v>253</v>
      </c>
      <c r="H118" s="0" t="n">
        <v>1391</v>
      </c>
      <c r="I118" s="0" t="n">
        <v>2</v>
      </c>
      <c r="J118" s="0" t="n">
        <v>108</v>
      </c>
      <c r="K118" s="0" t="n">
        <v>4</v>
      </c>
    </row>
    <row r="119" customFormat="false" ht="13.5" hidden="false" customHeight="false" outlineLevel="0" collapsed="false">
      <c r="A119" s="0" t="s">
        <v>104</v>
      </c>
      <c r="B119" s="1" t="n">
        <v>43979</v>
      </c>
      <c r="C119" s="0" t="n">
        <v>1731</v>
      </c>
      <c r="D119" s="0" t="n">
        <f aca="false">C119-C118</f>
        <v>20</v>
      </c>
      <c r="E119" s="0" t="n">
        <v>67</v>
      </c>
      <c r="F119" s="0" t="n">
        <f aca="false">E119-E118</f>
        <v>0</v>
      </c>
      <c r="G119" s="0" t="n">
        <v>265</v>
      </c>
      <c r="H119" s="0" t="n">
        <v>1399</v>
      </c>
      <c r="I119" s="0" t="n">
        <v>2</v>
      </c>
      <c r="J119" s="0" t="n">
        <v>109</v>
      </c>
      <c r="K119" s="0" t="n">
        <v>4</v>
      </c>
    </row>
    <row r="120" customFormat="false" ht="13.5" hidden="false" customHeight="false" outlineLevel="0" collapsed="false">
      <c r="A120" s="0" t="s">
        <v>104</v>
      </c>
      <c r="B120" s="1" t="n">
        <v>43980</v>
      </c>
      <c r="C120" s="0" t="n">
        <v>1828</v>
      </c>
      <c r="D120" s="0" t="n">
        <f aca="false">C120-C119</f>
        <v>97</v>
      </c>
      <c r="E120" s="0" t="n">
        <v>72</v>
      </c>
      <c r="F120" s="0" t="n">
        <f aca="false">E120-E119</f>
        <v>5</v>
      </c>
      <c r="G120" s="0" t="n">
        <v>310</v>
      </c>
      <c r="H120" s="0" t="n">
        <v>1446</v>
      </c>
      <c r="I120" s="0" t="n">
        <v>2</v>
      </c>
      <c r="J120" s="0" t="n">
        <v>115</v>
      </c>
      <c r="K120" s="0" t="n">
        <v>5</v>
      </c>
    </row>
    <row r="121" customFormat="false" ht="13.5" hidden="false" customHeight="false" outlineLevel="0" collapsed="false">
      <c r="A121" s="0" t="s">
        <v>104</v>
      </c>
      <c r="B121" s="1" t="n">
        <v>43981</v>
      </c>
      <c r="C121" s="0" t="n">
        <v>1828</v>
      </c>
      <c r="D121" s="0" t="n">
        <f aca="false">C121-C120</f>
        <v>0</v>
      </c>
      <c r="E121" s="0" t="n">
        <v>72</v>
      </c>
      <c r="F121" s="0" t="n">
        <f aca="false">E121-E120</f>
        <v>0</v>
      </c>
      <c r="G121" s="0" t="n">
        <v>310</v>
      </c>
      <c r="H121" s="0" t="n">
        <v>1446</v>
      </c>
      <c r="I121" s="0" t="n">
        <v>2</v>
      </c>
      <c r="J121" s="0" t="n">
        <v>115</v>
      </c>
      <c r="K121" s="0" t="n">
        <v>5</v>
      </c>
    </row>
    <row r="122" customFormat="false" ht="13.5" hidden="false" customHeight="false" outlineLevel="0" collapsed="false">
      <c r="A122" s="0" t="s">
        <v>104</v>
      </c>
      <c r="B122" s="1" t="n">
        <v>43982</v>
      </c>
      <c r="C122" s="0" t="n">
        <v>1916</v>
      </c>
      <c r="D122" s="0" t="n">
        <f aca="false">C122-C121</f>
        <v>88</v>
      </c>
      <c r="E122" s="0" t="n">
        <v>73</v>
      </c>
      <c r="F122" s="0" t="n">
        <f aca="false">E122-E121</f>
        <v>1</v>
      </c>
      <c r="G122" s="0" t="n">
        <v>327</v>
      </c>
      <c r="H122" s="0" t="n">
        <v>1516</v>
      </c>
      <c r="I122" s="0" t="n">
        <v>2</v>
      </c>
      <c r="J122" s="0" t="n">
        <v>121</v>
      </c>
      <c r="K122" s="0" t="n">
        <v>5</v>
      </c>
    </row>
    <row r="123" customFormat="false" ht="13.5" hidden="false" customHeight="false" outlineLevel="0" collapsed="false">
      <c r="A123" s="0" t="s">
        <v>104</v>
      </c>
      <c r="B123" s="1" t="n">
        <v>43983</v>
      </c>
      <c r="C123" s="0" t="n">
        <v>1976</v>
      </c>
      <c r="D123" s="0" t="n">
        <f aca="false">C123-C122</f>
        <v>60</v>
      </c>
      <c r="E123" s="0" t="n">
        <v>78</v>
      </c>
      <c r="F123" s="0" t="n">
        <f aca="false">E123-E122</f>
        <v>5</v>
      </c>
      <c r="G123" s="0" t="n">
        <v>348</v>
      </c>
      <c r="H123" s="0" t="n">
        <v>1550</v>
      </c>
      <c r="I123" s="0" t="n">
        <v>2</v>
      </c>
      <c r="J123" s="0" t="n">
        <v>125</v>
      </c>
      <c r="K123" s="0" t="n">
        <v>5</v>
      </c>
    </row>
    <row r="124" customFormat="false" ht="13.5" hidden="false" customHeight="false" outlineLevel="0" collapsed="false">
      <c r="A124" s="0" t="s">
        <v>104</v>
      </c>
      <c r="B124" s="1" t="n">
        <v>43984</v>
      </c>
      <c r="C124" s="0" t="n">
        <v>2023</v>
      </c>
      <c r="D124" s="0" t="n">
        <f aca="false">C124-C123</f>
        <v>47</v>
      </c>
      <c r="E124" s="0" t="n">
        <v>79</v>
      </c>
      <c r="F124" s="0" t="n">
        <f aca="false">E124-E123</f>
        <v>1</v>
      </c>
      <c r="G124" s="0" t="n">
        <v>361</v>
      </c>
      <c r="H124" s="0" t="n">
        <v>1583</v>
      </c>
      <c r="I124" s="0" t="n">
        <v>2</v>
      </c>
      <c r="J124" s="0" t="n">
        <v>128</v>
      </c>
      <c r="K124" s="0" t="n">
        <v>5</v>
      </c>
    </row>
    <row r="125" customFormat="false" ht="13.5" hidden="false" customHeight="false" outlineLevel="0" collapsed="false">
      <c r="A125" s="0" t="s">
        <v>104</v>
      </c>
      <c r="B125" s="1" t="n">
        <v>43985</v>
      </c>
      <c r="C125" s="0" t="e">
        <f aca="false">sheet1!axn126</f>
        <v>#NAME?</v>
      </c>
      <c r="D125" s="0" t="e">
        <f aca="false">sheet1!axo126</f>
        <v>#NAME?</v>
      </c>
      <c r="E125" s="0" t="e">
        <f aca="false">sheet1!axp126</f>
        <v>#NAME?</v>
      </c>
      <c r="F125" s="0" t="e">
        <f aca="false">sheet1!axq126</f>
        <v>#NAME?</v>
      </c>
      <c r="G125" s="0" t="e">
        <f aca="false">sheet1!axr126</f>
        <v>#NAME?</v>
      </c>
      <c r="H125" s="0" t="e">
        <f aca="false">sheet1!axs126</f>
        <v>#NAME?</v>
      </c>
      <c r="I125" s="0" t="e">
        <f aca="false">sheet1!axt126</f>
        <v>#NAME?</v>
      </c>
      <c r="J125" s="0" t="e">
        <f aca="false">sheet1!axu126</f>
        <v>#NAME?</v>
      </c>
      <c r="K125" s="0" t="e">
        <f aca="false">sheet1!axv126</f>
        <v>#NAME?</v>
      </c>
    </row>
    <row r="126" customFormat="false" ht="13.5" hidden="false" customHeight="false" outlineLevel="0" collapsed="false">
      <c r="A126" s="0" t="s">
        <v>104</v>
      </c>
      <c r="B126" s="1" t="n">
        <v>43986</v>
      </c>
      <c r="C126" s="0" t="e">
        <f aca="false">sheet1!axn127</f>
        <v>#NAME?</v>
      </c>
      <c r="D126" s="0" t="e">
        <f aca="false">sheet1!axo127</f>
        <v>#NAME?</v>
      </c>
      <c r="E126" s="0" t="e">
        <f aca="false">sheet1!axp127</f>
        <v>#NAME?</v>
      </c>
      <c r="F126" s="0" t="e">
        <f aca="false">sheet1!axq127</f>
        <v>#NAME?</v>
      </c>
      <c r="G126" s="0" t="e">
        <f aca="false">sheet1!axr127</f>
        <v>#NAME?</v>
      </c>
      <c r="H126" s="0" t="e">
        <f aca="false">sheet1!axs127</f>
        <v>#NAME?</v>
      </c>
      <c r="I126" s="0" t="e">
        <f aca="false">sheet1!axt127</f>
        <v>#NAME?</v>
      </c>
      <c r="J126" s="0" t="e">
        <f aca="false">sheet1!axu127</f>
        <v>#NAME?</v>
      </c>
      <c r="K126" s="0" t="e">
        <f aca="false">sheet1!axv127</f>
        <v>#NAME?</v>
      </c>
    </row>
    <row r="127" customFormat="false" ht="13.5" hidden="false" customHeight="false" outlineLevel="0" collapsed="false">
      <c r="A127" s="0" t="s">
        <v>104</v>
      </c>
      <c r="B127" s="1" t="n">
        <v>43987</v>
      </c>
      <c r="C127" s="0" t="e">
        <f aca="false">sheet1!axn128</f>
        <v>#NAME?</v>
      </c>
      <c r="D127" s="0" t="e">
        <f aca="false">sheet1!axo128</f>
        <v>#NAME?</v>
      </c>
      <c r="E127" s="0" t="e">
        <f aca="false">sheet1!axp128</f>
        <v>#NAME?</v>
      </c>
      <c r="F127" s="0" t="e">
        <f aca="false">sheet1!axq128</f>
        <v>#NAME?</v>
      </c>
      <c r="G127" s="0" t="e">
        <f aca="false">sheet1!axr128</f>
        <v>#NAME?</v>
      </c>
      <c r="H127" s="0" t="e">
        <f aca="false">sheet1!axs128</f>
        <v>#NAME?</v>
      </c>
      <c r="I127" s="0" t="e">
        <f aca="false">sheet1!axt128</f>
        <v>#NAME?</v>
      </c>
      <c r="J127" s="0" t="e">
        <f aca="false">sheet1!axu128</f>
        <v>#NAME?</v>
      </c>
      <c r="K127" s="0" t="e">
        <f aca="false">sheet1!axv128</f>
        <v>#NAME?</v>
      </c>
    </row>
    <row r="128" customFormat="false" ht="13.5" hidden="false" customHeight="false" outlineLevel="0" collapsed="false">
      <c r="A128" s="0" t="s">
        <v>104</v>
      </c>
      <c r="B128" s="1" t="n">
        <v>43988</v>
      </c>
      <c r="C128" s="0" t="e">
        <f aca="false">sheet1!axn129</f>
        <v>#NAME?</v>
      </c>
      <c r="D128" s="0" t="e">
        <f aca="false">sheet1!axo129</f>
        <v>#NAME?</v>
      </c>
      <c r="E128" s="0" t="e">
        <f aca="false">sheet1!axp129</f>
        <v>#NAME?</v>
      </c>
      <c r="F128" s="0" t="e">
        <f aca="false">sheet1!axq129</f>
        <v>#NAME?</v>
      </c>
      <c r="G128" s="0" t="e">
        <f aca="false">sheet1!axr129</f>
        <v>#NAME?</v>
      </c>
      <c r="H128" s="0" t="e">
        <f aca="false">sheet1!axs129</f>
        <v>#NAME?</v>
      </c>
      <c r="I128" s="0" t="e">
        <f aca="false">sheet1!axt129</f>
        <v>#NAME?</v>
      </c>
      <c r="J128" s="0" t="e">
        <f aca="false">sheet1!axu129</f>
        <v>#NAME?</v>
      </c>
      <c r="K128" s="0" t="e">
        <f aca="false">sheet1!axv129</f>
        <v>#NAME?</v>
      </c>
    </row>
    <row r="129" customFormat="false" ht="13.5" hidden="false" customHeight="false" outlineLevel="0" collapsed="false">
      <c r="A129" s="0" t="s">
        <v>104</v>
      </c>
      <c r="B129" s="1" t="n">
        <v>43989</v>
      </c>
      <c r="C129" s="0" t="e">
        <f aca="false">sheet1!axn130</f>
        <v>#NAME?</v>
      </c>
      <c r="D129" s="0" t="e">
        <f aca="false">sheet1!axo130</f>
        <v>#NAME?</v>
      </c>
      <c r="E129" s="0" t="e">
        <f aca="false">sheet1!axp130</f>
        <v>#NAME?</v>
      </c>
      <c r="F129" s="0" t="e">
        <f aca="false">sheet1!axq130</f>
        <v>#NAME?</v>
      </c>
      <c r="G129" s="0" t="e">
        <f aca="false">sheet1!axr130</f>
        <v>#NAME?</v>
      </c>
      <c r="H129" s="0" t="e">
        <f aca="false">sheet1!axs130</f>
        <v>#NAME?</v>
      </c>
      <c r="I129" s="0" t="e">
        <f aca="false">sheet1!axt130</f>
        <v>#NAME?</v>
      </c>
      <c r="J129" s="0" t="e">
        <f aca="false">sheet1!axu130</f>
        <v>#NAME?</v>
      </c>
      <c r="K129" s="0" t="e">
        <f aca="false">sheet1!axv130</f>
        <v>#NAME?</v>
      </c>
    </row>
    <row r="130" customFormat="false" ht="13.5" hidden="false" customHeight="false" outlineLevel="0" collapsed="false">
      <c r="A130" s="0" t="s">
        <v>104</v>
      </c>
      <c r="B130" s="1" t="n">
        <v>43990</v>
      </c>
      <c r="C130" s="0" t="e">
        <f aca="false">sheet1!axn131</f>
        <v>#NAME?</v>
      </c>
      <c r="D130" s="0" t="e">
        <f aca="false">sheet1!axo131</f>
        <v>#NAME?</v>
      </c>
      <c r="E130" s="0" t="e">
        <f aca="false">sheet1!axp131</f>
        <v>#NAME?</v>
      </c>
      <c r="F130" s="0" t="e">
        <f aca="false">sheet1!axq131</f>
        <v>#NAME?</v>
      </c>
      <c r="G130" s="0" t="e">
        <f aca="false">sheet1!axr131</f>
        <v>#NAME?</v>
      </c>
      <c r="H130" s="0" t="e">
        <f aca="false">sheet1!axs131</f>
        <v>#NAME?</v>
      </c>
      <c r="I130" s="0" t="e">
        <f aca="false">sheet1!axt131</f>
        <v>#NAME?</v>
      </c>
      <c r="J130" s="0" t="e">
        <f aca="false">sheet1!axu131</f>
        <v>#NAME?</v>
      </c>
      <c r="K130" s="0" t="e">
        <f aca="false">sheet1!axv131</f>
        <v>#NAME?</v>
      </c>
    </row>
    <row r="131" customFormat="false" ht="13.5" hidden="false" customHeight="false" outlineLevel="0" collapsed="false">
      <c r="A131" s="0" t="s">
        <v>104</v>
      </c>
      <c r="B131" s="1" t="n">
        <v>43991</v>
      </c>
      <c r="C131" s="0" t="e">
        <f aca="false">sheet1!axn132</f>
        <v>#NAME?</v>
      </c>
      <c r="D131" s="0" t="e">
        <f aca="false">sheet1!axo132</f>
        <v>#NAME?</v>
      </c>
      <c r="E131" s="0" t="e">
        <f aca="false">sheet1!axp132</f>
        <v>#NAME?</v>
      </c>
      <c r="F131" s="0" t="e">
        <f aca="false">sheet1!axq132</f>
        <v>#NAME?</v>
      </c>
      <c r="G131" s="0" t="e">
        <f aca="false">sheet1!axr132</f>
        <v>#NAME?</v>
      </c>
      <c r="H131" s="0" t="e">
        <f aca="false">sheet1!axs132</f>
        <v>#NAME?</v>
      </c>
      <c r="I131" s="0" t="e">
        <f aca="false">sheet1!axt132</f>
        <v>#NAME?</v>
      </c>
      <c r="J131" s="0" t="e">
        <f aca="false">sheet1!axu132</f>
        <v>#NAME?</v>
      </c>
      <c r="K131" s="0" t="e">
        <f aca="false">sheet1!axv132</f>
        <v>#NAME?</v>
      </c>
    </row>
    <row r="132" customFormat="false" ht="13.5" hidden="false" customHeight="false" outlineLevel="0" collapsed="false">
      <c r="A132" s="0" t="s">
        <v>104</v>
      </c>
      <c r="B132" s="1" t="n">
        <v>43992</v>
      </c>
      <c r="C132" s="0" t="e">
        <f aca="false">sheet1!axn133</f>
        <v>#NAME?</v>
      </c>
      <c r="D132" s="0" t="e">
        <f aca="false">sheet1!axo133</f>
        <v>#NAME?</v>
      </c>
      <c r="E132" s="0" t="e">
        <f aca="false">sheet1!axp133</f>
        <v>#NAME?</v>
      </c>
      <c r="F132" s="0" t="e">
        <f aca="false">sheet1!axq133</f>
        <v>#NAME?</v>
      </c>
      <c r="G132" s="0" t="e">
        <f aca="false">sheet1!axr133</f>
        <v>#NAME?</v>
      </c>
      <c r="H132" s="0" t="e">
        <f aca="false">sheet1!axs133</f>
        <v>#NAME?</v>
      </c>
      <c r="I132" s="0" t="e">
        <f aca="false">sheet1!axt133</f>
        <v>#NAME?</v>
      </c>
      <c r="J132" s="0" t="e">
        <f aca="false">sheet1!axu133</f>
        <v>#NAME?</v>
      </c>
      <c r="K132" s="0" t="e">
        <f aca="false">sheet1!axv133</f>
        <v>#NAME?</v>
      </c>
    </row>
    <row r="133" customFormat="false" ht="13.5" hidden="false" customHeight="false" outlineLevel="0" collapsed="false">
      <c r="A133" s="0" t="s">
        <v>104</v>
      </c>
      <c r="B133" s="1" t="n">
        <v>43993</v>
      </c>
      <c r="C133" s="0" t="e">
        <f aca="false">sheet1!axn134</f>
        <v>#NAME?</v>
      </c>
      <c r="D133" s="0" t="e">
        <f aca="false">sheet1!axo134</f>
        <v>#NAME?</v>
      </c>
      <c r="E133" s="0" t="e">
        <f aca="false">sheet1!axp134</f>
        <v>#NAME?</v>
      </c>
      <c r="F133" s="0" t="e">
        <f aca="false">sheet1!axq134</f>
        <v>#NAME?</v>
      </c>
      <c r="G133" s="0" t="e">
        <f aca="false">sheet1!axr134</f>
        <v>#NAME?</v>
      </c>
      <c r="H133" s="0" t="e">
        <f aca="false">sheet1!axs134</f>
        <v>#NAME?</v>
      </c>
      <c r="I133" s="0" t="e">
        <f aca="false">sheet1!axt134</f>
        <v>#NAME?</v>
      </c>
      <c r="J133" s="0" t="e">
        <f aca="false">sheet1!axu134</f>
        <v>#NAME?</v>
      </c>
      <c r="K133" s="0" t="e">
        <f aca="false">sheet1!axv134</f>
        <v>#NAME?</v>
      </c>
    </row>
    <row r="134" customFormat="false" ht="13.5" hidden="false" customHeight="false" outlineLevel="0" collapsed="false">
      <c r="A134" s="0" t="s">
        <v>104</v>
      </c>
      <c r="B134" s="1" t="n">
        <v>43994</v>
      </c>
      <c r="C134" s="0" t="e">
        <f aca="false">sheet1!axn135</f>
        <v>#NAME?</v>
      </c>
      <c r="D134" s="0" t="e">
        <f aca="false">sheet1!axo135</f>
        <v>#NAME?</v>
      </c>
      <c r="E134" s="0" t="e">
        <f aca="false">sheet1!axp135</f>
        <v>#NAME?</v>
      </c>
      <c r="F134" s="0" t="e">
        <f aca="false">sheet1!axq135</f>
        <v>#NAME?</v>
      </c>
      <c r="G134" s="0" t="e">
        <f aca="false">sheet1!axr135</f>
        <v>#NAME?</v>
      </c>
      <c r="H134" s="0" t="e">
        <f aca="false">sheet1!axs135</f>
        <v>#NAME?</v>
      </c>
      <c r="I134" s="0" t="e">
        <f aca="false">sheet1!axt135</f>
        <v>#NAME?</v>
      </c>
      <c r="J134" s="0" t="e">
        <f aca="false">sheet1!axu135</f>
        <v>#NAME?</v>
      </c>
      <c r="K134" s="0" t="e">
        <f aca="false">sheet1!axv135</f>
        <v>#NAME?</v>
      </c>
    </row>
    <row r="135" customFormat="false" ht="13.5" hidden="false" customHeight="false" outlineLevel="0" collapsed="false">
      <c r="A135" s="0" t="s">
        <v>104</v>
      </c>
      <c r="B135" s="1" t="n">
        <v>43995</v>
      </c>
      <c r="C135" s="0" t="e">
        <f aca="false">sheet1!axn136</f>
        <v>#NAME?</v>
      </c>
      <c r="D135" s="0" t="e">
        <f aca="false">sheet1!axo136</f>
        <v>#NAME?</v>
      </c>
      <c r="E135" s="0" t="e">
        <f aca="false">sheet1!axp136</f>
        <v>#NAME?</v>
      </c>
      <c r="F135" s="0" t="e">
        <f aca="false">sheet1!axq136</f>
        <v>#NAME?</v>
      </c>
      <c r="G135" s="0" t="e">
        <f aca="false">sheet1!axr136</f>
        <v>#NAME?</v>
      </c>
      <c r="H135" s="0" t="e">
        <f aca="false">sheet1!axs136</f>
        <v>#NAME?</v>
      </c>
      <c r="I135" s="0" t="e">
        <f aca="false">sheet1!axt136</f>
        <v>#NAME?</v>
      </c>
      <c r="J135" s="0" t="e">
        <f aca="false">sheet1!axu136</f>
        <v>#NAME?</v>
      </c>
      <c r="K135" s="0" t="e">
        <f aca="false">sheet1!axv136</f>
        <v>#NAME?</v>
      </c>
    </row>
    <row r="136" customFormat="false" ht="13.5" hidden="false" customHeight="false" outlineLevel="0" collapsed="false">
      <c r="A136" s="0" t="s">
        <v>104</v>
      </c>
      <c r="B136" s="1" t="n">
        <v>43996</v>
      </c>
      <c r="C136" s="0" t="e">
        <f aca="false">sheet1!axn137</f>
        <v>#NAME?</v>
      </c>
      <c r="D136" s="0" t="e">
        <f aca="false">sheet1!axo137</f>
        <v>#NAME?</v>
      </c>
      <c r="E136" s="0" t="e">
        <f aca="false">sheet1!axp137</f>
        <v>#NAME?</v>
      </c>
      <c r="F136" s="0" t="e">
        <f aca="false">sheet1!axq137</f>
        <v>#NAME?</v>
      </c>
      <c r="G136" s="0" t="e">
        <f aca="false">sheet1!axr137</f>
        <v>#NAME?</v>
      </c>
      <c r="H136" s="0" t="e">
        <f aca="false">sheet1!axs137</f>
        <v>#NAME?</v>
      </c>
      <c r="I136" s="0" t="e">
        <f aca="false">sheet1!axt137</f>
        <v>#NAME?</v>
      </c>
      <c r="J136" s="0" t="e">
        <f aca="false">sheet1!axu137</f>
        <v>#NAME?</v>
      </c>
      <c r="K136" s="0" t="e">
        <f aca="false">sheet1!axv137</f>
        <v>#NAME?</v>
      </c>
    </row>
    <row r="137" customFormat="false" ht="13.5" hidden="false" customHeight="false" outlineLevel="0" collapsed="false">
      <c r="A137" s="0" t="s">
        <v>104</v>
      </c>
      <c r="B137" s="1" t="n">
        <v>43997</v>
      </c>
      <c r="C137" s="0" t="e">
        <f aca="false">sheet1!axn138</f>
        <v>#NAME?</v>
      </c>
      <c r="D137" s="0" t="e">
        <f aca="false">sheet1!axo138</f>
        <v>#NAME?</v>
      </c>
      <c r="E137" s="0" t="e">
        <f aca="false">sheet1!axp138</f>
        <v>#NAME?</v>
      </c>
      <c r="F137" s="0" t="e">
        <f aca="false">sheet1!axq138</f>
        <v>#NAME?</v>
      </c>
      <c r="G137" s="0" t="e">
        <f aca="false">sheet1!axr138</f>
        <v>#NAME?</v>
      </c>
      <c r="H137" s="0" t="e">
        <f aca="false">sheet1!axs138</f>
        <v>#NAME?</v>
      </c>
      <c r="I137" s="0" t="e">
        <f aca="false">sheet1!axt138</f>
        <v>#NAME?</v>
      </c>
      <c r="J137" s="0" t="e">
        <f aca="false">sheet1!axu138</f>
        <v>#NAME?</v>
      </c>
      <c r="K137" s="0" t="e">
        <f aca="false">sheet1!axv138</f>
        <v>#NAME?</v>
      </c>
    </row>
    <row r="138" customFormat="false" ht="13.5" hidden="false" customHeight="false" outlineLevel="0" collapsed="false">
      <c r="A138" s="0" t="s">
        <v>104</v>
      </c>
      <c r="B138" s="1" t="n">
        <v>43998</v>
      </c>
      <c r="C138" s="0" t="e">
        <f aca="false">sheet1!axn139</f>
        <v>#NAME?</v>
      </c>
      <c r="D138" s="0" t="e">
        <f aca="false">sheet1!axo139</f>
        <v>#NAME?</v>
      </c>
      <c r="E138" s="0" t="e">
        <f aca="false">sheet1!axp139</f>
        <v>#NAME?</v>
      </c>
      <c r="F138" s="0" t="e">
        <f aca="false">sheet1!axq139</f>
        <v>#NAME?</v>
      </c>
      <c r="G138" s="0" t="e">
        <f aca="false">sheet1!axr139</f>
        <v>#NAME?</v>
      </c>
      <c r="H138" s="0" t="e">
        <f aca="false">sheet1!axs139</f>
        <v>#NAME?</v>
      </c>
      <c r="I138" s="0" t="e">
        <f aca="false">sheet1!axt139</f>
        <v>#NAME?</v>
      </c>
      <c r="J138" s="0" t="e">
        <f aca="false">sheet1!axu139</f>
        <v>#NAME?</v>
      </c>
      <c r="K138" s="0" t="e">
        <f aca="false">sheet1!axv139</f>
        <v>#NAME?</v>
      </c>
    </row>
    <row r="139" customFormat="false" ht="13.5" hidden="false" customHeight="false" outlineLevel="0" collapsed="false">
      <c r="A139" s="0" t="s">
        <v>104</v>
      </c>
      <c r="B139" s="1" t="n">
        <v>43999</v>
      </c>
      <c r="C139" s="0" t="e">
        <f aca="false">sheet1!axn140</f>
        <v>#NAME?</v>
      </c>
      <c r="D139" s="0" t="e">
        <f aca="false">sheet1!axo140</f>
        <v>#NAME?</v>
      </c>
      <c r="E139" s="0" t="e">
        <f aca="false">sheet1!axp140</f>
        <v>#NAME?</v>
      </c>
      <c r="F139" s="0" t="e">
        <f aca="false">sheet1!axq140</f>
        <v>#NAME?</v>
      </c>
      <c r="G139" s="0" t="e">
        <f aca="false">sheet1!axr140</f>
        <v>#NAME?</v>
      </c>
      <c r="H139" s="0" t="e">
        <f aca="false">sheet1!axs140</f>
        <v>#NAME?</v>
      </c>
      <c r="I139" s="0" t="e">
        <f aca="false">sheet1!axt140</f>
        <v>#NAME?</v>
      </c>
      <c r="J139" s="0" t="e">
        <f aca="false">sheet1!axu140</f>
        <v>#NAME?</v>
      </c>
      <c r="K139" s="0" t="e">
        <f aca="false">sheet1!axv140</f>
        <v>#NAME?</v>
      </c>
    </row>
    <row r="140" customFormat="false" ht="13.5" hidden="false" customHeight="false" outlineLevel="0" collapsed="false">
      <c r="A140" s="0" t="s">
        <v>104</v>
      </c>
      <c r="B140" s="1" t="n">
        <v>44000</v>
      </c>
      <c r="C140" s="0" t="e">
        <f aca="false">sheet1!axn141</f>
        <v>#NAME?</v>
      </c>
      <c r="D140" s="0" t="e">
        <f aca="false">sheet1!axo141</f>
        <v>#NAME?</v>
      </c>
      <c r="E140" s="0" t="e">
        <f aca="false">sheet1!axp141</f>
        <v>#NAME?</v>
      </c>
      <c r="F140" s="0" t="e">
        <f aca="false">sheet1!axq141</f>
        <v>#NAME?</v>
      </c>
      <c r="G140" s="0" t="e">
        <f aca="false">sheet1!axr141</f>
        <v>#NAME?</v>
      </c>
      <c r="H140" s="0" t="e">
        <f aca="false">sheet1!axs141</f>
        <v>#NAME?</v>
      </c>
      <c r="I140" s="0" t="e">
        <f aca="false">sheet1!axt141</f>
        <v>#NAME?</v>
      </c>
      <c r="J140" s="0" t="e">
        <f aca="false">sheet1!axu141</f>
        <v>#NAME?</v>
      </c>
      <c r="K140" s="0" t="e">
        <f aca="false">sheet1!axv141</f>
        <v>#NAME?</v>
      </c>
    </row>
    <row r="141" customFormat="false" ht="13.5" hidden="false" customHeight="false" outlineLevel="0" collapsed="false">
      <c r="A141" s="0" t="s">
        <v>104</v>
      </c>
      <c r="B141" s="1" t="n">
        <v>44001</v>
      </c>
      <c r="C141" s="0" t="e">
        <f aca="false">sheet1!axn142</f>
        <v>#NAME?</v>
      </c>
      <c r="D141" s="0" t="e">
        <f aca="false">sheet1!axo142</f>
        <v>#NAME?</v>
      </c>
      <c r="E141" s="0" t="e">
        <f aca="false">sheet1!axp142</f>
        <v>#NAME?</v>
      </c>
      <c r="F141" s="0" t="e">
        <f aca="false">sheet1!axq142</f>
        <v>#NAME?</v>
      </c>
      <c r="G141" s="0" t="e">
        <f aca="false">sheet1!axr142</f>
        <v>#NAME?</v>
      </c>
      <c r="H141" s="0" t="e">
        <f aca="false">sheet1!axs142</f>
        <v>#NAME?</v>
      </c>
      <c r="I141" s="0" t="e">
        <f aca="false">sheet1!axt142</f>
        <v>#NAME?</v>
      </c>
      <c r="J141" s="0" t="e">
        <f aca="false">sheet1!axu142</f>
        <v>#NAME?</v>
      </c>
      <c r="K141" s="0" t="e">
        <f aca="false">sheet1!axv142</f>
        <v>#NAME?</v>
      </c>
    </row>
    <row r="142" customFormat="false" ht="13.5" hidden="false" customHeight="false" outlineLevel="0" collapsed="false">
      <c r="A142" s="0" t="s">
        <v>104</v>
      </c>
      <c r="B142" s="1" t="n">
        <v>44002</v>
      </c>
      <c r="C142" s="0" t="e">
        <f aca="false">sheet1!axn143</f>
        <v>#NAME?</v>
      </c>
      <c r="D142" s="0" t="e">
        <f aca="false">sheet1!axo143</f>
        <v>#NAME?</v>
      </c>
      <c r="E142" s="0" t="e">
        <f aca="false">sheet1!axp143</f>
        <v>#NAME?</v>
      </c>
      <c r="F142" s="0" t="e">
        <f aca="false">sheet1!axq143</f>
        <v>#NAME?</v>
      </c>
      <c r="G142" s="0" t="e">
        <f aca="false">sheet1!axr143</f>
        <v>#NAME?</v>
      </c>
      <c r="H142" s="0" t="e">
        <f aca="false">sheet1!axs143</f>
        <v>#NAME?</v>
      </c>
      <c r="I142" s="0" t="e">
        <f aca="false">sheet1!axt143</f>
        <v>#NAME?</v>
      </c>
      <c r="J142" s="0" t="e">
        <f aca="false">sheet1!axu143</f>
        <v>#NAME?</v>
      </c>
      <c r="K142" s="0" t="e">
        <f aca="false">sheet1!axv143</f>
        <v>#NAME?</v>
      </c>
    </row>
    <row r="143" customFormat="false" ht="13.5" hidden="false" customHeight="false" outlineLevel="0" collapsed="false">
      <c r="A143" s="0" t="s">
        <v>104</v>
      </c>
      <c r="B143" s="1" t="n">
        <v>44003</v>
      </c>
      <c r="C143" s="0" t="e">
        <f aca="false">sheet1!axn144</f>
        <v>#NAME?</v>
      </c>
      <c r="D143" s="0" t="e">
        <f aca="false">sheet1!axo144</f>
        <v>#NAME?</v>
      </c>
      <c r="E143" s="0" t="e">
        <f aca="false">sheet1!axp144</f>
        <v>#NAME?</v>
      </c>
      <c r="F143" s="0" t="e">
        <f aca="false">sheet1!axq144</f>
        <v>#NAME?</v>
      </c>
      <c r="G143" s="0" t="e">
        <f aca="false">sheet1!axr144</f>
        <v>#NAME?</v>
      </c>
      <c r="H143" s="0" t="e">
        <f aca="false">sheet1!axs144</f>
        <v>#NAME?</v>
      </c>
      <c r="I143" s="0" t="e">
        <f aca="false">sheet1!axt144</f>
        <v>#NAME?</v>
      </c>
      <c r="J143" s="0" t="e">
        <f aca="false">sheet1!axu144</f>
        <v>#NAME?</v>
      </c>
      <c r="K143" s="0" t="e">
        <f aca="false">sheet1!axv144</f>
        <v>#NAME?</v>
      </c>
    </row>
    <row r="144" customFormat="false" ht="13.5" hidden="false" customHeight="false" outlineLevel="0" collapsed="false">
      <c r="A144" s="0" t="s">
        <v>104</v>
      </c>
      <c r="B144" s="1" t="n">
        <v>44004</v>
      </c>
      <c r="C144" s="0" t="e">
        <f aca="false">sheet1!axn145</f>
        <v>#NAME?</v>
      </c>
      <c r="D144" s="0" t="e">
        <f aca="false">sheet1!axo145</f>
        <v>#NAME?</v>
      </c>
      <c r="E144" s="0" t="e">
        <f aca="false">sheet1!axp145</f>
        <v>#NAME?</v>
      </c>
      <c r="F144" s="0" t="e">
        <f aca="false">sheet1!axq145</f>
        <v>#NAME?</v>
      </c>
      <c r="G144" s="0" t="e">
        <f aca="false">sheet1!axr145</f>
        <v>#NAME?</v>
      </c>
      <c r="H144" s="0" t="e">
        <f aca="false">sheet1!axs145</f>
        <v>#NAME?</v>
      </c>
      <c r="I144" s="0" t="e">
        <f aca="false">sheet1!axt145</f>
        <v>#NAME?</v>
      </c>
      <c r="J144" s="0" t="e">
        <f aca="false">sheet1!axu145</f>
        <v>#NAME?</v>
      </c>
      <c r="K144" s="0" t="e">
        <f aca="false">sheet1!axv145</f>
        <v>#NAME?</v>
      </c>
    </row>
    <row r="145" customFormat="false" ht="13.5" hidden="false" customHeight="false" outlineLevel="0" collapsed="false">
      <c r="A145" s="0" t="s">
        <v>104</v>
      </c>
      <c r="B145" s="1" t="n">
        <v>44005</v>
      </c>
      <c r="C145" s="0" t="e">
        <f aca="false">sheet1!axn146</f>
        <v>#NAME?</v>
      </c>
      <c r="D145" s="0" t="e">
        <f aca="false">sheet1!axo146</f>
        <v>#NAME?</v>
      </c>
      <c r="E145" s="0" t="e">
        <f aca="false">sheet1!axp146</f>
        <v>#NAME?</v>
      </c>
      <c r="F145" s="0" t="e">
        <f aca="false">sheet1!axq146</f>
        <v>#NAME?</v>
      </c>
      <c r="G145" s="0" t="e">
        <f aca="false">sheet1!axr146</f>
        <v>#NAME?</v>
      </c>
      <c r="H145" s="0" t="e">
        <f aca="false">sheet1!axs146</f>
        <v>#NAME?</v>
      </c>
      <c r="I145" s="0" t="e">
        <f aca="false">sheet1!axt146</f>
        <v>#NAME?</v>
      </c>
      <c r="J145" s="0" t="e">
        <f aca="false">sheet1!axu146</f>
        <v>#NAME?</v>
      </c>
      <c r="K145" s="0" t="e">
        <f aca="false">sheet1!axv146</f>
        <v>#NAME?</v>
      </c>
    </row>
    <row r="146" customFormat="false" ht="13.5" hidden="false" customHeight="false" outlineLevel="0" collapsed="false">
      <c r="A146" s="0" t="s">
        <v>104</v>
      </c>
      <c r="B146" s="1" t="n">
        <v>44006</v>
      </c>
      <c r="C146" s="0" t="e">
        <f aca="false">sheet1!axn147</f>
        <v>#NAME?</v>
      </c>
      <c r="D146" s="0" t="e">
        <f aca="false">sheet1!axo147</f>
        <v>#NAME?</v>
      </c>
      <c r="E146" s="0" t="e">
        <f aca="false">sheet1!axp147</f>
        <v>#NAME?</v>
      </c>
      <c r="F146" s="0" t="e">
        <f aca="false">sheet1!axq147</f>
        <v>#NAME?</v>
      </c>
      <c r="G146" s="0" t="e">
        <f aca="false">sheet1!axr147</f>
        <v>#NAME?</v>
      </c>
      <c r="H146" s="0" t="e">
        <f aca="false">sheet1!axs147</f>
        <v>#NAME?</v>
      </c>
      <c r="I146" s="0" t="e">
        <f aca="false">sheet1!axt147</f>
        <v>#NAME?</v>
      </c>
      <c r="J146" s="0" t="e">
        <f aca="false">sheet1!axu147</f>
        <v>#NAME?</v>
      </c>
      <c r="K146" s="0" t="e">
        <f aca="false">sheet1!axv147</f>
        <v>#NAME?</v>
      </c>
    </row>
    <row r="147" customFormat="false" ht="13.5" hidden="false" customHeight="false" outlineLevel="0" collapsed="false">
      <c r="A147" s="0" t="s">
        <v>104</v>
      </c>
      <c r="B147" s="1" t="n">
        <v>44007</v>
      </c>
      <c r="C147" s="0" t="e">
        <f aca="false">sheet1!axn148</f>
        <v>#NAME?</v>
      </c>
      <c r="D147" s="0" t="e">
        <f aca="false">sheet1!axo148</f>
        <v>#NAME?</v>
      </c>
      <c r="E147" s="0" t="e">
        <f aca="false">sheet1!axp148</f>
        <v>#NAME?</v>
      </c>
      <c r="F147" s="0" t="e">
        <f aca="false">sheet1!axq148</f>
        <v>#NAME?</v>
      </c>
      <c r="G147" s="0" t="e">
        <f aca="false">sheet1!axr148</f>
        <v>#NAME?</v>
      </c>
      <c r="H147" s="0" t="e">
        <f aca="false">sheet1!axs148</f>
        <v>#NAME?</v>
      </c>
      <c r="I147" s="0" t="e">
        <f aca="false">sheet1!axt148</f>
        <v>#NAME?</v>
      </c>
      <c r="J147" s="0" t="e">
        <f aca="false">sheet1!axu148</f>
        <v>#NAME?</v>
      </c>
      <c r="K147" s="0" t="e">
        <f aca="false">sheet1!axv148</f>
        <v>#NAME?</v>
      </c>
    </row>
    <row r="148" customFormat="false" ht="13.5" hidden="false" customHeight="false" outlineLevel="0" collapsed="false">
      <c r="A148" s="0" t="s">
        <v>104</v>
      </c>
      <c r="B148" s="1" t="n">
        <v>44008</v>
      </c>
      <c r="C148" s="0" t="e">
        <f aca="false">sheet1!axn149</f>
        <v>#NAME?</v>
      </c>
      <c r="D148" s="0" t="e">
        <f aca="false">sheet1!axo149</f>
        <v>#NAME?</v>
      </c>
      <c r="E148" s="0" t="e">
        <f aca="false">sheet1!axp149</f>
        <v>#NAME?</v>
      </c>
      <c r="F148" s="0" t="e">
        <f aca="false">sheet1!axq149</f>
        <v>#NAME?</v>
      </c>
      <c r="G148" s="0" t="e">
        <f aca="false">sheet1!axr149</f>
        <v>#NAME?</v>
      </c>
      <c r="H148" s="0" t="e">
        <f aca="false">sheet1!axs149</f>
        <v>#NAME?</v>
      </c>
      <c r="I148" s="0" t="e">
        <f aca="false">sheet1!axt149</f>
        <v>#NAME?</v>
      </c>
      <c r="J148" s="0" t="e">
        <f aca="false">sheet1!axu149</f>
        <v>#NAME?</v>
      </c>
      <c r="K148" s="0" t="e">
        <f aca="false">sheet1!axv149</f>
        <v>#NAME?</v>
      </c>
    </row>
    <row r="149" customFormat="false" ht="13.5" hidden="false" customHeight="false" outlineLevel="0" collapsed="false">
      <c r="A149" s="0" t="s">
        <v>104</v>
      </c>
      <c r="B149" s="1" t="n">
        <v>44009</v>
      </c>
      <c r="C149" s="0" t="e">
        <f aca="false">sheet1!axn150</f>
        <v>#NAME?</v>
      </c>
      <c r="D149" s="0" t="e">
        <f aca="false">sheet1!axo150</f>
        <v>#NAME?</v>
      </c>
      <c r="E149" s="0" t="e">
        <f aca="false">sheet1!axp150</f>
        <v>#NAME?</v>
      </c>
      <c r="F149" s="0" t="e">
        <f aca="false">sheet1!axq150</f>
        <v>#NAME?</v>
      </c>
      <c r="G149" s="0" t="e">
        <f aca="false">sheet1!axr150</f>
        <v>#NAME?</v>
      </c>
      <c r="H149" s="0" t="e">
        <f aca="false">sheet1!axs150</f>
        <v>#NAME?</v>
      </c>
      <c r="I149" s="0" t="e">
        <f aca="false">sheet1!axt150</f>
        <v>#NAME?</v>
      </c>
      <c r="J149" s="0" t="e">
        <f aca="false">sheet1!axu150</f>
        <v>#NAME?</v>
      </c>
      <c r="K149" s="0" t="e">
        <f aca="false">sheet1!axv150</f>
        <v>#NAME?</v>
      </c>
    </row>
    <row r="150" customFormat="false" ht="13.5" hidden="false" customHeight="false" outlineLevel="0" collapsed="false">
      <c r="A150" s="0" t="s">
        <v>104</v>
      </c>
      <c r="B150" s="1" t="n">
        <v>44010</v>
      </c>
      <c r="C150" s="0" t="e">
        <f aca="false">sheet1!axn151</f>
        <v>#NAME?</v>
      </c>
      <c r="D150" s="0" t="e">
        <f aca="false">sheet1!axo151</f>
        <v>#NAME?</v>
      </c>
      <c r="E150" s="0" t="e">
        <f aca="false">sheet1!axp151</f>
        <v>#NAME?</v>
      </c>
      <c r="F150" s="0" t="e">
        <f aca="false">sheet1!axq151</f>
        <v>#NAME?</v>
      </c>
      <c r="G150" s="0" t="e">
        <f aca="false">sheet1!axr151</f>
        <v>#NAME?</v>
      </c>
      <c r="H150" s="0" t="e">
        <f aca="false">sheet1!axs151</f>
        <v>#NAME?</v>
      </c>
      <c r="I150" s="0" t="e">
        <f aca="false">sheet1!axt151</f>
        <v>#NAME?</v>
      </c>
      <c r="J150" s="0" t="e">
        <f aca="false">sheet1!axu151</f>
        <v>#NAME?</v>
      </c>
      <c r="K150" s="0" t="e">
        <f aca="false">sheet1!axv151</f>
        <v>#NAME?</v>
      </c>
    </row>
    <row r="151" customFormat="false" ht="13.5" hidden="false" customHeight="false" outlineLevel="0" collapsed="false">
      <c r="A151" s="0" t="s">
        <v>104</v>
      </c>
      <c r="B151" s="1" t="n">
        <v>44011</v>
      </c>
      <c r="C151" s="0" t="e">
        <f aca="false">sheet1!axn152</f>
        <v>#NAME?</v>
      </c>
      <c r="D151" s="0" t="e">
        <f aca="false">sheet1!axo152</f>
        <v>#NAME?</v>
      </c>
      <c r="E151" s="0" t="e">
        <f aca="false">sheet1!axp152</f>
        <v>#NAME?</v>
      </c>
      <c r="F151" s="0" t="e">
        <f aca="false">sheet1!axq152</f>
        <v>#NAME?</v>
      </c>
      <c r="G151" s="0" t="e">
        <f aca="false">sheet1!axr152</f>
        <v>#NAME?</v>
      </c>
      <c r="H151" s="0" t="e">
        <f aca="false">sheet1!axs152</f>
        <v>#NAME?</v>
      </c>
      <c r="I151" s="0" t="e">
        <f aca="false">sheet1!axt152</f>
        <v>#NAME?</v>
      </c>
      <c r="J151" s="0" t="e">
        <f aca="false">sheet1!axu152</f>
        <v>#NAME?</v>
      </c>
      <c r="K151" s="0" t="e">
        <f aca="false">sheet1!axv152</f>
        <v>#NAME?</v>
      </c>
    </row>
    <row r="152" customFormat="false" ht="13.5" hidden="false" customHeight="false" outlineLevel="0" collapsed="false">
      <c r="A152" s="0" t="s">
        <v>104</v>
      </c>
      <c r="B152" s="1" t="n">
        <v>44012</v>
      </c>
      <c r="C152" s="0" t="e">
        <f aca="false">sheet1!axn153</f>
        <v>#NAME?</v>
      </c>
      <c r="D152" s="0" t="e">
        <f aca="false">sheet1!axo153</f>
        <v>#NAME?</v>
      </c>
      <c r="E152" s="0" t="e">
        <f aca="false">sheet1!axp153</f>
        <v>#NAME?</v>
      </c>
      <c r="F152" s="0" t="e">
        <f aca="false">sheet1!axq153</f>
        <v>#NAME?</v>
      </c>
      <c r="G152" s="0" t="e">
        <f aca="false">sheet1!axr153</f>
        <v>#NAME?</v>
      </c>
      <c r="H152" s="0" t="e">
        <f aca="false">sheet1!axs153</f>
        <v>#NAME?</v>
      </c>
      <c r="I152" s="0" t="e">
        <f aca="false">sheet1!axt153</f>
        <v>#NAME?</v>
      </c>
      <c r="J152" s="0" t="e">
        <f aca="false">sheet1!axu153</f>
        <v>#NAME?</v>
      </c>
      <c r="K152" s="0" t="e">
        <f aca="false">sheet1!axv153</f>
        <v>#NAME?</v>
      </c>
    </row>
    <row r="153" customFormat="false" ht="13.5" hidden="false" customHeight="false" outlineLevel="0" collapsed="false">
      <c r="A153" s="0" t="s">
        <v>104</v>
      </c>
      <c r="B153" s="1" t="n">
        <v>44013</v>
      </c>
      <c r="C153" s="0" t="e">
        <f aca="false">sheet1!axn154</f>
        <v>#NAME?</v>
      </c>
      <c r="D153" s="0" t="e">
        <f aca="false">sheet1!axo154</f>
        <v>#NAME?</v>
      </c>
      <c r="E153" s="0" t="e">
        <f aca="false">sheet1!axp154</f>
        <v>#NAME?</v>
      </c>
      <c r="F153" s="0" t="e">
        <f aca="false">sheet1!axq154</f>
        <v>#NAME?</v>
      </c>
      <c r="G153" s="0" t="e">
        <f aca="false">sheet1!axr154</f>
        <v>#NAME?</v>
      </c>
      <c r="H153" s="0" t="e">
        <f aca="false">sheet1!axs154</f>
        <v>#NAME?</v>
      </c>
      <c r="I153" s="0" t="e">
        <f aca="false">sheet1!axt154</f>
        <v>#NAME?</v>
      </c>
      <c r="J153" s="0" t="e">
        <f aca="false">sheet1!axu154</f>
        <v>#NAME?</v>
      </c>
      <c r="K153" s="0" t="e">
        <f aca="false">sheet1!axv154</f>
        <v>#NAME?</v>
      </c>
    </row>
    <row r="154" customFormat="false" ht="13.5" hidden="false" customHeight="false" outlineLevel="0" collapsed="false">
      <c r="A154" s="0" t="s">
        <v>104</v>
      </c>
      <c r="B154" s="1" t="n">
        <v>44014</v>
      </c>
      <c r="C154" s="0" t="e">
        <f aca="false">sheet1!axn155</f>
        <v>#NAME?</v>
      </c>
      <c r="D154" s="0" t="e">
        <f aca="false">sheet1!axo155</f>
        <v>#NAME?</v>
      </c>
      <c r="E154" s="0" t="e">
        <f aca="false">sheet1!axp155</f>
        <v>#NAME?</v>
      </c>
      <c r="F154" s="0" t="e">
        <f aca="false">sheet1!axq155</f>
        <v>#NAME?</v>
      </c>
      <c r="G154" s="0" t="e">
        <f aca="false">sheet1!axr155</f>
        <v>#NAME?</v>
      </c>
      <c r="H154" s="0" t="e">
        <f aca="false">sheet1!axs155</f>
        <v>#NAME?</v>
      </c>
      <c r="I154" s="0" t="e">
        <f aca="false">sheet1!axt155</f>
        <v>#NAME?</v>
      </c>
      <c r="J154" s="0" t="e">
        <f aca="false">sheet1!axu155</f>
        <v>#NAME?</v>
      </c>
      <c r="K154" s="0" t="e">
        <f aca="false">sheet1!axv155</f>
        <v>#NAME?</v>
      </c>
    </row>
    <row r="155" customFormat="false" ht="13.5" hidden="false" customHeight="false" outlineLevel="0" collapsed="false">
      <c r="A155" s="0" t="s">
        <v>104</v>
      </c>
      <c r="B155" s="1" t="n">
        <v>44015</v>
      </c>
      <c r="C155" s="0" t="e">
        <f aca="false">sheet1!axn156</f>
        <v>#NAME?</v>
      </c>
      <c r="D155" s="0" t="e">
        <f aca="false">sheet1!axo156</f>
        <v>#NAME?</v>
      </c>
      <c r="E155" s="0" t="e">
        <f aca="false">sheet1!axp156</f>
        <v>#NAME?</v>
      </c>
      <c r="F155" s="0" t="e">
        <f aca="false">sheet1!axq156</f>
        <v>#NAME?</v>
      </c>
      <c r="G155" s="0" t="e">
        <f aca="false">sheet1!axr156</f>
        <v>#NAME?</v>
      </c>
      <c r="H155" s="0" t="e">
        <f aca="false">sheet1!axs156</f>
        <v>#NAME?</v>
      </c>
      <c r="I155" s="0" t="e">
        <f aca="false">sheet1!axt156</f>
        <v>#NAME?</v>
      </c>
      <c r="J155" s="0" t="e">
        <f aca="false">sheet1!axu156</f>
        <v>#NAME?</v>
      </c>
      <c r="K155" s="0" t="e">
        <f aca="false">sheet1!axv156</f>
        <v>#NAME?</v>
      </c>
    </row>
    <row r="156" customFormat="false" ht="13.5" hidden="false" customHeight="false" outlineLevel="0" collapsed="false">
      <c r="A156" s="0" t="s">
        <v>104</v>
      </c>
      <c r="B156" s="1" t="n">
        <v>44016</v>
      </c>
      <c r="C156" s="0" t="e">
        <f aca="false">sheet1!axn157</f>
        <v>#NAME?</v>
      </c>
      <c r="D156" s="0" t="e">
        <f aca="false">sheet1!axo157</f>
        <v>#NAME?</v>
      </c>
      <c r="E156" s="0" t="e">
        <f aca="false">sheet1!axp157</f>
        <v>#NAME?</v>
      </c>
      <c r="F156" s="0" t="e">
        <f aca="false">sheet1!axq157</f>
        <v>#NAME?</v>
      </c>
      <c r="G156" s="0" t="e">
        <f aca="false">sheet1!axr157</f>
        <v>#NAME?</v>
      </c>
      <c r="H156" s="0" t="e">
        <f aca="false">sheet1!axs157</f>
        <v>#NAME?</v>
      </c>
      <c r="I156" s="0" t="e">
        <f aca="false">sheet1!axt157</f>
        <v>#NAME?</v>
      </c>
      <c r="J156" s="0" t="e">
        <f aca="false">sheet1!axu157</f>
        <v>#NAME?</v>
      </c>
      <c r="K156" s="0" t="e">
        <f aca="false">sheet1!axv157</f>
        <v>#NAME?</v>
      </c>
    </row>
    <row r="157" customFormat="false" ht="13.5" hidden="false" customHeight="false" outlineLevel="0" collapsed="false">
      <c r="A157" s="0" t="s">
        <v>104</v>
      </c>
      <c r="B157" s="1" t="n">
        <v>44017</v>
      </c>
      <c r="C157" s="0" t="e">
        <f aca="false">sheet1!axn158</f>
        <v>#NAME?</v>
      </c>
      <c r="D157" s="0" t="e">
        <f aca="false">sheet1!axo158</f>
        <v>#NAME?</v>
      </c>
      <c r="E157" s="0" t="e">
        <f aca="false">sheet1!axp158</f>
        <v>#NAME?</v>
      </c>
      <c r="F157" s="0" t="e">
        <f aca="false">sheet1!axq158</f>
        <v>#NAME?</v>
      </c>
      <c r="G157" s="0" t="e">
        <f aca="false">sheet1!axr158</f>
        <v>#NAME?</v>
      </c>
      <c r="H157" s="0" t="e">
        <f aca="false">sheet1!axs158</f>
        <v>#NAME?</v>
      </c>
      <c r="I157" s="0" t="e">
        <f aca="false">sheet1!axt158</f>
        <v>#NAME?</v>
      </c>
      <c r="J157" s="0" t="e">
        <f aca="false">sheet1!axu158</f>
        <v>#NAME?</v>
      </c>
      <c r="K157" s="0" t="e">
        <f aca="false">sheet1!axv158</f>
        <v>#NAME?</v>
      </c>
    </row>
    <row r="158" customFormat="false" ht="13.5" hidden="false" customHeight="false" outlineLevel="0" collapsed="false">
      <c r="A158" s="0" t="s">
        <v>104</v>
      </c>
      <c r="B158" s="1" t="n">
        <v>44018</v>
      </c>
      <c r="C158" s="0" t="e">
        <f aca="false">sheet1!axn159</f>
        <v>#NAME?</v>
      </c>
      <c r="D158" s="0" t="e">
        <f aca="false">sheet1!axo159</f>
        <v>#NAME?</v>
      </c>
      <c r="E158" s="0" t="e">
        <f aca="false">sheet1!axp159</f>
        <v>#NAME?</v>
      </c>
      <c r="F158" s="0" t="e">
        <f aca="false">sheet1!axq159</f>
        <v>#NAME?</v>
      </c>
      <c r="G158" s="0" t="e">
        <f aca="false">sheet1!axr159</f>
        <v>#NAME?</v>
      </c>
      <c r="H158" s="0" t="e">
        <f aca="false">sheet1!axs159</f>
        <v>#NAME?</v>
      </c>
      <c r="I158" s="0" t="e">
        <f aca="false">sheet1!axt159</f>
        <v>#NAME?</v>
      </c>
      <c r="J158" s="0" t="e">
        <f aca="false">sheet1!axu159</f>
        <v>#NAME?</v>
      </c>
      <c r="K158" s="0" t="e">
        <f aca="false">sheet1!axv159</f>
        <v>#NAME?</v>
      </c>
    </row>
    <row r="159" customFormat="false" ht="13.5" hidden="false" customHeight="false" outlineLevel="0" collapsed="false">
      <c r="A159" s="0" t="s">
        <v>104</v>
      </c>
      <c r="B159" s="1" t="n">
        <v>44019</v>
      </c>
      <c r="C159" s="0" t="e">
        <f aca="false">sheet1!axn160</f>
        <v>#NAME?</v>
      </c>
      <c r="D159" s="0" t="e">
        <f aca="false">sheet1!axo160</f>
        <v>#NAME?</v>
      </c>
      <c r="E159" s="0" t="e">
        <f aca="false">sheet1!axp160</f>
        <v>#NAME?</v>
      </c>
      <c r="F159" s="0" t="e">
        <f aca="false">sheet1!axq160</f>
        <v>#NAME?</v>
      </c>
      <c r="G159" s="0" t="e">
        <f aca="false">sheet1!axr160</f>
        <v>#NAME?</v>
      </c>
      <c r="H159" s="0" t="e">
        <f aca="false">sheet1!axs160</f>
        <v>#NAME?</v>
      </c>
      <c r="I159" s="0" t="e">
        <f aca="false">sheet1!axt160</f>
        <v>#NAME?</v>
      </c>
      <c r="J159" s="0" t="e">
        <f aca="false">sheet1!axu160</f>
        <v>#NAME?</v>
      </c>
      <c r="K159" s="0" t="e">
        <f aca="false">sheet1!axv160</f>
        <v>#NAME?</v>
      </c>
    </row>
    <row r="160" customFormat="false" ht="13.5" hidden="false" customHeight="false" outlineLevel="0" collapsed="false">
      <c r="A160" s="0" t="s">
        <v>104</v>
      </c>
      <c r="B160" s="1" t="n">
        <v>44020</v>
      </c>
      <c r="C160" s="0" t="e">
        <f aca="false">sheet1!axn161</f>
        <v>#NAME?</v>
      </c>
      <c r="D160" s="0" t="e">
        <f aca="false">sheet1!axo161</f>
        <v>#NAME?</v>
      </c>
      <c r="E160" s="0" t="e">
        <f aca="false">sheet1!axp161</f>
        <v>#NAME?</v>
      </c>
      <c r="F160" s="0" t="e">
        <f aca="false">sheet1!axq161</f>
        <v>#NAME?</v>
      </c>
      <c r="G160" s="0" t="e">
        <f aca="false">sheet1!axr161</f>
        <v>#NAME?</v>
      </c>
      <c r="H160" s="0" t="e">
        <f aca="false">sheet1!axs161</f>
        <v>#NAME?</v>
      </c>
      <c r="I160" s="0" t="e">
        <f aca="false">sheet1!axt161</f>
        <v>#NAME?</v>
      </c>
      <c r="J160" s="0" t="e">
        <f aca="false">sheet1!axu161</f>
        <v>#NAME?</v>
      </c>
      <c r="K160" s="0" t="e">
        <f aca="false">sheet1!axv161</f>
        <v>#NAME?</v>
      </c>
    </row>
    <row r="161" customFormat="false" ht="13.5" hidden="false" customHeight="false" outlineLevel="0" collapsed="false">
      <c r="A161" s="0" t="s">
        <v>104</v>
      </c>
      <c r="B161" s="1" t="n">
        <v>44021</v>
      </c>
      <c r="C161" s="0" t="e">
        <f aca="false">sheet1!axn162</f>
        <v>#NAME?</v>
      </c>
      <c r="D161" s="0" t="e">
        <f aca="false">sheet1!axo162</f>
        <v>#NAME?</v>
      </c>
      <c r="E161" s="0" t="e">
        <f aca="false">sheet1!axp162</f>
        <v>#NAME?</v>
      </c>
      <c r="F161" s="0" t="e">
        <f aca="false">sheet1!axq162</f>
        <v>#NAME?</v>
      </c>
      <c r="G161" s="0" t="e">
        <f aca="false">sheet1!axr162</f>
        <v>#NAME?</v>
      </c>
      <c r="H161" s="0" t="e">
        <f aca="false">sheet1!axs162</f>
        <v>#NAME?</v>
      </c>
      <c r="I161" s="0" t="e">
        <f aca="false">sheet1!axt162</f>
        <v>#NAME?</v>
      </c>
      <c r="J161" s="0" t="e">
        <f aca="false">sheet1!axu162</f>
        <v>#NAME?</v>
      </c>
      <c r="K161" s="0" t="e">
        <f aca="false">sheet1!axv162</f>
        <v>#NAME?</v>
      </c>
    </row>
    <row r="162" customFormat="false" ht="13.5" hidden="false" customHeight="false" outlineLevel="0" collapsed="false">
      <c r="A162" s="0" t="s">
        <v>104</v>
      </c>
      <c r="B162" s="1" t="n">
        <v>44022</v>
      </c>
      <c r="C162" s="0" t="e">
        <f aca="false">sheet1!axn163</f>
        <v>#NAME?</v>
      </c>
      <c r="D162" s="0" t="e">
        <f aca="false">sheet1!axo163</f>
        <v>#NAME?</v>
      </c>
      <c r="E162" s="0" t="e">
        <f aca="false">sheet1!axp163</f>
        <v>#NAME?</v>
      </c>
      <c r="F162" s="0" t="e">
        <f aca="false">sheet1!axq163</f>
        <v>#NAME?</v>
      </c>
      <c r="G162" s="0" t="e">
        <f aca="false">sheet1!axr163</f>
        <v>#NAME?</v>
      </c>
      <c r="H162" s="0" t="e">
        <f aca="false">sheet1!axs163</f>
        <v>#NAME?</v>
      </c>
      <c r="I162" s="0" t="e">
        <f aca="false">sheet1!axt163</f>
        <v>#NAME?</v>
      </c>
      <c r="J162" s="0" t="e">
        <f aca="false">sheet1!axu163</f>
        <v>#NAME?</v>
      </c>
      <c r="K162" s="0" t="e">
        <f aca="false">sheet1!axv163</f>
        <v>#NAME?</v>
      </c>
    </row>
    <row r="163" customFormat="false" ht="13.5" hidden="false" customHeight="false" outlineLevel="0" collapsed="false">
      <c r="A163" s="0" t="s">
        <v>104</v>
      </c>
      <c r="B163" s="1" t="n">
        <v>44023</v>
      </c>
      <c r="C163" s="0" t="e">
        <f aca="false">sheet1!axn164</f>
        <v>#NAME?</v>
      </c>
      <c r="D163" s="0" t="e">
        <f aca="false">sheet1!axo164</f>
        <v>#NAME?</v>
      </c>
      <c r="E163" s="0" t="e">
        <f aca="false">sheet1!axp164</f>
        <v>#NAME?</v>
      </c>
      <c r="F163" s="0" t="e">
        <f aca="false">sheet1!axq164</f>
        <v>#NAME?</v>
      </c>
      <c r="G163" s="0" t="e">
        <f aca="false">sheet1!axr164</f>
        <v>#NAME?</v>
      </c>
      <c r="H163" s="0" t="e">
        <f aca="false">sheet1!axs164</f>
        <v>#NAME?</v>
      </c>
      <c r="I163" s="0" t="e">
        <f aca="false">sheet1!axt164</f>
        <v>#NAME?</v>
      </c>
      <c r="J163" s="0" t="e">
        <f aca="false">sheet1!axu164</f>
        <v>#NAME?</v>
      </c>
      <c r="K163" s="0" t="e">
        <f aca="false">sheet1!axv164</f>
        <v>#NAME?</v>
      </c>
    </row>
    <row r="164" customFormat="false" ht="13.5" hidden="false" customHeight="false" outlineLevel="0" collapsed="false">
      <c r="A164" s="0" t="s">
        <v>104</v>
      </c>
      <c r="B164" s="1" t="n">
        <v>44024</v>
      </c>
      <c r="C164" s="0" t="e">
        <f aca="false">sheet1!axn165</f>
        <v>#NAME?</v>
      </c>
      <c r="D164" s="0" t="e">
        <f aca="false">sheet1!axo165</f>
        <v>#NAME?</v>
      </c>
      <c r="E164" s="0" t="e">
        <f aca="false">sheet1!axp165</f>
        <v>#NAME?</v>
      </c>
      <c r="F164" s="0" t="e">
        <f aca="false">sheet1!axq165</f>
        <v>#NAME?</v>
      </c>
      <c r="G164" s="0" t="e">
        <f aca="false">sheet1!axr165</f>
        <v>#NAME?</v>
      </c>
      <c r="H164" s="0" t="e">
        <f aca="false">sheet1!axs165</f>
        <v>#NAME?</v>
      </c>
      <c r="I164" s="0" t="e">
        <f aca="false">sheet1!axt165</f>
        <v>#NAME?</v>
      </c>
      <c r="J164" s="0" t="e">
        <f aca="false">sheet1!axu165</f>
        <v>#NAME?</v>
      </c>
      <c r="K164" s="0" t="e">
        <f aca="false">sheet1!axv165</f>
        <v>#NAME?</v>
      </c>
    </row>
    <row r="165" customFormat="false" ht="13.5" hidden="false" customHeight="false" outlineLevel="0" collapsed="false">
      <c r="A165" s="0" t="s">
        <v>104</v>
      </c>
      <c r="B165" s="1" t="n">
        <v>44025</v>
      </c>
      <c r="C165" s="0" t="e">
        <f aca="false">sheet1!axn166</f>
        <v>#NAME?</v>
      </c>
      <c r="D165" s="0" t="e">
        <f aca="false">sheet1!axo166</f>
        <v>#NAME?</v>
      </c>
      <c r="E165" s="0" t="e">
        <f aca="false">sheet1!axp166</f>
        <v>#NAME?</v>
      </c>
      <c r="F165" s="0" t="e">
        <f aca="false">sheet1!axq166</f>
        <v>#NAME?</v>
      </c>
      <c r="G165" s="0" t="e">
        <f aca="false">sheet1!axr166</f>
        <v>#NAME?</v>
      </c>
      <c r="H165" s="0" t="e">
        <f aca="false">sheet1!axs166</f>
        <v>#NAME?</v>
      </c>
      <c r="I165" s="0" t="e">
        <f aca="false">sheet1!axt166</f>
        <v>#NAME?</v>
      </c>
      <c r="J165" s="0" t="e">
        <f aca="false">sheet1!axu166</f>
        <v>#NAME?</v>
      </c>
      <c r="K165" s="0" t="e">
        <f aca="false">sheet1!axv166</f>
        <v>#NAME?</v>
      </c>
    </row>
    <row r="166" customFormat="false" ht="13.5" hidden="false" customHeight="false" outlineLevel="0" collapsed="false">
      <c r="A166" s="0" t="s">
        <v>104</v>
      </c>
      <c r="B166" s="1" t="n">
        <v>44026</v>
      </c>
      <c r="C166" s="0" t="e">
        <f aca="false">sheet1!axn167</f>
        <v>#NAME?</v>
      </c>
      <c r="D166" s="0" t="e">
        <f aca="false">sheet1!axo167</f>
        <v>#NAME?</v>
      </c>
      <c r="E166" s="0" t="e">
        <f aca="false">sheet1!axp167</f>
        <v>#NAME?</v>
      </c>
      <c r="F166" s="0" t="e">
        <f aca="false">sheet1!axq167</f>
        <v>#NAME?</v>
      </c>
      <c r="G166" s="0" t="e">
        <f aca="false">sheet1!axr167</f>
        <v>#NAME?</v>
      </c>
      <c r="H166" s="0" t="e">
        <f aca="false">sheet1!axs167</f>
        <v>#NAME?</v>
      </c>
      <c r="I166" s="0" t="e">
        <f aca="false">sheet1!axt167</f>
        <v>#NAME?</v>
      </c>
      <c r="J166" s="0" t="e">
        <f aca="false">sheet1!axu167</f>
        <v>#NAME?</v>
      </c>
      <c r="K166" s="0" t="e">
        <f aca="false">sheet1!axv167</f>
        <v>#NAME?</v>
      </c>
    </row>
    <row r="167" customFormat="false" ht="13.5" hidden="false" customHeight="false" outlineLevel="0" collapsed="false">
      <c r="A167" s="0" t="s">
        <v>104</v>
      </c>
      <c r="B167" s="1" t="n">
        <v>44027</v>
      </c>
      <c r="C167" s="0" t="e">
        <f aca="false">sheet1!axn168</f>
        <v>#NAME?</v>
      </c>
      <c r="D167" s="0" t="e">
        <f aca="false">sheet1!axo168</f>
        <v>#NAME?</v>
      </c>
      <c r="E167" s="0" t="e">
        <f aca="false">sheet1!axp168</f>
        <v>#NAME?</v>
      </c>
      <c r="F167" s="0" t="e">
        <f aca="false">sheet1!axq168</f>
        <v>#NAME?</v>
      </c>
      <c r="G167" s="0" t="e">
        <f aca="false">sheet1!axr168</f>
        <v>#NAME?</v>
      </c>
      <c r="H167" s="0" t="e">
        <f aca="false">sheet1!axs168</f>
        <v>#NAME?</v>
      </c>
      <c r="I167" s="0" t="e">
        <f aca="false">sheet1!axt168</f>
        <v>#NAME?</v>
      </c>
      <c r="J167" s="0" t="e">
        <f aca="false">sheet1!axu168</f>
        <v>#NAME?</v>
      </c>
      <c r="K167" s="0" t="e">
        <f aca="false">sheet1!axv168</f>
        <v>#NAME?</v>
      </c>
    </row>
    <row r="168" customFormat="false" ht="13.5" hidden="false" customHeight="false" outlineLevel="0" collapsed="false">
      <c r="A168" s="0" t="s">
        <v>104</v>
      </c>
      <c r="B168" s="1" t="n">
        <v>44028</v>
      </c>
      <c r="C168" s="0" t="e">
        <f aca="false">sheet1!axn169</f>
        <v>#NAME?</v>
      </c>
      <c r="D168" s="0" t="e">
        <f aca="false">sheet1!axo169</f>
        <v>#NAME?</v>
      </c>
      <c r="E168" s="0" t="e">
        <f aca="false">sheet1!axp169</f>
        <v>#NAME?</v>
      </c>
      <c r="F168" s="0" t="e">
        <f aca="false">sheet1!axq169</f>
        <v>#NAME?</v>
      </c>
      <c r="G168" s="0" t="e">
        <f aca="false">sheet1!axr169</f>
        <v>#NAME?</v>
      </c>
      <c r="H168" s="0" t="e">
        <f aca="false">sheet1!axs169</f>
        <v>#NAME?</v>
      </c>
      <c r="I168" s="0" t="e">
        <f aca="false">sheet1!axt169</f>
        <v>#NAME?</v>
      </c>
      <c r="J168" s="0" t="e">
        <f aca="false">sheet1!axu169</f>
        <v>#NAME?</v>
      </c>
      <c r="K168" s="0" t="e">
        <f aca="false">sheet1!axv169</f>
        <v>#NAME?</v>
      </c>
    </row>
    <row r="169" customFormat="false" ht="13.5" hidden="false" customHeight="false" outlineLevel="0" collapsed="false">
      <c r="A169" s="0" t="s">
        <v>104</v>
      </c>
      <c r="B169" s="1" t="n">
        <v>44029</v>
      </c>
      <c r="C169" s="0" t="e">
        <f aca="false">sheet1!axn170</f>
        <v>#NAME?</v>
      </c>
      <c r="D169" s="0" t="e">
        <f aca="false">sheet1!axo170</f>
        <v>#NAME?</v>
      </c>
      <c r="E169" s="0" t="e">
        <f aca="false">sheet1!axp170</f>
        <v>#NAME?</v>
      </c>
      <c r="F169" s="0" t="e">
        <f aca="false">sheet1!axq170</f>
        <v>#NAME?</v>
      </c>
      <c r="G169" s="0" t="e">
        <f aca="false">sheet1!axr170</f>
        <v>#NAME?</v>
      </c>
      <c r="H169" s="0" t="e">
        <f aca="false">sheet1!axs170</f>
        <v>#NAME?</v>
      </c>
      <c r="I169" s="0" t="e">
        <f aca="false">sheet1!axt170</f>
        <v>#NAME?</v>
      </c>
      <c r="J169" s="0" t="e">
        <f aca="false">sheet1!axu170</f>
        <v>#NAME?</v>
      </c>
      <c r="K169" s="0" t="e">
        <f aca="false">sheet1!axv170</f>
        <v>#NAME?</v>
      </c>
    </row>
    <row r="170" customFormat="false" ht="13.5" hidden="false" customHeight="false" outlineLevel="0" collapsed="false">
      <c r="A170" s="0" t="s">
        <v>104</v>
      </c>
      <c r="B170" s="1" t="n">
        <v>44030</v>
      </c>
      <c r="C170" s="0" t="e">
        <f aca="false">sheet1!axn171</f>
        <v>#NAME?</v>
      </c>
      <c r="D170" s="0" t="e">
        <f aca="false">sheet1!axo171</f>
        <v>#NAME?</v>
      </c>
      <c r="E170" s="0" t="e">
        <f aca="false">sheet1!axp171</f>
        <v>#NAME?</v>
      </c>
      <c r="F170" s="0" t="e">
        <f aca="false">sheet1!axq171</f>
        <v>#NAME?</v>
      </c>
      <c r="G170" s="0" t="e">
        <f aca="false">sheet1!axr171</f>
        <v>#NAME?</v>
      </c>
      <c r="H170" s="0" t="e">
        <f aca="false">sheet1!axs171</f>
        <v>#NAME?</v>
      </c>
      <c r="I170" s="0" t="e">
        <f aca="false">sheet1!axt171</f>
        <v>#NAME?</v>
      </c>
      <c r="J170" s="0" t="e">
        <f aca="false">sheet1!axu171</f>
        <v>#NAME?</v>
      </c>
      <c r="K170" s="0" t="e">
        <f aca="false">sheet1!axv171</f>
        <v>#NAME?</v>
      </c>
    </row>
    <row r="171" customFormat="false" ht="13.5" hidden="false" customHeight="false" outlineLevel="0" collapsed="false">
      <c r="A171" s="0" t="s">
        <v>104</v>
      </c>
      <c r="B171" s="1" t="n">
        <v>44031</v>
      </c>
      <c r="C171" s="0" t="e">
        <f aca="false">sheet1!axn172</f>
        <v>#NAME?</v>
      </c>
      <c r="D171" s="0" t="e">
        <f aca="false">sheet1!axo172</f>
        <v>#NAME?</v>
      </c>
      <c r="E171" s="0" t="e">
        <f aca="false">sheet1!axp172</f>
        <v>#NAME?</v>
      </c>
      <c r="F171" s="0" t="e">
        <f aca="false">sheet1!axq172</f>
        <v>#NAME?</v>
      </c>
      <c r="G171" s="0" t="e">
        <f aca="false">sheet1!axr172</f>
        <v>#NAME?</v>
      </c>
      <c r="H171" s="0" t="e">
        <f aca="false">sheet1!axs172</f>
        <v>#NAME?</v>
      </c>
      <c r="I171" s="0" t="e">
        <f aca="false">sheet1!axt172</f>
        <v>#NAME?</v>
      </c>
      <c r="J171" s="0" t="e">
        <f aca="false">sheet1!axu172</f>
        <v>#NAME?</v>
      </c>
      <c r="K171" s="0" t="e">
        <f aca="false">sheet1!axv172</f>
        <v>#NAME?</v>
      </c>
    </row>
    <row r="172" customFormat="false" ht="13.5" hidden="false" customHeight="false" outlineLevel="0" collapsed="false">
      <c r="A172" s="0" t="s">
        <v>104</v>
      </c>
      <c r="B172" s="1" t="n">
        <v>44032</v>
      </c>
      <c r="C172" s="0" t="e">
        <f aca="false">sheet1!axn173</f>
        <v>#NAME?</v>
      </c>
      <c r="D172" s="0" t="e">
        <f aca="false">sheet1!axo173</f>
        <v>#NAME?</v>
      </c>
      <c r="E172" s="0" t="e">
        <f aca="false">sheet1!axp173</f>
        <v>#NAME?</v>
      </c>
      <c r="F172" s="0" t="e">
        <f aca="false">sheet1!axq173</f>
        <v>#NAME?</v>
      </c>
      <c r="G172" s="0" t="e">
        <f aca="false">sheet1!axr173</f>
        <v>#NAME?</v>
      </c>
      <c r="H172" s="0" t="e">
        <f aca="false">sheet1!axs173</f>
        <v>#NAME?</v>
      </c>
      <c r="I172" s="0" t="e">
        <f aca="false">sheet1!axt173</f>
        <v>#NAME?</v>
      </c>
      <c r="J172" s="0" t="e">
        <f aca="false">sheet1!axu173</f>
        <v>#NAME?</v>
      </c>
      <c r="K172" s="0" t="e">
        <f aca="false">sheet1!axv173</f>
        <v>#NAME?</v>
      </c>
    </row>
    <row r="173" customFormat="false" ht="13.5" hidden="false" customHeight="false" outlineLevel="0" collapsed="false">
      <c r="A173" s="0" t="s">
        <v>104</v>
      </c>
      <c r="B173" s="1" t="n">
        <v>44033</v>
      </c>
      <c r="C173" s="0" t="e">
        <f aca="false">sheet1!axn174</f>
        <v>#NAME?</v>
      </c>
      <c r="D173" s="0" t="e">
        <f aca="false">sheet1!axo174</f>
        <v>#NAME?</v>
      </c>
      <c r="E173" s="0" t="e">
        <f aca="false">sheet1!axp174</f>
        <v>#NAME?</v>
      </c>
      <c r="F173" s="0" t="e">
        <f aca="false">sheet1!axq174</f>
        <v>#NAME?</v>
      </c>
      <c r="G173" s="0" t="e">
        <f aca="false">sheet1!axr174</f>
        <v>#NAME?</v>
      </c>
      <c r="H173" s="0" t="e">
        <f aca="false">sheet1!axs174</f>
        <v>#NAME?</v>
      </c>
      <c r="I173" s="0" t="e">
        <f aca="false">sheet1!axt174</f>
        <v>#NAME?</v>
      </c>
      <c r="J173" s="0" t="e">
        <f aca="false">sheet1!axu174</f>
        <v>#NAME?</v>
      </c>
      <c r="K173" s="0" t="e">
        <f aca="false">sheet1!axv174</f>
        <v>#NAME?</v>
      </c>
    </row>
    <row r="174" customFormat="false" ht="13.5" hidden="false" customHeight="false" outlineLevel="0" collapsed="false">
      <c r="A174" s="0" t="s">
        <v>104</v>
      </c>
      <c r="B174" s="1" t="n">
        <v>44034</v>
      </c>
      <c r="C174" s="0" t="e">
        <f aca="false">sheet1!axn175</f>
        <v>#NAME?</v>
      </c>
      <c r="D174" s="0" t="e">
        <f aca="false">sheet1!axo175</f>
        <v>#NAME?</v>
      </c>
      <c r="E174" s="0" t="e">
        <f aca="false">sheet1!axp175</f>
        <v>#NAME?</v>
      </c>
      <c r="F174" s="0" t="e">
        <f aca="false">sheet1!axq175</f>
        <v>#NAME?</v>
      </c>
      <c r="G174" s="0" t="e">
        <f aca="false">sheet1!axr175</f>
        <v>#NAME?</v>
      </c>
      <c r="H174" s="0" t="e">
        <f aca="false">sheet1!axs175</f>
        <v>#NAME?</v>
      </c>
      <c r="I174" s="0" t="e">
        <f aca="false">sheet1!axt175</f>
        <v>#NAME?</v>
      </c>
      <c r="J174" s="0" t="e">
        <f aca="false">sheet1!axu175</f>
        <v>#NAME?</v>
      </c>
      <c r="K174" s="0" t="e">
        <f aca="false">sheet1!axv175</f>
        <v>#NAME?</v>
      </c>
    </row>
    <row r="175" customFormat="false" ht="13.5" hidden="false" customHeight="false" outlineLevel="0" collapsed="false">
      <c r="A175" s="0" t="s">
        <v>104</v>
      </c>
      <c r="B175" s="1" t="n">
        <v>44035</v>
      </c>
      <c r="C175" s="0" t="e">
        <f aca="false">sheet1!axn176</f>
        <v>#NAME?</v>
      </c>
      <c r="D175" s="0" t="e">
        <f aca="false">sheet1!axo176</f>
        <v>#NAME?</v>
      </c>
      <c r="E175" s="0" t="e">
        <f aca="false">sheet1!axp176</f>
        <v>#NAME?</v>
      </c>
      <c r="F175" s="0" t="e">
        <f aca="false">sheet1!axq176</f>
        <v>#NAME?</v>
      </c>
      <c r="G175" s="0" t="e">
        <f aca="false">sheet1!axr176</f>
        <v>#NAME?</v>
      </c>
      <c r="H175" s="0" t="e">
        <f aca="false">sheet1!axs176</f>
        <v>#NAME?</v>
      </c>
      <c r="I175" s="0" t="e">
        <f aca="false">sheet1!axt176</f>
        <v>#NAME?</v>
      </c>
      <c r="J175" s="0" t="e">
        <f aca="false">sheet1!axu176</f>
        <v>#NAME?</v>
      </c>
      <c r="K175" s="0" t="e">
        <f aca="false">sheet1!axv176</f>
        <v>#NAME?</v>
      </c>
    </row>
    <row r="176" customFormat="false" ht="13.5" hidden="false" customHeight="false" outlineLevel="0" collapsed="false">
      <c r="A176" s="0" t="s">
        <v>104</v>
      </c>
      <c r="B176" s="1" t="n">
        <v>44036</v>
      </c>
      <c r="C176" s="0" t="e">
        <f aca="false">sheet1!axn177</f>
        <v>#NAME?</v>
      </c>
      <c r="D176" s="0" t="e">
        <f aca="false">sheet1!axo177</f>
        <v>#NAME?</v>
      </c>
      <c r="E176" s="0" t="e">
        <f aca="false">sheet1!axp177</f>
        <v>#NAME?</v>
      </c>
      <c r="F176" s="0" t="e">
        <f aca="false">sheet1!axq177</f>
        <v>#NAME?</v>
      </c>
      <c r="G176" s="0" t="e">
        <f aca="false">sheet1!axr177</f>
        <v>#NAME?</v>
      </c>
      <c r="H176" s="0" t="e">
        <f aca="false">sheet1!axs177</f>
        <v>#NAME?</v>
      </c>
      <c r="I176" s="0" t="e">
        <f aca="false">sheet1!axt177</f>
        <v>#NAME?</v>
      </c>
      <c r="J176" s="0" t="e">
        <f aca="false">sheet1!axu177</f>
        <v>#NAME?</v>
      </c>
      <c r="K176" s="0" t="e">
        <f aca="false">sheet1!axv177</f>
        <v>#NAME?</v>
      </c>
    </row>
    <row r="177" customFormat="false" ht="13.5" hidden="false" customHeight="false" outlineLevel="0" collapsed="false">
      <c r="A177" s="0" t="s">
        <v>104</v>
      </c>
      <c r="B177" s="1" t="n">
        <v>44037</v>
      </c>
      <c r="C177" s="0" t="e">
        <f aca="false">sheet1!axn178</f>
        <v>#NAME?</v>
      </c>
      <c r="D177" s="0" t="e">
        <f aca="false">sheet1!axo178</f>
        <v>#NAME?</v>
      </c>
      <c r="E177" s="0" t="e">
        <f aca="false">sheet1!axp178</f>
        <v>#NAME?</v>
      </c>
      <c r="F177" s="0" t="e">
        <f aca="false">sheet1!axq178</f>
        <v>#NAME?</v>
      </c>
      <c r="G177" s="0" t="e">
        <f aca="false">sheet1!axr178</f>
        <v>#NAME?</v>
      </c>
      <c r="H177" s="0" t="e">
        <f aca="false">sheet1!axs178</f>
        <v>#NAME?</v>
      </c>
      <c r="I177" s="0" t="e">
        <f aca="false">sheet1!axt178</f>
        <v>#NAME?</v>
      </c>
      <c r="J177" s="0" t="e">
        <f aca="false">sheet1!axu178</f>
        <v>#NAME?</v>
      </c>
      <c r="K177" s="0" t="e">
        <f aca="false">sheet1!axv178</f>
        <v>#NAME?</v>
      </c>
    </row>
    <row r="178" customFormat="false" ht="13.5" hidden="false" customHeight="false" outlineLevel="0" collapsed="false">
      <c r="A178" s="0" t="s">
        <v>104</v>
      </c>
      <c r="B178" s="1" t="n">
        <v>44038</v>
      </c>
      <c r="C178" s="0" t="e">
        <f aca="false">sheet1!axn179</f>
        <v>#NAME?</v>
      </c>
      <c r="D178" s="0" t="e">
        <f aca="false">sheet1!axo179</f>
        <v>#NAME?</v>
      </c>
      <c r="E178" s="0" t="e">
        <f aca="false">sheet1!axp179</f>
        <v>#NAME?</v>
      </c>
      <c r="F178" s="0" t="e">
        <f aca="false">sheet1!axq179</f>
        <v>#NAME?</v>
      </c>
      <c r="G178" s="0" t="e">
        <f aca="false">sheet1!axr179</f>
        <v>#NAME?</v>
      </c>
      <c r="H178" s="0" t="e">
        <f aca="false">sheet1!axs179</f>
        <v>#NAME?</v>
      </c>
      <c r="I178" s="0" t="e">
        <f aca="false">sheet1!axt179</f>
        <v>#NAME?</v>
      </c>
      <c r="J178" s="0" t="e">
        <f aca="false">sheet1!axu179</f>
        <v>#NAME?</v>
      </c>
      <c r="K178" s="0" t="e">
        <f aca="false">sheet1!axv179</f>
        <v>#NAME?</v>
      </c>
    </row>
    <row r="179" customFormat="false" ht="13.5" hidden="false" customHeight="false" outlineLevel="0" collapsed="false">
      <c r="A179" s="0" t="s">
        <v>104</v>
      </c>
      <c r="B179" s="1" t="n">
        <v>44039</v>
      </c>
      <c r="C179" s="0" t="e">
        <f aca="false">sheet1!axn180</f>
        <v>#NAME?</v>
      </c>
      <c r="D179" s="0" t="e">
        <f aca="false">sheet1!axo180</f>
        <v>#NAME?</v>
      </c>
      <c r="E179" s="0" t="e">
        <f aca="false">sheet1!axp180</f>
        <v>#NAME?</v>
      </c>
      <c r="F179" s="0" t="e">
        <f aca="false">sheet1!axq180</f>
        <v>#NAME?</v>
      </c>
      <c r="G179" s="0" t="e">
        <f aca="false">sheet1!axr180</f>
        <v>#NAME?</v>
      </c>
      <c r="H179" s="0" t="e">
        <f aca="false">sheet1!axs180</f>
        <v>#NAME?</v>
      </c>
      <c r="I179" s="0" t="e">
        <f aca="false">sheet1!axt180</f>
        <v>#NAME?</v>
      </c>
      <c r="J179" s="0" t="e">
        <f aca="false">sheet1!axu180</f>
        <v>#NAME?</v>
      </c>
      <c r="K179" s="0" t="e">
        <f aca="false">sheet1!axv180</f>
        <v>#NAME?</v>
      </c>
    </row>
    <row r="180" customFormat="false" ht="13.5" hidden="false" customHeight="false" outlineLevel="0" collapsed="false">
      <c r="A180" s="0" t="s">
        <v>104</v>
      </c>
      <c r="B180" s="1" t="n">
        <v>44040</v>
      </c>
      <c r="C180" s="0" t="e">
        <f aca="false">sheet1!axn181</f>
        <v>#NAME?</v>
      </c>
      <c r="D180" s="0" t="e">
        <f aca="false">sheet1!axo181</f>
        <v>#NAME?</v>
      </c>
      <c r="E180" s="0" t="e">
        <f aca="false">sheet1!axp181</f>
        <v>#NAME?</v>
      </c>
      <c r="F180" s="0" t="e">
        <f aca="false">sheet1!axq181</f>
        <v>#NAME?</v>
      </c>
      <c r="G180" s="0" t="e">
        <f aca="false">sheet1!axr181</f>
        <v>#NAME?</v>
      </c>
      <c r="H180" s="0" t="e">
        <f aca="false">sheet1!axs181</f>
        <v>#NAME?</v>
      </c>
      <c r="I180" s="0" t="e">
        <f aca="false">sheet1!axt181</f>
        <v>#NAME?</v>
      </c>
      <c r="J180" s="0" t="e">
        <f aca="false">sheet1!axu181</f>
        <v>#NAME?</v>
      </c>
      <c r="K180" s="0" t="e">
        <f aca="false">sheet1!axv181</f>
        <v>#NAME?</v>
      </c>
    </row>
    <row r="181" customFormat="false" ht="13.5" hidden="false" customHeight="false" outlineLevel="0" collapsed="false">
      <c r="A181" s="0" t="s">
        <v>104</v>
      </c>
      <c r="B181" s="1" t="n">
        <v>44041</v>
      </c>
      <c r="C181" s="0" t="e">
        <f aca="false">sheet1!axn182</f>
        <v>#NAME?</v>
      </c>
      <c r="D181" s="0" t="e">
        <f aca="false">sheet1!axo182</f>
        <v>#NAME?</v>
      </c>
      <c r="E181" s="0" t="e">
        <f aca="false">sheet1!axp182</f>
        <v>#NAME?</v>
      </c>
      <c r="F181" s="0" t="e">
        <f aca="false">sheet1!axq182</f>
        <v>#NAME?</v>
      </c>
      <c r="G181" s="0" t="e">
        <f aca="false">sheet1!axr182</f>
        <v>#NAME?</v>
      </c>
      <c r="H181" s="0" t="e">
        <f aca="false">sheet1!axs182</f>
        <v>#NAME?</v>
      </c>
      <c r="I181" s="0" t="e">
        <f aca="false">sheet1!axt182</f>
        <v>#NAME?</v>
      </c>
      <c r="J181" s="0" t="e">
        <f aca="false">sheet1!axu182</f>
        <v>#NAME?</v>
      </c>
      <c r="K181" s="0" t="e">
        <f aca="false">sheet1!axv182</f>
        <v>#NAME?</v>
      </c>
    </row>
    <row r="182" customFormat="false" ht="13.5" hidden="false" customHeight="false" outlineLevel="0" collapsed="false">
      <c r="A182" s="0" t="s">
        <v>104</v>
      </c>
      <c r="B182" s="1" t="n">
        <v>44042</v>
      </c>
      <c r="C182" s="0" t="e">
        <f aca="false">sheet1!axn183</f>
        <v>#NAME?</v>
      </c>
      <c r="D182" s="0" t="e">
        <f aca="false">sheet1!axo183</f>
        <v>#NAME?</v>
      </c>
      <c r="E182" s="0" t="e">
        <f aca="false">sheet1!axp183</f>
        <v>#NAME?</v>
      </c>
      <c r="F182" s="0" t="e">
        <f aca="false">sheet1!axq183</f>
        <v>#NAME?</v>
      </c>
      <c r="G182" s="0" t="e">
        <f aca="false">sheet1!axr183</f>
        <v>#NAME?</v>
      </c>
      <c r="H182" s="0" t="e">
        <f aca="false">sheet1!axs183</f>
        <v>#NAME?</v>
      </c>
      <c r="I182" s="0" t="e">
        <f aca="false">sheet1!axt183</f>
        <v>#NAME?</v>
      </c>
      <c r="J182" s="0" t="e">
        <f aca="false">sheet1!axu183</f>
        <v>#NAME?</v>
      </c>
      <c r="K182" s="0" t="e">
        <f aca="false">sheet1!axv183</f>
        <v>#NAME?</v>
      </c>
    </row>
    <row r="183" customFormat="false" ht="13.5" hidden="false" customHeight="false" outlineLevel="0" collapsed="false">
      <c r="A183" s="0" t="s">
        <v>104</v>
      </c>
      <c r="B183" s="1" t="n">
        <v>44043</v>
      </c>
      <c r="C183" s="0" t="e">
        <f aca="false">sheet1!axn184</f>
        <v>#NAME?</v>
      </c>
      <c r="D183" s="0" t="e">
        <f aca="false">sheet1!axo184</f>
        <v>#NAME?</v>
      </c>
      <c r="E183" s="0" t="e">
        <f aca="false">sheet1!axp184</f>
        <v>#NAME?</v>
      </c>
      <c r="F183" s="0" t="e">
        <f aca="false">sheet1!axq184</f>
        <v>#NAME?</v>
      </c>
      <c r="G183" s="0" t="e">
        <f aca="false">sheet1!axr184</f>
        <v>#NAME?</v>
      </c>
      <c r="H183" s="0" t="e">
        <f aca="false">sheet1!axs184</f>
        <v>#NAME?</v>
      </c>
      <c r="I183" s="0" t="e">
        <f aca="false">sheet1!axt184</f>
        <v>#NAME?</v>
      </c>
      <c r="J183" s="0" t="e">
        <f aca="false">sheet1!axu184</f>
        <v>#NAME?</v>
      </c>
      <c r="K183" s="0" t="e">
        <f aca="false">sheet1!axv184</f>
        <v>#NAME?</v>
      </c>
    </row>
    <row r="184" customFormat="false" ht="13.5" hidden="false" customHeight="false" outlineLevel="0" collapsed="false">
      <c r="A184" s="0" t="s">
        <v>104</v>
      </c>
      <c r="B184" s="1" t="n">
        <v>44044</v>
      </c>
      <c r="C184" s="0" t="e">
        <f aca="false">sheet1!axn185</f>
        <v>#NAME?</v>
      </c>
      <c r="D184" s="0" t="e">
        <f aca="false">sheet1!axo185</f>
        <v>#NAME?</v>
      </c>
      <c r="E184" s="0" t="e">
        <f aca="false">sheet1!axp185</f>
        <v>#NAME?</v>
      </c>
      <c r="F184" s="0" t="e">
        <f aca="false">sheet1!axq185</f>
        <v>#NAME?</v>
      </c>
      <c r="G184" s="0" t="e">
        <f aca="false">sheet1!axr185</f>
        <v>#NAME?</v>
      </c>
      <c r="H184" s="0" t="e">
        <f aca="false">sheet1!axs185</f>
        <v>#NAME?</v>
      </c>
      <c r="I184" s="0" t="e">
        <f aca="false">sheet1!axt185</f>
        <v>#NAME?</v>
      </c>
      <c r="J184" s="0" t="e">
        <f aca="false">sheet1!axu185</f>
        <v>#NAME?</v>
      </c>
      <c r="K184" s="0" t="e">
        <f aca="false">sheet1!axv185</f>
        <v>#NAME?</v>
      </c>
    </row>
    <row r="185" customFormat="false" ht="13.5" hidden="false" customHeight="false" outlineLevel="0" collapsed="false">
      <c r="A185" s="0" t="s">
        <v>104</v>
      </c>
      <c r="B185" s="1" t="n">
        <v>44045</v>
      </c>
      <c r="C185" s="0" t="e">
        <f aca="false">sheet1!axn186</f>
        <v>#NAME?</v>
      </c>
      <c r="D185" s="0" t="e">
        <f aca="false">sheet1!axo186</f>
        <v>#NAME?</v>
      </c>
      <c r="E185" s="0" t="e">
        <f aca="false">sheet1!axp186</f>
        <v>#NAME?</v>
      </c>
      <c r="F185" s="0" t="e">
        <f aca="false">sheet1!axq186</f>
        <v>#NAME?</v>
      </c>
      <c r="G185" s="0" t="e">
        <f aca="false">sheet1!axr186</f>
        <v>#NAME?</v>
      </c>
      <c r="H185" s="0" t="e">
        <f aca="false">sheet1!axs186</f>
        <v>#NAME?</v>
      </c>
      <c r="I185" s="0" t="e">
        <f aca="false">sheet1!axt186</f>
        <v>#NAME?</v>
      </c>
      <c r="J185" s="0" t="e">
        <f aca="false">sheet1!axu186</f>
        <v>#NAME?</v>
      </c>
      <c r="K185" s="0" t="e">
        <f aca="false">sheet1!axv186</f>
        <v>#NAME?</v>
      </c>
    </row>
    <row r="186" customFormat="false" ht="13.5" hidden="false" customHeight="false" outlineLevel="0" collapsed="false">
      <c r="A186" s="0" t="s">
        <v>104</v>
      </c>
      <c r="B186" s="1" t="n">
        <v>44046</v>
      </c>
      <c r="C186" s="0" t="e">
        <f aca="false">sheet1!axn187</f>
        <v>#NAME?</v>
      </c>
      <c r="D186" s="0" t="e">
        <f aca="false">sheet1!axo187</f>
        <v>#NAME?</v>
      </c>
      <c r="E186" s="0" t="e">
        <f aca="false">sheet1!axp187</f>
        <v>#NAME?</v>
      </c>
      <c r="F186" s="0" t="e">
        <f aca="false">sheet1!axq187</f>
        <v>#NAME?</v>
      </c>
      <c r="G186" s="0" t="e">
        <f aca="false">sheet1!axr187</f>
        <v>#NAME?</v>
      </c>
      <c r="H186" s="0" t="e">
        <f aca="false">sheet1!axs187</f>
        <v>#NAME?</v>
      </c>
      <c r="I186" s="0" t="e">
        <f aca="false">sheet1!axt187</f>
        <v>#NAME?</v>
      </c>
      <c r="J186" s="0" t="e">
        <f aca="false">sheet1!axu187</f>
        <v>#NAME?</v>
      </c>
      <c r="K186" s="0" t="e">
        <f aca="false">sheet1!axv187</f>
        <v>#NAME?</v>
      </c>
    </row>
    <row r="187" customFormat="false" ht="13.5" hidden="false" customHeight="false" outlineLevel="0" collapsed="false">
      <c r="A187" s="0" t="s">
        <v>104</v>
      </c>
      <c r="B187" s="1" t="n">
        <v>44047</v>
      </c>
      <c r="C187" s="0" t="e">
        <f aca="false">sheet1!axn188</f>
        <v>#NAME?</v>
      </c>
      <c r="D187" s="0" t="e">
        <f aca="false">sheet1!axo188</f>
        <v>#NAME?</v>
      </c>
      <c r="E187" s="0" t="e">
        <f aca="false">sheet1!axp188</f>
        <v>#NAME?</v>
      </c>
      <c r="F187" s="0" t="e">
        <f aca="false">sheet1!axq188</f>
        <v>#NAME?</v>
      </c>
      <c r="G187" s="0" t="e">
        <f aca="false">sheet1!axr188</f>
        <v>#NAME?</v>
      </c>
      <c r="H187" s="0" t="e">
        <f aca="false">sheet1!axs188</f>
        <v>#NAME?</v>
      </c>
      <c r="I187" s="0" t="e">
        <f aca="false">sheet1!axt188</f>
        <v>#NAME?</v>
      </c>
      <c r="J187" s="0" t="e">
        <f aca="false">sheet1!axu188</f>
        <v>#NAME?</v>
      </c>
      <c r="K187" s="0" t="e">
        <f aca="false">sheet1!axv188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105</v>
      </c>
      <c r="B2" s="1" t="n">
        <v>43862</v>
      </c>
    </row>
    <row r="3" customFormat="false" ht="13.5" hidden="false" customHeight="false" outlineLevel="0" collapsed="false">
      <c r="A3" s="0" t="s">
        <v>105</v>
      </c>
      <c r="B3" s="1" t="n">
        <v>43863</v>
      </c>
    </row>
    <row r="4" customFormat="false" ht="13.5" hidden="false" customHeight="false" outlineLevel="0" collapsed="false">
      <c r="A4" s="0" t="s">
        <v>105</v>
      </c>
      <c r="B4" s="1" t="n">
        <v>43864</v>
      </c>
    </row>
    <row r="5" customFormat="false" ht="13.5" hidden="false" customHeight="false" outlineLevel="0" collapsed="false">
      <c r="A5" s="0" t="s">
        <v>105</v>
      </c>
      <c r="B5" s="1" t="n">
        <v>43865</v>
      </c>
    </row>
    <row r="6" customFormat="false" ht="13.5" hidden="false" customHeight="false" outlineLevel="0" collapsed="false">
      <c r="A6" s="0" t="s">
        <v>105</v>
      </c>
      <c r="B6" s="1" t="n">
        <v>43866</v>
      </c>
    </row>
    <row r="7" customFormat="false" ht="13.5" hidden="false" customHeight="false" outlineLevel="0" collapsed="false">
      <c r="A7" s="0" t="s">
        <v>105</v>
      </c>
      <c r="B7" s="1" t="n">
        <v>43867</v>
      </c>
    </row>
    <row r="8" customFormat="false" ht="13.5" hidden="false" customHeight="false" outlineLevel="0" collapsed="false">
      <c r="A8" s="0" t="s">
        <v>105</v>
      </c>
      <c r="B8" s="1" t="n">
        <v>43868</v>
      </c>
    </row>
    <row r="9" customFormat="false" ht="13.5" hidden="false" customHeight="false" outlineLevel="0" collapsed="false">
      <c r="A9" s="0" t="s">
        <v>105</v>
      </c>
      <c r="B9" s="1" t="n">
        <v>43869</v>
      </c>
    </row>
    <row r="10" customFormat="false" ht="13.5" hidden="false" customHeight="false" outlineLevel="0" collapsed="false">
      <c r="A10" s="0" t="s">
        <v>105</v>
      </c>
      <c r="B10" s="1" t="n">
        <v>43870</v>
      </c>
    </row>
    <row r="11" customFormat="false" ht="13.5" hidden="false" customHeight="false" outlineLevel="0" collapsed="false">
      <c r="A11" s="0" t="s">
        <v>105</v>
      </c>
      <c r="B11" s="1" t="n">
        <v>43871</v>
      </c>
    </row>
    <row r="12" customFormat="false" ht="13.5" hidden="false" customHeight="false" outlineLevel="0" collapsed="false">
      <c r="A12" s="0" t="s">
        <v>105</v>
      </c>
      <c r="B12" s="1" t="n">
        <v>43872</v>
      </c>
    </row>
    <row r="13" customFormat="false" ht="13.5" hidden="false" customHeight="false" outlineLevel="0" collapsed="false">
      <c r="A13" s="0" t="s">
        <v>105</v>
      </c>
      <c r="B13" s="1" t="n">
        <v>43873</v>
      </c>
    </row>
    <row r="14" customFormat="false" ht="13.5" hidden="false" customHeight="false" outlineLevel="0" collapsed="false">
      <c r="A14" s="0" t="s">
        <v>105</v>
      </c>
      <c r="B14" s="1" t="n">
        <v>43874</v>
      </c>
    </row>
    <row r="15" customFormat="false" ht="13.5" hidden="false" customHeight="false" outlineLevel="0" collapsed="false">
      <c r="A15" s="0" t="s">
        <v>105</v>
      </c>
      <c r="B15" s="1" t="n">
        <v>43875</v>
      </c>
    </row>
    <row r="16" customFormat="false" ht="13.5" hidden="false" customHeight="false" outlineLevel="0" collapsed="false">
      <c r="A16" s="0" t="s">
        <v>105</v>
      </c>
      <c r="B16" s="1" t="n">
        <v>43876</v>
      </c>
    </row>
    <row r="17" customFormat="false" ht="13.5" hidden="false" customHeight="false" outlineLevel="0" collapsed="false">
      <c r="A17" s="0" t="s">
        <v>105</v>
      </c>
      <c r="B17" s="1" t="n">
        <v>43877</v>
      </c>
    </row>
    <row r="18" customFormat="false" ht="13.5" hidden="false" customHeight="false" outlineLevel="0" collapsed="false">
      <c r="A18" s="0" t="s">
        <v>105</v>
      </c>
      <c r="B18" s="1" t="n">
        <v>43878</v>
      </c>
    </row>
    <row r="19" customFormat="false" ht="13.5" hidden="false" customHeight="false" outlineLevel="0" collapsed="false">
      <c r="A19" s="0" t="s">
        <v>105</v>
      </c>
      <c r="B19" s="1" t="n">
        <v>43879</v>
      </c>
    </row>
    <row r="20" customFormat="false" ht="13.5" hidden="false" customHeight="false" outlineLevel="0" collapsed="false">
      <c r="A20" s="0" t="s">
        <v>105</v>
      </c>
      <c r="B20" s="1" t="n">
        <v>43880</v>
      </c>
    </row>
    <row r="21" customFormat="false" ht="13.5" hidden="false" customHeight="false" outlineLevel="0" collapsed="false">
      <c r="A21" s="0" t="s">
        <v>105</v>
      </c>
      <c r="B21" s="1" t="n">
        <v>43881</v>
      </c>
    </row>
    <row r="22" customFormat="false" ht="13.5" hidden="false" customHeight="false" outlineLevel="0" collapsed="false">
      <c r="A22" s="0" t="s">
        <v>105</v>
      </c>
      <c r="B22" s="1" t="n">
        <v>43882</v>
      </c>
    </row>
    <row r="23" customFormat="false" ht="13.5" hidden="false" customHeight="false" outlineLevel="0" collapsed="false">
      <c r="A23" s="0" t="s">
        <v>105</v>
      </c>
      <c r="B23" s="1" t="n">
        <v>43883</v>
      </c>
    </row>
    <row r="24" customFormat="false" ht="13.5" hidden="false" customHeight="false" outlineLevel="0" collapsed="false">
      <c r="A24" s="0" t="s">
        <v>105</v>
      </c>
      <c r="B24" s="1" t="n">
        <v>43884</v>
      </c>
    </row>
    <row r="25" customFormat="false" ht="13.5" hidden="false" customHeight="false" outlineLevel="0" collapsed="false">
      <c r="A25" s="0" t="s">
        <v>105</v>
      </c>
      <c r="B25" s="1" t="n">
        <v>43885</v>
      </c>
    </row>
    <row r="26" customFormat="false" ht="13.5" hidden="false" customHeight="false" outlineLevel="0" collapsed="false">
      <c r="A26" s="0" t="s">
        <v>105</v>
      </c>
      <c r="B26" s="1" t="n">
        <v>43886</v>
      </c>
    </row>
    <row r="27" customFormat="false" ht="13.5" hidden="false" customHeight="false" outlineLevel="0" collapsed="false">
      <c r="A27" s="0" t="s">
        <v>105</v>
      </c>
      <c r="B27" s="1" t="n">
        <v>43887</v>
      </c>
    </row>
    <row r="28" customFormat="false" ht="13.5" hidden="false" customHeight="false" outlineLevel="0" collapsed="false">
      <c r="A28" s="0" t="s">
        <v>105</v>
      </c>
      <c r="B28" s="1" t="n">
        <v>43888</v>
      </c>
    </row>
    <row r="29" customFormat="false" ht="13.5" hidden="false" customHeight="false" outlineLevel="0" collapsed="false">
      <c r="A29" s="0" t="s">
        <v>105</v>
      </c>
      <c r="B29" s="1" t="n">
        <v>43889</v>
      </c>
    </row>
    <row r="30" customFormat="false" ht="13.5" hidden="false" customHeight="false" outlineLevel="0" collapsed="false">
      <c r="A30" s="0" t="s">
        <v>105</v>
      </c>
      <c r="B30" s="1" t="n">
        <v>43890</v>
      </c>
    </row>
    <row r="31" customFormat="false" ht="13.5" hidden="false" customHeight="false" outlineLevel="0" collapsed="false">
      <c r="A31" s="0" t="s">
        <v>105</v>
      </c>
      <c r="B31" s="1" t="n">
        <v>43891</v>
      </c>
    </row>
    <row r="32" customFormat="false" ht="13.5" hidden="false" customHeight="false" outlineLevel="0" collapsed="false">
      <c r="A32" s="0" t="s">
        <v>105</v>
      </c>
      <c r="B32" s="1" t="n">
        <v>43892</v>
      </c>
    </row>
    <row r="33" customFormat="false" ht="13.5" hidden="false" customHeight="false" outlineLevel="0" collapsed="false">
      <c r="A33" s="0" t="s">
        <v>105</v>
      </c>
      <c r="B33" s="1" t="n">
        <v>43893</v>
      </c>
    </row>
    <row r="34" customFormat="false" ht="13.5" hidden="false" customHeight="false" outlineLevel="0" collapsed="false">
      <c r="A34" s="0" t="s">
        <v>105</v>
      </c>
      <c r="B34" s="1" t="n">
        <v>43894</v>
      </c>
    </row>
    <row r="35" customFormat="false" ht="13.5" hidden="false" customHeight="false" outlineLevel="0" collapsed="false">
      <c r="A35" s="0" t="s">
        <v>105</v>
      </c>
      <c r="B35" s="1" t="n">
        <v>43895</v>
      </c>
    </row>
    <row r="36" customFormat="false" ht="13.5" hidden="false" customHeight="false" outlineLevel="0" collapsed="false">
      <c r="A36" s="0" t="s">
        <v>105</v>
      </c>
      <c r="B36" s="1" t="n">
        <v>43896</v>
      </c>
    </row>
    <row r="37" customFormat="false" ht="13.5" hidden="false" customHeight="false" outlineLevel="0" collapsed="false">
      <c r="A37" s="0" t="s">
        <v>105</v>
      </c>
      <c r="B37" s="1" t="n">
        <v>43897</v>
      </c>
    </row>
    <row r="38" customFormat="false" ht="13.5" hidden="false" customHeight="false" outlineLevel="0" collapsed="false">
      <c r="A38" s="0" t="s">
        <v>105</v>
      </c>
      <c r="B38" s="1" t="n">
        <v>43898</v>
      </c>
    </row>
    <row r="39" customFormat="false" ht="13.5" hidden="false" customHeight="false" outlineLevel="0" collapsed="false">
      <c r="A39" s="0" t="s">
        <v>105</v>
      </c>
      <c r="B39" s="1" t="n">
        <v>43899</v>
      </c>
    </row>
    <row r="40" customFormat="false" ht="13.5" hidden="false" customHeight="false" outlineLevel="0" collapsed="false">
      <c r="A40" s="0" t="s">
        <v>105</v>
      </c>
      <c r="B40" s="1" t="n">
        <v>43900</v>
      </c>
    </row>
    <row r="41" customFormat="false" ht="13.5" hidden="false" customHeight="false" outlineLevel="0" collapsed="false">
      <c r="A41" s="0" t="s">
        <v>105</v>
      </c>
      <c r="B41" s="1" t="n">
        <v>43901</v>
      </c>
    </row>
    <row r="42" customFormat="false" ht="13.5" hidden="false" customHeight="false" outlineLevel="0" collapsed="false">
      <c r="A42" s="0" t="s">
        <v>105</v>
      </c>
      <c r="B42" s="1" t="n">
        <v>43902</v>
      </c>
    </row>
    <row r="43" customFormat="false" ht="13.5" hidden="false" customHeight="false" outlineLevel="0" collapsed="false">
      <c r="A43" s="0" t="s">
        <v>105</v>
      </c>
      <c r="B43" s="1" t="n">
        <v>43903</v>
      </c>
    </row>
    <row r="44" customFormat="false" ht="13.5" hidden="false" customHeight="false" outlineLevel="0" collapsed="false">
      <c r="A44" s="0" t="s">
        <v>105</v>
      </c>
      <c r="B44" s="1" t="n">
        <v>43904</v>
      </c>
      <c r="C44" s="0" t="n">
        <v>1</v>
      </c>
      <c r="D44" s="0" t="n">
        <f aca="false">C44-C43</f>
        <v>1</v>
      </c>
      <c r="H44" s="0" t="n">
        <v>1</v>
      </c>
    </row>
    <row r="45" customFormat="false" ht="13.5" hidden="false" customHeight="false" outlineLevel="0" collapsed="false">
      <c r="A45" s="0" t="s">
        <v>105</v>
      </c>
      <c r="B45" s="1" t="n">
        <v>43905</v>
      </c>
      <c r="C45" s="0" t="n">
        <v>1</v>
      </c>
      <c r="D45" s="0" t="n">
        <f aca="false">C45-C44</f>
        <v>0</v>
      </c>
      <c r="H45" s="0" t="n">
        <v>1</v>
      </c>
    </row>
    <row r="46" customFormat="false" ht="13.5" hidden="false" customHeight="false" outlineLevel="0" collapsed="false">
      <c r="A46" s="0" t="s">
        <v>105</v>
      </c>
      <c r="B46" s="1" t="n">
        <v>43906</v>
      </c>
      <c r="C46" s="0" t="n">
        <v>3</v>
      </c>
      <c r="D46" s="0" t="n">
        <f aca="false">C46-C45</f>
        <v>2</v>
      </c>
      <c r="H46" s="0" t="n">
        <v>3</v>
      </c>
      <c r="J46" s="0" t="n">
        <v>0.1</v>
      </c>
    </row>
    <row r="47" customFormat="false" ht="13.5" hidden="false" customHeight="false" outlineLevel="0" collapsed="false">
      <c r="A47" s="0" t="s">
        <v>105</v>
      </c>
      <c r="B47" s="1" t="n">
        <v>43907</v>
      </c>
      <c r="C47" s="0" t="n">
        <v>3</v>
      </c>
      <c r="D47" s="0" t="n">
        <f aca="false">C47-C46</f>
        <v>0</v>
      </c>
      <c r="H47" s="0" t="n">
        <v>3</v>
      </c>
      <c r="J47" s="0" t="n">
        <v>0.1</v>
      </c>
    </row>
    <row r="48" customFormat="false" ht="13.5" hidden="false" customHeight="false" outlineLevel="0" collapsed="false">
      <c r="A48" s="0" t="s">
        <v>105</v>
      </c>
      <c r="B48" s="1" t="n">
        <v>43908</v>
      </c>
      <c r="C48" s="0" t="n">
        <v>4</v>
      </c>
      <c r="D48" s="0" t="n">
        <f aca="false">C48-C47</f>
        <v>1</v>
      </c>
      <c r="H48" s="0" t="n">
        <v>4</v>
      </c>
      <c r="J48" s="0" t="n">
        <v>0.1</v>
      </c>
    </row>
    <row r="49" customFormat="false" ht="13.5" hidden="false" customHeight="false" outlineLevel="0" collapsed="false">
      <c r="A49" s="0" t="s">
        <v>105</v>
      </c>
      <c r="B49" s="1" t="n">
        <v>43909</v>
      </c>
      <c r="C49" s="0" t="n">
        <v>7</v>
      </c>
      <c r="D49" s="0" t="n">
        <f aca="false">C49-C48</f>
        <v>3</v>
      </c>
      <c r="H49" s="0" t="n">
        <v>7</v>
      </c>
      <c r="J49" s="0" t="n">
        <v>0.1</v>
      </c>
    </row>
    <row r="50" customFormat="false" ht="13.5" hidden="false" customHeight="false" outlineLevel="0" collapsed="false">
      <c r="A50" s="0" t="s">
        <v>105</v>
      </c>
      <c r="B50" s="1" t="n">
        <v>43910</v>
      </c>
      <c r="C50" s="0" t="n">
        <v>7</v>
      </c>
      <c r="D50" s="0" t="n">
        <f aca="false">C50-C49</f>
        <v>0</v>
      </c>
      <c r="H50" s="0" t="n">
        <v>7</v>
      </c>
      <c r="J50" s="0" t="n">
        <v>0.1</v>
      </c>
    </row>
    <row r="51" customFormat="false" ht="13.5" hidden="false" customHeight="false" outlineLevel="0" collapsed="false">
      <c r="A51" s="0" t="s">
        <v>105</v>
      </c>
      <c r="B51" s="1" t="n">
        <v>43911</v>
      </c>
      <c r="C51" s="0" t="n">
        <v>7</v>
      </c>
      <c r="D51" s="0" t="n">
        <f aca="false">C51-C50</f>
        <v>0</v>
      </c>
      <c r="H51" s="0" t="n">
        <v>7</v>
      </c>
      <c r="J51" s="0" t="n">
        <v>0.1</v>
      </c>
    </row>
    <row r="52" customFormat="false" ht="13.5" hidden="false" customHeight="false" outlineLevel="0" collapsed="false">
      <c r="A52" s="0" t="s">
        <v>105</v>
      </c>
      <c r="B52" s="1" t="n">
        <v>43912</v>
      </c>
      <c r="C52" s="0" t="n">
        <v>7</v>
      </c>
      <c r="D52" s="0" t="n">
        <f aca="false">C52-C51</f>
        <v>0</v>
      </c>
      <c r="H52" s="0" t="n">
        <v>7</v>
      </c>
      <c r="J52" s="0" t="n">
        <v>0.1</v>
      </c>
    </row>
    <row r="53" customFormat="false" ht="13.5" hidden="false" customHeight="false" outlineLevel="0" collapsed="false">
      <c r="A53" s="0" t="s">
        <v>105</v>
      </c>
      <c r="B53" s="1" t="n">
        <v>43913</v>
      </c>
      <c r="C53" s="0" t="n">
        <v>15</v>
      </c>
      <c r="D53" s="0" t="n">
        <f aca="false">C53-C52</f>
        <v>8</v>
      </c>
      <c r="H53" s="0" t="n">
        <v>15</v>
      </c>
      <c r="J53" s="0" t="n">
        <v>0.3</v>
      </c>
    </row>
    <row r="54" customFormat="false" ht="13.5" hidden="false" customHeight="false" outlineLevel="0" collapsed="false">
      <c r="A54" s="0" t="s">
        <v>105</v>
      </c>
      <c r="B54" s="1" t="n">
        <v>43914</v>
      </c>
      <c r="C54" s="0" t="n">
        <v>16</v>
      </c>
      <c r="D54" s="0" t="n">
        <f aca="false">C54-C53</f>
        <v>1</v>
      </c>
      <c r="H54" s="0" t="n">
        <v>16</v>
      </c>
      <c r="J54" s="0" t="n">
        <v>0.3</v>
      </c>
    </row>
    <row r="55" customFormat="false" ht="13.5" hidden="false" customHeight="false" outlineLevel="0" collapsed="false">
      <c r="A55" s="0" t="s">
        <v>105</v>
      </c>
      <c r="B55" s="1" t="n">
        <v>43915</v>
      </c>
      <c r="C55" s="0" t="n">
        <v>25</v>
      </c>
      <c r="D55" s="0" t="n">
        <f aca="false">C55-C54</f>
        <v>9</v>
      </c>
      <c r="H55" s="0" t="n">
        <v>25</v>
      </c>
      <c r="J55" s="0" t="n">
        <v>0.5</v>
      </c>
    </row>
    <row r="56" customFormat="false" ht="13.5" hidden="false" customHeight="false" outlineLevel="0" collapsed="false">
      <c r="A56" s="0" t="s">
        <v>105</v>
      </c>
      <c r="B56" s="1" t="n">
        <v>43916</v>
      </c>
      <c r="C56" s="0" t="n">
        <v>28</v>
      </c>
      <c r="D56" s="0" t="n">
        <f aca="false">C56-C55</f>
        <v>3</v>
      </c>
      <c r="G56" s="0" t="n">
        <v>1</v>
      </c>
      <c r="H56" s="0" t="n">
        <v>27</v>
      </c>
      <c r="J56" s="0" t="n">
        <v>0.5</v>
      </c>
    </row>
    <row r="57" customFormat="false" ht="13.5" hidden="false" customHeight="false" outlineLevel="0" collapsed="false">
      <c r="A57" s="0" t="s">
        <v>105</v>
      </c>
      <c r="B57" s="1" t="n">
        <v>43917</v>
      </c>
      <c r="C57" s="0" t="n">
        <v>31</v>
      </c>
      <c r="D57" s="0" t="n">
        <f aca="false">C57-C56</f>
        <v>3</v>
      </c>
      <c r="E57" s="0" t="n">
        <v>1</v>
      </c>
      <c r="F57" s="0" t="n">
        <f aca="false">E57-E56</f>
        <v>1</v>
      </c>
      <c r="G57" s="0" t="n">
        <v>1</v>
      </c>
      <c r="H57" s="0" t="n">
        <v>29</v>
      </c>
      <c r="J57" s="0" t="n">
        <v>0.6</v>
      </c>
      <c r="K57" s="0" t="n">
        <v>0.02</v>
      </c>
    </row>
    <row r="58" customFormat="false" ht="13.5" hidden="false" customHeight="false" outlineLevel="0" collapsed="false">
      <c r="A58" s="0" t="s">
        <v>105</v>
      </c>
      <c r="B58" s="1" t="n">
        <v>43918</v>
      </c>
      <c r="C58" s="0" t="n">
        <v>31</v>
      </c>
      <c r="D58" s="0" t="n">
        <f aca="false">C58-C57</f>
        <v>0</v>
      </c>
      <c r="E58" s="0" t="n">
        <v>1</v>
      </c>
      <c r="F58" s="0" t="n">
        <f aca="false">E58-E57</f>
        <v>0</v>
      </c>
      <c r="G58" s="0" t="n">
        <v>1</v>
      </c>
      <c r="H58" s="0" t="n">
        <v>29</v>
      </c>
      <c r="I58" s="0" t="n">
        <v>2</v>
      </c>
      <c r="J58" s="0" t="n">
        <v>0.6</v>
      </c>
      <c r="K58" s="0" t="n">
        <v>0.02</v>
      </c>
    </row>
    <row r="59" customFormat="false" ht="13.5" hidden="false" customHeight="false" outlineLevel="0" collapsed="false">
      <c r="A59" s="0" t="s">
        <v>105</v>
      </c>
      <c r="B59" s="1" t="n">
        <v>43919</v>
      </c>
      <c r="C59" s="0" t="n">
        <v>38</v>
      </c>
      <c r="D59" s="0" t="n">
        <f aca="false">C59-C58</f>
        <v>7</v>
      </c>
      <c r="E59" s="0" t="n">
        <v>1</v>
      </c>
      <c r="F59" s="0" t="n">
        <f aca="false">E59-E58</f>
        <v>0</v>
      </c>
      <c r="G59" s="0" t="n">
        <v>1</v>
      </c>
      <c r="H59" s="0" t="n">
        <v>36</v>
      </c>
      <c r="I59" s="0" t="n">
        <v>2</v>
      </c>
      <c r="J59" s="0" t="n">
        <v>0.7</v>
      </c>
      <c r="K59" s="0" t="n">
        <v>0.02</v>
      </c>
    </row>
    <row r="60" customFormat="false" ht="13.5" hidden="false" customHeight="false" outlineLevel="0" collapsed="false">
      <c r="A60" s="0" t="s">
        <v>105</v>
      </c>
      <c r="B60" s="1" t="n">
        <v>43920</v>
      </c>
      <c r="C60" s="0" t="n">
        <v>42</v>
      </c>
      <c r="D60" s="0" t="n">
        <f aca="false">C60-C59</f>
        <v>4</v>
      </c>
      <c r="E60" s="0" t="n">
        <v>1</v>
      </c>
      <c r="F60" s="0" t="n">
        <f aca="false">E60-E59</f>
        <v>0</v>
      </c>
      <c r="G60" s="0" t="n">
        <v>1</v>
      </c>
      <c r="H60" s="0" t="n">
        <v>40</v>
      </c>
      <c r="I60" s="0" t="n">
        <v>2</v>
      </c>
      <c r="J60" s="0" t="n">
        <v>0.8</v>
      </c>
      <c r="K60" s="0" t="n">
        <v>0.02</v>
      </c>
    </row>
    <row r="61" customFormat="false" ht="13.5" hidden="false" customHeight="false" outlineLevel="0" collapsed="false">
      <c r="A61" s="0" t="s">
        <v>105</v>
      </c>
      <c r="B61" s="1" t="n">
        <v>43921</v>
      </c>
      <c r="C61" s="0" t="n">
        <v>50</v>
      </c>
      <c r="D61" s="0" t="n">
        <f aca="false">C61-C60</f>
        <v>8</v>
      </c>
      <c r="E61" s="0" t="n">
        <v>1</v>
      </c>
      <c r="F61" s="0" t="n">
        <f aca="false">E61-E60</f>
        <v>0</v>
      </c>
      <c r="G61" s="0" t="n">
        <v>1</v>
      </c>
      <c r="H61" s="0" t="n">
        <v>48</v>
      </c>
      <c r="I61" s="0" t="n">
        <v>2</v>
      </c>
      <c r="J61" s="0" t="n">
        <v>0.9</v>
      </c>
      <c r="K61" s="0" t="n">
        <v>0.02</v>
      </c>
    </row>
    <row r="62" customFormat="false" ht="13.5" hidden="false" customHeight="false" outlineLevel="0" collapsed="false">
      <c r="A62" s="0" t="s">
        <v>105</v>
      </c>
      <c r="B62" s="1" t="n">
        <v>43922</v>
      </c>
      <c r="C62" s="0" t="n">
        <v>59</v>
      </c>
      <c r="D62" s="0" t="n">
        <f aca="false">C62-C61</f>
        <v>9</v>
      </c>
      <c r="E62" s="0" t="n">
        <v>1</v>
      </c>
      <c r="F62" s="0" t="n">
        <f aca="false">E62-E61</f>
        <v>0</v>
      </c>
      <c r="G62" s="0" t="n">
        <v>1</v>
      </c>
      <c r="H62" s="0" t="n">
        <v>57</v>
      </c>
      <c r="I62" s="0" t="n">
        <v>2</v>
      </c>
      <c r="J62" s="0" t="n">
        <v>1</v>
      </c>
      <c r="K62" s="0" t="n">
        <v>0.02</v>
      </c>
    </row>
    <row r="63" customFormat="false" ht="13.5" hidden="false" customHeight="false" outlineLevel="0" collapsed="false">
      <c r="A63" s="0" t="s">
        <v>105</v>
      </c>
      <c r="B63" s="1" t="n">
        <v>43923</v>
      </c>
      <c r="C63" s="0" t="n">
        <v>81</v>
      </c>
      <c r="D63" s="0" t="n">
        <f aca="false">C63-C62</f>
        <v>22</v>
      </c>
      <c r="E63" s="0" t="n">
        <v>1</v>
      </c>
      <c r="F63" s="0" t="n">
        <f aca="false">E63-E62</f>
        <v>0</v>
      </c>
      <c r="G63" s="0" t="n">
        <v>3</v>
      </c>
      <c r="H63" s="0" t="n">
        <v>77</v>
      </c>
      <c r="I63" s="0" t="n">
        <v>2</v>
      </c>
      <c r="J63" s="0" t="n">
        <v>2</v>
      </c>
      <c r="K63" s="0" t="n">
        <v>0.02</v>
      </c>
    </row>
    <row r="64" customFormat="false" ht="13.5" hidden="false" customHeight="false" outlineLevel="0" collapsed="false">
      <c r="A64" s="0" t="s">
        <v>105</v>
      </c>
      <c r="B64" s="1" t="n">
        <v>43924</v>
      </c>
      <c r="C64" s="0" t="n">
        <v>110</v>
      </c>
      <c r="D64" s="0" t="n">
        <f aca="false">C64-C63</f>
        <v>29</v>
      </c>
      <c r="E64" s="0" t="n">
        <v>3</v>
      </c>
      <c r="F64" s="0" t="n">
        <f aca="false">E64-E63</f>
        <v>2</v>
      </c>
      <c r="G64" s="0" t="n">
        <v>4</v>
      </c>
      <c r="H64" s="0" t="n">
        <v>103</v>
      </c>
      <c r="I64" s="0" t="n">
        <v>2</v>
      </c>
      <c r="J64" s="0" t="n">
        <v>2</v>
      </c>
      <c r="K64" s="0" t="n">
        <v>0.06</v>
      </c>
    </row>
    <row r="65" customFormat="false" ht="13.5" hidden="false" customHeight="false" outlineLevel="0" collapsed="false">
      <c r="A65" s="0" t="s">
        <v>105</v>
      </c>
      <c r="B65" s="1" t="n">
        <v>43925</v>
      </c>
      <c r="C65" s="0" t="n">
        <v>122</v>
      </c>
      <c r="D65" s="0" t="n">
        <f aca="false">C65-C64</f>
        <v>12</v>
      </c>
      <c r="E65" s="0" t="n">
        <v>4</v>
      </c>
      <c r="F65" s="0" t="n">
        <f aca="false">E65-E64</f>
        <v>1</v>
      </c>
      <c r="G65" s="0" t="n">
        <v>4</v>
      </c>
      <c r="H65" s="0" t="n">
        <v>114</v>
      </c>
      <c r="I65" s="0" t="n">
        <v>2</v>
      </c>
      <c r="J65" s="0" t="n">
        <v>2</v>
      </c>
      <c r="K65" s="0" t="n">
        <v>0.07</v>
      </c>
    </row>
    <row r="66" customFormat="false" ht="13.5" hidden="false" customHeight="false" outlineLevel="0" collapsed="false">
      <c r="A66" s="0" t="s">
        <v>105</v>
      </c>
      <c r="B66" s="1" t="n">
        <v>43926</v>
      </c>
      <c r="C66" s="0" t="n">
        <v>126</v>
      </c>
      <c r="D66" s="0" t="n">
        <f aca="false">C66-C65</f>
        <v>4</v>
      </c>
      <c r="E66" s="0" t="n">
        <v>4</v>
      </c>
      <c r="F66" s="0" t="n">
        <f aca="false">E66-E65</f>
        <v>0</v>
      </c>
      <c r="G66" s="0" t="n">
        <v>4</v>
      </c>
      <c r="H66" s="0" t="n">
        <v>118</v>
      </c>
      <c r="I66" s="0" t="n">
        <v>2</v>
      </c>
      <c r="J66" s="0" t="n">
        <v>2</v>
      </c>
      <c r="K66" s="0" t="n">
        <v>0.07</v>
      </c>
      <c r="L66" s="0" t="n">
        <v>2201</v>
      </c>
      <c r="M66" s="0" t="n">
        <v>41</v>
      </c>
    </row>
    <row r="67" customFormat="false" ht="13.5" hidden="false" customHeight="false" outlineLevel="0" collapsed="false">
      <c r="A67" s="0" t="s">
        <v>105</v>
      </c>
      <c r="B67" s="1" t="n">
        <v>43927</v>
      </c>
      <c r="C67" s="0" t="n">
        <v>142</v>
      </c>
      <c r="D67" s="0" t="n">
        <f aca="false">C67-C66</f>
        <v>16</v>
      </c>
      <c r="E67" s="0" t="n">
        <v>4</v>
      </c>
      <c r="F67" s="0" t="n">
        <f aca="false">E67-E66</f>
        <v>0</v>
      </c>
      <c r="G67" s="0" t="n">
        <v>4</v>
      </c>
      <c r="H67" s="0" t="n">
        <v>134</v>
      </c>
      <c r="I67" s="0" t="n">
        <v>2</v>
      </c>
      <c r="J67" s="0" t="n">
        <v>3</v>
      </c>
      <c r="K67" s="0" t="n">
        <v>0.07</v>
      </c>
      <c r="L67" s="0" t="n">
        <v>3836</v>
      </c>
      <c r="M67" s="0" t="n">
        <v>71</v>
      </c>
    </row>
    <row r="68" customFormat="false" ht="13.5" hidden="false" customHeight="false" outlineLevel="0" collapsed="false">
      <c r="A68" s="0" t="s">
        <v>105</v>
      </c>
      <c r="B68" s="1" t="n">
        <v>43928</v>
      </c>
      <c r="C68" s="0" t="n">
        <v>158</v>
      </c>
      <c r="D68" s="0" t="n">
        <f aca="false">C68-C67</f>
        <v>16</v>
      </c>
      <c r="E68" s="0" t="n">
        <v>6</v>
      </c>
      <c r="F68" s="0" t="n">
        <f aca="false">E68-E67</f>
        <v>2</v>
      </c>
      <c r="G68" s="0" t="n">
        <v>4</v>
      </c>
      <c r="H68" s="0" t="n">
        <v>148</v>
      </c>
      <c r="I68" s="0" t="n">
        <v>2</v>
      </c>
      <c r="J68" s="0" t="n">
        <v>3</v>
      </c>
      <c r="K68" s="0" t="n">
        <v>0.1</v>
      </c>
      <c r="L68" s="0" t="n">
        <v>4277</v>
      </c>
      <c r="M68" s="0" t="n">
        <v>80</v>
      </c>
    </row>
    <row r="69" customFormat="false" ht="13.5" hidden="false" customHeight="false" outlineLevel="0" collapsed="false">
      <c r="A69" s="0" t="s">
        <v>105</v>
      </c>
      <c r="B69" s="1" t="n">
        <v>43929</v>
      </c>
      <c r="C69" s="0" t="n">
        <v>172</v>
      </c>
      <c r="D69" s="0" t="n">
        <f aca="false">C69-C68</f>
        <v>14</v>
      </c>
      <c r="E69" s="0" t="n">
        <v>6</v>
      </c>
      <c r="F69" s="0" t="n">
        <f aca="false">E69-E68</f>
        <v>0</v>
      </c>
      <c r="G69" s="0" t="n">
        <v>7</v>
      </c>
      <c r="H69" s="0" t="n">
        <v>159</v>
      </c>
      <c r="I69" s="0" t="n">
        <v>2</v>
      </c>
      <c r="J69" s="0" t="n">
        <v>3</v>
      </c>
      <c r="K69" s="0" t="n">
        <v>0.1</v>
      </c>
      <c r="L69" s="0" t="n">
        <v>4973</v>
      </c>
      <c r="M69" s="0" t="n">
        <v>92</v>
      </c>
    </row>
    <row r="70" customFormat="false" ht="13.5" hidden="false" customHeight="false" outlineLevel="0" collapsed="false">
      <c r="A70" s="0" t="s">
        <v>105</v>
      </c>
      <c r="B70" s="1" t="n">
        <v>43930</v>
      </c>
      <c r="C70" s="0" t="n">
        <v>179</v>
      </c>
      <c r="D70" s="0" t="n">
        <f aca="false">C70-C69</f>
        <v>7</v>
      </c>
      <c r="E70" s="0" t="n">
        <v>6</v>
      </c>
      <c r="F70" s="0" t="n">
        <f aca="false">E70-E69</f>
        <v>0</v>
      </c>
      <c r="G70" s="0" t="n">
        <v>9</v>
      </c>
      <c r="H70" s="0" t="n">
        <v>164</v>
      </c>
      <c r="I70" s="0" t="n">
        <v>2</v>
      </c>
      <c r="J70" s="0" t="n">
        <v>3</v>
      </c>
      <c r="K70" s="0" t="n">
        <v>0.1</v>
      </c>
      <c r="L70" s="0" t="n">
        <v>4973</v>
      </c>
      <c r="M70" s="0" t="n">
        <v>92</v>
      </c>
    </row>
    <row r="71" customFormat="false" ht="13.5" hidden="false" customHeight="false" outlineLevel="0" collapsed="false">
      <c r="A71" s="0" t="s">
        <v>105</v>
      </c>
      <c r="B71" s="1" t="n">
        <v>43931</v>
      </c>
      <c r="C71" s="0" t="n">
        <v>184</v>
      </c>
      <c r="D71" s="0" t="n">
        <f aca="false">C71-C70</f>
        <v>5</v>
      </c>
      <c r="E71" s="0" t="n">
        <v>7</v>
      </c>
      <c r="F71" s="0" t="n">
        <f aca="false">E71-E70</f>
        <v>1</v>
      </c>
      <c r="G71" s="0" t="n">
        <v>12</v>
      </c>
      <c r="H71" s="0" t="n">
        <v>165</v>
      </c>
      <c r="I71" s="0" t="n">
        <v>2</v>
      </c>
      <c r="J71" s="0" t="n">
        <v>3</v>
      </c>
      <c r="K71" s="0" t="n">
        <v>0.1</v>
      </c>
      <c r="L71" s="0" t="n">
        <v>5278</v>
      </c>
      <c r="M71" s="0" t="n">
        <v>98</v>
      </c>
    </row>
    <row r="72" customFormat="false" ht="13.5" hidden="false" customHeight="false" outlineLevel="0" collapsed="false">
      <c r="A72" s="0" t="s">
        <v>105</v>
      </c>
      <c r="B72" s="1" t="n">
        <v>43932</v>
      </c>
      <c r="C72" s="0" t="n">
        <v>189</v>
      </c>
      <c r="D72" s="0" t="n">
        <f aca="false">C72-C71</f>
        <v>5</v>
      </c>
      <c r="E72" s="0" t="n">
        <v>7</v>
      </c>
      <c r="F72" s="0" t="n">
        <f aca="false">E72-E71</f>
        <v>0</v>
      </c>
      <c r="G72" s="0" t="n">
        <v>22</v>
      </c>
      <c r="H72" s="0" t="n">
        <v>160</v>
      </c>
      <c r="I72" s="0" t="n">
        <v>2</v>
      </c>
      <c r="J72" s="0" t="n">
        <v>4</v>
      </c>
      <c r="K72" s="0" t="n">
        <v>0.1</v>
      </c>
      <c r="L72" s="0" t="n">
        <v>5278</v>
      </c>
      <c r="M72" s="0" t="n">
        <v>98</v>
      </c>
    </row>
    <row r="73" customFormat="false" ht="13.5" hidden="false" customHeight="false" outlineLevel="0" collapsed="false">
      <c r="A73" s="0" t="s">
        <v>105</v>
      </c>
      <c r="B73" s="1" t="n">
        <v>43933</v>
      </c>
      <c r="C73" s="0" t="n">
        <v>191</v>
      </c>
      <c r="D73" s="0" t="n">
        <f aca="false">C73-C72</f>
        <v>2</v>
      </c>
      <c r="E73" s="0" t="n">
        <v>7</v>
      </c>
      <c r="F73" s="0" t="n">
        <f aca="false">E73-E72</f>
        <v>0</v>
      </c>
      <c r="G73" s="0" t="n">
        <v>24</v>
      </c>
      <c r="H73" s="0" t="n">
        <v>160</v>
      </c>
      <c r="I73" s="0" t="n">
        <v>2</v>
      </c>
      <c r="J73" s="0" t="n">
        <v>4</v>
      </c>
      <c r="K73" s="0" t="n">
        <v>0.1</v>
      </c>
      <c r="L73" s="0" t="n">
        <v>6192</v>
      </c>
      <c r="M73" s="0" t="n">
        <v>115</v>
      </c>
    </row>
    <row r="74" customFormat="false" ht="13.5" hidden="false" customHeight="false" outlineLevel="0" collapsed="false">
      <c r="A74" s="0" t="s">
        <v>105</v>
      </c>
      <c r="B74" s="1" t="n">
        <v>43934</v>
      </c>
      <c r="C74" s="0" t="n">
        <v>197</v>
      </c>
      <c r="D74" s="0" t="n">
        <f aca="false">C74-C73</f>
        <v>6</v>
      </c>
      <c r="E74" s="0" t="n">
        <v>8</v>
      </c>
      <c r="F74" s="0" t="n">
        <f aca="false">E74-E73</f>
        <v>1</v>
      </c>
      <c r="G74" s="0" t="n">
        <v>25</v>
      </c>
      <c r="H74" s="0" t="n">
        <v>164</v>
      </c>
      <c r="I74" s="0" t="n">
        <v>2</v>
      </c>
      <c r="J74" s="0" t="n">
        <v>4</v>
      </c>
      <c r="K74" s="0" t="n">
        <v>0.1</v>
      </c>
      <c r="L74" s="0" t="n">
        <v>7449</v>
      </c>
      <c r="M74" s="0" t="n">
        <v>139</v>
      </c>
    </row>
    <row r="75" customFormat="false" ht="13.5" hidden="false" customHeight="false" outlineLevel="0" collapsed="false">
      <c r="A75" s="0" t="s">
        <v>105</v>
      </c>
      <c r="B75" s="1" t="n">
        <v>43935</v>
      </c>
      <c r="C75" s="0" t="n">
        <v>208</v>
      </c>
      <c r="D75" s="0" t="n">
        <f aca="false">C75-C74</f>
        <v>11</v>
      </c>
      <c r="E75" s="0" t="n">
        <v>9</v>
      </c>
      <c r="F75" s="0" t="n">
        <f aca="false">E75-E74</f>
        <v>1</v>
      </c>
      <c r="G75" s="0" t="n">
        <v>40</v>
      </c>
      <c r="H75" s="0" t="n">
        <v>159</v>
      </c>
      <c r="I75" s="0" t="n">
        <v>2</v>
      </c>
      <c r="J75" s="0" t="n">
        <v>4</v>
      </c>
      <c r="K75" s="0" t="n">
        <v>0.2</v>
      </c>
      <c r="L75" s="0" t="n">
        <v>8123</v>
      </c>
      <c r="M75" s="0" t="n">
        <v>151</v>
      </c>
    </row>
    <row r="76" customFormat="false" ht="13.5" hidden="false" customHeight="false" outlineLevel="0" collapsed="false">
      <c r="A76" s="0" t="s">
        <v>105</v>
      </c>
      <c r="B76" s="1" t="n">
        <v>43936</v>
      </c>
      <c r="C76" s="0" t="n">
        <v>216</v>
      </c>
      <c r="D76" s="0" t="n">
        <f aca="false">C76-C75</f>
        <v>8</v>
      </c>
      <c r="E76" s="0" t="n">
        <v>9</v>
      </c>
      <c r="F76" s="0" t="n">
        <f aca="false">E76-E75</f>
        <v>0</v>
      </c>
      <c r="G76" s="0" t="n">
        <v>41</v>
      </c>
      <c r="H76" s="0" t="n">
        <v>166</v>
      </c>
      <c r="I76" s="0" t="n">
        <v>2</v>
      </c>
      <c r="J76" s="0" t="n">
        <v>4</v>
      </c>
      <c r="K76" s="0" t="n">
        <v>0.2</v>
      </c>
      <c r="L76" s="0" t="n">
        <v>8123</v>
      </c>
      <c r="M76" s="0" t="n">
        <v>151</v>
      </c>
    </row>
    <row r="77" customFormat="false" ht="13.5" hidden="false" customHeight="false" outlineLevel="0" collapsed="false">
      <c r="A77" s="0" t="s">
        <v>105</v>
      </c>
      <c r="B77" s="1" t="n">
        <v>43937</v>
      </c>
      <c r="C77" s="0" t="n">
        <v>225</v>
      </c>
      <c r="D77" s="0" t="n">
        <f aca="false">C77-C76</f>
        <v>9</v>
      </c>
      <c r="E77" s="0" t="n">
        <v>10</v>
      </c>
      <c r="F77" s="0" t="n">
        <f aca="false">E77-E76</f>
        <v>1</v>
      </c>
      <c r="G77" s="0" t="n">
        <v>53</v>
      </c>
      <c r="H77" s="0" t="n">
        <v>162</v>
      </c>
      <c r="I77" s="0" t="n">
        <v>2</v>
      </c>
      <c r="J77" s="0" t="n">
        <v>4</v>
      </c>
      <c r="K77" s="0" t="n">
        <v>0.2</v>
      </c>
      <c r="L77" s="0" t="n">
        <v>9630</v>
      </c>
      <c r="M77" s="0" t="n">
        <v>179</v>
      </c>
    </row>
    <row r="78" customFormat="false" ht="13.5" hidden="false" customHeight="false" outlineLevel="0" collapsed="false">
      <c r="A78" s="0" t="s">
        <v>105</v>
      </c>
      <c r="B78" s="1" t="n">
        <v>43938</v>
      </c>
      <c r="C78" s="0" t="n">
        <v>234</v>
      </c>
      <c r="D78" s="0" t="n">
        <f aca="false">C78-C77</f>
        <v>9</v>
      </c>
      <c r="E78" s="0" t="n">
        <v>11</v>
      </c>
      <c r="F78" s="0" t="n">
        <f aca="false">E78-E77</f>
        <v>1</v>
      </c>
      <c r="G78" s="0" t="n">
        <v>53</v>
      </c>
      <c r="H78" s="0" t="n">
        <v>170</v>
      </c>
      <c r="I78" s="0" t="n">
        <v>2</v>
      </c>
      <c r="J78" s="0" t="n">
        <v>4</v>
      </c>
      <c r="K78" s="0" t="n">
        <v>0.2</v>
      </c>
      <c r="L78" s="0" t="n">
        <v>9630</v>
      </c>
      <c r="M78" s="0" t="n">
        <v>179</v>
      </c>
    </row>
    <row r="79" customFormat="false" ht="13.5" hidden="false" customHeight="false" outlineLevel="0" collapsed="false">
      <c r="A79" s="0" t="s">
        <v>105</v>
      </c>
      <c r="B79" s="1" t="n">
        <v>43939</v>
      </c>
      <c r="C79" s="0" t="n">
        <v>246</v>
      </c>
      <c r="D79" s="0" t="n">
        <f aca="false">C79-C78</f>
        <v>12</v>
      </c>
      <c r="E79" s="0" t="n">
        <v>11</v>
      </c>
      <c r="F79" s="0" t="n">
        <f aca="false">E79-E78</f>
        <v>0</v>
      </c>
      <c r="G79" s="0" t="n">
        <v>53</v>
      </c>
      <c r="H79" s="0" t="n">
        <v>182</v>
      </c>
      <c r="I79" s="0" t="n">
        <v>2</v>
      </c>
      <c r="J79" s="0" t="n">
        <v>5</v>
      </c>
      <c r="K79" s="0" t="n">
        <v>0.2</v>
      </c>
      <c r="L79" s="0" t="n">
        <v>10784</v>
      </c>
      <c r="M79" s="0" t="n">
        <v>201</v>
      </c>
    </row>
    <row r="80" customFormat="false" ht="13.5" hidden="false" customHeight="false" outlineLevel="0" collapsed="false">
      <c r="A80" s="0" t="s">
        <v>105</v>
      </c>
      <c r="B80" s="1" t="n">
        <v>43940</v>
      </c>
      <c r="C80" s="0" t="n">
        <v>262</v>
      </c>
      <c r="D80" s="0" t="n">
        <f aca="false">C80-C79</f>
        <v>16</v>
      </c>
      <c r="E80" s="0" t="n">
        <v>12</v>
      </c>
      <c r="F80" s="0" t="n">
        <f aca="false">E80-E79</f>
        <v>1</v>
      </c>
      <c r="G80" s="0" t="n">
        <v>60</v>
      </c>
      <c r="H80" s="0" t="n">
        <v>190</v>
      </c>
      <c r="I80" s="0" t="n">
        <v>2</v>
      </c>
      <c r="J80" s="0" t="n">
        <v>5</v>
      </c>
      <c r="K80" s="0" t="n">
        <v>0.2</v>
      </c>
      <c r="L80" s="0" t="n">
        <v>10784</v>
      </c>
      <c r="M80" s="0" t="n">
        <v>201</v>
      </c>
    </row>
    <row r="81" customFormat="false" ht="13.5" hidden="false" customHeight="false" outlineLevel="0" collapsed="false">
      <c r="A81" s="0" t="s">
        <v>105</v>
      </c>
      <c r="B81" s="1" t="n">
        <v>43941</v>
      </c>
      <c r="C81" s="0" t="n">
        <v>270</v>
      </c>
      <c r="D81" s="0" t="n">
        <f aca="false">C81-C80</f>
        <v>8</v>
      </c>
      <c r="E81" s="0" t="n">
        <v>14</v>
      </c>
      <c r="F81" s="0" t="n">
        <f aca="false">E81-E80</f>
        <v>2</v>
      </c>
      <c r="G81" s="0" t="n">
        <v>67</v>
      </c>
      <c r="H81" s="0" t="n">
        <v>189</v>
      </c>
      <c r="I81" s="0" t="n">
        <v>2</v>
      </c>
      <c r="J81" s="0" t="n">
        <v>5</v>
      </c>
      <c r="K81" s="0" t="n">
        <v>0.3</v>
      </c>
      <c r="L81" s="0" t="n">
        <v>13239</v>
      </c>
      <c r="M81" s="0" t="n">
        <v>246</v>
      </c>
    </row>
    <row r="82" customFormat="false" ht="13.5" hidden="false" customHeight="false" outlineLevel="0" collapsed="false">
      <c r="A82" s="0" t="s">
        <v>105</v>
      </c>
      <c r="B82" s="1" t="n">
        <v>43942</v>
      </c>
      <c r="C82" s="0" t="n">
        <v>281</v>
      </c>
      <c r="D82" s="0" t="n">
        <f aca="false">C82-C81</f>
        <v>11</v>
      </c>
      <c r="E82" s="0" t="n">
        <v>14</v>
      </c>
      <c r="F82" s="0" t="n">
        <f aca="false">E82-E81</f>
        <v>0</v>
      </c>
      <c r="G82" s="0" t="n">
        <v>69</v>
      </c>
      <c r="H82" s="0" t="n">
        <v>198</v>
      </c>
      <c r="I82" s="0" t="n">
        <v>2</v>
      </c>
      <c r="J82" s="0" t="n">
        <v>5</v>
      </c>
      <c r="K82" s="0" t="n">
        <v>0.3</v>
      </c>
      <c r="L82" s="0" t="n">
        <v>13872</v>
      </c>
      <c r="M82" s="0" t="n">
        <v>258</v>
      </c>
    </row>
    <row r="83" customFormat="false" ht="13.5" hidden="false" customHeight="false" outlineLevel="0" collapsed="false">
      <c r="A83" s="0" t="s">
        <v>105</v>
      </c>
      <c r="B83" s="1" t="n">
        <v>43943</v>
      </c>
      <c r="C83" s="0" t="n">
        <v>296</v>
      </c>
      <c r="D83" s="0" t="n">
        <f aca="false">C83-C82</f>
        <v>15</v>
      </c>
      <c r="E83" s="0" t="n">
        <v>14</v>
      </c>
      <c r="F83" s="0" t="n">
        <f aca="false">E83-E82</f>
        <v>0</v>
      </c>
      <c r="G83" s="0" t="n">
        <v>74</v>
      </c>
      <c r="H83" s="0" t="n">
        <v>208</v>
      </c>
      <c r="I83" s="0" t="n">
        <v>2</v>
      </c>
      <c r="J83" s="0" t="n">
        <v>6</v>
      </c>
      <c r="K83" s="0" t="n">
        <v>0.3</v>
      </c>
      <c r="L83" s="0" t="n">
        <v>14704</v>
      </c>
      <c r="M83" s="0" t="n">
        <v>273</v>
      </c>
    </row>
    <row r="84" customFormat="false" ht="13.5" hidden="false" customHeight="false" outlineLevel="0" collapsed="false">
      <c r="A84" s="0" t="s">
        <v>105</v>
      </c>
      <c r="B84" s="1" t="n">
        <v>43944</v>
      </c>
      <c r="C84" s="0" t="n">
        <v>303</v>
      </c>
      <c r="D84" s="0" t="n">
        <f aca="false">C84-C83</f>
        <v>7</v>
      </c>
      <c r="E84" s="0" t="n">
        <v>14</v>
      </c>
      <c r="F84" s="0" t="n">
        <f aca="false">E84-E83</f>
        <v>0</v>
      </c>
      <c r="G84" s="0" t="n">
        <v>74</v>
      </c>
      <c r="H84" s="0" t="n">
        <v>215</v>
      </c>
      <c r="I84" s="0" t="n">
        <v>2</v>
      </c>
      <c r="J84" s="0" t="n">
        <v>6</v>
      </c>
      <c r="K84" s="0" t="n">
        <v>0.3</v>
      </c>
      <c r="L84" s="0" t="n">
        <v>14704</v>
      </c>
      <c r="M84" s="0" t="n">
        <v>273</v>
      </c>
    </row>
    <row r="85" customFormat="false" ht="13.5" hidden="false" customHeight="false" outlineLevel="0" collapsed="false">
      <c r="A85" s="0" t="s">
        <v>105</v>
      </c>
      <c r="B85" s="1" t="n">
        <v>43945</v>
      </c>
      <c r="C85" s="0" t="n">
        <v>320</v>
      </c>
      <c r="D85" s="0" t="n">
        <f aca="false">C85-C84</f>
        <v>17</v>
      </c>
      <c r="E85" s="0" t="n">
        <v>14</v>
      </c>
      <c r="F85" s="0" t="n">
        <f aca="false">E85-E84</f>
        <v>0</v>
      </c>
      <c r="G85" s="0" t="n">
        <v>89</v>
      </c>
      <c r="H85" s="0" t="n">
        <v>217</v>
      </c>
      <c r="I85" s="0" t="n">
        <v>2</v>
      </c>
      <c r="J85" s="0" t="n">
        <v>6</v>
      </c>
      <c r="K85" s="0" t="n">
        <v>0.3</v>
      </c>
      <c r="L85" s="0" t="n">
        <v>14704</v>
      </c>
      <c r="M85" s="0" t="n">
        <v>273</v>
      </c>
    </row>
    <row r="86" customFormat="false" ht="13.5" hidden="false" customHeight="false" outlineLevel="0" collapsed="false">
      <c r="A86" s="0" t="s">
        <v>105</v>
      </c>
      <c r="B86" s="1" t="n">
        <v>43946</v>
      </c>
      <c r="C86" s="0" t="n">
        <v>336</v>
      </c>
      <c r="D86" s="0" t="n">
        <f aca="false">C86-C85</f>
        <v>16</v>
      </c>
      <c r="E86" s="0" t="n">
        <v>14</v>
      </c>
      <c r="F86" s="0" t="n">
        <f aca="false">E86-E85</f>
        <v>0</v>
      </c>
      <c r="G86" s="0" t="n">
        <v>94</v>
      </c>
      <c r="H86" s="0" t="n">
        <v>228</v>
      </c>
      <c r="I86" s="0" t="n">
        <v>2</v>
      </c>
      <c r="J86" s="0" t="n">
        <v>6</v>
      </c>
      <c r="K86" s="0" t="n">
        <v>0.3</v>
      </c>
      <c r="L86" s="0" t="n">
        <v>16738</v>
      </c>
      <c r="M86" s="0" t="n">
        <v>311</v>
      </c>
    </row>
    <row r="87" customFormat="false" ht="13.5" hidden="false" customHeight="false" outlineLevel="0" collapsed="false">
      <c r="A87" s="0" t="s">
        <v>105</v>
      </c>
      <c r="B87" s="1" t="n">
        <v>43947</v>
      </c>
      <c r="C87" s="0" t="n">
        <v>343</v>
      </c>
      <c r="D87" s="0" t="n">
        <f aca="false">C87-C86</f>
        <v>7</v>
      </c>
      <c r="E87" s="0" t="n">
        <v>14</v>
      </c>
      <c r="F87" s="0" t="n">
        <f aca="false">E87-E86</f>
        <v>0</v>
      </c>
      <c r="G87" s="0" t="n">
        <v>98</v>
      </c>
      <c r="H87" s="0" t="n">
        <v>231</v>
      </c>
      <c r="I87" s="0" t="n">
        <v>2</v>
      </c>
      <c r="J87" s="0" t="n">
        <v>6</v>
      </c>
      <c r="K87" s="0" t="n">
        <v>0.3</v>
      </c>
      <c r="L87" s="0" t="n">
        <v>17492</v>
      </c>
      <c r="M87" s="0" t="n">
        <v>325</v>
      </c>
    </row>
    <row r="88" customFormat="false" ht="13.5" hidden="false" customHeight="false" outlineLevel="0" collapsed="false">
      <c r="A88" s="0" t="s">
        <v>105</v>
      </c>
      <c r="B88" s="1" t="n">
        <v>43948</v>
      </c>
      <c r="C88" s="0" t="n">
        <v>355</v>
      </c>
      <c r="D88" s="0" t="n">
        <f aca="false">C88-C87</f>
        <v>12</v>
      </c>
      <c r="E88" s="0" t="n">
        <v>14</v>
      </c>
      <c r="F88" s="0" t="n">
        <f aca="false">E88-E87</f>
        <v>0</v>
      </c>
      <c r="G88" s="0" t="n">
        <v>106</v>
      </c>
      <c r="H88" s="0" t="n">
        <v>235</v>
      </c>
      <c r="I88" s="0" t="n">
        <v>2</v>
      </c>
      <c r="J88" s="0" t="n">
        <v>7</v>
      </c>
      <c r="K88" s="0" t="n">
        <v>0.3</v>
      </c>
      <c r="L88" s="0" t="n">
        <v>17992</v>
      </c>
      <c r="M88" s="0" t="n">
        <v>335</v>
      </c>
    </row>
    <row r="89" customFormat="false" ht="13.5" hidden="false" customHeight="false" outlineLevel="0" collapsed="false">
      <c r="A89" s="0" t="s">
        <v>105</v>
      </c>
      <c r="B89" s="1" t="n">
        <v>43949</v>
      </c>
      <c r="C89" s="0" t="n">
        <v>363</v>
      </c>
      <c r="D89" s="0" t="n">
        <f aca="false">C89-C88</f>
        <v>8</v>
      </c>
      <c r="E89" s="0" t="n">
        <v>14</v>
      </c>
      <c r="F89" s="0" t="n">
        <f aca="false">E89-E88</f>
        <v>0</v>
      </c>
      <c r="G89" s="0" t="n">
        <v>114</v>
      </c>
      <c r="H89" s="0" t="n">
        <v>235</v>
      </c>
      <c r="I89" s="0" t="n">
        <v>2</v>
      </c>
      <c r="J89" s="0" t="n">
        <v>7</v>
      </c>
      <c r="K89" s="0" t="n">
        <v>0.3</v>
      </c>
      <c r="L89" s="0" t="n">
        <v>17992</v>
      </c>
      <c r="M89" s="0" t="n">
        <v>335</v>
      </c>
    </row>
    <row r="90" customFormat="false" ht="13.5" hidden="false" customHeight="false" outlineLevel="0" collapsed="false">
      <c r="A90" s="0" t="s">
        <v>105</v>
      </c>
      <c r="B90" s="1" t="n">
        <v>43950</v>
      </c>
      <c r="C90" s="0" t="n">
        <v>374</v>
      </c>
      <c r="D90" s="0" t="n">
        <f aca="false">C90-C89</f>
        <v>11</v>
      </c>
      <c r="E90" s="0" t="n">
        <v>14</v>
      </c>
      <c r="F90" s="0" t="n">
        <f aca="false">E90-E89</f>
        <v>0</v>
      </c>
      <c r="G90" s="0" t="n">
        <v>124</v>
      </c>
      <c r="H90" s="0" t="n">
        <v>236</v>
      </c>
      <c r="I90" s="0" t="n">
        <v>2</v>
      </c>
      <c r="J90" s="0" t="n">
        <v>7</v>
      </c>
      <c r="K90" s="0" t="n">
        <v>0.3</v>
      </c>
      <c r="L90" s="0" t="n">
        <v>17992</v>
      </c>
      <c r="M90" s="0" t="n">
        <v>335</v>
      </c>
    </row>
    <row r="91" customFormat="false" ht="13.5" hidden="false" customHeight="false" outlineLevel="0" collapsed="false">
      <c r="A91" s="0" t="s">
        <v>105</v>
      </c>
      <c r="B91" s="1" t="n">
        <v>43951</v>
      </c>
      <c r="C91" s="0" t="n">
        <v>384</v>
      </c>
      <c r="D91" s="0" t="n">
        <f aca="false">C91-C90</f>
        <v>10</v>
      </c>
      <c r="E91" s="0" t="n">
        <v>14</v>
      </c>
      <c r="F91" s="0" t="n">
        <f aca="false">E91-E90</f>
        <v>0</v>
      </c>
      <c r="G91" s="0" t="n">
        <v>129</v>
      </c>
      <c r="H91" s="0" t="n">
        <v>241</v>
      </c>
      <c r="I91" s="0" t="n">
        <v>2</v>
      </c>
      <c r="J91" s="0" t="n">
        <v>7</v>
      </c>
      <c r="K91" s="0" t="n">
        <v>0.3</v>
      </c>
      <c r="L91" s="0" t="n">
        <v>17992</v>
      </c>
      <c r="M91" s="0" t="n">
        <v>335</v>
      </c>
    </row>
    <row r="92" customFormat="false" ht="13.5" hidden="false" customHeight="false" outlineLevel="0" collapsed="false">
      <c r="A92" s="0" t="s">
        <v>105</v>
      </c>
      <c r="B92" s="1" t="n">
        <v>43952</v>
      </c>
      <c r="C92" s="0" t="n">
        <v>396</v>
      </c>
      <c r="D92" s="0" t="n">
        <f aca="false">C92-C91</f>
        <v>12</v>
      </c>
      <c r="E92" s="0" t="n">
        <v>17</v>
      </c>
      <c r="F92" s="0" t="n">
        <f aca="false">E92-E91</f>
        <v>3</v>
      </c>
      <c r="G92" s="0" t="n">
        <v>144</v>
      </c>
      <c r="H92" s="0" t="n">
        <v>235</v>
      </c>
      <c r="I92" s="0" t="n">
        <v>2</v>
      </c>
      <c r="J92" s="0" t="n">
        <v>7</v>
      </c>
      <c r="K92" s="0" t="n">
        <v>0.3</v>
      </c>
      <c r="L92" s="0" t="n">
        <v>20268</v>
      </c>
      <c r="M92" s="0" t="n">
        <v>377</v>
      </c>
    </row>
    <row r="93" customFormat="false" ht="13.5" hidden="false" customHeight="false" outlineLevel="0" collapsed="false">
      <c r="A93" s="0" t="s">
        <v>105</v>
      </c>
      <c r="B93" s="1" t="n">
        <v>43953</v>
      </c>
      <c r="C93" s="0" t="n">
        <v>411</v>
      </c>
      <c r="D93" s="0" t="n">
        <f aca="false">C93-C92</f>
        <v>15</v>
      </c>
      <c r="E93" s="0" t="n">
        <v>21</v>
      </c>
      <c r="F93" s="0" t="n">
        <f aca="false">E93-E92</f>
        <v>4</v>
      </c>
      <c r="G93" s="0" t="n">
        <v>150</v>
      </c>
      <c r="H93" s="0" t="n">
        <v>240</v>
      </c>
      <c r="I93" s="0" t="n">
        <v>2</v>
      </c>
      <c r="J93" s="0" t="n">
        <v>8</v>
      </c>
      <c r="K93" s="0" t="n">
        <v>0.4</v>
      </c>
      <c r="L93" s="0" t="n">
        <v>21702</v>
      </c>
      <c r="M93" s="0" t="n">
        <v>404</v>
      </c>
    </row>
    <row r="94" customFormat="false" ht="13.5" hidden="false" customHeight="false" outlineLevel="0" collapsed="false">
      <c r="A94" s="0" t="s">
        <v>105</v>
      </c>
      <c r="B94" s="1" t="n">
        <v>43954</v>
      </c>
      <c r="C94" s="0" t="n">
        <v>435</v>
      </c>
      <c r="D94" s="0" t="n">
        <f aca="false">C94-C93</f>
        <v>24</v>
      </c>
      <c r="E94" s="0" t="n">
        <v>22</v>
      </c>
      <c r="F94" s="0" t="n">
        <f aca="false">E94-E93</f>
        <v>1</v>
      </c>
      <c r="G94" s="0" t="n">
        <v>152</v>
      </c>
      <c r="H94" s="0" t="n">
        <v>261</v>
      </c>
      <c r="I94" s="0" t="n">
        <v>2</v>
      </c>
      <c r="J94" s="0" t="n">
        <v>8</v>
      </c>
      <c r="K94" s="0" t="n">
        <v>0.4</v>
      </c>
      <c r="L94" s="0" t="n">
        <v>21702</v>
      </c>
      <c r="M94" s="0" t="n">
        <v>404</v>
      </c>
    </row>
    <row r="95" customFormat="false" ht="13.5" hidden="false" customHeight="false" outlineLevel="0" collapsed="false">
      <c r="A95" s="0" t="s">
        <v>105</v>
      </c>
      <c r="B95" s="1" t="n">
        <v>43955</v>
      </c>
      <c r="C95" s="0" t="n">
        <v>465</v>
      </c>
      <c r="D95" s="0" t="n">
        <f aca="false">C95-C94</f>
        <v>30</v>
      </c>
      <c r="E95" s="0" t="n">
        <v>24</v>
      </c>
      <c r="F95" s="0" t="n">
        <f aca="false">E95-E94</f>
        <v>2</v>
      </c>
      <c r="G95" s="0" t="n">
        <v>167</v>
      </c>
      <c r="H95" s="0" t="n">
        <v>274</v>
      </c>
      <c r="I95" s="0" t="n">
        <v>2</v>
      </c>
      <c r="J95" s="0" t="n">
        <v>9</v>
      </c>
      <c r="K95" s="0" t="n">
        <v>0.4</v>
      </c>
      <c r="L95" s="0" t="n">
        <v>23780</v>
      </c>
      <c r="M95" s="0" t="n">
        <v>442</v>
      </c>
    </row>
    <row r="96" customFormat="false" ht="13.5" hidden="false" customHeight="false" outlineLevel="0" collapsed="false">
      <c r="A96" s="0" t="s">
        <v>105</v>
      </c>
      <c r="B96" s="1" t="n">
        <v>43956</v>
      </c>
      <c r="C96" s="0" t="n">
        <v>490</v>
      </c>
      <c r="D96" s="0" t="n">
        <f aca="false">C96-C95</f>
        <v>25</v>
      </c>
      <c r="E96" s="0" t="n">
        <v>24</v>
      </c>
      <c r="F96" s="0" t="n">
        <f aca="false">E96-E95</f>
        <v>0</v>
      </c>
      <c r="G96" s="0" t="n">
        <v>173</v>
      </c>
      <c r="H96" s="0" t="n">
        <v>293</v>
      </c>
      <c r="I96" s="0" t="n">
        <v>2</v>
      </c>
      <c r="J96" s="0" t="n">
        <v>9</v>
      </c>
      <c r="K96" s="0" t="n">
        <v>0.4</v>
      </c>
      <c r="L96" s="0" t="n">
        <v>24784</v>
      </c>
      <c r="M96" s="0" t="n">
        <v>461</v>
      </c>
    </row>
    <row r="97" customFormat="false" ht="13.5" hidden="false" customHeight="false" outlineLevel="0" collapsed="false">
      <c r="A97" s="0" t="s">
        <v>105</v>
      </c>
      <c r="B97" s="1" t="n">
        <v>43957</v>
      </c>
      <c r="C97" s="0" t="n">
        <v>535</v>
      </c>
      <c r="D97" s="0" t="n">
        <f aca="false">C97-C96</f>
        <v>45</v>
      </c>
      <c r="E97" s="0" t="n">
        <v>24</v>
      </c>
      <c r="F97" s="0" t="n">
        <f aca="false">E97-E96</f>
        <v>0</v>
      </c>
      <c r="G97" s="0" t="n">
        <v>182</v>
      </c>
      <c r="H97" s="0" t="n">
        <v>329</v>
      </c>
      <c r="I97" s="0" t="n">
        <v>2</v>
      </c>
      <c r="J97" s="0" t="n">
        <v>10</v>
      </c>
      <c r="K97" s="0" t="n">
        <v>0.4</v>
      </c>
      <c r="L97" s="0" t="n">
        <v>24784</v>
      </c>
      <c r="M97" s="0" t="n">
        <v>461</v>
      </c>
    </row>
    <row r="98" customFormat="false" ht="13.5" hidden="false" customHeight="false" outlineLevel="0" collapsed="false">
      <c r="A98" s="0" t="s">
        <v>105</v>
      </c>
      <c r="B98" s="1" t="n">
        <v>43958</v>
      </c>
      <c r="C98" s="0" t="n">
        <v>582</v>
      </c>
      <c r="D98" s="0" t="n">
        <f aca="false">C98-C97</f>
        <v>47</v>
      </c>
      <c r="E98" s="0" t="n">
        <v>26</v>
      </c>
      <c r="F98" s="0" t="n">
        <f aca="false">E98-E97</f>
        <v>2</v>
      </c>
      <c r="G98" s="0" t="n">
        <v>190</v>
      </c>
      <c r="H98" s="0" t="n">
        <v>366</v>
      </c>
      <c r="I98" s="0" t="n">
        <v>1</v>
      </c>
      <c r="J98" s="0" t="n">
        <v>11</v>
      </c>
      <c r="K98" s="0" t="n">
        <v>0.5</v>
      </c>
      <c r="L98" s="0" t="n">
        <v>25861</v>
      </c>
      <c r="M98" s="0" t="n">
        <v>481</v>
      </c>
    </row>
    <row r="99" customFormat="false" ht="13.5" hidden="false" customHeight="false" outlineLevel="0" collapsed="false">
      <c r="A99" s="0" t="s">
        <v>105</v>
      </c>
      <c r="B99" s="1" t="n">
        <v>43959</v>
      </c>
      <c r="C99" s="0" t="n">
        <v>607</v>
      </c>
      <c r="D99" s="0" t="n">
        <f aca="false">C99-C98</f>
        <v>25</v>
      </c>
      <c r="E99" s="0" t="n">
        <v>29</v>
      </c>
      <c r="F99" s="0" t="n">
        <f aca="false">E99-E98</f>
        <v>3</v>
      </c>
      <c r="G99" s="0" t="n">
        <v>197</v>
      </c>
      <c r="H99" s="0" t="n">
        <v>381</v>
      </c>
      <c r="I99" s="0" t="n">
        <v>1</v>
      </c>
      <c r="J99" s="0" t="n">
        <v>11</v>
      </c>
      <c r="K99" s="0" t="n">
        <v>0.5</v>
      </c>
      <c r="L99" s="0" t="n">
        <v>25861</v>
      </c>
      <c r="M99" s="0" t="n">
        <v>481</v>
      </c>
    </row>
    <row r="100" customFormat="false" ht="13.5" hidden="false" customHeight="false" outlineLevel="0" collapsed="false">
      <c r="A100" s="0" t="s">
        <v>105</v>
      </c>
      <c r="B100" s="1" t="n">
        <v>43960</v>
      </c>
      <c r="C100" s="0" t="n">
        <v>621</v>
      </c>
      <c r="D100" s="0" t="n">
        <f aca="false">C100-C99</f>
        <v>14</v>
      </c>
      <c r="E100" s="0" t="n">
        <v>29</v>
      </c>
      <c r="F100" s="0" t="n">
        <f aca="false">E100-E99</f>
        <v>0</v>
      </c>
      <c r="G100" s="0" t="n">
        <v>202</v>
      </c>
      <c r="H100" s="0" t="n">
        <v>390</v>
      </c>
      <c r="I100" s="0" t="n">
        <v>1</v>
      </c>
      <c r="J100" s="0" t="n">
        <v>12</v>
      </c>
      <c r="K100" s="0" t="n">
        <v>0.5</v>
      </c>
      <c r="L100" s="0" t="n">
        <v>29430</v>
      </c>
      <c r="M100" s="0" t="n">
        <v>547</v>
      </c>
    </row>
    <row r="101" customFormat="false" ht="13.5" hidden="false" customHeight="false" outlineLevel="0" collapsed="false">
      <c r="A101" s="0" t="s">
        <v>105</v>
      </c>
      <c r="B101" s="1" t="n">
        <v>43961</v>
      </c>
      <c r="C101" s="0" t="n">
        <v>649</v>
      </c>
      <c r="D101" s="0" t="n">
        <f aca="false">C101-C100</f>
        <v>28</v>
      </c>
      <c r="E101" s="0" t="n">
        <v>30</v>
      </c>
      <c r="F101" s="0" t="n">
        <f aca="false">E101-E100</f>
        <v>1</v>
      </c>
      <c r="G101" s="0" t="n">
        <v>207</v>
      </c>
      <c r="H101" s="0" t="n">
        <v>412</v>
      </c>
      <c r="I101" s="0" t="n">
        <v>1</v>
      </c>
      <c r="J101" s="0" t="n">
        <v>12</v>
      </c>
      <c r="K101" s="0" t="n">
        <v>0.6</v>
      </c>
      <c r="L101" s="0" t="n">
        <v>31041</v>
      </c>
      <c r="M101" s="0" t="n">
        <v>577</v>
      </c>
    </row>
    <row r="102" customFormat="false" ht="13.5" hidden="false" customHeight="false" outlineLevel="0" collapsed="false">
      <c r="A102" s="0" t="s">
        <v>105</v>
      </c>
      <c r="B102" s="1" t="n">
        <v>43962</v>
      </c>
      <c r="C102" s="0" t="n">
        <v>672</v>
      </c>
      <c r="D102" s="0" t="n">
        <f aca="false">C102-C101</f>
        <v>23</v>
      </c>
      <c r="E102" s="0" t="n">
        <v>32</v>
      </c>
      <c r="F102" s="0" t="n">
        <f aca="false">E102-E101</f>
        <v>2</v>
      </c>
      <c r="G102" s="0" t="n">
        <v>239</v>
      </c>
      <c r="H102" s="0" t="n">
        <v>401</v>
      </c>
      <c r="I102" s="0" t="n">
        <v>1</v>
      </c>
      <c r="J102" s="0" t="n">
        <v>12</v>
      </c>
      <c r="K102" s="0" t="n">
        <v>0.6</v>
      </c>
      <c r="L102" s="0" t="n">
        <v>31041</v>
      </c>
      <c r="M102" s="0" t="n">
        <v>577</v>
      </c>
    </row>
    <row r="103" customFormat="false" ht="13.5" hidden="false" customHeight="false" outlineLevel="0" collapsed="false">
      <c r="A103" s="0" t="s">
        <v>105</v>
      </c>
      <c r="B103" s="1" t="n">
        <v>43963</v>
      </c>
      <c r="C103" s="0" t="n">
        <v>700</v>
      </c>
      <c r="D103" s="0" t="n">
        <f aca="false">C103-C102</f>
        <v>28</v>
      </c>
      <c r="E103" s="0" t="n">
        <v>33</v>
      </c>
      <c r="F103" s="0" t="n">
        <f aca="false">E103-E102</f>
        <v>1</v>
      </c>
      <c r="G103" s="0" t="n">
        <v>251</v>
      </c>
      <c r="H103" s="0" t="n">
        <v>416</v>
      </c>
      <c r="I103" s="0" t="n">
        <v>1</v>
      </c>
      <c r="J103" s="0" t="n">
        <v>13</v>
      </c>
      <c r="K103" s="0" t="n">
        <v>0.6</v>
      </c>
      <c r="L103" s="0" t="n">
        <v>32938</v>
      </c>
      <c r="M103" s="0" t="n">
        <v>613</v>
      </c>
    </row>
    <row r="104" customFormat="false" ht="13.5" hidden="false" customHeight="false" outlineLevel="0" collapsed="false">
      <c r="A104" s="0" t="s">
        <v>105</v>
      </c>
      <c r="B104" s="1" t="n">
        <v>43964</v>
      </c>
      <c r="C104" s="0" t="n">
        <v>715</v>
      </c>
      <c r="D104" s="0" t="n">
        <f aca="false">C104-C103</f>
        <v>15</v>
      </c>
      <c r="E104" s="0" t="n">
        <v>36</v>
      </c>
      <c r="F104" s="0" t="n">
        <f aca="false">E104-E103</f>
        <v>3</v>
      </c>
      <c r="G104" s="0" t="n">
        <v>259</v>
      </c>
      <c r="H104" s="0" t="n">
        <v>420</v>
      </c>
      <c r="I104" s="0" t="n">
        <v>1</v>
      </c>
      <c r="J104" s="0" t="n">
        <v>13</v>
      </c>
      <c r="K104" s="0" t="n">
        <v>0.7</v>
      </c>
      <c r="L104" s="0" t="n">
        <v>32938</v>
      </c>
      <c r="M104" s="0" t="n">
        <v>613</v>
      </c>
    </row>
    <row r="105" customFormat="false" ht="13.5" hidden="false" customHeight="false" outlineLevel="0" collapsed="false">
      <c r="A105" s="0" t="s">
        <v>105</v>
      </c>
      <c r="B105" s="1" t="n">
        <v>43965</v>
      </c>
      <c r="C105" s="0" t="n">
        <v>737</v>
      </c>
      <c r="D105" s="0" t="n">
        <f aca="false">C105-C104</f>
        <v>22</v>
      </c>
      <c r="E105" s="0" t="n">
        <v>40</v>
      </c>
      <c r="F105" s="0" t="n">
        <f aca="false">E105-E104</f>
        <v>4</v>
      </c>
      <c r="G105" s="0" t="n">
        <v>281</v>
      </c>
      <c r="H105" s="0" t="n">
        <v>416</v>
      </c>
      <c r="I105" s="0" t="n">
        <v>1</v>
      </c>
      <c r="J105" s="0" t="n">
        <v>14</v>
      </c>
      <c r="K105" s="0" t="n">
        <v>0.7</v>
      </c>
      <c r="L105" s="0" t="n">
        <v>35432</v>
      </c>
      <c r="M105" s="0" t="n">
        <v>659</v>
      </c>
    </row>
    <row r="106" customFormat="false" ht="13.5" hidden="false" customHeight="false" outlineLevel="0" collapsed="false">
      <c r="A106" s="0" t="s">
        <v>105</v>
      </c>
      <c r="B106" s="1" t="n">
        <v>43966</v>
      </c>
      <c r="C106" s="0" t="n">
        <v>758</v>
      </c>
      <c r="D106" s="0" t="n">
        <f aca="false">C106-C105</f>
        <v>21</v>
      </c>
      <c r="E106" s="0" t="n">
        <v>42</v>
      </c>
      <c r="F106" s="0" t="n">
        <f aca="false">E106-E105</f>
        <v>2</v>
      </c>
      <c r="G106" s="0" t="n">
        <v>284</v>
      </c>
      <c r="H106" s="0" t="n">
        <v>432</v>
      </c>
      <c r="I106" s="0" t="n">
        <v>1</v>
      </c>
      <c r="J106" s="0" t="n">
        <v>14</v>
      </c>
      <c r="K106" s="0" t="n">
        <v>0.8</v>
      </c>
      <c r="L106" s="0" t="n">
        <v>36918</v>
      </c>
      <c r="M106" s="0" t="n">
        <v>687</v>
      </c>
    </row>
    <row r="107" customFormat="false" ht="13.5" hidden="false" customHeight="false" outlineLevel="0" collapsed="false">
      <c r="A107" s="0" t="s">
        <v>105</v>
      </c>
      <c r="B107" s="1" t="n">
        <v>43967</v>
      </c>
      <c r="C107" s="0" t="n">
        <v>781</v>
      </c>
      <c r="D107" s="0" t="n">
        <f aca="false">C107-C106</f>
        <v>23</v>
      </c>
      <c r="E107" s="0" t="n">
        <v>45</v>
      </c>
      <c r="F107" s="0" t="n">
        <f aca="false">E107-E106</f>
        <v>3</v>
      </c>
      <c r="G107" s="0" t="n">
        <v>284</v>
      </c>
      <c r="H107" s="0" t="n">
        <v>452</v>
      </c>
      <c r="I107" s="0" t="n">
        <v>1</v>
      </c>
      <c r="J107" s="0" t="n">
        <v>15</v>
      </c>
      <c r="K107" s="0" t="n">
        <v>0.8</v>
      </c>
      <c r="L107" s="0" t="n">
        <v>36918</v>
      </c>
      <c r="M107" s="0" t="n">
        <v>689</v>
      </c>
    </row>
    <row r="108" customFormat="false" ht="13.5" hidden="false" customHeight="false" outlineLevel="0" collapsed="false">
      <c r="A108" s="0" t="s">
        <v>105</v>
      </c>
      <c r="B108" s="1" t="n">
        <v>43968</v>
      </c>
      <c r="C108" s="0" t="n">
        <v>830</v>
      </c>
      <c r="D108" s="0" t="n">
        <f aca="false">C108-C107</f>
        <v>49</v>
      </c>
      <c r="E108" s="0" t="n">
        <v>50</v>
      </c>
      <c r="F108" s="0" t="n">
        <f aca="false">E108-E107</f>
        <v>5</v>
      </c>
      <c r="G108" s="0" t="n">
        <v>301</v>
      </c>
      <c r="H108" s="0" t="n">
        <v>479</v>
      </c>
      <c r="I108" s="0" t="n">
        <v>1</v>
      </c>
      <c r="J108" s="0" t="n">
        <v>15</v>
      </c>
      <c r="K108" s="0" t="n">
        <v>0.9</v>
      </c>
      <c r="L108" s="0" t="n">
        <v>36918</v>
      </c>
      <c r="M108" s="0" t="n">
        <v>689</v>
      </c>
    </row>
    <row r="109" customFormat="false" ht="13.5" hidden="false" customHeight="false" outlineLevel="0" collapsed="false">
      <c r="A109" s="0" t="s">
        <v>105</v>
      </c>
      <c r="B109" s="1" t="n">
        <v>43969</v>
      </c>
      <c r="C109" s="0" t="n">
        <v>887</v>
      </c>
      <c r="D109" s="0" t="n">
        <f aca="false">C109-C108</f>
        <v>57</v>
      </c>
      <c r="E109" s="0" t="n">
        <v>50</v>
      </c>
      <c r="F109" s="0" t="n">
        <f aca="false">E109-E108</f>
        <v>0</v>
      </c>
      <c r="G109" s="0" t="n">
        <v>313</v>
      </c>
      <c r="H109" s="0" t="n">
        <v>524</v>
      </c>
      <c r="I109" s="0" t="n">
        <v>1</v>
      </c>
      <c r="J109" s="0" t="n">
        <v>17</v>
      </c>
      <c r="K109" s="0" t="n">
        <v>0.9</v>
      </c>
      <c r="L109" s="0" t="n">
        <v>43712</v>
      </c>
      <c r="M109" s="0" t="n">
        <v>815</v>
      </c>
    </row>
    <row r="110" customFormat="false" ht="13.5" hidden="false" customHeight="false" outlineLevel="0" collapsed="false">
      <c r="A110" s="0" t="s">
        <v>105</v>
      </c>
      <c r="B110" s="1" t="n">
        <v>43970</v>
      </c>
      <c r="C110" s="0" t="n">
        <v>912</v>
      </c>
      <c r="D110" s="0" t="n">
        <f aca="false">C110-C109</f>
        <v>25</v>
      </c>
      <c r="E110" s="0" t="n">
        <v>50</v>
      </c>
      <c r="F110" s="0" t="n">
        <f aca="false">E110-E109</f>
        <v>0</v>
      </c>
      <c r="G110" s="0" t="n">
        <v>336</v>
      </c>
      <c r="H110" s="0" t="n">
        <v>526</v>
      </c>
      <c r="I110" s="0" t="n">
        <v>1</v>
      </c>
      <c r="J110" s="0" t="n">
        <v>17</v>
      </c>
      <c r="K110" s="0" t="n">
        <v>0.9</v>
      </c>
      <c r="L110" s="0" t="n">
        <v>44851</v>
      </c>
      <c r="M110" s="0" t="n">
        <v>836</v>
      </c>
    </row>
    <row r="111" customFormat="false" ht="13.5" hidden="false" customHeight="false" outlineLevel="0" collapsed="false">
      <c r="A111" s="0" t="s">
        <v>105</v>
      </c>
      <c r="B111" s="1" t="n">
        <v>43971</v>
      </c>
      <c r="C111" s="0" t="n">
        <v>963</v>
      </c>
      <c r="D111" s="0" t="n">
        <f aca="false">C111-C110</f>
        <v>51</v>
      </c>
      <c r="E111" s="0" t="n">
        <v>50</v>
      </c>
      <c r="F111" s="0" t="n">
        <f aca="false">E111-E110</f>
        <v>0</v>
      </c>
      <c r="G111" s="0" t="n">
        <v>358</v>
      </c>
      <c r="H111" s="0" t="n">
        <v>555</v>
      </c>
      <c r="I111" s="0" t="n">
        <v>1</v>
      </c>
      <c r="J111" s="0" t="n">
        <v>18</v>
      </c>
      <c r="K111" s="0" t="n">
        <v>0.9</v>
      </c>
      <c r="L111" s="0" t="n">
        <v>46784</v>
      </c>
      <c r="M111" s="0" t="n">
        <v>872</v>
      </c>
    </row>
    <row r="112" customFormat="false" ht="13.5" hidden="false" customHeight="false" outlineLevel="0" collapsed="false">
      <c r="A112" s="0" t="s">
        <v>105</v>
      </c>
      <c r="B112" s="1" t="n">
        <v>43972</v>
      </c>
      <c r="C112" s="0" t="n">
        <v>1029</v>
      </c>
      <c r="D112" s="0" t="n">
        <f aca="false">C112-C111</f>
        <v>66</v>
      </c>
      <c r="E112" s="0" t="n">
        <v>50</v>
      </c>
      <c r="F112" s="0" t="n">
        <f aca="false">E112-E111</f>
        <v>0</v>
      </c>
      <c r="G112" s="0" t="n">
        <v>366</v>
      </c>
      <c r="H112" s="0" t="n">
        <v>613</v>
      </c>
      <c r="I112" s="0" t="n">
        <v>1</v>
      </c>
      <c r="J112" s="0" t="n">
        <v>19</v>
      </c>
      <c r="K112" s="0" t="n">
        <v>0.9</v>
      </c>
      <c r="L112" s="0" t="n">
        <v>49405</v>
      </c>
      <c r="M112" s="0" t="n">
        <v>921</v>
      </c>
    </row>
    <row r="113" customFormat="false" ht="13.5" hidden="false" customHeight="false" outlineLevel="0" collapsed="false">
      <c r="A113" s="0" t="s">
        <v>105</v>
      </c>
      <c r="B113" s="1" t="n">
        <v>43973</v>
      </c>
      <c r="C113" s="0" t="n">
        <v>1109</v>
      </c>
      <c r="D113" s="0" t="n">
        <f aca="false">C113-C112</f>
        <v>80</v>
      </c>
      <c r="E113" s="0" t="n">
        <v>50</v>
      </c>
      <c r="F113" s="0" t="n">
        <f aca="false">E113-E112</f>
        <v>0</v>
      </c>
      <c r="G113" s="0" t="n">
        <v>366</v>
      </c>
      <c r="H113" s="0" t="n">
        <v>693</v>
      </c>
      <c r="I113" s="0" t="n">
        <v>1</v>
      </c>
      <c r="J113" s="0" t="n">
        <v>21</v>
      </c>
      <c r="K113" s="0" t="n">
        <v>0.9</v>
      </c>
      <c r="L113" s="0" t="n">
        <v>52507</v>
      </c>
      <c r="M113" s="0" t="n">
        <v>979</v>
      </c>
    </row>
    <row r="114" customFormat="false" ht="13.5" hidden="false" customHeight="false" outlineLevel="0" collapsed="false">
      <c r="A114" s="0" t="s">
        <v>105</v>
      </c>
      <c r="B114" s="1" t="n">
        <v>43974</v>
      </c>
      <c r="C114" s="0" t="n">
        <v>1161</v>
      </c>
      <c r="D114" s="0" t="n">
        <f aca="false">C114-C113</f>
        <v>52</v>
      </c>
      <c r="E114" s="0" t="n">
        <v>50</v>
      </c>
      <c r="F114" s="0" t="n">
        <f aca="false">E114-E113</f>
        <v>0</v>
      </c>
      <c r="G114" s="0" t="n">
        <v>380</v>
      </c>
      <c r="H114" s="0" t="n">
        <v>731</v>
      </c>
      <c r="I114" s="0" t="n">
        <v>1</v>
      </c>
      <c r="J114" s="0" t="n">
        <v>22</v>
      </c>
      <c r="K114" s="0" t="n">
        <v>0.9</v>
      </c>
      <c r="L114" s="0" t="n">
        <v>55074</v>
      </c>
      <c r="M114" s="0" t="n">
        <v>1027</v>
      </c>
    </row>
    <row r="115" customFormat="false" ht="13.5" hidden="false" customHeight="false" outlineLevel="0" collapsed="false">
      <c r="A115" s="0" t="s">
        <v>105</v>
      </c>
      <c r="B115" s="1" t="n">
        <v>43975</v>
      </c>
      <c r="C115" s="0" t="n">
        <v>1192</v>
      </c>
      <c r="D115" s="0" t="n">
        <f aca="false">C115-C114</f>
        <v>31</v>
      </c>
      <c r="E115" s="0" t="n">
        <v>50</v>
      </c>
      <c r="F115" s="0" t="n">
        <f aca="false">E115-E114</f>
        <v>0</v>
      </c>
      <c r="G115" s="0" t="n">
        <v>380</v>
      </c>
      <c r="H115" s="0" t="n">
        <v>762</v>
      </c>
      <c r="I115" s="0" t="n">
        <v>1</v>
      </c>
      <c r="J115" s="0" t="n">
        <v>22</v>
      </c>
      <c r="K115" s="0" t="n">
        <v>0.9</v>
      </c>
      <c r="L115" s="0" t="n">
        <v>57650</v>
      </c>
      <c r="M115" s="0" t="n">
        <v>1075</v>
      </c>
    </row>
    <row r="116" customFormat="false" ht="13.5" hidden="false" customHeight="false" outlineLevel="0" collapsed="false">
      <c r="A116" s="0" t="s">
        <v>105</v>
      </c>
      <c r="B116" s="1" t="n">
        <v>43976</v>
      </c>
      <c r="C116" s="0" t="n">
        <v>1214</v>
      </c>
      <c r="D116" s="0" t="n">
        <f aca="false">C116-C115</f>
        <v>22</v>
      </c>
      <c r="E116" s="0" t="n">
        <v>51</v>
      </c>
      <c r="F116" s="0" t="n">
        <f aca="false">E116-E115</f>
        <v>1</v>
      </c>
      <c r="G116" s="0" t="n">
        <v>383</v>
      </c>
      <c r="H116" s="0" t="n">
        <v>780</v>
      </c>
      <c r="I116" s="0" t="n">
        <v>1</v>
      </c>
      <c r="J116" s="0" t="n">
        <v>23</v>
      </c>
      <c r="K116" s="0" t="n">
        <v>1</v>
      </c>
      <c r="L116" s="0" t="n">
        <v>59260</v>
      </c>
      <c r="M116" s="0" t="n">
        <v>1105</v>
      </c>
    </row>
    <row r="117" customFormat="false" ht="13.5" hidden="false" customHeight="false" outlineLevel="0" collapsed="false">
      <c r="A117" s="0" t="s">
        <v>105</v>
      </c>
      <c r="B117" s="1" t="n">
        <v>43977</v>
      </c>
      <c r="C117" s="0" t="n">
        <v>1286</v>
      </c>
      <c r="D117" s="0" t="n">
        <f aca="false">C117-C116</f>
        <v>72</v>
      </c>
      <c r="E117" s="0" t="n">
        <v>52</v>
      </c>
      <c r="F117" s="0" t="n">
        <f aca="false">E117-E116</f>
        <v>1</v>
      </c>
      <c r="G117" s="0" t="n">
        <v>402</v>
      </c>
      <c r="H117" s="0" t="n">
        <v>832</v>
      </c>
      <c r="I117" s="0" t="n">
        <v>1</v>
      </c>
      <c r="J117" s="0" t="n">
        <v>24</v>
      </c>
      <c r="K117" s="0" t="n">
        <v>1</v>
      </c>
      <c r="L117" s="0" t="n">
        <v>61971</v>
      </c>
      <c r="M117" s="0" t="n">
        <v>1155</v>
      </c>
    </row>
    <row r="118" customFormat="false" ht="13.5" hidden="false" customHeight="false" outlineLevel="0" collapsed="false">
      <c r="A118" s="0" t="s">
        <v>105</v>
      </c>
      <c r="B118" s="1" t="n">
        <v>43978</v>
      </c>
      <c r="C118" s="0" t="n">
        <v>1348</v>
      </c>
      <c r="D118" s="0" t="n">
        <f aca="false">C118-C117</f>
        <v>62</v>
      </c>
      <c r="E118" s="0" t="n">
        <v>52</v>
      </c>
      <c r="F118" s="0" t="n">
        <f aca="false">E118-E117</f>
        <v>0</v>
      </c>
      <c r="G118" s="0" t="n">
        <v>405</v>
      </c>
      <c r="H118" s="0" t="n">
        <v>891</v>
      </c>
      <c r="I118" s="0" t="n">
        <v>1</v>
      </c>
      <c r="J118" s="0" t="n">
        <v>25</v>
      </c>
      <c r="K118" s="0" t="n">
        <v>1</v>
      </c>
      <c r="L118" s="0" t="n">
        <v>64264</v>
      </c>
      <c r="M118" s="0" t="n">
        <v>1198</v>
      </c>
    </row>
    <row r="119" customFormat="false" ht="13.5" hidden="false" customHeight="false" outlineLevel="0" collapsed="false">
      <c r="A119" s="0" t="s">
        <v>105</v>
      </c>
      <c r="B119" s="1" t="n">
        <v>43979</v>
      </c>
      <c r="C119" s="0" t="n">
        <v>1471</v>
      </c>
      <c r="D119" s="0" t="n">
        <f aca="false">C119-C118</f>
        <v>123</v>
      </c>
      <c r="E119" s="0" t="n">
        <v>55</v>
      </c>
      <c r="F119" s="0" t="n">
        <f aca="false">E119-E118</f>
        <v>3</v>
      </c>
      <c r="G119" s="0" t="n">
        <v>408</v>
      </c>
      <c r="H119" s="0" t="n">
        <v>1008</v>
      </c>
      <c r="I119" s="0" t="n">
        <v>7</v>
      </c>
      <c r="J119" s="0" t="n">
        <v>27</v>
      </c>
      <c r="K119" s="0" t="n">
        <v>1</v>
      </c>
      <c r="L119" s="0" t="n">
        <v>67341</v>
      </c>
      <c r="M119" s="0" t="n">
        <v>1255</v>
      </c>
    </row>
    <row r="120" customFormat="false" ht="13.5" hidden="false" customHeight="false" outlineLevel="0" collapsed="false">
      <c r="A120" s="0" t="s">
        <v>105</v>
      </c>
      <c r="B120" s="1" t="n">
        <v>43980</v>
      </c>
      <c r="C120" s="0" t="n">
        <v>1618</v>
      </c>
      <c r="D120" s="0" t="n">
        <f aca="false">C120-C119</f>
        <v>147</v>
      </c>
      <c r="E120" s="0" t="n">
        <v>58</v>
      </c>
      <c r="F120" s="0" t="n">
        <f aca="false">E120-E119</f>
        <v>3</v>
      </c>
      <c r="G120" s="0" t="n">
        <v>421</v>
      </c>
      <c r="H120" s="0" t="n">
        <v>1139</v>
      </c>
      <c r="I120" s="0" t="n">
        <v>7</v>
      </c>
      <c r="J120" s="0" t="n">
        <v>30</v>
      </c>
      <c r="K120" s="0" t="n">
        <v>1</v>
      </c>
      <c r="L120" s="0" t="n">
        <v>70172</v>
      </c>
      <c r="M120" s="0" t="n">
        <v>1308</v>
      </c>
    </row>
    <row r="121" customFormat="false" ht="13.5" hidden="false" customHeight="false" outlineLevel="0" collapsed="false">
      <c r="A121" s="0" t="s">
        <v>105</v>
      </c>
      <c r="B121" s="1" t="n">
        <v>43981</v>
      </c>
      <c r="C121" s="0" t="n">
        <v>1745</v>
      </c>
      <c r="D121" s="0" t="n">
        <f aca="false">C121-C120</f>
        <v>127</v>
      </c>
      <c r="E121" s="0" t="n">
        <v>62</v>
      </c>
      <c r="F121" s="0" t="n">
        <f aca="false">E121-E120</f>
        <v>4</v>
      </c>
      <c r="G121" s="0" t="n">
        <v>438</v>
      </c>
      <c r="H121" s="0" t="n">
        <v>1245</v>
      </c>
      <c r="I121" s="0" t="n">
        <v>7</v>
      </c>
      <c r="J121" s="0" t="n">
        <v>33</v>
      </c>
      <c r="K121" s="0" t="n">
        <v>1</v>
      </c>
      <c r="L121" s="0" t="n">
        <v>74003</v>
      </c>
      <c r="M121" s="0" t="n">
        <v>1379</v>
      </c>
    </row>
    <row r="122" customFormat="false" ht="13.5" hidden="false" customHeight="false" outlineLevel="0" collapsed="false">
      <c r="A122" s="0" t="s">
        <v>105</v>
      </c>
      <c r="B122" s="1" t="n">
        <v>43982</v>
      </c>
      <c r="C122" s="0" t="n">
        <v>1888</v>
      </c>
      <c r="D122" s="0" t="n">
        <f aca="false">C122-C121</f>
        <v>143</v>
      </c>
      <c r="E122" s="0" t="n">
        <v>63</v>
      </c>
      <c r="F122" s="0" t="n">
        <f aca="false">E122-E121</f>
        <v>1</v>
      </c>
      <c r="G122" s="0" t="n">
        <v>464</v>
      </c>
      <c r="H122" s="0" t="n">
        <v>1361</v>
      </c>
      <c r="I122" s="0" t="n">
        <v>7</v>
      </c>
      <c r="J122" s="0" t="n">
        <v>35</v>
      </c>
      <c r="K122" s="0" t="n">
        <v>1</v>
      </c>
      <c r="L122" s="0" t="n">
        <v>76962</v>
      </c>
      <c r="M122" s="0" t="n">
        <v>1434</v>
      </c>
    </row>
    <row r="123" customFormat="false" ht="13.5" hidden="false" customHeight="false" outlineLevel="0" collapsed="false">
      <c r="A123" s="0" t="s">
        <v>105</v>
      </c>
      <c r="B123" s="1" t="n">
        <v>43983</v>
      </c>
      <c r="C123" s="0" t="n">
        <v>1962</v>
      </c>
      <c r="D123" s="0" t="n">
        <f aca="false">C123-C122</f>
        <v>74</v>
      </c>
      <c r="E123" s="0" t="n">
        <v>64</v>
      </c>
      <c r="F123" s="0" t="n">
        <f aca="false">E123-E122</f>
        <v>1</v>
      </c>
      <c r="G123" s="0" t="n">
        <v>478</v>
      </c>
      <c r="H123" s="0" t="n">
        <v>1420</v>
      </c>
      <c r="I123" s="0" t="n">
        <v>7</v>
      </c>
      <c r="J123" s="0" t="n">
        <v>37</v>
      </c>
      <c r="K123" s="0" t="n">
        <v>1</v>
      </c>
      <c r="L123" s="0" t="n">
        <v>78536</v>
      </c>
      <c r="M123" s="0" t="n">
        <v>1464</v>
      </c>
    </row>
    <row r="124" customFormat="false" ht="13.5" hidden="false" customHeight="false" outlineLevel="0" collapsed="false">
      <c r="A124" s="0" t="s">
        <v>105</v>
      </c>
      <c r="B124" s="1" t="n">
        <v>43984</v>
      </c>
      <c r="C124" s="0" t="n">
        <v>2021</v>
      </c>
      <c r="D124" s="0" t="n">
        <f aca="false">C124-C123</f>
        <v>59</v>
      </c>
      <c r="E124" s="0" t="n">
        <v>69</v>
      </c>
      <c r="F124" s="0" t="n">
        <f aca="false">E124-E123</f>
        <v>5</v>
      </c>
      <c r="G124" s="0" t="n">
        <v>482</v>
      </c>
      <c r="H124" s="0" t="n">
        <v>1470</v>
      </c>
      <c r="I124" s="0" t="n">
        <v>7</v>
      </c>
      <c r="J124" s="0" t="n">
        <v>38</v>
      </c>
      <c r="K124" s="0" t="n">
        <v>1</v>
      </c>
      <c r="L124" s="0" t="n">
        <v>80054</v>
      </c>
      <c r="M124" s="0" t="n">
        <v>1492</v>
      </c>
    </row>
    <row r="125" customFormat="false" ht="13.5" hidden="false" customHeight="false" outlineLevel="0" collapsed="false">
      <c r="A125" s="0" t="s">
        <v>105</v>
      </c>
      <c r="B125" s="1" t="n">
        <v>43985</v>
      </c>
      <c r="C125" s="0" t="e">
        <f aca="false">sheet1!axy126</f>
        <v>#NAME?</v>
      </c>
      <c r="D125" s="0" t="e">
        <f aca="false">sheet1!axz126</f>
        <v>#NAME?</v>
      </c>
      <c r="E125" s="0" t="e">
        <f aca="false">sheet1!aya126</f>
        <v>#NAME?</v>
      </c>
      <c r="F125" s="0" t="e">
        <f aca="false">sheet1!ayb126</f>
        <v>#NAME?</v>
      </c>
      <c r="G125" s="0" t="e">
        <f aca="false">sheet1!ayc126</f>
        <v>#NAME?</v>
      </c>
      <c r="H125" s="0" t="e">
        <f aca="false">sheet1!ayd126</f>
        <v>#NAME?</v>
      </c>
      <c r="I125" s="0" t="e">
        <f aca="false">sheet1!aye126</f>
        <v>#NAME?</v>
      </c>
      <c r="J125" s="0" t="e">
        <f aca="false">sheet1!ayf126</f>
        <v>#NAME?</v>
      </c>
      <c r="K125" s="0" t="e">
        <f aca="false">sheet1!ayg126</f>
        <v>#NAME?</v>
      </c>
      <c r="L125" s="0" t="e">
        <f aca="false">sheet1!ayh126</f>
        <v>#NAME?</v>
      </c>
      <c r="M125" s="0" t="e">
        <f aca="false">sheet1!ayi126</f>
        <v>#NAME?</v>
      </c>
    </row>
    <row r="126" customFormat="false" ht="13.5" hidden="false" customHeight="false" outlineLevel="0" collapsed="false">
      <c r="A126" s="0" t="s">
        <v>105</v>
      </c>
      <c r="B126" s="1" t="n">
        <v>43986</v>
      </c>
      <c r="C126" s="0" t="e">
        <f aca="false">sheet1!axy127</f>
        <v>#NAME?</v>
      </c>
      <c r="D126" s="0" t="e">
        <f aca="false">sheet1!axz127</f>
        <v>#NAME?</v>
      </c>
      <c r="E126" s="0" t="e">
        <f aca="false">sheet1!aya127</f>
        <v>#NAME?</v>
      </c>
      <c r="F126" s="0" t="e">
        <f aca="false">sheet1!ayb127</f>
        <v>#NAME?</v>
      </c>
      <c r="G126" s="0" t="e">
        <f aca="false">sheet1!ayc127</f>
        <v>#NAME?</v>
      </c>
      <c r="H126" s="0" t="e">
        <f aca="false">sheet1!ayd127</f>
        <v>#NAME?</v>
      </c>
      <c r="I126" s="0" t="e">
        <f aca="false">sheet1!aye127</f>
        <v>#NAME?</v>
      </c>
      <c r="J126" s="0" t="e">
        <f aca="false">sheet1!ayf127</f>
        <v>#NAME?</v>
      </c>
      <c r="K126" s="0" t="e">
        <f aca="false">sheet1!ayg127</f>
        <v>#NAME?</v>
      </c>
      <c r="L126" s="0" t="e">
        <f aca="false">sheet1!ayh127</f>
        <v>#NAME?</v>
      </c>
      <c r="M126" s="0" t="e">
        <f aca="false">sheet1!ayi127</f>
        <v>#NAME?</v>
      </c>
    </row>
    <row r="127" customFormat="false" ht="13.5" hidden="false" customHeight="false" outlineLevel="0" collapsed="false">
      <c r="A127" s="0" t="s">
        <v>105</v>
      </c>
      <c r="B127" s="1" t="n">
        <v>43987</v>
      </c>
      <c r="C127" s="0" t="e">
        <f aca="false">sheet1!axy128</f>
        <v>#NAME?</v>
      </c>
      <c r="D127" s="0" t="e">
        <f aca="false">sheet1!axz128</f>
        <v>#NAME?</v>
      </c>
      <c r="E127" s="0" t="e">
        <f aca="false">sheet1!aya128</f>
        <v>#NAME?</v>
      </c>
      <c r="F127" s="0" t="e">
        <f aca="false">sheet1!ayb128</f>
        <v>#NAME?</v>
      </c>
      <c r="G127" s="0" t="e">
        <f aca="false">sheet1!ayc128</f>
        <v>#NAME?</v>
      </c>
      <c r="H127" s="0" t="e">
        <f aca="false">sheet1!ayd128</f>
        <v>#NAME?</v>
      </c>
      <c r="I127" s="0" t="e">
        <f aca="false">sheet1!aye128</f>
        <v>#NAME?</v>
      </c>
      <c r="J127" s="0" t="e">
        <f aca="false">sheet1!ayf128</f>
        <v>#NAME?</v>
      </c>
      <c r="K127" s="0" t="e">
        <f aca="false">sheet1!ayg128</f>
        <v>#NAME?</v>
      </c>
      <c r="L127" s="0" t="e">
        <f aca="false">sheet1!ayh128</f>
        <v>#NAME?</v>
      </c>
      <c r="M127" s="0" t="e">
        <f aca="false">sheet1!ayi128</f>
        <v>#NAME?</v>
      </c>
    </row>
    <row r="128" customFormat="false" ht="13.5" hidden="false" customHeight="false" outlineLevel="0" collapsed="false">
      <c r="A128" s="0" t="s">
        <v>105</v>
      </c>
      <c r="B128" s="1" t="n">
        <v>43988</v>
      </c>
      <c r="C128" s="0" t="e">
        <f aca="false">sheet1!axy129</f>
        <v>#NAME?</v>
      </c>
      <c r="D128" s="0" t="e">
        <f aca="false">sheet1!axz129</f>
        <v>#NAME?</v>
      </c>
      <c r="E128" s="0" t="e">
        <f aca="false">sheet1!aya129</f>
        <v>#NAME?</v>
      </c>
      <c r="F128" s="0" t="e">
        <f aca="false">sheet1!ayb129</f>
        <v>#NAME?</v>
      </c>
      <c r="G128" s="0" t="e">
        <f aca="false">sheet1!ayc129</f>
        <v>#NAME?</v>
      </c>
      <c r="H128" s="0" t="e">
        <f aca="false">sheet1!ayd129</f>
        <v>#NAME?</v>
      </c>
      <c r="I128" s="0" t="e">
        <f aca="false">sheet1!aye129</f>
        <v>#NAME?</v>
      </c>
      <c r="J128" s="0" t="e">
        <f aca="false">sheet1!ayf129</f>
        <v>#NAME?</v>
      </c>
      <c r="K128" s="0" t="e">
        <f aca="false">sheet1!ayg129</f>
        <v>#NAME?</v>
      </c>
      <c r="L128" s="0" t="e">
        <f aca="false">sheet1!ayh129</f>
        <v>#NAME?</v>
      </c>
      <c r="M128" s="0" t="e">
        <f aca="false">sheet1!ayi129</f>
        <v>#NAME?</v>
      </c>
    </row>
    <row r="129" customFormat="false" ht="13.5" hidden="false" customHeight="false" outlineLevel="0" collapsed="false">
      <c r="A129" s="0" t="s">
        <v>105</v>
      </c>
      <c r="B129" s="1" t="n">
        <v>43989</v>
      </c>
      <c r="C129" s="0" t="e">
        <f aca="false">sheet1!axy130</f>
        <v>#NAME?</v>
      </c>
      <c r="D129" s="0" t="e">
        <f aca="false">sheet1!axz130</f>
        <v>#NAME?</v>
      </c>
      <c r="E129" s="0" t="e">
        <f aca="false">sheet1!aya130</f>
        <v>#NAME?</v>
      </c>
      <c r="F129" s="0" t="e">
        <f aca="false">sheet1!ayb130</f>
        <v>#NAME?</v>
      </c>
      <c r="G129" s="0" t="e">
        <f aca="false">sheet1!ayc130</f>
        <v>#NAME?</v>
      </c>
      <c r="H129" s="0" t="e">
        <f aca="false">sheet1!ayd130</f>
        <v>#NAME?</v>
      </c>
      <c r="I129" s="0" t="e">
        <f aca="false">sheet1!aye130</f>
        <v>#NAME?</v>
      </c>
      <c r="J129" s="0" t="e">
        <f aca="false">sheet1!ayf130</f>
        <v>#NAME?</v>
      </c>
      <c r="K129" s="0" t="e">
        <f aca="false">sheet1!ayg130</f>
        <v>#NAME?</v>
      </c>
      <c r="L129" s="0" t="e">
        <f aca="false">sheet1!ayh130</f>
        <v>#NAME?</v>
      </c>
      <c r="M129" s="0" t="e">
        <f aca="false">sheet1!ayi130</f>
        <v>#NAME?</v>
      </c>
    </row>
    <row r="130" customFormat="false" ht="13.5" hidden="false" customHeight="false" outlineLevel="0" collapsed="false">
      <c r="A130" s="0" t="s">
        <v>105</v>
      </c>
      <c r="B130" s="1" t="n">
        <v>43990</v>
      </c>
      <c r="C130" s="0" t="e">
        <f aca="false">sheet1!axy131</f>
        <v>#NAME?</v>
      </c>
      <c r="D130" s="0" t="e">
        <f aca="false">sheet1!axz131</f>
        <v>#NAME?</v>
      </c>
      <c r="E130" s="0" t="e">
        <f aca="false">sheet1!aya131</f>
        <v>#NAME?</v>
      </c>
      <c r="F130" s="0" t="e">
        <f aca="false">sheet1!ayb131</f>
        <v>#NAME?</v>
      </c>
      <c r="G130" s="0" t="e">
        <f aca="false">sheet1!ayc131</f>
        <v>#NAME?</v>
      </c>
      <c r="H130" s="0" t="e">
        <f aca="false">sheet1!ayd131</f>
        <v>#NAME?</v>
      </c>
      <c r="I130" s="0" t="e">
        <f aca="false">sheet1!aye131</f>
        <v>#NAME?</v>
      </c>
      <c r="J130" s="0" t="e">
        <f aca="false">sheet1!ayf131</f>
        <v>#NAME?</v>
      </c>
      <c r="K130" s="0" t="e">
        <f aca="false">sheet1!ayg131</f>
        <v>#NAME?</v>
      </c>
      <c r="L130" s="0" t="e">
        <f aca="false">sheet1!ayh131</f>
        <v>#NAME?</v>
      </c>
      <c r="M130" s="0" t="e">
        <f aca="false">sheet1!ayi131</f>
        <v>#NAME?</v>
      </c>
    </row>
    <row r="131" customFormat="false" ht="13.5" hidden="false" customHeight="false" outlineLevel="0" collapsed="false">
      <c r="A131" s="0" t="s">
        <v>105</v>
      </c>
      <c r="B131" s="1" t="n">
        <v>43991</v>
      </c>
      <c r="C131" s="0" t="e">
        <f aca="false">sheet1!axy132</f>
        <v>#NAME?</v>
      </c>
      <c r="D131" s="0" t="e">
        <f aca="false">sheet1!axz132</f>
        <v>#NAME?</v>
      </c>
      <c r="E131" s="0" t="e">
        <f aca="false">sheet1!aya132</f>
        <v>#NAME?</v>
      </c>
      <c r="F131" s="0" t="e">
        <f aca="false">sheet1!ayb132</f>
        <v>#NAME?</v>
      </c>
      <c r="G131" s="0" t="e">
        <f aca="false">sheet1!ayc132</f>
        <v>#NAME?</v>
      </c>
      <c r="H131" s="0" t="e">
        <f aca="false">sheet1!ayd132</f>
        <v>#NAME?</v>
      </c>
      <c r="I131" s="0" t="e">
        <f aca="false">sheet1!aye132</f>
        <v>#NAME?</v>
      </c>
      <c r="J131" s="0" t="e">
        <f aca="false">sheet1!ayf132</f>
        <v>#NAME?</v>
      </c>
      <c r="K131" s="0" t="e">
        <f aca="false">sheet1!ayg132</f>
        <v>#NAME?</v>
      </c>
      <c r="L131" s="0" t="e">
        <f aca="false">sheet1!ayh132</f>
        <v>#NAME?</v>
      </c>
      <c r="M131" s="0" t="e">
        <f aca="false">sheet1!ayi132</f>
        <v>#NAME?</v>
      </c>
    </row>
    <row r="132" customFormat="false" ht="13.5" hidden="false" customHeight="false" outlineLevel="0" collapsed="false">
      <c r="A132" s="0" t="s">
        <v>105</v>
      </c>
      <c r="B132" s="1" t="n">
        <v>43992</v>
      </c>
      <c r="C132" s="0" t="e">
        <f aca="false">sheet1!axy133</f>
        <v>#NAME?</v>
      </c>
      <c r="D132" s="0" t="e">
        <f aca="false">sheet1!axz133</f>
        <v>#NAME?</v>
      </c>
      <c r="E132" s="0" t="e">
        <f aca="false">sheet1!aya133</f>
        <v>#NAME?</v>
      </c>
      <c r="F132" s="0" t="e">
        <f aca="false">sheet1!ayb133</f>
        <v>#NAME?</v>
      </c>
      <c r="G132" s="0" t="e">
        <f aca="false">sheet1!ayc133</f>
        <v>#NAME?</v>
      </c>
      <c r="H132" s="0" t="e">
        <f aca="false">sheet1!ayd133</f>
        <v>#NAME?</v>
      </c>
      <c r="I132" s="0" t="e">
        <f aca="false">sheet1!aye133</f>
        <v>#NAME?</v>
      </c>
      <c r="J132" s="0" t="e">
        <f aca="false">sheet1!ayf133</f>
        <v>#NAME?</v>
      </c>
      <c r="K132" s="0" t="e">
        <f aca="false">sheet1!ayg133</f>
        <v>#NAME?</v>
      </c>
      <c r="L132" s="0" t="e">
        <f aca="false">sheet1!ayh133</f>
        <v>#NAME?</v>
      </c>
      <c r="M132" s="0" t="e">
        <f aca="false">sheet1!ayi133</f>
        <v>#NAME?</v>
      </c>
    </row>
    <row r="133" customFormat="false" ht="13.5" hidden="false" customHeight="false" outlineLevel="0" collapsed="false">
      <c r="A133" s="0" t="s">
        <v>105</v>
      </c>
      <c r="B133" s="1" t="n">
        <v>43993</v>
      </c>
      <c r="C133" s="0" t="e">
        <f aca="false">sheet1!axy134</f>
        <v>#NAME?</v>
      </c>
      <c r="D133" s="0" t="e">
        <f aca="false">sheet1!axz134</f>
        <v>#NAME?</v>
      </c>
      <c r="E133" s="0" t="e">
        <f aca="false">sheet1!aya134</f>
        <v>#NAME?</v>
      </c>
      <c r="F133" s="0" t="e">
        <f aca="false">sheet1!ayb134</f>
        <v>#NAME?</v>
      </c>
      <c r="G133" s="0" t="e">
        <f aca="false">sheet1!ayc134</f>
        <v>#NAME?</v>
      </c>
      <c r="H133" s="0" t="e">
        <f aca="false">sheet1!ayd134</f>
        <v>#NAME?</v>
      </c>
      <c r="I133" s="0" t="e">
        <f aca="false">sheet1!aye134</f>
        <v>#NAME?</v>
      </c>
      <c r="J133" s="0" t="e">
        <f aca="false">sheet1!ayf134</f>
        <v>#NAME?</v>
      </c>
      <c r="K133" s="0" t="e">
        <f aca="false">sheet1!ayg134</f>
        <v>#NAME?</v>
      </c>
      <c r="L133" s="0" t="e">
        <f aca="false">sheet1!ayh134</f>
        <v>#NAME?</v>
      </c>
      <c r="M133" s="0" t="e">
        <f aca="false">sheet1!ayi134</f>
        <v>#NAME?</v>
      </c>
    </row>
    <row r="134" customFormat="false" ht="13.5" hidden="false" customHeight="false" outlineLevel="0" collapsed="false">
      <c r="A134" s="0" t="s">
        <v>105</v>
      </c>
      <c r="B134" s="1" t="n">
        <v>43994</v>
      </c>
      <c r="C134" s="0" t="e">
        <f aca="false">sheet1!axy135</f>
        <v>#NAME?</v>
      </c>
      <c r="D134" s="0" t="e">
        <f aca="false">sheet1!axz135</f>
        <v>#NAME?</v>
      </c>
      <c r="E134" s="0" t="e">
        <f aca="false">sheet1!aya135</f>
        <v>#NAME?</v>
      </c>
      <c r="F134" s="0" t="e">
        <f aca="false">sheet1!ayb135</f>
        <v>#NAME?</v>
      </c>
      <c r="G134" s="0" t="e">
        <f aca="false">sheet1!ayc135</f>
        <v>#NAME?</v>
      </c>
      <c r="H134" s="0" t="e">
        <f aca="false">sheet1!ayd135</f>
        <v>#NAME?</v>
      </c>
      <c r="I134" s="0" t="e">
        <f aca="false">sheet1!aye135</f>
        <v>#NAME?</v>
      </c>
      <c r="J134" s="0" t="e">
        <f aca="false">sheet1!ayf135</f>
        <v>#NAME?</v>
      </c>
      <c r="K134" s="0" t="e">
        <f aca="false">sheet1!ayg135</f>
        <v>#NAME?</v>
      </c>
      <c r="L134" s="0" t="e">
        <f aca="false">sheet1!ayh135</f>
        <v>#NAME?</v>
      </c>
      <c r="M134" s="0" t="e">
        <f aca="false">sheet1!ayi135</f>
        <v>#NAME?</v>
      </c>
    </row>
    <row r="135" customFormat="false" ht="13.5" hidden="false" customHeight="false" outlineLevel="0" collapsed="false">
      <c r="A135" s="0" t="s">
        <v>105</v>
      </c>
      <c r="B135" s="1" t="n">
        <v>43995</v>
      </c>
      <c r="C135" s="0" t="e">
        <f aca="false">sheet1!axy136</f>
        <v>#NAME?</v>
      </c>
      <c r="D135" s="0" t="e">
        <f aca="false">sheet1!axz136</f>
        <v>#NAME?</v>
      </c>
      <c r="E135" s="0" t="e">
        <f aca="false">sheet1!aya136</f>
        <v>#NAME?</v>
      </c>
      <c r="F135" s="0" t="e">
        <f aca="false">sheet1!ayb136</f>
        <v>#NAME?</v>
      </c>
      <c r="G135" s="0" t="e">
        <f aca="false">sheet1!ayc136</f>
        <v>#NAME?</v>
      </c>
      <c r="H135" s="0" t="e">
        <f aca="false">sheet1!ayd136</f>
        <v>#NAME?</v>
      </c>
      <c r="I135" s="0" t="e">
        <f aca="false">sheet1!aye136</f>
        <v>#NAME?</v>
      </c>
      <c r="J135" s="0" t="e">
        <f aca="false">sheet1!ayf136</f>
        <v>#NAME?</v>
      </c>
      <c r="K135" s="0" t="e">
        <f aca="false">sheet1!ayg136</f>
        <v>#NAME?</v>
      </c>
      <c r="L135" s="0" t="e">
        <f aca="false">sheet1!ayh136</f>
        <v>#NAME?</v>
      </c>
      <c r="M135" s="0" t="e">
        <f aca="false">sheet1!ayi136</f>
        <v>#NAME?</v>
      </c>
    </row>
    <row r="136" customFormat="false" ht="13.5" hidden="false" customHeight="false" outlineLevel="0" collapsed="false">
      <c r="A136" s="0" t="s">
        <v>105</v>
      </c>
      <c r="B136" s="1" t="n">
        <v>43996</v>
      </c>
      <c r="C136" s="0" t="e">
        <f aca="false">sheet1!axy137</f>
        <v>#NAME?</v>
      </c>
      <c r="D136" s="0" t="e">
        <f aca="false">sheet1!axz137</f>
        <v>#NAME?</v>
      </c>
      <c r="E136" s="0" t="e">
        <f aca="false">sheet1!aya137</f>
        <v>#NAME?</v>
      </c>
      <c r="F136" s="0" t="e">
        <f aca="false">sheet1!ayb137</f>
        <v>#NAME?</v>
      </c>
      <c r="G136" s="0" t="e">
        <f aca="false">sheet1!ayc137</f>
        <v>#NAME?</v>
      </c>
      <c r="H136" s="0" t="e">
        <f aca="false">sheet1!ayd137</f>
        <v>#NAME?</v>
      </c>
      <c r="I136" s="0" t="e">
        <f aca="false">sheet1!aye137</f>
        <v>#NAME?</v>
      </c>
      <c r="J136" s="0" t="e">
        <f aca="false">sheet1!ayf137</f>
        <v>#NAME?</v>
      </c>
      <c r="K136" s="0" t="e">
        <f aca="false">sheet1!ayg137</f>
        <v>#NAME?</v>
      </c>
      <c r="L136" s="0" t="e">
        <f aca="false">sheet1!ayh137</f>
        <v>#NAME?</v>
      </c>
      <c r="M136" s="0" t="e">
        <f aca="false">sheet1!ayi137</f>
        <v>#NAME?</v>
      </c>
    </row>
    <row r="137" customFormat="false" ht="13.5" hidden="false" customHeight="false" outlineLevel="0" collapsed="false">
      <c r="A137" s="0" t="s">
        <v>105</v>
      </c>
      <c r="B137" s="1" t="n">
        <v>43997</v>
      </c>
      <c r="C137" s="0" t="e">
        <f aca="false">sheet1!axy138</f>
        <v>#NAME?</v>
      </c>
      <c r="D137" s="0" t="e">
        <f aca="false">sheet1!axz138</f>
        <v>#NAME?</v>
      </c>
      <c r="E137" s="0" t="e">
        <f aca="false">sheet1!aya138</f>
        <v>#NAME?</v>
      </c>
      <c r="F137" s="0" t="e">
        <f aca="false">sheet1!ayb138</f>
        <v>#NAME?</v>
      </c>
      <c r="G137" s="0" t="e">
        <f aca="false">sheet1!ayc138</f>
        <v>#NAME?</v>
      </c>
      <c r="H137" s="0" t="e">
        <f aca="false">sheet1!ayd138</f>
        <v>#NAME?</v>
      </c>
      <c r="I137" s="0" t="e">
        <f aca="false">sheet1!aye138</f>
        <v>#NAME?</v>
      </c>
      <c r="J137" s="0" t="e">
        <f aca="false">sheet1!ayf138</f>
        <v>#NAME?</v>
      </c>
      <c r="K137" s="0" t="e">
        <f aca="false">sheet1!ayg138</f>
        <v>#NAME?</v>
      </c>
      <c r="L137" s="0" t="e">
        <f aca="false">sheet1!ayh138</f>
        <v>#NAME?</v>
      </c>
      <c r="M137" s="0" t="e">
        <f aca="false">sheet1!ayi138</f>
        <v>#NAME?</v>
      </c>
    </row>
    <row r="138" customFormat="false" ht="13.5" hidden="false" customHeight="false" outlineLevel="0" collapsed="false">
      <c r="A138" s="0" t="s">
        <v>105</v>
      </c>
      <c r="B138" s="1" t="n">
        <v>43998</v>
      </c>
      <c r="C138" s="0" t="e">
        <f aca="false">sheet1!axy139</f>
        <v>#NAME?</v>
      </c>
      <c r="D138" s="0" t="e">
        <f aca="false">sheet1!axz139</f>
        <v>#NAME?</v>
      </c>
      <c r="E138" s="0" t="e">
        <f aca="false">sheet1!aya139</f>
        <v>#NAME?</v>
      </c>
      <c r="F138" s="0" t="e">
        <f aca="false">sheet1!ayb139</f>
        <v>#NAME?</v>
      </c>
      <c r="G138" s="0" t="e">
        <f aca="false">sheet1!ayc139</f>
        <v>#NAME?</v>
      </c>
      <c r="H138" s="0" t="e">
        <f aca="false">sheet1!ayd139</f>
        <v>#NAME?</v>
      </c>
      <c r="I138" s="0" t="e">
        <f aca="false">sheet1!aye139</f>
        <v>#NAME?</v>
      </c>
      <c r="J138" s="0" t="e">
        <f aca="false">sheet1!ayf139</f>
        <v>#NAME?</v>
      </c>
      <c r="K138" s="0" t="e">
        <f aca="false">sheet1!ayg139</f>
        <v>#NAME?</v>
      </c>
      <c r="L138" s="0" t="e">
        <f aca="false">sheet1!ayh139</f>
        <v>#NAME?</v>
      </c>
      <c r="M138" s="0" t="e">
        <f aca="false">sheet1!ayi139</f>
        <v>#NAME?</v>
      </c>
    </row>
    <row r="139" customFormat="false" ht="13.5" hidden="false" customHeight="false" outlineLevel="0" collapsed="false">
      <c r="A139" s="0" t="s">
        <v>105</v>
      </c>
      <c r="B139" s="1" t="n">
        <v>43999</v>
      </c>
      <c r="C139" s="0" t="e">
        <f aca="false">sheet1!axy140</f>
        <v>#NAME?</v>
      </c>
      <c r="D139" s="0" t="e">
        <f aca="false">sheet1!axz140</f>
        <v>#NAME?</v>
      </c>
      <c r="E139" s="0" t="e">
        <f aca="false">sheet1!aya140</f>
        <v>#NAME?</v>
      </c>
      <c r="F139" s="0" t="e">
        <f aca="false">sheet1!ayb140</f>
        <v>#NAME?</v>
      </c>
      <c r="G139" s="0" t="e">
        <f aca="false">sheet1!ayc140</f>
        <v>#NAME?</v>
      </c>
      <c r="H139" s="0" t="e">
        <f aca="false">sheet1!ayd140</f>
        <v>#NAME?</v>
      </c>
      <c r="I139" s="0" t="e">
        <f aca="false">sheet1!aye140</f>
        <v>#NAME?</v>
      </c>
      <c r="J139" s="0" t="e">
        <f aca="false">sheet1!ayf140</f>
        <v>#NAME?</v>
      </c>
      <c r="K139" s="0" t="e">
        <f aca="false">sheet1!ayg140</f>
        <v>#NAME?</v>
      </c>
      <c r="L139" s="0" t="e">
        <f aca="false">sheet1!ayh140</f>
        <v>#NAME?</v>
      </c>
      <c r="M139" s="0" t="e">
        <f aca="false">sheet1!ayi140</f>
        <v>#NAME?</v>
      </c>
    </row>
    <row r="140" customFormat="false" ht="13.5" hidden="false" customHeight="false" outlineLevel="0" collapsed="false">
      <c r="A140" s="0" t="s">
        <v>105</v>
      </c>
      <c r="B140" s="1" t="n">
        <v>44000</v>
      </c>
      <c r="C140" s="0" t="e">
        <f aca="false">sheet1!axy141</f>
        <v>#NAME?</v>
      </c>
      <c r="D140" s="0" t="e">
        <f aca="false">sheet1!axz141</f>
        <v>#NAME?</v>
      </c>
      <c r="E140" s="0" t="e">
        <f aca="false">sheet1!aya141</f>
        <v>#NAME?</v>
      </c>
      <c r="F140" s="0" t="e">
        <f aca="false">sheet1!ayb141</f>
        <v>#NAME?</v>
      </c>
      <c r="G140" s="0" t="e">
        <f aca="false">sheet1!ayc141</f>
        <v>#NAME?</v>
      </c>
      <c r="H140" s="0" t="e">
        <f aca="false">sheet1!ayd141</f>
        <v>#NAME?</v>
      </c>
      <c r="I140" s="0" t="e">
        <f aca="false">sheet1!aye141</f>
        <v>#NAME?</v>
      </c>
      <c r="J140" s="0" t="e">
        <f aca="false">sheet1!ayf141</f>
        <v>#NAME?</v>
      </c>
      <c r="K140" s="0" t="e">
        <f aca="false">sheet1!ayg141</f>
        <v>#NAME?</v>
      </c>
      <c r="L140" s="0" t="e">
        <f aca="false">sheet1!ayh141</f>
        <v>#NAME?</v>
      </c>
      <c r="M140" s="0" t="e">
        <f aca="false">sheet1!ayi141</f>
        <v>#NAME?</v>
      </c>
    </row>
    <row r="141" customFormat="false" ht="13.5" hidden="false" customHeight="false" outlineLevel="0" collapsed="false">
      <c r="A141" s="0" t="s">
        <v>105</v>
      </c>
      <c r="B141" s="1" t="n">
        <v>44001</v>
      </c>
      <c r="C141" s="0" t="e">
        <f aca="false">sheet1!axy142</f>
        <v>#NAME?</v>
      </c>
      <c r="D141" s="0" t="e">
        <f aca="false">sheet1!axz142</f>
        <v>#NAME?</v>
      </c>
      <c r="E141" s="0" t="e">
        <f aca="false">sheet1!aya142</f>
        <v>#NAME?</v>
      </c>
      <c r="F141" s="0" t="e">
        <f aca="false">sheet1!ayb142</f>
        <v>#NAME?</v>
      </c>
      <c r="G141" s="0" t="e">
        <f aca="false">sheet1!ayc142</f>
        <v>#NAME?</v>
      </c>
      <c r="H141" s="0" t="e">
        <f aca="false">sheet1!ayd142</f>
        <v>#NAME?</v>
      </c>
      <c r="I141" s="0" t="e">
        <f aca="false">sheet1!aye142</f>
        <v>#NAME?</v>
      </c>
      <c r="J141" s="0" t="e">
        <f aca="false">sheet1!ayf142</f>
        <v>#NAME?</v>
      </c>
      <c r="K141" s="0" t="e">
        <f aca="false">sheet1!ayg142</f>
        <v>#NAME?</v>
      </c>
      <c r="L141" s="0" t="e">
        <f aca="false">sheet1!ayh142</f>
        <v>#NAME?</v>
      </c>
      <c r="M141" s="0" t="e">
        <f aca="false">sheet1!ayi142</f>
        <v>#NAME?</v>
      </c>
    </row>
    <row r="142" customFormat="false" ht="13.5" hidden="false" customHeight="false" outlineLevel="0" collapsed="false">
      <c r="A142" s="0" t="s">
        <v>105</v>
      </c>
      <c r="B142" s="1" t="n">
        <v>44002</v>
      </c>
      <c r="C142" s="0" t="e">
        <f aca="false">sheet1!axy143</f>
        <v>#NAME?</v>
      </c>
      <c r="D142" s="0" t="e">
        <f aca="false">sheet1!axz143</f>
        <v>#NAME?</v>
      </c>
      <c r="E142" s="0" t="e">
        <f aca="false">sheet1!aya143</f>
        <v>#NAME?</v>
      </c>
      <c r="F142" s="0" t="e">
        <f aca="false">sheet1!ayb143</f>
        <v>#NAME?</v>
      </c>
      <c r="G142" s="0" t="e">
        <f aca="false">sheet1!ayc143</f>
        <v>#NAME?</v>
      </c>
      <c r="H142" s="0" t="e">
        <f aca="false">sheet1!ayd143</f>
        <v>#NAME?</v>
      </c>
      <c r="I142" s="0" t="e">
        <f aca="false">sheet1!aye143</f>
        <v>#NAME?</v>
      </c>
      <c r="J142" s="0" t="e">
        <f aca="false">sheet1!ayf143</f>
        <v>#NAME?</v>
      </c>
      <c r="K142" s="0" t="e">
        <f aca="false">sheet1!ayg143</f>
        <v>#NAME?</v>
      </c>
      <c r="L142" s="0" t="e">
        <f aca="false">sheet1!ayh143</f>
        <v>#NAME?</v>
      </c>
      <c r="M142" s="0" t="e">
        <f aca="false">sheet1!ayi143</f>
        <v>#NAME?</v>
      </c>
    </row>
    <row r="143" customFormat="false" ht="13.5" hidden="false" customHeight="false" outlineLevel="0" collapsed="false">
      <c r="A143" s="0" t="s">
        <v>105</v>
      </c>
      <c r="B143" s="1" t="n">
        <v>44003</v>
      </c>
      <c r="C143" s="0" t="e">
        <f aca="false">sheet1!axy144</f>
        <v>#NAME?</v>
      </c>
      <c r="D143" s="0" t="e">
        <f aca="false">sheet1!axz144</f>
        <v>#NAME?</v>
      </c>
      <c r="E143" s="0" t="e">
        <f aca="false">sheet1!aya144</f>
        <v>#NAME?</v>
      </c>
      <c r="F143" s="0" t="e">
        <f aca="false">sheet1!ayb144</f>
        <v>#NAME?</v>
      </c>
      <c r="G143" s="0" t="e">
        <f aca="false">sheet1!ayc144</f>
        <v>#NAME?</v>
      </c>
      <c r="H143" s="0" t="e">
        <f aca="false">sheet1!ayd144</f>
        <v>#NAME?</v>
      </c>
      <c r="I143" s="0" t="e">
        <f aca="false">sheet1!aye144</f>
        <v>#NAME?</v>
      </c>
      <c r="J143" s="0" t="e">
        <f aca="false">sheet1!ayf144</f>
        <v>#NAME?</v>
      </c>
      <c r="K143" s="0" t="e">
        <f aca="false">sheet1!ayg144</f>
        <v>#NAME?</v>
      </c>
      <c r="L143" s="0" t="e">
        <f aca="false">sheet1!ayh144</f>
        <v>#NAME?</v>
      </c>
      <c r="M143" s="0" t="e">
        <f aca="false">sheet1!ayi144</f>
        <v>#NAME?</v>
      </c>
    </row>
    <row r="144" customFormat="false" ht="13.5" hidden="false" customHeight="false" outlineLevel="0" collapsed="false">
      <c r="A144" s="0" t="s">
        <v>105</v>
      </c>
      <c r="B144" s="1" t="n">
        <v>44004</v>
      </c>
      <c r="C144" s="0" t="e">
        <f aca="false">sheet1!axy145</f>
        <v>#NAME?</v>
      </c>
      <c r="D144" s="0" t="e">
        <f aca="false">sheet1!axz145</f>
        <v>#NAME?</v>
      </c>
      <c r="E144" s="0" t="e">
        <f aca="false">sheet1!aya145</f>
        <v>#NAME?</v>
      </c>
      <c r="F144" s="0" t="e">
        <f aca="false">sheet1!ayb145</f>
        <v>#NAME?</v>
      </c>
      <c r="G144" s="0" t="e">
        <f aca="false">sheet1!ayc145</f>
        <v>#NAME?</v>
      </c>
      <c r="H144" s="0" t="e">
        <f aca="false">sheet1!ayd145</f>
        <v>#NAME?</v>
      </c>
      <c r="I144" s="0" t="e">
        <f aca="false">sheet1!aye145</f>
        <v>#NAME?</v>
      </c>
      <c r="J144" s="0" t="e">
        <f aca="false">sheet1!ayf145</f>
        <v>#NAME?</v>
      </c>
      <c r="K144" s="0" t="e">
        <f aca="false">sheet1!ayg145</f>
        <v>#NAME?</v>
      </c>
      <c r="L144" s="0" t="e">
        <f aca="false">sheet1!ayh145</f>
        <v>#NAME?</v>
      </c>
      <c r="M144" s="0" t="e">
        <f aca="false">sheet1!ayi145</f>
        <v>#NAME?</v>
      </c>
    </row>
    <row r="145" customFormat="false" ht="13.5" hidden="false" customHeight="false" outlineLevel="0" collapsed="false">
      <c r="A145" s="0" t="s">
        <v>105</v>
      </c>
      <c r="B145" s="1" t="n">
        <v>44005</v>
      </c>
      <c r="C145" s="0" t="e">
        <f aca="false">sheet1!axy146</f>
        <v>#NAME?</v>
      </c>
      <c r="D145" s="0" t="e">
        <f aca="false">sheet1!axz146</f>
        <v>#NAME?</v>
      </c>
      <c r="E145" s="0" t="e">
        <f aca="false">sheet1!aya146</f>
        <v>#NAME?</v>
      </c>
      <c r="F145" s="0" t="e">
        <f aca="false">sheet1!ayb146</f>
        <v>#NAME?</v>
      </c>
      <c r="G145" s="0" t="e">
        <f aca="false">sheet1!ayc146</f>
        <v>#NAME?</v>
      </c>
      <c r="H145" s="0" t="e">
        <f aca="false">sheet1!ayd146</f>
        <v>#NAME?</v>
      </c>
      <c r="I145" s="0" t="e">
        <f aca="false">sheet1!aye146</f>
        <v>#NAME?</v>
      </c>
      <c r="J145" s="0" t="e">
        <f aca="false">sheet1!ayf146</f>
        <v>#NAME?</v>
      </c>
      <c r="K145" s="0" t="e">
        <f aca="false">sheet1!ayg146</f>
        <v>#NAME?</v>
      </c>
      <c r="L145" s="0" t="e">
        <f aca="false">sheet1!ayh146</f>
        <v>#NAME?</v>
      </c>
      <c r="M145" s="0" t="e">
        <f aca="false">sheet1!ayi146</f>
        <v>#NAME?</v>
      </c>
    </row>
    <row r="146" customFormat="false" ht="13.5" hidden="false" customHeight="false" outlineLevel="0" collapsed="false">
      <c r="A146" s="0" t="s">
        <v>105</v>
      </c>
      <c r="B146" s="1" t="n">
        <v>44006</v>
      </c>
      <c r="C146" s="0" t="e">
        <f aca="false">sheet1!axy147</f>
        <v>#NAME?</v>
      </c>
      <c r="D146" s="0" t="e">
        <f aca="false">sheet1!axz147</f>
        <v>#NAME?</v>
      </c>
      <c r="E146" s="0" t="e">
        <f aca="false">sheet1!aya147</f>
        <v>#NAME?</v>
      </c>
      <c r="F146" s="0" t="e">
        <f aca="false">sheet1!ayb147</f>
        <v>#NAME?</v>
      </c>
      <c r="G146" s="0" t="e">
        <f aca="false">sheet1!ayc147</f>
        <v>#NAME?</v>
      </c>
      <c r="H146" s="0" t="e">
        <f aca="false">sheet1!ayd147</f>
        <v>#NAME?</v>
      </c>
      <c r="I146" s="0" t="e">
        <f aca="false">sheet1!aye147</f>
        <v>#NAME?</v>
      </c>
      <c r="J146" s="0" t="e">
        <f aca="false">sheet1!ayf147</f>
        <v>#NAME?</v>
      </c>
      <c r="K146" s="0" t="e">
        <f aca="false">sheet1!ayg147</f>
        <v>#NAME?</v>
      </c>
      <c r="L146" s="0" t="e">
        <f aca="false">sheet1!ayh147</f>
        <v>#NAME?</v>
      </c>
      <c r="M146" s="0" t="e">
        <f aca="false">sheet1!ayi147</f>
        <v>#NAME?</v>
      </c>
    </row>
    <row r="147" customFormat="false" ht="13.5" hidden="false" customHeight="false" outlineLevel="0" collapsed="false">
      <c r="A147" s="0" t="s">
        <v>105</v>
      </c>
      <c r="B147" s="1" t="n">
        <v>44007</v>
      </c>
      <c r="C147" s="0" t="e">
        <f aca="false">sheet1!axy148</f>
        <v>#NAME?</v>
      </c>
      <c r="D147" s="0" t="e">
        <f aca="false">sheet1!axz148</f>
        <v>#NAME?</v>
      </c>
      <c r="E147" s="0" t="e">
        <f aca="false">sheet1!aya148</f>
        <v>#NAME?</v>
      </c>
      <c r="F147" s="0" t="e">
        <f aca="false">sheet1!ayb148</f>
        <v>#NAME?</v>
      </c>
      <c r="G147" s="0" t="e">
        <f aca="false">sheet1!ayc148</f>
        <v>#NAME?</v>
      </c>
      <c r="H147" s="0" t="e">
        <f aca="false">sheet1!ayd148</f>
        <v>#NAME?</v>
      </c>
      <c r="I147" s="0" t="e">
        <f aca="false">sheet1!aye148</f>
        <v>#NAME?</v>
      </c>
      <c r="J147" s="0" t="e">
        <f aca="false">sheet1!ayf148</f>
        <v>#NAME?</v>
      </c>
      <c r="K147" s="0" t="e">
        <f aca="false">sheet1!ayg148</f>
        <v>#NAME?</v>
      </c>
      <c r="L147" s="0" t="e">
        <f aca="false">sheet1!ayh148</f>
        <v>#NAME?</v>
      </c>
      <c r="M147" s="0" t="e">
        <f aca="false">sheet1!ayi148</f>
        <v>#NAME?</v>
      </c>
    </row>
    <row r="148" customFormat="false" ht="13.5" hidden="false" customHeight="false" outlineLevel="0" collapsed="false">
      <c r="A148" s="0" t="s">
        <v>105</v>
      </c>
      <c r="B148" s="1" t="n">
        <v>44008</v>
      </c>
      <c r="C148" s="0" t="e">
        <f aca="false">sheet1!axy149</f>
        <v>#NAME?</v>
      </c>
      <c r="D148" s="0" t="e">
        <f aca="false">sheet1!axz149</f>
        <v>#NAME?</v>
      </c>
      <c r="E148" s="0" t="e">
        <f aca="false">sheet1!aya149</f>
        <v>#NAME?</v>
      </c>
      <c r="F148" s="0" t="e">
        <f aca="false">sheet1!ayb149</f>
        <v>#NAME?</v>
      </c>
      <c r="G148" s="0" t="e">
        <f aca="false">sheet1!ayc149</f>
        <v>#NAME?</v>
      </c>
      <c r="H148" s="0" t="e">
        <f aca="false">sheet1!ayd149</f>
        <v>#NAME?</v>
      </c>
      <c r="I148" s="0" t="e">
        <f aca="false">sheet1!aye149</f>
        <v>#NAME?</v>
      </c>
      <c r="J148" s="0" t="e">
        <f aca="false">sheet1!ayf149</f>
        <v>#NAME?</v>
      </c>
      <c r="K148" s="0" t="e">
        <f aca="false">sheet1!ayg149</f>
        <v>#NAME?</v>
      </c>
      <c r="L148" s="0" t="e">
        <f aca="false">sheet1!ayh149</f>
        <v>#NAME?</v>
      </c>
      <c r="M148" s="0" t="e">
        <f aca="false">sheet1!ayi149</f>
        <v>#NAME?</v>
      </c>
    </row>
    <row r="149" customFormat="false" ht="13.5" hidden="false" customHeight="false" outlineLevel="0" collapsed="false">
      <c r="A149" s="0" t="s">
        <v>105</v>
      </c>
      <c r="B149" s="1" t="n">
        <v>44009</v>
      </c>
      <c r="C149" s="0" t="e">
        <f aca="false">sheet1!axy150</f>
        <v>#NAME?</v>
      </c>
      <c r="D149" s="0" t="e">
        <f aca="false">sheet1!axz150</f>
        <v>#NAME?</v>
      </c>
      <c r="E149" s="0" t="e">
        <f aca="false">sheet1!aya150</f>
        <v>#NAME?</v>
      </c>
      <c r="F149" s="0" t="e">
        <f aca="false">sheet1!ayb150</f>
        <v>#NAME?</v>
      </c>
      <c r="G149" s="0" t="e">
        <f aca="false">sheet1!ayc150</f>
        <v>#NAME?</v>
      </c>
      <c r="H149" s="0" t="e">
        <f aca="false">sheet1!ayd150</f>
        <v>#NAME?</v>
      </c>
      <c r="I149" s="0" t="e">
        <f aca="false">sheet1!aye150</f>
        <v>#NAME?</v>
      </c>
      <c r="J149" s="0" t="e">
        <f aca="false">sheet1!ayf150</f>
        <v>#NAME?</v>
      </c>
      <c r="K149" s="0" t="e">
        <f aca="false">sheet1!ayg150</f>
        <v>#NAME?</v>
      </c>
      <c r="L149" s="0" t="e">
        <f aca="false">sheet1!ayh150</f>
        <v>#NAME?</v>
      </c>
      <c r="M149" s="0" t="e">
        <f aca="false">sheet1!ayi150</f>
        <v>#NAME?</v>
      </c>
    </row>
    <row r="150" customFormat="false" ht="13.5" hidden="false" customHeight="false" outlineLevel="0" collapsed="false">
      <c r="A150" s="0" t="s">
        <v>105</v>
      </c>
      <c r="B150" s="1" t="n">
        <v>44010</v>
      </c>
      <c r="C150" s="0" t="e">
        <f aca="false">sheet1!axy151</f>
        <v>#NAME?</v>
      </c>
      <c r="D150" s="0" t="e">
        <f aca="false">sheet1!axz151</f>
        <v>#NAME?</v>
      </c>
      <c r="E150" s="0" t="e">
        <f aca="false">sheet1!aya151</f>
        <v>#NAME?</v>
      </c>
      <c r="F150" s="0" t="e">
        <f aca="false">sheet1!ayb151</f>
        <v>#NAME?</v>
      </c>
      <c r="G150" s="0" t="e">
        <f aca="false">sheet1!ayc151</f>
        <v>#NAME?</v>
      </c>
      <c r="H150" s="0" t="e">
        <f aca="false">sheet1!ayd151</f>
        <v>#NAME?</v>
      </c>
      <c r="I150" s="0" t="e">
        <f aca="false">sheet1!aye151</f>
        <v>#NAME?</v>
      </c>
      <c r="J150" s="0" t="e">
        <f aca="false">sheet1!ayf151</f>
        <v>#NAME?</v>
      </c>
      <c r="K150" s="0" t="e">
        <f aca="false">sheet1!ayg151</f>
        <v>#NAME?</v>
      </c>
      <c r="L150" s="0" t="e">
        <f aca="false">sheet1!ayh151</f>
        <v>#NAME?</v>
      </c>
      <c r="M150" s="0" t="e">
        <f aca="false">sheet1!ayi151</f>
        <v>#NAME?</v>
      </c>
    </row>
    <row r="151" customFormat="false" ht="13.5" hidden="false" customHeight="false" outlineLevel="0" collapsed="false">
      <c r="A151" s="0" t="s">
        <v>105</v>
      </c>
      <c r="B151" s="1" t="n">
        <v>44011</v>
      </c>
      <c r="C151" s="0" t="e">
        <f aca="false">sheet1!axy152</f>
        <v>#NAME?</v>
      </c>
      <c r="D151" s="0" t="e">
        <f aca="false">sheet1!axz152</f>
        <v>#NAME?</v>
      </c>
      <c r="E151" s="0" t="e">
        <f aca="false">sheet1!aya152</f>
        <v>#NAME?</v>
      </c>
      <c r="F151" s="0" t="e">
        <f aca="false">sheet1!ayb152</f>
        <v>#NAME?</v>
      </c>
      <c r="G151" s="0" t="e">
        <f aca="false">sheet1!ayc152</f>
        <v>#NAME?</v>
      </c>
      <c r="H151" s="0" t="e">
        <f aca="false">sheet1!ayd152</f>
        <v>#NAME?</v>
      </c>
      <c r="I151" s="0" t="e">
        <f aca="false">sheet1!aye152</f>
        <v>#NAME?</v>
      </c>
      <c r="J151" s="0" t="e">
        <f aca="false">sheet1!ayf152</f>
        <v>#NAME?</v>
      </c>
      <c r="K151" s="0" t="e">
        <f aca="false">sheet1!ayg152</f>
        <v>#NAME?</v>
      </c>
      <c r="L151" s="0" t="e">
        <f aca="false">sheet1!ayh152</f>
        <v>#NAME?</v>
      </c>
      <c r="M151" s="0" t="e">
        <f aca="false">sheet1!ayi152</f>
        <v>#NAME?</v>
      </c>
    </row>
    <row r="152" customFormat="false" ht="13.5" hidden="false" customHeight="false" outlineLevel="0" collapsed="false">
      <c r="A152" s="0" t="s">
        <v>105</v>
      </c>
      <c r="B152" s="1" t="n">
        <v>44012</v>
      </c>
      <c r="C152" s="0" t="e">
        <f aca="false">sheet1!axy153</f>
        <v>#NAME?</v>
      </c>
      <c r="D152" s="0" t="e">
        <f aca="false">sheet1!axz153</f>
        <v>#NAME?</v>
      </c>
      <c r="E152" s="0" t="e">
        <f aca="false">sheet1!aya153</f>
        <v>#NAME?</v>
      </c>
      <c r="F152" s="0" t="e">
        <f aca="false">sheet1!ayb153</f>
        <v>#NAME?</v>
      </c>
      <c r="G152" s="0" t="e">
        <f aca="false">sheet1!ayc153</f>
        <v>#NAME?</v>
      </c>
      <c r="H152" s="0" t="e">
        <f aca="false">sheet1!ayd153</f>
        <v>#NAME?</v>
      </c>
      <c r="I152" s="0" t="e">
        <f aca="false">sheet1!aye153</f>
        <v>#NAME?</v>
      </c>
      <c r="J152" s="0" t="e">
        <f aca="false">sheet1!ayf153</f>
        <v>#NAME?</v>
      </c>
      <c r="K152" s="0" t="e">
        <f aca="false">sheet1!ayg153</f>
        <v>#NAME?</v>
      </c>
      <c r="L152" s="0" t="e">
        <f aca="false">sheet1!ayh153</f>
        <v>#NAME?</v>
      </c>
      <c r="M152" s="0" t="e">
        <f aca="false">sheet1!ayi153</f>
        <v>#NAME?</v>
      </c>
    </row>
    <row r="153" customFormat="false" ht="13.5" hidden="false" customHeight="false" outlineLevel="0" collapsed="false">
      <c r="A153" s="0" t="s">
        <v>105</v>
      </c>
      <c r="B153" s="1" t="n">
        <v>44013</v>
      </c>
      <c r="C153" s="0" t="e">
        <f aca="false">sheet1!axy154</f>
        <v>#NAME?</v>
      </c>
      <c r="D153" s="0" t="e">
        <f aca="false">sheet1!axz154</f>
        <v>#NAME?</v>
      </c>
      <c r="E153" s="0" t="e">
        <f aca="false">sheet1!aya154</f>
        <v>#NAME?</v>
      </c>
      <c r="F153" s="0" t="e">
        <f aca="false">sheet1!ayb154</f>
        <v>#NAME?</v>
      </c>
      <c r="G153" s="0" t="e">
        <f aca="false">sheet1!ayc154</f>
        <v>#NAME?</v>
      </c>
      <c r="H153" s="0" t="e">
        <f aca="false">sheet1!ayd154</f>
        <v>#NAME?</v>
      </c>
      <c r="I153" s="0" t="e">
        <f aca="false">sheet1!aye154</f>
        <v>#NAME?</v>
      </c>
      <c r="J153" s="0" t="e">
        <f aca="false">sheet1!ayf154</f>
        <v>#NAME?</v>
      </c>
      <c r="K153" s="0" t="e">
        <f aca="false">sheet1!ayg154</f>
        <v>#NAME?</v>
      </c>
      <c r="L153" s="0" t="e">
        <f aca="false">sheet1!ayh154</f>
        <v>#NAME?</v>
      </c>
      <c r="M153" s="0" t="e">
        <f aca="false">sheet1!ayi154</f>
        <v>#NAME?</v>
      </c>
    </row>
    <row r="154" customFormat="false" ht="13.5" hidden="false" customHeight="false" outlineLevel="0" collapsed="false">
      <c r="A154" s="0" t="s">
        <v>105</v>
      </c>
      <c r="B154" s="1" t="n">
        <v>44014</v>
      </c>
      <c r="C154" s="0" t="e">
        <f aca="false">sheet1!axy155</f>
        <v>#NAME?</v>
      </c>
      <c r="D154" s="0" t="e">
        <f aca="false">sheet1!axz155</f>
        <v>#NAME?</v>
      </c>
      <c r="E154" s="0" t="e">
        <f aca="false">sheet1!aya155</f>
        <v>#NAME?</v>
      </c>
      <c r="F154" s="0" t="e">
        <f aca="false">sheet1!ayb155</f>
        <v>#NAME?</v>
      </c>
      <c r="G154" s="0" t="e">
        <f aca="false">sheet1!ayc155</f>
        <v>#NAME?</v>
      </c>
      <c r="H154" s="0" t="e">
        <f aca="false">sheet1!ayd155</f>
        <v>#NAME?</v>
      </c>
      <c r="I154" s="0" t="e">
        <f aca="false">sheet1!aye155</f>
        <v>#NAME?</v>
      </c>
      <c r="J154" s="0" t="e">
        <f aca="false">sheet1!ayf155</f>
        <v>#NAME?</v>
      </c>
      <c r="K154" s="0" t="e">
        <f aca="false">sheet1!ayg155</f>
        <v>#NAME?</v>
      </c>
      <c r="L154" s="0" t="e">
        <f aca="false">sheet1!ayh155</f>
        <v>#NAME?</v>
      </c>
      <c r="M154" s="0" t="e">
        <f aca="false">sheet1!ayi155</f>
        <v>#NAME?</v>
      </c>
    </row>
    <row r="155" customFormat="false" ht="13.5" hidden="false" customHeight="false" outlineLevel="0" collapsed="false">
      <c r="A155" s="0" t="s">
        <v>105</v>
      </c>
      <c r="B155" s="1" t="n">
        <v>44015</v>
      </c>
      <c r="C155" s="0" t="e">
        <f aca="false">sheet1!axy156</f>
        <v>#NAME?</v>
      </c>
      <c r="D155" s="0" t="e">
        <f aca="false">sheet1!axz156</f>
        <v>#NAME?</v>
      </c>
      <c r="E155" s="0" t="e">
        <f aca="false">sheet1!aya156</f>
        <v>#NAME?</v>
      </c>
      <c r="F155" s="0" t="e">
        <f aca="false">sheet1!ayb156</f>
        <v>#NAME?</v>
      </c>
      <c r="G155" s="0" t="e">
        <f aca="false">sheet1!ayc156</f>
        <v>#NAME?</v>
      </c>
      <c r="H155" s="0" t="e">
        <f aca="false">sheet1!ayd156</f>
        <v>#NAME?</v>
      </c>
      <c r="I155" s="0" t="e">
        <f aca="false">sheet1!aye156</f>
        <v>#NAME?</v>
      </c>
      <c r="J155" s="0" t="e">
        <f aca="false">sheet1!ayf156</f>
        <v>#NAME?</v>
      </c>
      <c r="K155" s="0" t="e">
        <f aca="false">sheet1!ayg156</f>
        <v>#NAME?</v>
      </c>
      <c r="L155" s="0" t="e">
        <f aca="false">sheet1!ayh156</f>
        <v>#NAME?</v>
      </c>
      <c r="M155" s="0" t="e">
        <f aca="false">sheet1!ayi156</f>
        <v>#NAME?</v>
      </c>
    </row>
    <row r="156" customFormat="false" ht="13.5" hidden="false" customHeight="false" outlineLevel="0" collapsed="false">
      <c r="A156" s="0" t="s">
        <v>105</v>
      </c>
      <c r="B156" s="1" t="n">
        <v>44016</v>
      </c>
      <c r="C156" s="0" t="e">
        <f aca="false">sheet1!axy157</f>
        <v>#NAME?</v>
      </c>
      <c r="D156" s="0" t="e">
        <f aca="false">sheet1!axz157</f>
        <v>#NAME?</v>
      </c>
      <c r="E156" s="0" t="e">
        <f aca="false">sheet1!aya157</f>
        <v>#NAME?</v>
      </c>
      <c r="F156" s="0" t="e">
        <f aca="false">sheet1!ayb157</f>
        <v>#NAME?</v>
      </c>
      <c r="G156" s="0" t="e">
        <f aca="false">sheet1!ayc157</f>
        <v>#NAME?</v>
      </c>
      <c r="H156" s="0" t="e">
        <f aca="false">sheet1!ayd157</f>
        <v>#NAME?</v>
      </c>
      <c r="I156" s="0" t="e">
        <f aca="false">sheet1!aye157</f>
        <v>#NAME?</v>
      </c>
      <c r="J156" s="0" t="e">
        <f aca="false">sheet1!ayf157</f>
        <v>#NAME?</v>
      </c>
      <c r="K156" s="0" t="e">
        <f aca="false">sheet1!ayg157</f>
        <v>#NAME?</v>
      </c>
      <c r="L156" s="0" t="e">
        <f aca="false">sheet1!ayh157</f>
        <v>#NAME?</v>
      </c>
      <c r="M156" s="0" t="e">
        <f aca="false">sheet1!ayi157</f>
        <v>#NAME?</v>
      </c>
    </row>
    <row r="157" customFormat="false" ht="13.5" hidden="false" customHeight="false" outlineLevel="0" collapsed="false">
      <c r="A157" s="0" t="s">
        <v>105</v>
      </c>
      <c r="B157" s="1" t="n">
        <v>44017</v>
      </c>
      <c r="C157" s="0" t="e">
        <f aca="false">sheet1!axy158</f>
        <v>#NAME?</v>
      </c>
      <c r="D157" s="0" t="e">
        <f aca="false">sheet1!axz158</f>
        <v>#NAME?</v>
      </c>
      <c r="E157" s="0" t="e">
        <f aca="false">sheet1!aya158</f>
        <v>#NAME?</v>
      </c>
      <c r="F157" s="0" t="e">
        <f aca="false">sheet1!ayb158</f>
        <v>#NAME?</v>
      </c>
      <c r="G157" s="0" t="e">
        <f aca="false">sheet1!ayc158</f>
        <v>#NAME?</v>
      </c>
      <c r="H157" s="0" t="e">
        <f aca="false">sheet1!ayd158</f>
        <v>#NAME?</v>
      </c>
      <c r="I157" s="0" t="e">
        <f aca="false">sheet1!aye158</f>
        <v>#NAME?</v>
      </c>
      <c r="J157" s="0" t="e">
        <f aca="false">sheet1!ayf158</f>
        <v>#NAME?</v>
      </c>
      <c r="K157" s="0" t="e">
        <f aca="false">sheet1!ayg158</f>
        <v>#NAME?</v>
      </c>
      <c r="L157" s="0" t="e">
        <f aca="false">sheet1!ayh158</f>
        <v>#NAME?</v>
      </c>
      <c r="M157" s="0" t="e">
        <f aca="false">sheet1!ayi158</f>
        <v>#NAME?</v>
      </c>
    </row>
    <row r="158" customFormat="false" ht="13.5" hidden="false" customHeight="false" outlineLevel="0" collapsed="false">
      <c r="A158" s="0" t="s">
        <v>105</v>
      </c>
      <c r="B158" s="1" t="n">
        <v>44018</v>
      </c>
      <c r="C158" s="0" t="e">
        <f aca="false">sheet1!axy159</f>
        <v>#NAME?</v>
      </c>
      <c r="D158" s="0" t="e">
        <f aca="false">sheet1!axz159</f>
        <v>#NAME?</v>
      </c>
      <c r="E158" s="0" t="e">
        <f aca="false">sheet1!aya159</f>
        <v>#NAME?</v>
      </c>
      <c r="F158" s="0" t="e">
        <f aca="false">sheet1!ayb159</f>
        <v>#NAME?</v>
      </c>
      <c r="G158" s="0" t="e">
        <f aca="false">sheet1!ayc159</f>
        <v>#NAME?</v>
      </c>
      <c r="H158" s="0" t="e">
        <f aca="false">sheet1!ayd159</f>
        <v>#NAME?</v>
      </c>
      <c r="I158" s="0" t="e">
        <f aca="false">sheet1!aye159</f>
        <v>#NAME?</v>
      </c>
      <c r="J158" s="0" t="e">
        <f aca="false">sheet1!ayf159</f>
        <v>#NAME?</v>
      </c>
      <c r="K158" s="0" t="e">
        <f aca="false">sheet1!ayg159</f>
        <v>#NAME?</v>
      </c>
      <c r="L158" s="0" t="e">
        <f aca="false">sheet1!ayh159</f>
        <v>#NAME?</v>
      </c>
      <c r="M158" s="0" t="e">
        <f aca="false">sheet1!ayi159</f>
        <v>#NAME?</v>
      </c>
    </row>
    <row r="159" customFormat="false" ht="13.5" hidden="false" customHeight="false" outlineLevel="0" collapsed="false">
      <c r="A159" s="0" t="s">
        <v>105</v>
      </c>
      <c r="B159" s="1" t="n">
        <v>44019</v>
      </c>
      <c r="C159" s="0" t="e">
        <f aca="false">sheet1!axy160</f>
        <v>#NAME?</v>
      </c>
      <c r="D159" s="0" t="e">
        <f aca="false">sheet1!axz160</f>
        <v>#NAME?</v>
      </c>
      <c r="E159" s="0" t="e">
        <f aca="false">sheet1!aya160</f>
        <v>#NAME?</v>
      </c>
      <c r="F159" s="0" t="e">
        <f aca="false">sheet1!ayb160</f>
        <v>#NAME?</v>
      </c>
      <c r="G159" s="0" t="e">
        <f aca="false">sheet1!ayc160</f>
        <v>#NAME?</v>
      </c>
      <c r="H159" s="0" t="e">
        <f aca="false">sheet1!ayd160</f>
        <v>#NAME?</v>
      </c>
      <c r="I159" s="0" t="e">
        <f aca="false">sheet1!aye160</f>
        <v>#NAME?</v>
      </c>
      <c r="J159" s="0" t="e">
        <f aca="false">sheet1!ayf160</f>
        <v>#NAME?</v>
      </c>
      <c r="K159" s="0" t="e">
        <f aca="false">sheet1!ayg160</f>
        <v>#NAME?</v>
      </c>
      <c r="L159" s="0" t="e">
        <f aca="false">sheet1!ayh160</f>
        <v>#NAME?</v>
      </c>
      <c r="M159" s="0" t="e">
        <f aca="false">sheet1!ayi160</f>
        <v>#NAME?</v>
      </c>
    </row>
    <row r="160" customFormat="false" ht="13.5" hidden="false" customHeight="false" outlineLevel="0" collapsed="false">
      <c r="A160" s="0" t="s">
        <v>105</v>
      </c>
      <c r="B160" s="1" t="n">
        <v>44020</v>
      </c>
      <c r="C160" s="0" t="e">
        <f aca="false">sheet1!axy161</f>
        <v>#NAME?</v>
      </c>
      <c r="D160" s="0" t="e">
        <f aca="false">sheet1!axz161</f>
        <v>#NAME?</v>
      </c>
      <c r="E160" s="0" t="e">
        <f aca="false">sheet1!aya161</f>
        <v>#NAME?</v>
      </c>
      <c r="F160" s="0" t="e">
        <f aca="false">sheet1!ayb161</f>
        <v>#NAME?</v>
      </c>
      <c r="G160" s="0" t="e">
        <f aca="false">sheet1!ayc161</f>
        <v>#NAME?</v>
      </c>
      <c r="H160" s="0" t="e">
        <f aca="false">sheet1!ayd161</f>
        <v>#NAME?</v>
      </c>
      <c r="I160" s="0" t="e">
        <f aca="false">sheet1!aye161</f>
        <v>#NAME?</v>
      </c>
      <c r="J160" s="0" t="e">
        <f aca="false">sheet1!ayf161</f>
        <v>#NAME?</v>
      </c>
      <c r="K160" s="0" t="e">
        <f aca="false">sheet1!ayg161</f>
        <v>#NAME?</v>
      </c>
      <c r="L160" s="0" t="e">
        <f aca="false">sheet1!ayh161</f>
        <v>#NAME?</v>
      </c>
      <c r="M160" s="0" t="e">
        <f aca="false">sheet1!ayi161</f>
        <v>#NAME?</v>
      </c>
    </row>
    <row r="161" customFormat="false" ht="13.5" hidden="false" customHeight="false" outlineLevel="0" collapsed="false">
      <c r="A161" s="0" t="s">
        <v>105</v>
      </c>
      <c r="B161" s="1" t="n">
        <v>44021</v>
      </c>
      <c r="C161" s="0" t="e">
        <f aca="false">sheet1!axy162</f>
        <v>#NAME?</v>
      </c>
      <c r="D161" s="0" t="e">
        <f aca="false">sheet1!axz162</f>
        <v>#NAME?</v>
      </c>
      <c r="E161" s="0" t="e">
        <f aca="false">sheet1!aya162</f>
        <v>#NAME?</v>
      </c>
      <c r="F161" s="0" t="e">
        <f aca="false">sheet1!ayb162</f>
        <v>#NAME?</v>
      </c>
      <c r="G161" s="0" t="e">
        <f aca="false">sheet1!ayc162</f>
        <v>#NAME?</v>
      </c>
      <c r="H161" s="0" t="e">
        <f aca="false">sheet1!ayd162</f>
        <v>#NAME?</v>
      </c>
      <c r="I161" s="0" t="e">
        <f aca="false">sheet1!aye162</f>
        <v>#NAME?</v>
      </c>
      <c r="J161" s="0" t="e">
        <f aca="false">sheet1!ayf162</f>
        <v>#NAME?</v>
      </c>
      <c r="K161" s="0" t="e">
        <f aca="false">sheet1!ayg162</f>
        <v>#NAME?</v>
      </c>
      <c r="L161" s="0" t="e">
        <f aca="false">sheet1!ayh162</f>
        <v>#NAME?</v>
      </c>
      <c r="M161" s="0" t="e">
        <f aca="false">sheet1!ayi162</f>
        <v>#NAME?</v>
      </c>
    </row>
    <row r="162" customFormat="false" ht="13.5" hidden="false" customHeight="false" outlineLevel="0" collapsed="false">
      <c r="A162" s="0" t="s">
        <v>105</v>
      </c>
      <c r="B162" s="1" t="n">
        <v>44022</v>
      </c>
      <c r="C162" s="0" t="e">
        <f aca="false">sheet1!axy163</f>
        <v>#NAME?</v>
      </c>
      <c r="D162" s="0" t="e">
        <f aca="false">sheet1!axz163</f>
        <v>#NAME?</v>
      </c>
      <c r="E162" s="0" t="e">
        <f aca="false">sheet1!aya163</f>
        <v>#NAME?</v>
      </c>
      <c r="F162" s="0" t="e">
        <f aca="false">sheet1!ayb163</f>
        <v>#NAME?</v>
      </c>
      <c r="G162" s="0" t="e">
        <f aca="false">sheet1!ayc163</f>
        <v>#NAME?</v>
      </c>
      <c r="H162" s="0" t="e">
        <f aca="false">sheet1!ayd163</f>
        <v>#NAME?</v>
      </c>
      <c r="I162" s="0" t="e">
        <f aca="false">sheet1!aye163</f>
        <v>#NAME?</v>
      </c>
      <c r="J162" s="0" t="e">
        <f aca="false">sheet1!ayf163</f>
        <v>#NAME?</v>
      </c>
      <c r="K162" s="0" t="e">
        <f aca="false">sheet1!ayg163</f>
        <v>#NAME?</v>
      </c>
      <c r="L162" s="0" t="e">
        <f aca="false">sheet1!ayh163</f>
        <v>#NAME?</v>
      </c>
      <c r="M162" s="0" t="e">
        <f aca="false">sheet1!ayi163</f>
        <v>#NAME?</v>
      </c>
    </row>
    <row r="163" customFormat="false" ht="13.5" hidden="false" customHeight="false" outlineLevel="0" collapsed="false">
      <c r="A163" s="0" t="s">
        <v>105</v>
      </c>
      <c r="B163" s="1" t="n">
        <v>44023</v>
      </c>
      <c r="C163" s="0" t="e">
        <f aca="false">sheet1!axy164</f>
        <v>#NAME?</v>
      </c>
      <c r="D163" s="0" t="e">
        <f aca="false">sheet1!axz164</f>
        <v>#NAME?</v>
      </c>
      <c r="E163" s="0" t="e">
        <f aca="false">sheet1!aya164</f>
        <v>#NAME?</v>
      </c>
      <c r="F163" s="0" t="e">
        <f aca="false">sheet1!ayb164</f>
        <v>#NAME?</v>
      </c>
      <c r="G163" s="0" t="e">
        <f aca="false">sheet1!ayc164</f>
        <v>#NAME?</v>
      </c>
      <c r="H163" s="0" t="e">
        <f aca="false">sheet1!ayd164</f>
        <v>#NAME?</v>
      </c>
      <c r="I163" s="0" t="e">
        <f aca="false">sheet1!aye164</f>
        <v>#NAME?</v>
      </c>
      <c r="J163" s="0" t="e">
        <f aca="false">sheet1!ayf164</f>
        <v>#NAME?</v>
      </c>
      <c r="K163" s="0" t="e">
        <f aca="false">sheet1!ayg164</f>
        <v>#NAME?</v>
      </c>
      <c r="L163" s="0" t="e">
        <f aca="false">sheet1!ayh164</f>
        <v>#NAME?</v>
      </c>
      <c r="M163" s="0" t="e">
        <f aca="false">sheet1!ayi164</f>
        <v>#NAME?</v>
      </c>
    </row>
    <row r="164" customFormat="false" ht="13.5" hidden="false" customHeight="false" outlineLevel="0" collapsed="false">
      <c r="A164" s="0" t="s">
        <v>105</v>
      </c>
      <c r="B164" s="1" t="n">
        <v>44024</v>
      </c>
      <c r="C164" s="0" t="e">
        <f aca="false">sheet1!axy165</f>
        <v>#NAME?</v>
      </c>
      <c r="D164" s="0" t="e">
        <f aca="false">sheet1!axz165</f>
        <v>#NAME?</v>
      </c>
      <c r="E164" s="0" t="e">
        <f aca="false">sheet1!aya165</f>
        <v>#NAME?</v>
      </c>
      <c r="F164" s="0" t="e">
        <f aca="false">sheet1!ayb165</f>
        <v>#NAME?</v>
      </c>
      <c r="G164" s="0" t="e">
        <f aca="false">sheet1!ayc165</f>
        <v>#NAME?</v>
      </c>
      <c r="H164" s="0" t="e">
        <f aca="false">sheet1!ayd165</f>
        <v>#NAME?</v>
      </c>
      <c r="I164" s="0" t="e">
        <f aca="false">sheet1!aye165</f>
        <v>#NAME?</v>
      </c>
      <c r="J164" s="0" t="e">
        <f aca="false">sheet1!ayf165</f>
        <v>#NAME?</v>
      </c>
      <c r="K164" s="0" t="e">
        <f aca="false">sheet1!ayg165</f>
        <v>#NAME?</v>
      </c>
      <c r="L164" s="0" t="e">
        <f aca="false">sheet1!ayh165</f>
        <v>#NAME?</v>
      </c>
      <c r="M164" s="0" t="e">
        <f aca="false">sheet1!ayi165</f>
        <v>#NAME?</v>
      </c>
    </row>
    <row r="165" customFormat="false" ht="13.5" hidden="false" customHeight="false" outlineLevel="0" collapsed="false">
      <c r="A165" s="0" t="s">
        <v>105</v>
      </c>
      <c r="B165" s="1" t="n">
        <v>44025</v>
      </c>
      <c r="C165" s="0" t="e">
        <f aca="false">sheet1!axy166</f>
        <v>#NAME?</v>
      </c>
      <c r="D165" s="0" t="e">
        <f aca="false">sheet1!axz166</f>
        <v>#NAME?</v>
      </c>
      <c r="E165" s="0" t="e">
        <f aca="false">sheet1!aya166</f>
        <v>#NAME?</v>
      </c>
      <c r="F165" s="0" t="e">
        <f aca="false">sheet1!ayb166</f>
        <v>#NAME?</v>
      </c>
      <c r="G165" s="0" t="e">
        <f aca="false">sheet1!ayc166</f>
        <v>#NAME?</v>
      </c>
      <c r="H165" s="0" t="e">
        <f aca="false">sheet1!ayd166</f>
        <v>#NAME?</v>
      </c>
      <c r="I165" s="0" t="e">
        <f aca="false">sheet1!aye166</f>
        <v>#NAME?</v>
      </c>
      <c r="J165" s="0" t="e">
        <f aca="false">sheet1!ayf166</f>
        <v>#NAME?</v>
      </c>
      <c r="K165" s="0" t="e">
        <f aca="false">sheet1!ayg166</f>
        <v>#NAME?</v>
      </c>
      <c r="L165" s="0" t="e">
        <f aca="false">sheet1!ayh166</f>
        <v>#NAME?</v>
      </c>
      <c r="M165" s="0" t="e">
        <f aca="false">sheet1!ayi166</f>
        <v>#NAME?</v>
      </c>
    </row>
    <row r="166" customFormat="false" ht="13.5" hidden="false" customHeight="false" outlineLevel="0" collapsed="false">
      <c r="A166" s="0" t="s">
        <v>105</v>
      </c>
      <c r="B166" s="1" t="n">
        <v>44026</v>
      </c>
      <c r="C166" s="0" t="e">
        <f aca="false">sheet1!axy167</f>
        <v>#NAME?</v>
      </c>
      <c r="D166" s="0" t="e">
        <f aca="false">sheet1!axz167</f>
        <v>#NAME?</v>
      </c>
      <c r="E166" s="0" t="e">
        <f aca="false">sheet1!aya167</f>
        <v>#NAME?</v>
      </c>
      <c r="F166" s="0" t="e">
        <f aca="false">sheet1!ayb167</f>
        <v>#NAME?</v>
      </c>
      <c r="G166" s="0" t="e">
        <f aca="false">sheet1!ayc167</f>
        <v>#NAME?</v>
      </c>
      <c r="H166" s="0" t="e">
        <f aca="false">sheet1!ayd167</f>
        <v>#NAME?</v>
      </c>
      <c r="I166" s="0" t="e">
        <f aca="false">sheet1!aye167</f>
        <v>#NAME?</v>
      </c>
      <c r="J166" s="0" t="e">
        <f aca="false">sheet1!ayf167</f>
        <v>#NAME?</v>
      </c>
      <c r="K166" s="0" t="e">
        <f aca="false">sheet1!ayg167</f>
        <v>#NAME?</v>
      </c>
      <c r="L166" s="0" t="e">
        <f aca="false">sheet1!ayh167</f>
        <v>#NAME?</v>
      </c>
      <c r="M166" s="0" t="e">
        <f aca="false">sheet1!ayi167</f>
        <v>#NAME?</v>
      </c>
    </row>
    <row r="167" customFormat="false" ht="13.5" hidden="false" customHeight="false" outlineLevel="0" collapsed="false">
      <c r="A167" s="0" t="s">
        <v>105</v>
      </c>
      <c r="B167" s="1" t="n">
        <v>44027</v>
      </c>
      <c r="C167" s="0" t="e">
        <f aca="false">sheet1!axy168</f>
        <v>#NAME?</v>
      </c>
      <c r="D167" s="0" t="e">
        <f aca="false">sheet1!axz168</f>
        <v>#NAME?</v>
      </c>
      <c r="E167" s="0" t="e">
        <f aca="false">sheet1!aya168</f>
        <v>#NAME?</v>
      </c>
      <c r="F167" s="0" t="e">
        <f aca="false">sheet1!ayb168</f>
        <v>#NAME?</v>
      </c>
      <c r="G167" s="0" t="e">
        <f aca="false">sheet1!ayc168</f>
        <v>#NAME?</v>
      </c>
      <c r="H167" s="0" t="e">
        <f aca="false">sheet1!ayd168</f>
        <v>#NAME?</v>
      </c>
      <c r="I167" s="0" t="e">
        <f aca="false">sheet1!aye168</f>
        <v>#NAME?</v>
      </c>
      <c r="J167" s="0" t="e">
        <f aca="false">sheet1!ayf168</f>
        <v>#NAME?</v>
      </c>
      <c r="K167" s="0" t="e">
        <f aca="false">sheet1!ayg168</f>
        <v>#NAME?</v>
      </c>
      <c r="L167" s="0" t="e">
        <f aca="false">sheet1!ayh168</f>
        <v>#NAME?</v>
      </c>
      <c r="M167" s="0" t="e">
        <f aca="false">sheet1!ayi168</f>
        <v>#NAME?</v>
      </c>
    </row>
    <row r="168" customFormat="false" ht="13.5" hidden="false" customHeight="false" outlineLevel="0" collapsed="false">
      <c r="A168" s="0" t="s">
        <v>105</v>
      </c>
      <c r="B168" s="1" t="n">
        <v>44028</v>
      </c>
      <c r="C168" s="0" t="e">
        <f aca="false">sheet1!axy169</f>
        <v>#NAME?</v>
      </c>
      <c r="D168" s="0" t="e">
        <f aca="false">sheet1!axz169</f>
        <v>#NAME?</v>
      </c>
      <c r="E168" s="0" t="e">
        <f aca="false">sheet1!aya169</f>
        <v>#NAME?</v>
      </c>
      <c r="F168" s="0" t="e">
        <f aca="false">sheet1!ayb169</f>
        <v>#NAME?</v>
      </c>
      <c r="G168" s="0" t="e">
        <f aca="false">sheet1!ayc169</f>
        <v>#NAME?</v>
      </c>
      <c r="H168" s="0" t="e">
        <f aca="false">sheet1!ayd169</f>
        <v>#NAME?</v>
      </c>
      <c r="I168" s="0" t="e">
        <f aca="false">sheet1!aye169</f>
        <v>#NAME?</v>
      </c>
      <c r="J168" s="0" t="e">
        <f aca="false">sheet1!ayf169</f>
        <v>#NAME?</v>
      </c>
      <c r="K168" s="0" t="e">
        <f aca="false">sheet1!ayg169</f>
        <v>#NAME?</v>
      </c>
      <c r="L168" s="0" t="e">
        <f aca="false">sheet1!ayh169</f>
        <v>#NAME?</v>
      </c>
      <c r="M168" s="0" t="e">
        <f aca="false">sheet1!ayi169</f>
        <v>#NAME?</v>
      </c>
    </row>
    <row r="169" customFormat="false" ht="13.5" hidden="false" customHeight="false" outlineLevel="0" collapsed="false">
      <c r="A169" s="0" t="s">
        <v>105</v>
      </c>
      <c r="B169" s="1" t="n">
        <v>44029</v>
      </c>
      <c r="C169" s="0" t="e">
        <f aca="false">sheet1!axy170</f>
        <v>#NAME?</v>
      </c>
      <c r="D169" s="0" t="e">
        <f aca="false">sheet1!axz170</f>
        <v>#NAME?</v>
      </c>
      <c r="E169" s="0" t="e">
        <f aca="false">sheet1!aya170</f>
        <v>#NAME?</v>
      </c>
      <c r="F169" s="0" t="e">
        <f aca="false">sheet1!ayb170</f>
        <v>#NAME?</v>
      </c>
      <c r="G169" s="0" t="e">
        <f aca="false">sheet1!ayc170</f>
        <v>#NAME?</v>
      </c>
      <c r="H169" s="0" t="e">
        <f aca="false">sheet1!ayd170</f>
        <v>#NAME?</v>
      </c>
      <c r="I169" s="0" t="e">
        <f aca="false">sheet1!aye170</f>
        <v>#NAME?</v>
      </c>
      <c r="J169" s="0" t="e">
        <f aca="false">sheet1!ayf170</f>
        <v>#NAME?</v>
      </c>
      <c r="K169" s="0" t="e">
        <f aca="false">sheet1!ayg170</f>
        <v>#NAME?</v>
      </c>
      <c r="L169" s="0" t="e">
        <f aca="false">sheet1!ayh170</f>
        <v>#NAME?</v>
      </c>
      <c r="M169" s="0" t="e">
        <f aca="false">sheet1!ayi170</f>
        <v>#NAME?</v>
      </c>
    </row>
    <row r="170" customFormat="false" ht="13.5" hidden="false" customHeight="false" outlineLevel="0" collapsed="false">
      <c r="A170" s="0" t="s">
        <v>105</v>
      </c>
      <c r="B170" s="1" t="n">
        <v>44030</v>
      </c>
      <c r="C170" s="0" t="e">
        <f aca="false">sheet1!axy171</f>
        <v>#NAME?</v>
      </c>
      <c r="D170" s="0" t="e">
        <f aca="false">sheet1!axz171</f>
        <v>#NAME?</v>
      </c>
      <c r="E170" s="0" t="e">
        <f aca="false">sheet1!aya171</f>
        <v>#NAME?</v>
      </c>
      <c r="F170" s="0" t="e">
        <f aca="false">sheet1!ayb171</f>
        <v>#NAME?</v>
      </c>
      <c r="G170" s="0" t="e">
        <f aca="false">sheet1!ayc171</f>
        <v>#NAME?</v>
      </c>
      <c r="H170" s="0" t="e">
        <f aca="false">sheet1!ayd171</f>
        <v>#NAME?</v>
      </c>
      <c r="I170" s="0" t="e">
        <f aca="false">sheet1!aye171</f>
        <v>#NAME?</v>
      </c>
      <c r="J170" s="0" t="e">
        <f aca="false">sheet1!ayf171</f>
        <v>#NAME?</v>
      </c>
      <c r="K170" s="0" t="e">
        <f aca="false">sheet1!ayg171</f>
        <v>#NAME?</v>
      </c>
      <c r="L170" s="0" t="e">
        <f aca="false">sheet1!ayh171</f>
        <v>#NAME?</v>
      </c>
      <c r="M170" s="0" t="e">
        <f aca="false">sheet1!ayi171</f>
        <v>#NAME?</v>
      </c>
    </row>
    <row r="171" customFormat="false" ht="13.5" hidden="false" customHeight="false" outlineLevel="0" collapsed="false">
      <c r="A171" s="0" t="s">
        <v>105</v>
      </c>
      <c r="B171" s="1" t="n">
        <v>44031</v>
      </c>
      <c r="C171" s="0" t="e">
        <f aca="false">sheet1!axy172</f>
        <v>#NAME?</v>
      </c>
      <c r="D171" s="0" t="e">
        <f aca="false">sheet1!axz172</f>
        <v>#NAME?</v>
      </c>
      <c r="E171" s="0" t="e">
        <f aca="false">sheet1!aya172</f>
        <v>#NAME?</v>
      </c>
      <c r="F171" s="0" t="e">
        <f aca="false">sheet1!ayb172</f>
        <v>#NAME?</v>
      </c>
      <c r="G171" s="0" t="e">
        <f aca="false">sheet1!ayc172</f>
        <v>#NAME?</v>
      </c>
      <c r="H171" s="0" t="e">
        <f aca="false">sheet1!ayd172</f>
        <v>#NAME?</v>
      </c>
      <c r="I171" s="0" t="e">
        <f aca="false">sheet1!aye172</f>
        <v>#NAME?</v>
      </c>
      <c r="J171" s="0" t="e">
        <f aca="false">sheet1!ayf172</f>
        <v>#NAME?</v>
      </c>
      <c r="K171" s="0" t="e">
        <f aca="false">sheet1!ayg172</f>
        <v>#NAME?</v>
      </c>
      <c r="L171" s="0" t="e">
        <f aca="false">sheet1!ayh172</f>
        <v>#NAME?</v>
      </c>
      <c r="M171" s="0" t="e">
        <f aca="false">sheet1!ayi172</f>
        <v>#NAME?</v>
      </c>
    </row>
    <row r="172" customFormat="false" ht="13.5" hidden="false" customHeight="false" outlineLevel="0" collapsed="false">
      <c r="A172" s="0" t="s">
        <v>105</v>
      </c>
      <c r="B172" s="1" t="n">
        <v>44032</v>
      </c>
      <c r="C172" s="0" t="e">
        <f aca="false">sheet1!axy173</f>
        <v>#NAME?</v>
      </c>
      <c r="D172" s="0" t="e">
        <f aca="false">sheet1!axz173</f>
        <v>#NAME?</v>
      </c>
      <c r="E172" s="0" t="e">
        <f aca="false">sheet1!aya173</f>
        <v>#NAME?</v>
      </c>
      <c r="F172" s="0" t="e">
        <f aca="false">sheet1!ayb173</f>
        <v>#NAME?</v>
      </c>
      <c r="G172" s="0" t="e">
        <f aca="false">sheet1!ayc173</f>
        <v>#NAME?</v>
      </c>
      <c r="H172" s="0" t="e">
        <f aca="false">sheet1!ayd173</f>
        <v>#NAME?</v>
      </c>
      <c r="I172" s="0" t="e">
        <f aca="false">sheet1!aye173</f>
        <v>#NAME?</v>
      </c>
      <c r="J172" s="0" t="e">
        <f aca="false">sheet1!ayf173</f>
        <v>#NAME?</v>
      </c>
      <c r="K172" s="0" t="e">
        <f aca="false">sheet1!ayg173</f>
        <v>#NAME?</v>
      </c>
      <c r="L172" s="0" t="e">
        <f aca="false">sheet1!ayh173</f>
        <v>#NAME?</v>
      </c>
      <c r="M172" s="0" t="e">
        <f aca="false">sheet1!ayi173</f>
        <v>#NAME?</v>
      </c>
    </row>
    <row r="173" customFormat="false" ht="13.5" hidden="false" customHeight="false" outlineLevel="0" collapsed="false">
      <c r="A173" s="0" t="s">
        <v>105</v>
      </c>
      <c r="B173" s="1" t="n">
        <v>44033</v>
      </c>
      <c r="C173" s="0" t="e">
        <f aca="false">sheet1!axy174</f>
        <v>#NAME?</v>
      </c>
      <c r="D173" s="0" t="e">
        <f aca="false">sheet1!axz174</f>
        <v>#NAME?</v>
      </c>
      <c r="E173" s="0" t="e">
        <f aca="false">sheet1!aya174</f>
        <v>#NAME?</v>
      </c>
      <c r="F173" s="0" t="e">
        <f aca="false">sheet1!ayb174</f>
        <v>#NAME?</v>
      </c>
      <c r="G173" s="0" t="e">
        <f aca="false">sheet1!ayc174</f>
        <v>#NAME?</v>
      </c>
      <c r="H173" s="0" t="e">
        <f aca="false">sheet1!ayd174</f>
        <v>#NAME?</v>
      </c>
      <c r="I173" s="0" t="e">
        <f aca="false">sheet1!aye174</f>
        <v>#NAME?</v>
      </c>
      <c r="J173" s="0" t="e">
        <f aca="false">sheet1!ayf174</f>
        <v>#NAME?</v>
      </c>
      <c r="K173" s="0" t="e">
        <f aca="false">sheet1!ayg174</f>
        <v>#NAME?</v>
      </c>
      <c r="L173" s="0" t="e">
        <f aca="false">sheet1!ayh174</f>
        <v>#NAME?</v>
      </c>
      <c r="M173" s="0" t="e">
        <f aca="false">sheet1!ayi174</f>
        <v>#NAME?</v>
      </c>
    </row>
    <row r="174" customFormat="false" ht="13.5" hidden="false" customHeight="false" outlineLevel="0" collapsed="false">
      <c r="A174" s="0" t="s">
        <v>105</v>
      </c>
      <c r="B174" s="1" t="n">
        <v>44034</v>
      </c>
      <c r="C174" s="0" t="e">
        <f aca="false">sheet1!axy175</f>
        <v>#NAME?</v>
      </c>
      <c r="D174" s="0" t="e">
        <f aca="false">sheet1!axz175</f>
        <v>#NAME?</v>
      </c>
      <c r="E174" s="0" t="e">
        <f aca="false">sheet1!aya175</f>
        <v>#NAME?</v>
      </c>
      <c r="F174" s="0" t="e">
        <f aca="false">sheet1!ayb175</f>
        <v>#NAME?</v>
      </c>
      <c r="G174" s="0" t="e">
        <f aca="false">sheet1!ayc175</f>
        <v>#NAME?</v>
      </c>
      <c r="H174" s="0" t="e">
        <f aca="false">sheet1!ayd175</f>
        <v>#NAME?</v>
      </c>
      <c r="I174" s="0" t="e">
        <f aca="false">sheet1!aye175</f>
        <v>#NAME?</v>
      </c>
      <c r="J174" s="0" t="e">
        <f aca="false">sheet1!ayf175</f>
        <v>#NAME?</v>
      </c>
      <c r="K174" s="0" t="e">
        <f aca="false">sheet1!ayg175</f>
        <v>#NAME?</v>
      </c>
      <c r="L174" s="0" t="e">
        <f aca="false">sheet1!ayh175</f>
        <v>#NAME?</v>
      </c>
      <c r="M174" s="0" t="e">
        <f aca="false">sheet1!ayi175</f>
        <v>#NAME?</v>
      </c>
    </row>
    <row r="175" customFormat="false" ht="13.5" hidden="false" customHeight="false" outlineLevel="0" collapsed="false">
      <c r="A175" s="0" t="s">
        <v>105</v>
      </c>
      <c r="B175" s="1" t="n">
        <v>44035</v>
      </c>
      <c r="C175" s="0" t="e">
        <f aca="false">sheet1!axy176</f>
        <v>#NAME?</v>
      </c>
      <c r="D175" s="0" t="e">
        <f aca="false">sheet1!axz176</f>
        <v>#NAME?</v>
      </c>
      <c r="E175" s="0" t="e">
        <f aca="false">sheet1!aya176</f>
        <v>#NAME?</v>
      </c>
      <c r="F175" s="0" t="e">
        <f aca="false">sheet1!ayb176</f>
        <v>#NAME?</v>
      </c>
      <c r="G175" s="0" t="e">
        <f aca="false">sheet1!ayc176</f>
        <v>#NAME?</v>
      </c>
      <c r="H175" s="0" t="e">
        <f aca="false">sheet1!ayd176</f>
        <v>#NAME?</v>
      </c>
      <c r="I175" s="0" t="e">
        <f aca="false">sheet1!aye176</f>
        <v>#NAME?</v>
      </c>
      <c r="J175" s="0" t="e">
        <f aca="false">sheet1!ayf176</f>
        <v>#NAME?</v>
      </c>
      <c r="K175" s="0" t="e">
        <f aca="false">sheet1!ayg176</f>
        <v>#NAME?</v>
      </c>
      <c r="L175" s="0" t="e">
        <f aca="false">sheet1!ayh176</f>
        <v>#NAME?</v>
      </c>
      <c r="M175" s="0" t="e">
        <f aca="false">sheet1!ayi176</f>
        <v>#NAME?</v>
      </c>
    </row>
    <row r="176" customFormat="false" ht="13.5" hidden="false" customHeight="false" outlineLevel="0" collapsed="false">
      <c r="A176" s="0" t="s">
        <v>105</v>
      </c>
      <c r="B176" s="1" t="n">
        <v>44036</v>
      </c>
      <c r="C176" s="0" t="e">
        <f aca="false">sheet1!axy177</f>
        <v>#NAME?</v>
      </c>
      <c r="D176" s="0" t="e">
        <f aca="false">sheet1!axz177</f>
        <v>#NAME?</v>
      </c>
      <c r="E176" s="0" t="e">
        <f aca="false">sheet1!aya177</f>
        <v>#NAME?</v>
      </c>
      <c r="F176" s="0" t="e">
        <f aca="false">sheet1!ayb177</f>
        <v>#NAME?</v>
      </c>
      <c r="G176" s="0" t="e">
        <f aca="false">sheet1!ayc177</f>
        <v>#NAME?</v>
      </c>
      <c r="H176" s="0" t="e">
        <f aca="false">sheet1!ayd177</f>
        <v>#NAME?</v>
      </c>
      <c r="I176" s="0" t="e">
        <f aca="false">sheet1!aye177</f>
        <v>#NAME?</v>
      </c>
      <c r="J176" s="0" t="e">
        <f aca="false">sheet1!ayf177</f>
        <v>#NAME?</v>
      </c>
      <c r="K176" s="0" t="e">
        <f aca="false">sheet1!ayg177</f>
        <v>#NAME?</v>
      </c>
      <c r="L176" s="0" t="e">
        <f aca="false">sheet1!ayh177</f>
        <v>#NAME?</v>
      </c>
      <c r="M176" s="0" t="e">
        <f aca="false">sheet1!ayi177</f>
        <v>#NAME?</v>
      </c>
    </row>
    <row r="177" customFormat="false" ht="13.5" hidden="false" customHeight="false" outlineLevel="0" collapsed="false">
      <c r="A177" s="0" t="s">
        <v>105</v>
      </c>
      <c r="B177" s="1" t="n">
        <v>44037</v>
      </c>
      <c r="C177" s="0" t="e">
        <f aca="false">sheet1!axy178</f>
        <v>#NAME?</v>
      </c>
      <c r="D177" s="0" t="e">
        <f aca="false">sheet1!axz178</f>
        <v>#NAME?</v>
      </c>
      <c r="E177" s="0" t="e">
        <f aca="false">sheet1!aya178</f>
        <v>#NAME?</v>
      </c>
      <c r="F177" s="0" t="e">
        <f aca="false">sheet1!ayb178</f>
        <v>#NAME?</v>
      </c>
      <c r="G177" s="0" t="e">
        <f aca="false">sheet1!ayc178</f>
        <v>#NAME?</v>
      </c>
      <c r="H177" s="0" t="e">
        <f aca="false">sheet1!ayd178</f>
        <v>#NAME?</v>
      </c>
      <c r="I177" s="0" t="e">
        <f aca="false">sheet1!aye178</f>
        <v>#NAME?</v>
      </c>
      <c r="J177" s="0" t="e">
        <f aca="false">sheet1!ayf178</f>
        <v>#NAME?</v>
      </c>
      <c r="K177" s="0" t="e">
        <f aca="false">sheet1!ayg178</f>
        <v>#NAME?</v>
      </c>
      <c r="L177" s="0" t="e">
        <f aca="false">sheet1!ayh178</f>
        <v>#NAME?</v>
      </c>
      <c r="M177" s="0" t="e">
        <f aca="false">sheet1!ayi178</f>
        <v>#NAME?</v>
      </c>
    </row>
    <row r="178" customFormat="false" ht="13.5" hidden="false" customHeight="false" outlineLevel="0" collapsed="false">
      <c r="A178" s="0" t="s">
        <v>105</v>
      </c>
      <c r="B178" s="1" t="n">
        <v>44038</v>
      </c>
      <c r="C178" s="0" t="e">
        <f aca="false">sheet1!axy179</f>
        <v>#NAME?</v>
      </c>
      <c r="D178" s="0" t="e">
        <f aca="false">sheet1!axz179</f>
        <v>#NAME?</v>
      </c>
      <c r="E178" s="0" t="e">
        <f aca="false">sheet1!aya179</f>
        <v>#NAME?</v>
      </c>
      <c r="F178" s="0" t="e">
        <f aca="false">sheet1!ayb179</f>
        <v>#NAME?</v>
      </c>
      <c r="G178" s="0" t="e">
        <f aca="false">sheet1!ayc179</f>
        <v>#NAME?</v>
      </c>
      <c r="H178" s="0" t="e">
        <f aca="false">sheet1!ayd179</f>
        <v>#NAME?</v>
      </c>
      <c r="I178" s="0" t="e">
        <f aca="false">sheet1!aye179</f>
        <v>#NAME?</v>
      </c>
      <c r="J178" s="0" t="e">
        <f aca="false">sheet1!ayf179</f>
        <v>#NAME?</v>
      </c>
      <c r="K178" s="0" t="e">
        <f aca="false">sheet1!ayg179</f>
        <v>#NAME?</v>
      </c>
      <c r="L178" s="0" t="e">
        <f aca="false">sheet1!ayh179</f>
        <v>#NAME?</v>
      </c>
      <c r="M178" s="0" t="e">
        <f aca="false">sheet1!ayi179</f>
        <v>#NAME?</v>
      </c>
    </row>
    <row r="179" customFormat="false" ht="13.5" hidden="false" customHeight="false" outlineLevel="0" collapsed="false">
      <c r="A179" s="0" t="s">
        <v>105</v>
      </c>
      <c r="B179" s="1" t="n">
        <v>44039</v>
      </c>
      <c r="C179" s="0" t="e">
        <f aca="false">sheet1!axy180</f>
        <v>#NAME?</v>
      </c>
      <c r="D179" s="0" t="e">
        <f aca="false">sheet1!axz180</f>
        <v>#NAME?</v>
      </c>
      <c r="E179" s="0" t="e">
        <f aca="false">sheet1!aya180</f>
        <v>#NAME?</v>
      </c>
      <c r="F179" s="0" t="e">
        <f aca="false">sheet1!ayb180</f>
        <v>#NAME?</v>
      </c>
      <c r="G179" s="0" t="e">
        <f aca="false">sheet1!ayc180</f>
        <v>#NAME?</v>
      </c>
      <c r="H179" s="0" t="e">
        <f aca="false">sheet1!ayd180</f>
        <v>#NAME?</v>
      </c>
      <c r="I179" s="0" t="e">
        <f aca="false">sheet1!aye180</f>
        <v>#NAME?</v>
      </c>
      <c r="J179" s="0" t="e">
        <f aca="false">sheet1!ayf180</f>
        <v>#NAME?</v>
      </c>
      <c r="K179" s="0" t="e">
        <f aca="false">sheet1!ayg180</f>
        <v>#NAME?</v>
      </c>
      <c r="L179" s="0" t="e">
        <f aca="false">sheet1!ayh180</f>
        <v>#NAME?</v>
      </c>
      <c r="M179" s="0" t="e">
        <f aca="false">sheet1!ayi180</f>
        <v>#NAME?</v>
      </c>
    </row>
    <row r="180" customFormat="false" ht="13.5" hidden="false" customHeight="false" outlineLevel="0" collapsed="false">
      <c r="A180" s="0" t="s">
        <v>105</v>
      </c>
      <c r="B180" s="1" t="n">
        <v>44040</v>
      </c>
      <c r="C180" s="0" t="e">
        <f aca="false">sheet1!axy181</f>
        <v>#NAME?</v>
      </c>
      <c r="D180" s="0" t="e">
        <f aca="false">sheet1!axz181</f>
        <v>#NAME?</v>
      </c>
      <c r="E180" s="0" t="e">
        <f aca="false">sheet1!aya181</f>
        <v>#NAME?</v>
      </c>
      <c r="F180" s="0" t="e">
        <f aca="false">sheet1!ayb181</f>
        <v>#NAME?</v>
      </c>
      <c r="G180" s="0" t="e">
        <f aca="false">sheet1!ayc181</f>
        <v>#NAME?</v>
      </c>
      <c r="H180" s="0" t="e">
        <f aca="false">sheet1!ayd181</f>
        <v>#NAME?</v>
      </c>
      <c r="I180" s="0" t="e">
        <f aca="false">sheet1!aye181</f>
        <v>#NAME?</v>
      </c>
      <c r="J180" s="0" t="e">
        <f aca="false">sheet1!ayf181</f>
        <v>#NAME?</v>
      </c>
      <c r="K180" s="0" t="e">
        <f aca="false">sheet1!ayg181</f>
        <v>#NAME?</v>
      </c>
      <c r="L180" s="0" t="e">
        <f aca="false">sheet1!ayh181</f>
        <v>#NAME?</v>
      </c>
      <c r="M180" s="0" t="e">
        <f aca="false">sheet1!ayi181</f>
        <v>#NAME?</v>
      </c>
    </row>
    <row r="181" customFormat="false" ht="13.5" hidden="false" customHeight="false" outlineLevel="0" collapsed="false">
      <c r="A181" s="0" t="s">
        <v>105</v>
      </c>
      <c r="B181" s="1" t="n">
        <v>44041</v>
      </c>
      <c r="C181" s="0" t="e">
        <f aca="false">sheet1!axy182</f>
        <v>#NAME?</v>
      </c>
      <c r="D181" s="0" t="e">
        <f aca="false">sheet1!axz182</f>
        <v>#NAME?</v>
      </c>
      <c r="E181" s="0" t="e">
        <f aca="false">sheet1!aya182</f>
        <v>#NAME?</v>
      </c>
      <c r="F181" s="0" t="e">
        <f aca="false">sheet1!ayb182</f>
        <v>#NAME?</v>
      </c>
      <c r="G181" s="0" t="e">
        <f aca="false">sheet1!ayc182</f>
        <v>#NAME?</v>
      </c>
      <c r="H181" s="0" t="e">
        <f aca="false">sheet1!ayd182</f>
        <v>#NAME?</v>
      </c>
      <c r="I181" s="0" t="e">
        <f aca="false">sheet1!aye182</f>
        <v>#NAME?</v>
      </c>
      <c r="J181" s="0" t="e">
        <f aca="false">sheet1!ayf182</f>
        <v>#NAME?</v>
      </c>
      <c r="K181" s="0" t="e">
        <f aca="false">sheet1!ayg182</f>
        <v>#NAME?</v>
      </c>
      <c r="L181" s="0" t="e">
        <f aca="false">sheet1!ayh182</f>
        <v>#NAME?</v>
      </c>
      <c r="M181" s="0" t="e">
        <f aca="false">sheet1!ayi182</f>
        <v>#NAME?</v>
      </c>
    </row>
    <row r="182" customFormat="false" ht="13.5" hidden="false" customHeight="false" outlineLevel="0" collapsed="false">
      <c r="A182" s="0" t="s">
        <v>105</v>
      </c>
      <c r="B182" s="1" t="n">
        <v>44042</v>
      </c>
      <c r="C182" s="0" t="e">
        <f aca="false">sheet1!axy183</f>
        <v>#NAME?</v>
      </c>
      <c r="D182" s="0" t="e">
        <f aca="false">sheet1!axz183</f>
        <v>#NAME?</v>
      </c>
      <c r="E182" s="0" t="e">
        <f aca="false">sheet1!aya183</f>
        <v>#NAME?</v>
      </c>
      <c r="F182" s="0" t="e">
        <f aca="false">sheet1!ayb183</f>
        <v>#NAME?</v>
      </c>
      <c r="G182" s="0" t="e">
        <f aca="false">sheet1!ayc183</f>
        <v>#NAME?</v>
      </c>
      <c r="H182" s="0" t="e">
        <f aca="false">sheet1!ayd183</f>
        <v>#NAME?</v>
      </c>
      <c r="I182" s="0" t="e">
        <f aca="false">sheet1!aye183</f>
        <v>#NAME?</v>
      </c>
      <c r="J182" s="0" t="e">
        <f aca="false">sheet1!ayf183</f>
        <v>#NAME?</v>
      </c>
      <c r="K182" s="0" t="e">
        <f aca="false">sheet1!ayg183</f>
        <v>#NAME?</v>
      </c>
      <c r="L182" s="0" t="e">
        <f aca="false">sheet1!ayh183</f>
        <v>#NAME?</v>
      </c>
      <c r="M182" s="0" t="e">
        <f aca="false">sheet1!ayi183</f>
        <v>#NAME?</v>
      </c>
    </row>
    <row r="183" customFormat="false" ht="13.5" hidden="false" customHeight="false" outlineLevel="0" collapsed="false">
      <c r="A183" s="0" t="s">
        <v>105</v>
      </c>
      <c r="B183" s="1" t="n">
        <v>44043</v>
      </c>
      <c r="C183" s="0" t="e">
        <f aca="false">sheet1!axy184</f>
        <v>#NAME?</v>
      </c>
      <c r="D183" s="0" t="e">
        <f aca="false">sheet1!axz184</f>
        <v>#NAME?</v>
      </c>
      <c r="E183" s="0" t="e">
        <f aca="false">sheet1!aya184</f>
        <v>#NAME?</v>
      </c>
      <c r="F183" s="0" t="e">
        <f aca="false">sheet1!ayb184</f>
        <v>#NAME?</v>
      </c>
      <c r="G183" s="0" t="e">
        <f aca="false">sheet1!ayc184</f>
        <v>#NAME?</v>
      </c>
      <c r="H183" s="0" t="e">
        <f aca="false">sheet1!ayd184</f>
        <v>#NAME?</v>
      </c>
      <c r="I183" s="0" t="e">
        <f aca="false">sheet1!aye184</f>
        <v>#NAME?</v>
      </c>
      <c r="J183" s="0" t="e">
        <f aca="false">sheet1!ayf184</f>
        <v>#NAME?</v>
      </c>
      <c r="K183" s="0" t="e">
        <f aca="false">sheet1!ayg184</f>
        <v>#NAME?</v>
      </c>
      <c r="L183" s="0" t="e">
        <f aca="false">sheet1!ayh184</f>
        <v>#NAME?</v>
      </c>
      <c r="M183" s="0" t="e">
        <f aca="false">sheet1!ayi184</f>
        <v>#NAME?</v>
      </c>
    </row>
    <row r="184" customFormat="false" ht="13.5" hidden="false" customHeight="false" outlineLevel="0" collapsed="false">
      <c r="A184" s="0" t="s">
        <v>105</v>
      </c>
      <c r="B184" s="1" t="n">
        <v>44044</v>
      </c>
      <c r="C184" s="0" t="e">
        <f aca="false">sheet1!axy185</f>
        <v>#NAME?</v>
      </c>
      <c r="D184" s="0" t="e">
        <f aca="false">sheet1!axz185</f>
        <v>#NAME?</v>
      </c>
      <c r="E184" s="0" t="e">
        <f aca="false">sheet1!aya185</f>
        <v>#NAME?</v>
      </c>
      <c r="F184" s="0" t="e">
        <f aca="false">sheet1!ayb185</f>
        <v>#NAME?</v>
      </c>
      <c r="G184" s="0" t="e">
        <f aca="false">sheet1!ayc185</f>
        <v>#NAME?</v>
      </c>
      <c r="H184" s="0" t="e">
        <f aca="false">sheet1!ayd185</f>
        <v>#NAME?</v>
      </c>
      <c r="I184" s="0" t="e">
        <f aca="false">sheet1!aye185</f>
        <v>#NAME?</v>
      </c>
      <c r="J184" s="0" t="e">
        <f aca="false">sheet1!ayf185</f>
        <v>#NAME?</v>
      </c>
      <c r="K184" s="0" t="e">
        <f aca="false">sheet1!ayg185</f>
        <v>#NAME?</v>
      </c>
      <c r="L184" s="0" t="e">
        <f aca="false">sheet1!ayh185</f>
        <v>#NAME?</v>
      </c>
      <c r="M184" s="0" t="e">
        <f aca="false">sheet1!ayi185</f>
        <v>#NAME?</v>
      </c>
    </row>
    <row r="185" customFormat="false" ht="13.5" hidden="false" customHeight="false" outlineLevel="0" collapsed="false">
      <c r="A185" s="0" t="s">
        <v>105</v>
      </c>
      <c r="B185" s="1" t="n">
        <v>44045</v>
      </c>
      <c r="C185" s="0" t="e">
        <f aca="false">sheet1!axy186</f>
        <v>#NAME?</v>
      </c>
      <c r="D185" s="0" t="e">
        <f aca="false">sheet1!axz186</f>
        <v>#NAME?</v>
      </c>
      <c r="E185" s="0" t="e">
        <f aca="false">sheet1!aya186</f>
        <v>#NAME?</v>
      </c>
      <c r="F185" s="0" t="e">
        <f aca="false">sheet1!ayb186</f>
        <v>#NAME?</v>
      </c>
      <c r="G185" s="0" t="e">
        <f aca="false">sheet1!ayc186</f>
        <v>#NAME?</v>
      </c>
      <c r="H185" s="0" t="e">
        <f aca="false">sheet1!ayd186</f>
        <v>#NAME?</v>
      </c>
      <c r="I185" s="0" t="e">
        <f aca="false">sheet1!aye186</f>
        <v>#NAME?</v>
      </c>
      <c r="J185" s="0" t="e">
        <f aca="false">sheet1!ayf186</f>
        <v>#NAME?</v>
      </c>
      <c r="K185" s="0" t="e">
        <f aca="false">sheet1!ayg186</f>
        <v>#NAME?</v>
      </c>
      <c r="L185" s="0" t="e">
        <f aca="false">sheet1!ayh186</f>
        <v>#NAME?</v>
      </c>
      <c r="M185" s="0" t="e">
        <f aca="false">sheet1!ayi186</f>
        <v>#NAME?</v>
      </c>
    </row>
    <row r="186" customFormat="false" ht="13.5" hidden="false" customHeight="false" outlineLevel="0" collapsed="false">
      <c r="A186" s="0" t="s">
        <v>105</v>
      </c>
      <c r="B186" s="1" t="n">
        <v>44046</v>
      </c>
      <c r="C186" s="0" t="e">
        <f aca="false">sheet1!axy187</f>
        <v>#NAME?</v>
      </c>
      <c r="D186" s="0" t="e">
        <f aca="false">sheet1!axz187</f>
        <v>#NAME?</v>
      </c>
      <c r="E186" s="0" t="e">
        <f aca="false">sheet1!aya187</f>
        <v>#NAME?</v>
      </c>
      <c r="F186" s="0" t="e">
        <f aca="false">sheet1!ayb187</f>
        <v>#NAME?</v>
      </c>
      <c r="G186" s="0" t="e">
        <f aca="false">sheet1!ayc187</f>
        <v>#NAME?</v>
      </c>
      <c r="H186" s="0" t="e">
        <f aca="false">sheet1!ayd187</f>
        <v>#NAME?</v>
      </c>
      <c r="I186" s="0" t="e">
        <f aca="false">sheet1!aye187</f>
        <v>#NAME?</v>
      </c>
      <c r="J186" s="0" t="e">
        <f aca="false">sheet1!ayf187</f>
        <v>#NAME?</v>
      </c>
      <c r="K186" s="0" t="e">
        <f aca="false">sheet1!ayg187</f>
        <v>#NAME?</v>
      </c>
      <c r="L186" s="0" t="e">
        <f aca="false">sheet1!ayh187</f>
        <v>#NAME?</v>
      </c>
      <c r="M186" s="0" t="e">
        <f aca="false">sheet1!ayi187</f>
        <v>#NAME?</v>
      </c>
    </row>
    <row r="187" customFormat="false" ht="13.5" hidden="false" customHeight="false" outlineLevel="0" collapsed="false">
      <c r="A187" s="0" t="s">
        <v>105</v>
      </c>
      <c r="B187" s="1" t="n">
        <v>44047</v>
      </c>
      <c r="C187" s="0" t="e">
        <f aca="false">sheet1!axy188</f>
        <v>#NAME?</v>
      </c>
      <c r="D187" s="0" t="e">
        <f aca="false">sheet1!axz188</f>
        <v>#NAME?</v>
      </c>
      <c r="E187" s="0" t="e">
        <f aca="false">sheet1!aya188</f>
        <v>#NAME?</v>
      </c>
      <c r="F187" s="0" t="e">
        <f aca="false">sheet1!ayb188</f>
        <v>#NAME?</v>
      </c>
      <c r="G187" s="0" t="e">
        <f aca="false">sheet1!ayc188</f>
        <v>#NAME?</v>
      </c>
      <c r="H187" s="0" t="e">
        <f aca="false">sheet1!ayd188</f>
        <v>#NAME?</v>
      </c>
      <c r="I187" s="0" t="e">
        <f aca="false">sheet1!aye188</f>
        <v>#NAME?</v>
      </c>
      <c r="J187" s="0" t="e">
        <f aca="false">sheet1!ayf188</f>
        <v>#NAME?</v>
      </c>
      <c r="K187" s="0" t="e">
        <f aca="false">sheet1!ayg188</f>
        <v>#NAME?</v>
      </c>
      <c r="L187" s="0" t="e">
        <f aca="false">sheet1!ayh188</f>
        <v>#NAME?</v>
      </c>
      <c r="M187" s="0" t="e">
        <f aca="false">sheet1!ayi188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106</v>
      </c>
      <c r="B2" s="1" t="n">
        <v>43862</v>
      </c>
    </row>
    <row r="3" customFormat="false" ht="13.5" hidden="false" customHeight="false" outlineLevel="0" collapsed="false">
      <c r="A3" s="0" t="s">
        <v>106</v>
      </c>
      <c r="B3" s="1" t="n">
        <v>43863</v>
      </c>
    </row>
    <row r="4" customFormat="false" ht="13.5" hidden="false" customHeight="false" outlineLevel="0" collapsed="false">
      <c r="A4" s="0" t="s">
        <v>106</v>
      </c>
      <c r="B4" s="1" t="n">
        <v>43864</v>
      </c>
    </row>
    <row r="5" customFormat="false" ht="13.5" hidden="false" customHeight="false" outlineLevel="0" collapsed="false">
      <c r="A5" s="0" t="s">
        <v>106</v>
      </c>
      <c r="B5" s="1" t="n">
        <v>43865</v>
      </c>
    </row>
    <row r="6" customFormat="false" ht="13.5" hidden="false" customHeight="false" outlineLevel="0" collapsed="false">
      <c r="A6" s="0" t="s">
        <v>106</v>
      </c>
      <c r="B6" s="1" t="n">
        <v>43866</v>
      </c>
    </row>
    <row r="7" customFormat="false" ht="13.5" hidden="false" customHeight="false" outlineLevel="0" collapsed="false">
      <c r="A7" s="0" t="s">
        <v>106</v>
      </c>
      <c r="B7" s="1" t="n">
        <v>43867</v>
      </c>
    </row>
    <row r="8" customFormat="false" ht="13.5" hidden="false" customHeight="false" outlineLevel="0" collapsed="false">
      <c r="A8" s="0" t="s">
        <v>106</v>
      </c>
      <c r="B8" s="1" t="n">
        <v>43868</v>
      </c>
    </row>
    <row r="9" customFormat="false" ht="13.5" hidden="false" customHeight="false" outlineLevel="0" collapsed="false">
      <c r="A9" s="0" t="s">
        <v>106</v>
      </c>
      <c r="B9" s="1" t="n">
        <v>43869</v>
      </c>
    </row>
    <row r="10" customFormat="false" ht="13.5" hidden="false" customHeight="false" outlineLevel="0" collapsed="false">
      <c r="A10" s="0" t="s">
        <v>106</v>
      </c>
      <c r="B10" s="1" t="n">
        <v>43870</v>
      </c>
    </row>
    <row r="11" customFormat="false" ht="13.5" hidden="false" customHeight="false" outlineLevel="0" collapsed="false">
      <c r="A11" s="0" t="s">
        <v>106</v>
      </c>
      <c r="B11" s="1" t="n">
        <v>43871</v>
      </c>
    </row>
    <row r="12" customFormat="false" ht="13.5" hidden="false" customHeight="false" outlineLevel="0" collapsed="false">
      <c r="A12" s="0" t="s">
        <v>106</v>
      </c>
      <c r="B12" s="1" t="n">
        <v>43872</v>
      </c>
    </row>
    <row r="13" customFormat="false" ht="13.5" hidden="false" customHeight="false" outlineLevel="0" collapsed="false">
      <c r="A13" s="0" t="s">
        <v>106</v>
      </c>
      <c r="B13" s="1" t="n">
        <v>43873</v>
      </c>
    </row>
    <row r="14" customFormat="false" ht="13.5" hidden="false" customHeight="false" outlineLevel="0" collapsed="false">
      <c r="A14" s="0" t="s">
        <v>106</v>
      </c>
      <c r="B14" s="1" t="n">
        <v>43874</v>
      </c>
    </row>
    <row r="15" customFormat="false" ht="13.5" hidden="false" customHeight="false" outlineLevel="0" collapsed="false">
      <c r="A15" s="0" t="s">
        <v>106</v>
      </c>
      <c r="B15" s="1" t="n">
        <v>43875</v>
      </c>
    </row>
    <row r="16" customFormat="false" ht="13.5" hidden="false" customHeight="false" outlineLevel="0" collapsed="false">
      <c r="A16" s="0" t="s">
        <v>106</v>
      </c>
      <c r="B16" s="1" t="n">
        <v>43876</v>
      </c>
    </row>
    <row r="17" customFormat="false" ht="13.5" hidden="false" customHeight="false" outlineLevel="0" collapsed="false">
      <c r="A17" s="0" t="s">
        <v>106</v>
      </c>
      <c r="B17" s="1" t="n">
        <v>43877</v>
      </c>
    </row>
    <row r="18" customFormat="false" ht="13.5" hidden="false" customHeight="false" outlineLevel="0" collapsed="false">
      <c r="A18" s="0" t="s">
        <v>106</v>
      </c>
      <c r="B18" s="1" t="n">
        <v>43878</v>
      </c>
    </row>
    <row r="19" customFormat="false" ht="13.5" hidden="false" customHeight="false" outlineLevel="0" collapsed="false">
      <c r="A19" s="0" t="s">
        <v>106</v>
      </c>
      <c r="B19" s="1" t="n">
        <v>43879</v>
      </c>
    </row>
    <row r="20" customFormat="false" ht="13.5" hidden="false" customHeight="false" outlineLevel="0" collapsed="false">
      <c r="A20" s="0" t="s">
        <v>106</v>
      </c>
      <c r="B20" s="1" t="n">
        <v>43880</v>
      </c>
    </row>
    <row r="21" customFormat="false" ht="13.5" hidden="false" customHeight="false" outlineLevel="0" collapsed="false">
      <c r="A21" s="0" t="s">
        <v>106</v>
      </c>
      <c r="B21" s="1" t="n">
        <v>43881</v>
      </c>
    </row>
    <row r="22" customFormat="false" ht="13.5" hidden="false" customHeight="false" outlineLevel="0" collapsed="false">
      <c r="A22" s="0" t="s">
        <v>106</v>
      </c>
      <c r="B22" s="1" t="n">
        <v>43882</v>
      </c>
    </row>
    <row r="23" customFormat="false" ht="13.5" hidden="false" customHeight="false" outlineLevel="0" collapsed="false">
      <c r="A23" s="0" t="s">
        <v>106</v>
      </c>
      <c r="B23" s="1" t="n">
        <v>43883</v>
      </c>
    </row>
    <row r="24" customFormat="false" ht="13.5" hidden="false" customHeight="false" outlineLevel="0" collapsed="false">
      <c r="A24" s="0" t="s">
        <v>106</v>
      </c>
      <c r="B24" s="1" t="n">
        <v>43884</v>
      </c>
    </row>
    <row r="25" customFormat="false" ht="13.5" hidden="false" customHeight="false" outlineLevel="0" collapsed="false">
      <c r="A25" s="0" t="s">
        <v>106</v>
      </c>
      <c r="B25" s="1" t="n">
        <v>43885</v>
      </c>
    </row>
    <row r="26" customFormat="false" ht="13.5" hidden="false" customHeight="false" outlineLevel="0" collapsed="false">
      <c r="A26" s="0" t="s">
        <v>106</v>
      </c>
      <c r="B26" s="1" t="n">
        <v>43886</v>
      </c>
    </row>
    <row r="27" customFormat="false" ht="13.5" hidden="false" customHeight="false" outlineLevel="0" collapsed="false">
      <c r="A27" s="0" t="s">
        <v>106</v>
      </c>
      <c r="B27" s="1" t="n">
        <v>43887</v>
      </c>
    </row>
    <row r="28" customFormat="false" ht="13.5" hidden="false" customHeight="false" outlineLevel="0" collapsed="false">
      <c r="A28" s="0" t="s">
        <v>106</v>
      </c>
      <c r="B28" s="1" t="n">
        <v>43888</v>
      </c>
    </row>
    <row r="29" customFormat="false" ht="13.5" hidden="false" customHeight="false" outlineLevel="0" collapsed="false">
      <c r="A29" s="0" t="s">
        <v>106</v>
      </c>
      <c r="B29" s="1" t="n">
        <v>43889</v>
      </c>
    </row>
    <row r="30" customFormat="false" ht="13.5" hidden="false" customHeight="false" outlineLevel="0" collapsed="false">
      <c r="A30" s="0" t="s">
        <v>106</v>
      </c>
      <c r="B30" s="1" t="n">
        <v>43890</v>
      </c>
    </row>
    <row r="31" customFormat="false" ht="13.5" hidden="false" customHeight="false" outlineLevel="0" collapsed="false">
      <c r="A31" s="0" t="s">
        <v>106</v>
      </c>
      <c r="B31" s="1" t="n">
        <v>43891</v>
      </c>
    </row>
    <row r="32" customFormat="false" ht="13.5" hidden="false" customHeight="false" outlineLevel="0" collapsed="false">
      <c r="A32" s="0" t="s">
        <v>106</v>
      </c>
      <c r="B32" s="1" t="n">
        <v>43892</v>
      </c>
    </row>
    <row r="33" customFormat="false" ht="13.5" hidden="false" customHeight="false" outlineLevel="0" collapsed="false">
      <c r="A33" s="0" t="s">
        <v>106</v>
      </c>
      <c r="B33" s="1" t="n">
        <v>43893</v>
      </c>
    </row>
    <row r="34" customFormat="false" ht="13.5" hidden="false" customHeight="false" outlineLevel="0" collapsed="false">
      <c r="A34" s="0" t="s">
        <v>106</v>
      </c>
      <c r="B34" s="1" t="n">
        <v>43894</v>
      </c>
    </row>
    <row r="35" customFormat="false" ht="13.5" hidden="false" customHeight="false" outlineLevel="0" collapsed="false">
      <c r="A35" s="0" t="s">
        <v>106</v>
      </c>
      <c r="B35" s="1" t="n">
        <v>43895</v>
      </c>
    </row>
    <row r="36" customFormat="false" ht="13.5" hidden="false" customHeight="false" outlineLevel="0" collapsed="false">
      <c r="A36" s="0" t="s">
        <v>106</v>
      </c>
      <c r="B36" s="1" t="n">
        <v>43896</v>
      </c>
    </row>
    <row r="37" customFormat="false" ht="13.5" hidden="false" customHeight="false" outlineLevel="0" collapsed="false">
      <c r="A37" s="0" t="s">
        <v>106</v>
      </c>
      <c r="B37" s="1" t="n">
        <v>43897</v>
      </c>
    </row>
    <row r="38" customFormat="false" ht="13.5" hidden="false" customHeight="false" outlineLevel="0" collapsed="false">
      <c r="A38" s="0" t="s">
        <v>106</v>
      </c>
      <c r="B38" s="1" t="n">
        <v>43898</v>
      </c>
    </row>
    <row r="39" customFormat="false" ht="13.5" hidden="false" customHeight="false" outlineLevel="0" collapsed="false">
      <c r="A39" s="0" t="s">
        <v>106</v>
      </c>
      <c r="B39" s="1" t="n">
        <v>43899</v>
      </c>
    </row>
    <row r="40" customFormat="false" ht="13.5" hidden="false" customHeight="false" outlineLevel="0" collapsed="false">
      <c r="A40" s="0" t="s">
        <v>106</v>
      </c>
      <c r="B40" s="1" t="n">
        <v>43900</v>
      </c>
    </row>
    <row r="41" customFormat="false" ht="13.5" hidden="false" customHeight="false" outlineLevel="0" collapsed="false">
      <c r="A41" s="0" t="s">
        <v>106</v>
      </c>
      <c r="B41" s="1" t="n">
        <v>43901</v>
      </c>
    </row>
    <row r="42" customFormat="false" ht="13.5" hidden="false" customHeight="false" outlineLevel="0" collapsed="false">
      <c r="A42" s="0" t="s">
        <v>106</v>
      </c>
      <c r="B42" s="1" t="n">
        <v>43902</v>
      </c>
    </row>
    <row r="43" customFormat="false" ht="13.5" hidden="false" customHeight="false" outlineLevel="0" collapsed="false">
      <c r="A43" s="0" t="s">
        <v>106</v>
      </c>
      <c r="B43" s="1" t="n">
        <v>43903</v>
      </c>
    </row>
    <row r="44" customFormat="false" ht="13.5" hidden="false" customHeight="false" outlineLevel="0" collapsed="false">
      <c r="A44" s="0" t="s">
        <v>106</v>
      </c>
      <c r="B44" s="1" t="n">
        <v>43904</v>
      </c>
    </row>
    <row r="45" customFormat="false" ht="13.5" hidden="false" customHeight="false" outlineLevel="0" collapsed="false">
      <c r="A45" s="0" t="s">
        <v>106</v>
      </c>
      <c r="B45" s="1" t="n">
        <v>43905</v>
      </c>
      <c r="C45" s="0" t="n">
        <v>1</v>
      </c>
      <c r="D45" s="0" t="n">
        <f aca="false">C45-C44</f>
        <v>1</v>
      </c>
      <c r="H45" s="0" t="n">
        <v>1</v>
      </c>
    </row>
    <row r="46" customFormat="false" ht="13.5" hidden="false" customHeight="false" outlineLevel="0" collapsed="false">
      <c r="A46" s="0" t="s">
        <v>106</v>
      </c>
      <c r="B46" s="1" t="n">
        <v>43906</v>
      </c>
      <c r="C46" s="0" t="n">
        <v>1</v>
      </c>
      <c r="D46" s="0" t="n">
        <f aca="false">C46-C45</f>
        <v>0</v>
      </c>
      <c r="H46" s="0" t="n">
        <v>1</v>
      </c>
    </row>
    <row r="47" customFormat="false" ht="13.5" hidden="false" customHeight="false" outlineLevel="0" collapsed="false">
      <c r="A47" s="0" t="s">
        <v>106</v>
      </c>
      <c r="B47" s="1" t="n">
        <v>43907</v>
      </c>
      <c r="C47" s="0" t="n">
        <v>1</v>
      </c>
      <c r="D47" s="0" t="n">
        <f aca="false">C47-C46</f>
        <v>0</v>
      </c>
      <c r="H47" s="0" t="n">
        <v>1</v>
      </c>
    </row>
    <row r="48" customFormat="false" ht="13.5" hidden="false" customHeight="false" outlineLevel="0" collapsed="false">
      <c r="A48" s="0" t="s">
        <v>106</v>
      </c>
      <c r="B48" s="1" t="n">
        <v>43908</v>
      </c>
      <c r="C48" s="0" t="n">
        <v>3</v>
      </c>
      <c r="D48" s="0" t="n">
        <f aca="false">C48-C47</f>
        <v>2</v>
      </c>
      <c r="H48" s="0" t="n">
        <v>3</v>
      </c>
    </row>
    <row r="49" customFormat="false" ht="13.5" hidden="false" customHeight="false" outlineLevel="0" collapsed="false">
      <c r="A49" s="0" t="s">
        <v>106</v>
      </c>
      <c r="B49" s="1" t="n">
        <v>43909</v>
      </c>
      <c r="C49" s="0" t="n">
        <v>3</v>
      </c>
      <c r="D49" s="0" t="n">
        <f aca="false">C49-C48</f>
        <v>0</v>
      </c>
      <c r="H49" s="0" t="n">
        <v>3</v>
      </c>
      <c r="J49" s="0" t="n">
        <v>11</v>
      </c>
    </row>
    <row r="50" customFormat="false" ht="13.5" hidden="false" customHeight="false" outlineLevel="0" collapsed="false">
      <c r="A50" s="0" t="s">
        <v>106</v>
      </c>
      <c r="B50" s="1" t="n">
        <v>43910</v>
      </c>
      <c r="C50" s="0" t="n">
        <v>4</v>
      </c>
      <c r="D50" s="0" t="n">
        <f aca="false">C50-C49</f>
        <v>1</v>
      </c>
      <c r="H50" s="0" t="n">
        <v>4</v>
      </c>
      <c r="J50" s="0" t="n">
        <v>15</v>
      </c>
    </row>
    <row r="51" customFormat="false" ht="13.5" hidden="false" customHeight="false" outlineLevel="0" collapsed="false">
      <c r="A51" s="0" t="s">
        <v>106</v>
      </c>
      <c r="B51" s="1" t="n">
        <v>43911</v>
      </c>
      <c r="C51" s="0" t="n">
        <v>7</v>
      </c>
      <c r="D51" s="0" t="n">
        <f aca="false">C51-C50</f>
        <v>3</v>
      </c>
      <c r="H51" s="0" t="n">
        <v>7</v>
      </c>
      <c r="J51" s="0" t="n">
        <v>26</v>
      </c>
    </row>
    <row r="52" customFormat="false" ht="13.5" hidden="false" customHeight="false" outlineLevel="0" collapsed="false">
      <c r="A52" s="0" t="s">
        <v>106</v>
      </c>
      <c r="B52" s="1" t="n">
        <v>43912</v>
      </c>
      <c r="C52" s="0" t="n">
        <v>11</v>
      </c>
      <c r="D52" s="0" t="n">
        <f aca="false">C52-C51</f>
        <v>4</v>
      </c>
      <c r="H52" s="0" t="n">
        <v>11</v>
      </c>
      <c r="J52" s="0" t="n">
        <v>40</v>
      </c>
    </row>
    <row r="53" customFormat="false" ht="13.5" hidden="false" customHeight="false" outlineLevel="0" collapsed="false">
      <c r="A53" s="0" t="s">
        <v>106</v>
      </c>
      <c r="B53" s="1" t="n">
        <v>43913</v>
      </c>
      <c r="C53" s="0" t="n">
        <v>11</v>
      </c>
      <c r="D53" s="0" t="n">
        <f aca="false">C53-C52</f>
        <v>0</v>
      </c>
      <c r="H53" s="0" t="n">
        <v>11</v>
      </c>
      <c r="J53" s="0" t="n">
        <v>40</v>
      </c>
    </row>
    <row r="54" customFormat="false" ht="13.5" hidden="false" customHeight="false" outlineLevel="0" collapsed="false">
      <c r="A54" s="0" t="s">
        <v>106</v>
      </c>
      <c r="B54" s="1" t="n">
        <v>43914</v>
      </c>
      <c r="C54" s="0" t="n">
        <v>24</v>
      </c>
      <c r="D54" s="0" t="n">
        <f aca="false">C54-C53</f>
        <v>13</v>
      </c>
      <c r="H54" s="0" t="n">
        <v>24</v>
      </c>
      <c r="J54" s="0" t="n">
        <v>88</v>
      </c>
    </row>
    <row r="55" customFormat="false" ht="13.5" hidden="false" customHeight="false" outlineLevel="0" collapsed="false">
      <c r="A55" s="0" t="s">
        <v>106</v>
      </c>
      <c r="B55" s="1" t="n">
        <v>43915</v>
      </c>
      <c r="C55" s="0" t="n">
        <v>36</v>
      </c>
      <c r="D55" s="0" t="n">
        <f aca="false">C55-C54</f>
        <v>12</v>
      </c>
      <c r="H55" s="0" t="n">
        <v>36</v>
      </c>
      <c r="J55" s="0" t="n">
        <v>132</v>
      </c>
    </row>
    <row r="56" customFormat="false" ht="13.5" hidden="false" customHeight="false" outlineLevel="0" collapsed="false">
      <c r="A56" s="0" t="s">
        <v>106</v>
      </c>
      <c r="B56" s="1" t="n">
        <v>43916</v>
      </c>
      <c r="C56" s="0" t="n">
        <v>36</v>
      </c>
      <c r="D56" s="0" t="n">
        <f aca="false">C56-C55</f>
        <v>0</v>
      </c>
      <c r="H56" s="0" t="n">
        <v>36</v>
      </c>
      <c r="J56" s="0" t="n">
        <v>132</v>
      </c>
    </row>
    <row r="57" customFormat="false" ht="13.5" hidden="false" customHeight="false" outlineLevel="0" collapsed="false">
      <c r="A57" s="0" t="s">
        <v>106</v>
      </c>
      <c r="B57" s="1" t="n">
        <v>43917</v>
      </c>
      <c r="C57" s="0" t="n">
        <v>36</v>
      </c>
      <c r="D57" s="0" t="n">
        <f aca="false">C57-C56</f>
        <v>0</v>
      </c>
      <c r="H57" s="0" t="n">
        <v>36</v>
      </c>
      <c r="J57" s="0" t="n">
        <v>132</v>
      </c>
    </row>
    <row r="58" customFormat="false" ht="13.5" hidden="false" customHeight="false" outlineLevel="0" collapsed="false">
      <c r="A58" s="0" t="s">
        <v>106</v>
      </c>
      <c r="B58" s="1" t="n">
        <v>43918</v>
      </c>
      <c r="C58" s="0" t="n">
        <v>50</v>
      </c>
      <c r="D58" s="0" t="n">
        <f aca="false">C58-C57</f>
        <v>14</v>
      </c>
      <c r="H58" s="0" t="n">
        <v>50</v>
      </c>
      <c r="J58" s="0" t="n">
        <v>183</v>
      </c>
    </row>
    <row r="59" customFormat="false" ht="13.5" hidden="false" customHeight="false" outlineLevel="0" collapsed="false">
      <c r="A59" s="0" t="s">
        <v>106</v>
      </c>
      <c r="B59" s="1" t="n">
        <v>43919</v>
      </c>
      <c r="C59" s="0" t="n">
        <v>63</v>
      </c>
      <c r="D59" s="0" t="n">
        <f aca="false">C59-C58</f>
        <v>13</v>
      </c>
      <c r="H59" s="0" t="n">
        <v>63</v>
      </c>
      <c r="J59" s="0" t="n">
        <v>231</v>
      </c>
    </row>
    <row r="60" customFormat="false" ht="13.5" hidden="false" customHeight="false" outlineLevel="0" collapsed="false">
      <c r="A60" s="0" t="s">
        <v>106</v>
      </c>
      <c r="B60" s="1" t="n">
        <v>43920</v>
      </c>
      <c r="C60" s="0" t="n">
        <v>63</v>
      </c>
      <c r="D60" s="0" t="n">
        <f aca="false">C60-C59</f>
        <v>0</v>
      </c>
      <c r="H60" s="0" t="n">
        <v>63</v>
      </c>
      <c r="J60" s="0" t="n">
        <v>231</v>
      </c>
    </row>
    <row r="61" customFormat="false" ht="13.5" hidden="false" customHeight="false" outlineLevel="0" collapsed="false">
      <c r="A61" s="0" t="s">
        <v>106</v>
      </c>
      <c r="B61" s="1" t="n">
        <v>43921</v>
      </c>
      <c r="C61" s="0" t="n">
        <v>82</v>
      </c>
      <c r="D61" s="0" t="n">
        <f aca="false">C61-C60</f>
        <v>19</v>
      </c>
      <c r="G61" s="0" t="n">
        <v>10</v>
      </c>
      <c r="H61" s="0" t="n">
        <v>72</v>
      </c>
      <c r="I61" s="0" t="n">
        <v>3</v>
      </c>
      <c r="J61" s="0" t="n">
        <v>301</v>
      </c>
    </row>
    <row r="62" customFormat="false" ht="13.5" hidden="false" customHeight="false" outlineLevel="0" collapsed="false">
      <c r="A62" s="0" t="s">
        <v>106</v>
      </c>
      <c r="B62" s="1" t="n">
        <v>43922</v>
      </c>
      <c r="C62" s="0" t="n">
        <v>94</v>
      </c>
      <c r="D62" s="0" t="n">
        <f aca="false">C62-C61</f>
        <v>12</v>
      </c>
      <c r="E62" s="0" t="n">
        <v>1</v>
      </c>
      <c r="F62" s="0" t="n">
        <f aca="false">E62-E61</f>
        <v>1</v>
      </c>
      <c r="G62" s="0" t="n">
        <v>10</v>
      </c>
      <c r="H62" s="0" t="n">
        <v>83</v>
      </c>
      <c r="I62" s="0" t="n">
        <v>3</v>
      </c>
      <c r="J62" s="0" t="n">
        <v>345</v>
      </c>
      <c r="K62" s="0" t="n">
        <v>4</v>
      </c>
    </row>
    <row r="63" customFormat="false" ht="13.5" hidden="false" customHeight="false" outlineLevel="0" collapsed="false">
      <c r="A63" s="0" t="s">
        <v>106</v>
      </c>
      <c r="B63" s="1" t="n">
        <v>43923</v>
      </c>
      <c r="C63" s="0" t="n">
        <v>94</v>
      </c>
      <c r="D63" s="0" t="n">
        <f aca="false">C63-C62</f>
        <v>0</v>
      </c>
      <c r="E63" s="0" t="n">
        <v>1</v>
      </c>
      <c r="F63" s="0" t="n">
        <f aca="false">E63-E62</f>
        <v>0</v>
      </c>
      <c r="G63" s="0" t="n">
        <v>10</v>
      </c>
      <c r="H63" s="0" t="n">
        <v>83</v>
      </c>
      <c r="I63" s="0" t="n">
        <v>3</v>
      </c>
      <c r="J63" s="0" t="n">
        <v>345</v>
      </c>
      <c r="K63" s="0" t="n">
        <v>4</v>
      </c>
    </row>
    <row r="64" customFormat="false" ht="13.5" hidden="false" customHeight="false" outlineLevel="0" collapsed="false">
      <c r="A64" s="0" t="s">
        <v>106</v>
      </c>
      <c r="B64" s="1" t="n">
        <v>43924</v>
      </c>
      <c r="C64" s="0" t="n">
        <v>116</v>
      </c>
      <c r="D64" s="0" t="n">
        <f aca="false">C64-C63</f>
        <v>22</v>
      </c>
      <c r="E64" s="0" t="n">
        <v>1</v>
      </c>
      <c r="F64" s="0" t="n">
        <f aca="false">E64-E63</f>
        <v>0</v>
      </c>
      <c r="G64" s="0" t="n">
        <v>10</v>
      </c>
      <c r="H64" s="0" t="n">
        <v>105</v>
      </c>
      <c r="I64" s="0" t="n">
        <v>3</v>
      </c>
      <c r="J64" s="0" t="n">
        <v>425</v>
      </c>
      <c r="K64" s="0" t="n">
        <v>4</v>
      </c>
    </row>
    <row r="65" customFormat="false" ht="13.5" hidden="false" customHeight="false" outlineLevel="0" collapsed="false">
      <c r="A65" s="0" t="s">
        <v>106</v>
      </c>
      <c r="B65" s="1" t="n">
        <v>43925</v>
      </c>
      <c r="C65" s="0" t="n">
        <v>128</v>
      </c>
      <c r="D65" s="0" t="n">
        <f aca="false">C65-C64</f>
        <v>12</v>
      </c>
      <c r="E65" s="0" t="n">
        <v>2</v>
      </c>
      <c r="F65" s="0" t="n">
        <f aca="false">E65-E64</f>
        <v>1</v>
      </c>
      <c r="G65" s="0" t="n">
        <v>10</v>
      </c>
      <c r="H65" s="0" t="n">
        <v>116</v>
      </c>
      <c r="I65" s="0" t="n">
        <v>3</v>
      </c>
      <c r="J65" s="0" t="n">
        <v>469</v>
      </c>
      <c r="K65" s="0" t="n">
        <v>7</v>
      </c>
    </row>
    <row r="66" customFormat="false" ht="13.5" hidden="false" customHeight="false" outlineLevel="0" collapsed="false">
      <c r="A66" s="0" t="s">
        <v>106</v>
      </c>
      <c r="B66" s="1" t="n">
        <v>43926</v>
      </c>
      <c r="C66" s="0" t="n">
        <v>134</v>
      </c>
      <c r="D66" s="0" t="n">
        <f aca="false">C66-C65</f>
        <v>6</v>
      </c>
      <c r="E66" s="0" t="n">
        <v>2</v>
      </c>
      <c r="F66" s="0" t="n">
        <f aca="false">E66-E65</f>
        <v>0</v>
      </c>
      <c r="G66" s="0" t="n">
        <v>14</v>
      </c>
      <c r="H66" s="0" t="n">
        <v>118</v>
      </c>
      <c r="I66" s="0" t="n">
        <v>3</v>
      </c>
      <c r="J66" s="0" t="n">
        <v>491</v>
      </c>
      <c r="K66" s="0" t="n">
        <v>7</v>
      </c>
      <c r="L66" s="0" t="n">
        <v>479</v>
      </c>
      <c r="M66" s="0" t="n">
        <v>1756</v>
      </c>
    </row>
    <row r="67" customFormat="false" ht="13.5" hidden="false" customHeight="false" outlineLevel="0" collapsed="false">
      <c r="A67" s="0" t="s">
        <v>106</v>
      </c>
      <c r="B67" s="1" t="n">
        <v>43927</v>
      </c>
      <c r="C67" s="0" t="n">
        <v>134</v>
      </c>
      <c r="D67" s="0" t="n">
        <f aca="false">C67-C66</f>
        <v>0</v>
      </c>
      <c r="E67" s="0" t="n">
        <v>2</v>
      </c>
      <c r="F67" s="0" t="n">
        <f aca="false">E67-E66</f>
        <v>0</v>
      </c>
      <c r="G67" s="0" t="n">
        <v>14</v>
      </c>
      <c r="H67" s="0" t="n">
        <v>118</v>
      </c>
      <c r="I67" s="0" t="n">
        <v>3</v>
      </c>
      <c r="J67" s="0" t="n">
        <v>491</v>
      </c>
      <c r="K67" s="0" t="n">
        <v>7</v>
      </c>
      <c r="L67" s="0" t="n">
        <v>479</v>
      </c>
      <c r="M67" s="0" t="n">
        <v>1756</v>
      </c>
    </row>
    <row r="68" customFormat="false" ht="13.5" hidden="false" customHeight="false" outlineLevel="0" collapsed="false">
      <c r="A68" s="0" t="s">
        <v>106</v>
      </c>
      <c r="B68" s="1" t="n">
        <v>43928</v>
      </c>
      <c r="C68" s="0" t="n">
        <v>147</v>
      </c>
      <c r="D68" s="0" t="n">
        <f aca="false">C68-C67</f>
        <v>13</v>
      </c>
      <c r="E68" s="0" t="n">
        <v>2</v>
      </c>
      <c r="F68" s="0" t="n">
        <f aca="false">E68-E67</f>
        <v>0</v>
      </c>
      <c r="G68" s="0" t="n">
        <v>14</v>
      </c>
      <c r="H68" s="0" t="n">
        <v>131</v>
      </c>
      <c r="I68" s="0" t="n">
        <v>3</v>
      </c>
      <c r="J68" s="0" t="n">
        <v>539</v>
      </c>
      <c r="K68" s="0" t="n">
        <v>7</v>
      </c>
      <c r="L68" s="0" t="n">
        <v>479</v>
      </c>
      <c r="M68" s="0" t="n">
        <v>1756</v>
      </c>
    </row>
    <row r="69" customFormat="false" ht="13.5" hidden="false" customHeight="false" outlineLevel="0" collapsed="false">
      <c r="A69" s="0" t="s">
        <v>106</v>
      </c>
      <c r="B69" s="1" t="n">
        <v>43929</v>
      </c>
      <c r="C69" s="0" t="n">
        <v>164</v>
      </c>
      <c r="D69" s="0" t="n">
        <f aca="false">C69-C68</f>
        <v>17</v>
      </c>
      <c r="E69" s="0" t="n">
        <v>2</v>
      </c>
      <c r="F69" s="0" t="n">
        <f aca="false">E69-E68</f>
        <v>0</v>
      </c>
      <c r="G69" s="0" t="n">
        <v>15</v>
      </c>
      <c r="H69" s="0" t="n">
        <v>147</v>
      </c>
      <c r="I69" s="0" t="n">
        <v>3</v>
      </c>
      <c r="J69" s="0" t="n">
        <v>601</v>
      </c>
      <c r="K69" s="0" t="n">
        <v>7</v>
      </c>
      <c r="L69" s="0" t="n">
        <v>479</v>
      </c>
      <c r="M69" s="0" t="n">
        <v>1756</v>
      </c>
    </row>
    <row r="70" customFormat="false" ht="13.5" hidden="false" customHeight="false" outlineLevel="0" collapsed="false">
      <c r="A70" s="0" t="s">
        <v>106</v>
      </c>
      <c r="B70" s="1" t="n">
        <v>43930</v>
      </c>
      <c r="C70" s="0" t="n">
        <v>171</v>
      </c>
      <c r="D70" s="0" t="n">
        <f aca="false">C70-C69</f>
        <v>7</v>
      </c>
      <c r="E70" s="0" t="n">
        <v>2</v>
      </c>
      <c r="F70" s="0" t="n">
        <f aca="false">E70-E69</f>
        <v>0</v>
      </c>
      <c r="G70" s="0" t="n">
        <v>22</v>
      </c>
      <c r="H70" s="0" t="n">
        <v>147</v>
      </c>
      <c r="I70" s="0" t="n">
        <v>3</v>
      </c>
      <c r="J70" s="0" t="n">
        <v>627</v>
      </c>
      <c r="K70" s="0" t="n">
        <v>7</v>
      </c>
      <c r="L70" s="0" t="n">
        <v>1100</v>
      </c>
      <c r="M70" s="0" t="n">
        <v>4032</v>
      </c>
    </row>
    <row r="71" customFormat="false" ht="13.5" hidden="false" customHeight="false" outlineLevel="0" collapsed="false">
      <c r="A71" s="0" t="s">
        <v>106</v>
      </c>
      <c r="B71" s="1" t="n">
        <v>43931</v>
      </c>
      <c r="C71" s="0" t="n">
        <v>184</v>
      </c>
      <c r="D71" s="0" t="n">
        <f aca="false">C71-C70</f>
        <v>13</v>
      </c>
      <c r="E71" s="0" t="n">
        <v>2</v>
      </c>
      <c r="F71" s="0" t="n">
        <f aca="false">E71-E70</f>
        <v>0</v>
      </c>
      <c r="G71" s="0" t="n">
        <v>22</v>
      </c>
      <c r="H71" s="0" t="n">
        <v>160</v>
      </c>
      <c r="I71" s="0" t="n">
        <v>3</v>
      </c>
      <c r="J71" s="0" t="n">
        <v>674</v>
      </c>
      <c r="K71" s="0" t="n">
        <v>7</v>
      </c>
      <c r="L71" s="0" t="n">
        <v>1100</v>
      </c>
      <c r="M71" s="0" t="n">
        <v>4032</v>
      </c>
    </row>
    <row r="72" customFormat="false" ht="13.5" hidden="false" customHeight="false" outlineLevel="0" collapsed="false">
      <c r="A72" s="0" t="s">
        <v>106</v>
      </c>
      <c r="B72" s="1" t="n">
        <v>43932</v>
      </c>
      <c r="C72" s="0" t="n">
        <v>191</v>
      </c>
      <c r="D72" s="0" t="n">
        <f aca="false">C72-C71</f>
        <v>7</v>
      </c>
      <c r="E72" s="0" t="n">
        <v>2</v>
      </c>
      <c r="F72" s="0" t="n">
        <f aca="false">E72-E71</f>
        <v>0</v>
      </c>
      <c r="G72" s="0" t="n">
        <v>50</v>
      </c>
      <c r="H72" s="0" t="n">
        <v>139</v>
      </c>
      <c r="I72" s="0" t="n">
        <v>4</v>
      </c>
      <c r="J72" s="0" t="n">
        <v>700</v>
      </c>
      <c r="K72" s="0" t="n">
        <v>7</v>
      </c>
      <c r="L72" s="0" t="n">
        <v>1300</v>
      </c>
      <c r="M72" s="0" t="n">
        <v>4765</v>
      </c>
    </row>
    <row r="73" customFormat="false" ht="13.5" hidden="false" customHeight="false" outlineLevel="0" collapsed="false">
      <c r="A73" s="0" t="s">
        <v>106</v>
      </c>
      <c r="B73" s="1" t="n">
        <v>43933</v>
      </c>
      <c r="C73" s="0" t="n">
        <v>196</v>
      </c>
      <c r="D73" s="0" t="n">
        <f aca="false">C73-C72</f>
        <v>5</v>
      </c>
      <c r="E73" s="0" t="n">
        <v>3</v>
      </c>
      <c r="F73" s="0" t="n">
        <f aca="false">E73-E72</f>
        <v>1</v>
      </c>
      <c r="G73" s="0" t="n">
        <v>59</v>
      </c>
      <c r="H73" s="0" t="n">
        <v>134</v>
      </c>
      <c r="I73" s="0" t="n">
        <v>3</v>
      </c>
      <c r="J73" s="0" t="n">
        <v>718</v>
      </c>
      <c r="K73" s="0" t="n">
        <v>11</v>
      </c>
      <c r="L73" s="0" t="n">
        <v>1350</v>
      </c>
      <c r="M73" s="0" t="n">
        <v>4948</v>
      </c>
    </row>
    <row r="74" customFormat="false" ht="13.5" hidden="false" customHeight="false" outlineLevel="0" collapsed="false">
      <c r="A74" s="0" t="s">
        <v>106</v>
      </c>
      <c r="B74" s="1" t="n">
        <v>43934</v>
      </c>
      <c r="C74" s="0" t="n">
        <v>196</v>
      </c>
      <c r="D74" s="0" t="n">
        <f aca="false">C74-C73</f>
        <v>0</v>
      </c>
      <c r="E74" s="0" t="n">
        <v>3</v>
      </c>
      <c r="F74" s="0" t="n">
        <f aca="false">E74-E73</f>
        <v>0</v>
      </c>
      <c r="G74" s="0" t="n">
        <v>59</v>
      </c>
      <c r="H74" s="0" t="n">
        <v>134</v>
      </c>
      <c r="I74" s="0" t="n">
        <v>3</v>
      </c>
      <c r="J74" s="0" t="n">
        <v>718</v>
      </c>
      <c r="K74" s="0" t="n">
        <v>11</v>
      </c>
      <c r="L74" s="0" t="n">
        <v>1350</v>
      </c>
      <c r="M74" s="0" t="n">
        <v>4948</v>
      </c>
    </row>
    <row r="75" customFormat="false" ht="13.5" hidden="false" customHeight="false" outlineLevel="0" collapsed="false">
      <c r="A75" s="0" t="s">
        <v>106</v>
      </c>
      <c r="B75" s="1" t="n">
        <v>43935</v>
      </c>
      <c r="C75" s="0" t="n">
        <v>207</v>
      </c>
      <c r="D75" s="0" t="n">
        <f aca="false">C75-C74</f>
        <v>11</v>
      </c>
      <c r="E75" s="0" t="n">
        <v>3</v>
      </c>
      <c r="F75" s="0" t="n">
        <f aca="false">E75-E74</f>
        <v>0</v>
      </c>
      <c r="G75" s="0" t="n">
        <v>59</v>
      </c>
      <c r="H75" s="0" t="n">
        <v>145</v>
      </c>
      <c r="I75" s="0" t="n">
        <v>3</v>
      </c>
      <c r="J75" s="0" t="n">
        <v>759</v>
      </c>
      <c r="K75" s="0" t="n">
        <v>11</v>
      </c>
      <c r="L75" s="0" t="n">
        <v>1400</v>
      </c>
      <c r="M75" s="0" t="n">
        <v>5132</v>
      </c>
    </row>
    <row r="76" customFormat="false" ht="13.5" hidden="false" customHeight="false" outlineLevel="0" collapsed="false">
      <c r="A76" s="0" t="s">
        <v>106</v>
      </c>
      <c r="B76" s="1" t="n">
        <v>43936</v>
      </c>
      <c r="C76" s="0" t="n">
        <v>217</v>
      </c>
      <c r="D76" s="0" t="n">
        <f aca="false">C76-C75</f>
        <v>10</v>
      </c>
      <c r="E76" s="0" t="n">
        <v>3</v>
      </c>
      <c r="F76" s="0" t="n">
        <f aca="false">E76-E75</f>
        <v>0</v>
      </c>
      <c r="G76" s="0" t="n">
        <v>69</v>
      </c>
      <c r="H76" s="0" t="n">
        <v>145</v>
      </c>
      <c r="I76" s="0" t="n">
        <v>3</v>
      </c>
      <c r="J76" s="0" t="n">
        <v>795</v>
      </c>
      <c r="K76" s="0" t="n">
        <v>11</v>
      </c>
      <c r="L76" s="0" t="n">
        <v>1500</v>
      </c>
      <c r="M76" s="0" t="n">
        <v>5498</v>
      </c>
    </row>
    <row r="77" customFormat="false" ht="13.5" hidden="false" customHeight="false" outlineLevel="0" collapsed="false">
      <c r="A77" s="0" t="s">
        <v>106</v>
      </c>
      <c r="B77" s="1" t="n">
        <v>43937</v>
      </c>
      <c r="C77" s="0" t="n">
        <v>217</v>
      </c>
      <c r="D77" s="0" t="n">
        <f aca="false">C77-C76</f>
        <v>0</v>
      </c>
      <c r="E77" s="0" t="n">
        <v>3</v>
      </c>
      <c r="F77" s="0" t="n">
        <f aca="false">E77-E76</f>
        <v>0</v>
      </c>
      <c r="G77" s="0" t="n">
        <v>69</v>
      </c>
      <c r="H77" s="0" t="n">
        <v>145</v>
      </c>
      <c r="I77" s="0" t="n">
        <v>3</v>
      </c>
      <c r="J77" s="0" t="n">
        <v>795</v>
      </c>
      <c r="K77" s="0" t="n">
        <v>11</v>
      </c>
      <c r="L77" s="0" t="n">
        <v>1500</v>
      </c>
      <c r="M77" s="0" t="n">
        <v>5498</v>
      </c>
    </row>
    <row r="78" customFormat="false" ht="13.5" hidden="false" customHeight="false" outlineLevel="0" collapsed="false">
      <c r="A78" s="0" t="s">
        <v>106</v>
      </c>
      <c r="B78" s="1" t="n">
        <v>43938</v>
      </c>
      <c r="C78" s="0" t="n">
        <v>233</v>
      </c>
      <c r="D78" s="0" t="n">
        <f aca="false">C78-C77</f>
        <v>16</v>
      </c>
      <c r="E78" s="0" t="n">
        <v>3</v>
      </c>
      <c r="F78" s="0" t="n">
        <f aca="false">E78-E77</f>
        <v>0</v>
      </c>
      <c r="G78" s="0" t="n">
        <v>69</v>
      </c>
      <c r="H78" s="0" t="n">
        <v>161</v>
      </c>
      <c r="I78" s="0" t="n">
        <v>3</v>
      </c>
      <c r="J78" s="0" t="n">
        <v>854</v>
      </c>
      <c r="K78" s="0" t="n">
        <v>11</v>
      </c>
      <c r="L78" s="0" t="n">
        <v>1500</v>
      </c>
      <c r="M78" s="0" t="n">
        <v>5498</v>
      </c>
    </row>
    <row r="79" customFormat="false" ht="13.5" hidden="false" customHeight="false" outlineLevel="0" collapsed="false">
      <c r="A79" s="0" t="s">
        <v>106</v>
      </c>
      <c r="B79" s="1" t="n">
        <v>43939</v>
      </c>
      <c r="C79" s="0" t="n">
        <v>245</v>
      </c>
      <c r="D79" s="0" t="n">
        <f aca="false">C79-C78</f>
        <v>12</v>
      </c>
      <c r="E79" s="0" t="n">
        <v>4</v>
      </c>
      <c r="F79" s="0" t="n">
        <f aca="false">E79-E78</f>
        <v>1</v>
      </c>
      <c r="G79" s="0" t="n">
        <v>117</v>
      </c>
      <c r="H79" s="0" t="n">
        <v>124</v>
      </c>
      <c r="I79" s="0" t="n">
        <v>6</v>
      </c>
      <c r="J79" s="0" t="n">
        <v>898</v>
      </c>
      <c r="K79" s="0" t="n">
        <v>15</v>
      </c>
      <c r="L79" s="0" t="n">
        <v>1700</v>
      </c>
      <c r="M79" s="0" t="n">
        <v>6231</v>
      </c>
    </row>
    <row r="80" customFormat="false" ht="13.5" hidden="false" customHeight="false" outlineLevel="0" collapsed="false">
      <c r="A80" s="0" t="s">
        <v>106</v>
      </c>
      <c r="B80" s="1" t="n">
        <v>43940</v>
      </c>
      <c r="C80" s="0" t="n">
        <v>254</v>
      </c>
      <c r="D80" s="0" t="n">
        <f aca="false">C80-C79</f>
        <v>9</v>
      </c>
      <c r="E80" s="0" t="n">
        <v>4</v>
      </c>
      <c r="F80" s="0" t="n">
        <f aca="false">E80-E79</f>
        <v>0</v>
      </c>
      <c r="G80" s="0" t="n">
        <v>117</v>
      </c>
      <c r="H80" s="0" t="n">
        <v>133</v>
      </c>
      <c r="I80" s="0" t="n">
        <v>6</v>
      </c>
      <c r="J80" s="0" t="n">
        <v>931</v>
      </c>
      <c r="K80" s="0" t="n">
        <v>15</v>
      </c>
      <c r="L80" s="0" t="n">
        <v>1800</v>
      </c>
      <c r="M80" s="0" t="n">
        <v>6598</v>
      </c>
    </row>
    <row r="81" customFormat="false" ht="13.5" hidden="false" customHeight="false" outlineLevel="0" collapsed="false">
      <c r="A81" s="0" t="s">
        <v>106</v>
      </c>
      <c r="B81" s="1" t="n">
        <v>43941</v>
      </c>
      <c r="C81" s="0" t="n">
        <v>271</v>
      </c>
      <c r="D81" s="0" t="n">
        <f aca="false">C81-C80</f>
        <v>17</v>
      </c>
      <c r="E81" s="0" t="n">
        <v>4</v>
      </c>
      <c r="F81" s="0" t="n">
        <f aca="false">E81-E80</f>
        <v>0</v>
      </c>
      <c r="G81" s="0" t="n">
        <v>117</v>
      </c>
      <c r="H81" s="0" t="n">
        <v>150</v>
      </c>
      <c r="I81" s="0" t="n">
        <v>5</v>
      </c>
      <c r="J81" s="0" t="n">
        <v>993</v>
      </c>
      <c r="K81" s="0" t="n">
        <v>15</v>
      </c>
      <c r="L81" s="0" t="n">
        <v>1850</v>
      </c>
      <c r="M81" s="0" t="n">
        <v>6781</v>
      </c>
    </row>
    <row r="82" customFormat="false" ht="13.5" hidden="false" customHeight="false" outlineLevel="0" collapsed="false">
      <c r="A82" s="0" t="s">
        <v>106</v>
      </c>
      <c r="B82" s="1" t="n">
        <v>43942</v>
      </c>
      <c r="C82" s="0" t="n">
        <v>271</v>
      </c>
      <c r="D82" s="0" t="n">
        <f aca="false">C82-C81</f>
        <v>0</v>
      </c>
      <c r="E82" s="0" t="n">
        <v>4</v>
      </c>
      <c r="F82" s="0" t="n">
        <f aca="false">E82-E81</f>
        <v>0</v>
      </c>
      <c r="G82" s="0" t="n">
        <v>117</v>
      </c>
      <c r="H82" s="0" t="n">
        <v>150</v>
      </c>
      <c r="I82" s="0" t="n">
        <v>5</v>
      </c>
      <c r="J82" s="0" t="n">
        <v>993</v>
      </c>
      <c r="K82" s="0" t="n">
        <v>15</v>
      </c>
      <c r="L82" s="0" t="n">
        <v>1850</v>
      </c>
      <c r="M82" s="0" t="n">
        <v>6781</v>
      </c>
    </row>
    <row r="83" customFormat="false" ht="13.5" hidden="false" customHeight="false" outlineLevel="0" collapsed="false">
      <c r="A83" s="0" t="s">
        <v>106</v>
      </c>
      <c r="B83" s="1" t="n">
        <v>43943</v>
      </c>
      <c r="C83" s="0" t="n">
        <v>311</v>
      </c>
      <c r="D83" s="0" t="n">
        <f aca="false">C83-C82</f>
        <v>40</v>
      </c>
      <c r="E83" s="0" t="n">
        <v>4</v>
      </c>
      <c r="F83" s="0" t="n">
        <f aca="false">E83-E82</f>
        <v>0</v>
      </c>
      <c r="G83" s="0" t="n">
        <v>117</v>
      </c>
      <c r="H83" s="0" t="n">
        <v>190</v>
      </c>
      <c r="I83" s="0" t="n">
        <v>4</v>
      </c>
      <c r="J83" s="0" t="n">
        <v>1140</v>
      </c>
      <c r="K83" s="0" t="n">
        <v>15</v>
      </c>
      <c r="L83" s="0" t="n">
        <v>2000</v>
      </c>
      <c r="M83" s="0" t="n">
        <v>7331</v>
      </c>
    </row>
    <row r="84" customFormat="false" ht="13.5" hidden="false" customHeight="false" outlineLevel="0" collapsed="false">
      <c r="A84" s="0" t="s">
        <v>106</v>
      </c>
      <c r="B84" s="1" t="n">
        <v>43944</v>
      </c>
      <c r="C84" s="0" t="n">
        <v>326</v>
      </c>
      <c r="D84" s="0" t="n">
        <f aca="false">C84-C83</f>
        <v>15</v>
      </c>
      <c r="E84" s="0" t="n">
        <v>4</v>
      </c>
      <c r="F84" s="0" t="n">
        <f aca="false">E84-E83</f>
        <v>0</v>
      </c>
      <c r="G84" s="0" t="n">
        <v>125</v>
      </c>
      <c r="H84" s="0" t="n">
        <v>197</v>
      </c>
      <c r="I84" s="0" t="n">
        <v>4</v>
      </c>
      <c r="J84" s="0" t="n">
        <v>1195</v>
      </c>
      <c r="K84" s="0" t="n">
        <v>15</v>
      </c>
      <c r="L84" s="0" t="n">
        <v>2100</v>
      </c>
      <c r="M84" s="0" t="n">
        <v>7698</v>
      </c>
    </row>
    <row r="85" customFormat="false" ht="13.5" hidden="false" customHeight="false" outlineLevel="0" collapsed="false">
      <c r="A85" s="0" t="s">
        <v>106</v>
      </c>
      <c r="B85" s="1" t="n">
        <v>43945</v>
      </c>
      <c r="C85" s="0" t="n">
        <v>326</v>
      </c>
      <c r="D85" s="0" t="n">
        <f aca="false">C85-C84</f>
        <v>0</v>
      </c>
      <c r="E85" s="0" t="n">
        <v>4</v>
      </c>
      <c r="F85" s="0" t="n">
        <f aca="false">E85-E84</f>
        <v>0</v>
      </c>
      <c r="G85" s="0" t="n">
        <v>125</v>
      </c>
      <c r="H85" s="0" t="n">
        <v>197</v>
      </c>
      <c r="I85" s="0" t="n">
        <v>4</v>
      </c>
      <c r="J85" s="0" t="n">
        <v>1195</v>
      </c>
      <c r="K85" s="0" t="n">
        <v>15</v>
      </c>
      <c r="L85" s="0" t="n">
        <v>2100</v>
      </c>
      <c r="M85" s="0" t="n">
        <v>7698</v>
      </c>
    </row>
    <row r="86" customFormat="false" ht="13.5" hidden="false" customHeight="false" outlineLevel="0" collapsed="false">
      <c r="A86" s="0" t="s">
        <v>106</v>
      </c>
      <c r="B86" s="1" t="n">
        <v>43946</v>
      </c>
      <c r="C86" s="0" t="n">
        <v>354</v>
      </c>
      <c r="D86" s="0" t="n">
        <f aca="false">C86-C85</f>
        <v>28</v>
      </c>
      <c r="E86" s="0" t="n">
        <v>4</v>
      </c>
      <c r="F86" s="0" t="n">
        <f aca="false">E86-E85</f>
        <v>0</v>
      </c>
      <c r="G86" s="0" t="n">
        <v>144</v>
      </c>
      <c r="H86" s="0" t="n">
        <v>206</v>
      </c>
      <c r="I86" s="0" t="n">
        <v>4</v>
      </c>
      <c r="J86" s="0" t="n">
        <v>1298</v>
      </c>
      <c r="K86" s="0" t="n">
        <v>15</v>
      </c>
      <c r="L86" s="0" t="n">
        <v>2200</v>
      </c>
      <c r="M86" s="0" t="n">
        <v>8064</v>
      </c>
    </row>
    <row r="87" customFormat="false" ht="13.5" hidden="false" customHeight="false" outlineLevel="0" collapsed="false">
      <c r="A87" s="0" t="s">
        <v>106</v>
      </c>
      <c r="B87" s="1" t="n">
        <v>43947</v>
      </c>
      <c r="C87" s="0" t="n">
        <v>354</v>
      </c>
      <c r="D87" s="0" t="n">
        <f aca="false">C87-C86</f>
        <v>0</v>
      </c>
      <c r="E87" s="0" t="n">
        <v>4</v>
      </c>
      <c r="F87" s="0" t="n">
        <f aca="false">E87-E86</f>
        <v>0</v>
      </c>
      <c r="G87" s="0" t="n">
        <v>144</v>
      </c>
      <c r="H87" s="0" t="n">
        <v>206</v>
      </c>
      <c r="I87" s="0" t="n">
        <v>4</v>
      </c>
      <c r="J87" s="0" t="n">
        <v>1298</v>
      </c>
      <c r="K87" s="0" t="n">
        <v>15</v>
      </c>
      <c r="L87" s="0" t="n">
        <v>2200</v>
      </c>
      <c r="M87" s="0" t="n">
        <v>8064</v>
      </c>
    </row>
    <row r="88" customFormat="false" ht="13.5" hidden="false" customHeight="false" outlineLevel="0" collapsed="false">
      <c r="A88" s="0" t="s">
        <v>106</v>
      </c>
      <c r="B88" s="1" t="n">
        <v>43948</v>
      </c>
      <c r="C88" s="0" t="n">
        <v>401</v>
      </c>
      <c r="D88" s="0" t="n">
        <f aca="false">C88-C87</f>
        <v>47</v>
      </c>
      <c r="E88" s="0" t="n">
        <v>4</v>
      </c>
      <c r="F88" s="0" t="n">
        <f aca="false">E88-E87</f>
        <v>0</v>
      </c>
      <c r="G88" s="0" t="n">
        <v>144</v>
      </c>
      <c r="H88" s="0" t="n">
        <v>253</v>
      </c>
      <c r="I88" s="0" t="n">
        <v>4</v>
      </c>
      <c r="J88" s="0" t="n">
        <v>1470</v>
      </c>
      <c r="K88" s="0" t="n">
        <v>15</v>
      </c>
      <c r="L88" s="0" t="n">
        <v>2500</v>
      </c>
      <c r="M88" s="0" t="n">
        <v>9164</v>
      </c>
    </row>
    <row r="89" customFormat="false" ht="13.5" hidden="false" customHeight="false" outlineLevel="0" collapsed="false">
      <c r="A89" s="0" t="s">
        <v>106</v>
      </c>
      <c r="B89" s="1" t="n">
        <v>43949</v>
      </c>
      <c r="C89" s="0" t="n">
        <v>401</v>
      </c>
      <c r="D89" s="0" t="n">
        <f aca="false">C89-C88</f>
        <v>0</v>
      </c>
      <c r="E89" s="0" t="n">
        <v>4</v>
      </c>
      <c r="F89" s="0" t="n">
        <f aca="false">E89-E88</f>
        <v>0</v>
      </c>
      <c r="G89" s="0" t="n">
        <v>144</v>
      </c>
      <c r="H89" s="0" t="n">
        <v>253</v>
      </c>
      <c r="I89" s="0" t="n">
        <v>4</v>
      </c>
      <c r="J89" s="0" t="n">
        <v>1470</v>
      </c>
      <c r="K89" s="0" t="n">
        <v>15</v>
      </c>
      <c r="L89" s="0" t="n">
        <v>2500</v>
      </c>
      <c r="M89" s="0" t="n">
        <v>9164</v>
      </c>
    </row>
    <row r="90" customFormat="false" ht="13.5" hidden="false" customHeight="false" outlineLevel="0" collapsed="false">
      <c r="A90" s="0" t="s">
        <v>106</v>
      </c>
      <c r="B90" s="1" t="n">
        <v>43950</v>
      </c>
      <c r="C90" s="0" t="n">
        <v>460</v>
      </c>
      <c r="D90" s="0" t="n">
        <f aca="false">C90-C89</f>
        <v>59</v>
      </c>
      <c r="E90" s="0" t="n">
        <v>4</v>
      </c>
      <c r="F90" s="0" t="n">
        <f aca="false">E90-E89</f>
        <v>0</v>
      </c>
      <c r="G90" s="0" t="n">
        <v>235</v>
      </c>
      <c r="H90" s="0" t="n">
        <v>221</v>
      </c>
      <c r="I90" s="0" t="n">
        <v>4</v>
      </c>
      <c r="J90" s="0" t="n">
        <v>1686</v>
      </c>
      <c r="K90" s="0" t="n">
        <v>15</v>
      </c>
      <c r="L90" s="0" t="n">
        <v>2700</v>
      </c>
      <c r="M90" s="0" t="n">
        <v>9897</v>
      </c>
    </row>
    <row r="91" customFormat="false" ht="13.5" hidden="false" customHeight="false" outlineLevel="0" collapsed="false">
      <c r="A91" s="0" t="s">
        <v>106</v>
      </c>
      <c r="B91" s="1" t="n">
        <v>43951</v>
      </c>
      <c r="C91" s="0" t="n">
        <v>460</v>
      </c>
      <c r="D91" s="0" t="n">
        <f aca="false">C91-C90</f>
        <v>0</v>
      </c>
      <c r="E91" s="0" t="n">
        <v>4</v>
      </c>
      <c r="F91" s="0" t="n">
        <f aca="false">E91-E90</f>
        <v>0</v>
      </c>
      <c r="G91" s="0" t="n">
        <v>235</v>
      </c>
      <c r="H91" s="0" t="n">
        <v>221</v>
      </c>
      <c r="I91" s="0" t="n">
        <v>4</v>
      </c>
      <c r="J91" s="0" t="n">
        <v>1686</v>
      </c>
      <c r="K91" s="0" t="n">
        <v>15</v>
      </c>
      <c r="L91" s="0" t="n">
        <v>2700</v>
      </c>
      <c r="M91" s="0" t="n">
        <v>9897</v>
      </c>
    </row>
    <row r="92" customFormat="false" ht="13.5" hidden="false" customHeight="false" outlineLevel="0" collapsed="false">
      <c r="A92" s="0" t="s">
        <v>106</v>
      </c>
      <c r="B92" s="1" t="n">
        <v>43952</v>
      </c>
      <c r="C92" s="0" t="n">
        <v>539</v>
      </c>
      <c r="D92" s="0" t="n">
        <f aca="false">C92-C91</f>
        <v>79</v>
      </c>
      <c r="E92" s="0" t="n">
        <v>4</v>
      </c>
      <c r="F92" s="0" t="n">
        <f aca="false">E92-E91</f>
        <v>0</v>
      </c>
      <c r="G92" s="0" t="n">
        <v>235</v>
      </c>
      <c r="H92" s="0" t="n">
        <v>300</v>
      </c>
      <c r="I92" s="0" t="n">
        <v>4</v>
      </c>
      <c r="J92" s="0" t="n">
        <v>1976</v>
      </c>
      <c r="K92" s="0" t="n">
        <v>15</v>
      </c>
      <c r="L92" s="0" t="n">
        <v>3000</v>
      </c>
      <c r="M92" s="0" t="n">
        <v>10996</v>
      </c>
    </row>
    <row r="93" customFormat="false" ht="13.5" hidden="false" customHeight="false" outlineLevel="0" collapsed="false">
      <c r="A93" s="0" t="s">
        <v>106</v>
      </c>
      <c r="B93" s="1" t="n">
        <v>43953</v>
      </c>
      <c r="C93" s="0" t="n">
        <v>539</v>
      </c>
      <c r="D93" s="0" t="n">
        <f aca="false">C93-C92</f>
        <v>0</v>
      </c>
      <c r="E93" s="0" t="n">
        <v>4</v>
      </c>
      <c r="F93" s="0" t="n">
        <f aca="false">E93-E92</f>
        <v>0</v>
      </c>
      <c r="G93" s="0" t="n">
        <v>235</v>
      </c>
      <c r="H93" s="0" t="n">
        <v>300</v>
      </c>
      <c r="I93" s="0" t="n">
        <v>4</v>
      </c>
      <c r="J93" s="0" t="n">
        <v>1976</v>
      </c>
      <c r="K93" s="0" t="n">
        <v>15</v>
      </c>
      <c r="L93" s="0" t="n">
        <v>3000</v>
      </c>
      <c r="M93" s="0" t="n">
        <v>10996</v>
      </c>
    </row>
    <row r="94" customFormat="false" ht="13.5" hidden="false" customHeight="false" outlineLevel="0" collapsed="false">
      <c r="A94" s="0" t="s">
        <v>106</v>
      </c>
      <c r="B94" s="1" t="n">
        <v>43954</v>
      </c>
      <c r="C94" s="0" t="n">
        <v>539</v>
      </c>
      <c r="D94" s="0" t="n">
        <f aca="false">C94-C93</f>
        <v>0</v>
      </c>
      <c r="E94" s="0" t="n">
        <v>4</v>
      </c>
      <c r="F94" s="0" t="n">
        <f aca="false">E94-E93</f>
        <v>0</v>
      </c>
      <c r="G94" s="0" t="n">
        <v>235</v>
      </c>
      <c r="H94" s="0" t="n">
        <v>300</v>
      </c>
      <c r="I94" s="0" t="n">
        <v>4</v>
      </c>
      <c r="J94" s="0" t="n">
        <v>1976</v>
      </c>
      <c r="K94" s="0" t="n">
        <v>15</v>
      </c>
      <c r="L94" s="0" t="n">
        <v>3000</v>
      </c>
      <c r="M94" s="0" t="n">
        <v>10996</v>
      </c>
    </row>
    <row r="95" customFormat="false" ht="13.5" hidden="false" customHeight="false" outlineLevel="0" collapsed="false">
      <c r="A95" s="0" t="s">
        <v>106</v>
      </c>
      <c r="B95" s="1" t="n">
        <v>43955</v>
      </c>
      <c r="C95" s="0" t="n">
        <v>539</v>
      </c>
      <c r="D95" s="0" t="n">
        <f aca="false">C95-C94</f>
        <v>0</v>
      </c>
      <c r="E95" s="0" t="n">
        <v>4</v>
      </c>
      <c r="F95" s="0" t="n">
        <f aca="false">E95-E94</f>
        <v>0</v>
      </c>
      <c r="G95" s="0" t="n">
        <v>235</v>
      </c>
      <c r="H95" s="0" t="n">
        <v>300</v>
      </c>
      <c r="I95" s="0" t="n">
        <v>4</v>
      </c>
      <c r="J95" s="0" t="n">
        <v>1976</v>
      </c>
      <c r="K95" s="0" t="n">
        <v>15</v>
      </c>
      <c r="L95" s="0" t="n">
        <v>3000</v>
      </c>
      <c r="M95" s="0" t="n">
        <v>10996</v>
      </c>
    </row>
    <row r="96" customFormat="false" ht="13.5" hidden="false" customHeight="false" outlineLevel="0" collapsed="false">
      <c r="A96" s="0" t="s">
        <v>106</v>
      </c>
      <c r="B96" s="1" t="n">
        <v>43956</v>
      </c>
      <c r="C96" s="0" t="n">
        <v>686</v>
      </c>
      <c r="D96" s="0" t="n">
        <f aca="false">C96-C95</f>
        <v>147</v>
      </c>
      <c r="E96" s="0" t="n">
        <v>6</v>
      </c>
      <c r="F96" s="0" t="n">
        <f aca="false">E96-E95</f>
        <v>2</v>
      </c>
      <c r="G96" s="0" t="n">
        <v>352</v>
      </c>
      <c r="H96" s="0" t="n">
        <v>328</v>
      </c>
      <c r="I96" s="0" t="n">
        <v>6</v>
      </c>
      <c r="J96" s="0" t="n">
        <v>2515</v>
      </c>
      <c r="K96" s="0" t="n">
        <v>22</v>
      </c>
      <c r="L96" s="0" t="n">
        <v>3400</v>
      </c>
      <c r="M96" s="0" t="n">
        <v>12463</v>
      </c>
    </row>
    <row r="97" customFormat="false" ht="13.5" hidden="false" customHeight="false" outlineLevel="0" collapsed="false">
      <c r="A97" s="0" t="s">
        <v>106</v>
      </c>
      <c r="B97" s="1" t="n">
        <v>43957</v>
      </c>
      <c r="C97" s="0" t="n">
        <v>686</v>
      </c>
      <c r="D97" s="0" t="n">
        <f aca="false">C97-C96</f>
        <v>0</v>
      </c>
      <c r="E97" s="0" t="n">
        <v>6</v>
      </c>
      <c r="F97" s="0" t="n">
        <f aca="false">E97-E96</f>
        <v>0</v>
      </c>
      <c r="G97" s="0" t="n">
        <v>352</v>
      </c>
      <c r="H97" s="0" t="n">
        <v>328</v>
      </c>
      <c r="I97" s="0" t="n">
        <v>6</v>
      </c>
      <c r="J97" s="0" t="n">
        <v>2515</v>
      </c>
      <c r="K97" s="0" t="n">
        <v>22</v>
      </c>
      <c r="L97" s="0" t="n">
        <v>3400</v>
      </c>
      <c r="M97" s="0" t="n">
        <v>12463</v>
      </c>
    </row>
    <row r="98" customFormat="false" ht="13.5" hidden="false" customHeight="false" outlineLevel="0" collapsed="false">
      <c r="A98" s="0" t="s">
        <v>106</v>
      </c>
      <c r="B98" s="1" t="n">
        <v>43958</v>
      </c>
      <c r="C98" s="0" t="n">
        <v>739</v>
      </c>
      <c r="D98" s="0" t="n">
        <f aca="false">C98-C97</f>
        <v>53</v>
      </c>
      <c r="E98" s="0" t="n">
        <v>9</v>
      </c>
      <c r="F98" s="0" t="n">
        <f aca="false">E98-E97</f>
        <v>3</v>
      </c>
      <c r="G98" s="0" t="n">
        <v>352</v>
      </c>
      <c r="H98" s="0" t="n">
        <v>378</v>
      </c>
      <c r="I98" s="0" t="n">
        <v>6</v>
      </c>
      <c r="J98" s="0" t="n">
        <v>2709</v>
      </c>
      <c r="K98" s="0" t="n">
        <v>33</v>
      </c>
      <c r="L98" s="0" t="n">
        <v>3400</v>
      </c>
      <c r="M98" s="0" t="n">
        <v>12463</v>
      </c>
    </row>
    <row r="99" customFormat="false" ht="13.5" hidden="false" customHeight="false" outlineLevel="0" collapsed="false">
      <c r="A99" s="0" t="s">
        <v>106</v>
      </c>
      <c r="B99" s="1" t="n">
        <v>43959</v>
      </c>
      <c r="C99" s="0" t="n">
        <v>854</v>
      </c>
      <c r="D99" s="0" t="n">
        <f aca="false">C99-C98</f>
        <v>115</v>
      </c>
      <c r="E99" s="0" t="n">
        <v>10</v>
      </c>
      <c r="F99" s="0" t="n">
        <f aca="false">E99-E98</f>
        <v>1</v>
      </c>
      <c r="G99" s="0" t="n">
        <v>352</v>
      </c>
      <c r="H99" s="0" t="n">
        <v>492</v>
      </c>
      <c r="I99" s="0" t="n">
        <v>7</v>
      </c>
      <c r="J99" s="0" t="n">
        <v>3130</v>
      </c>
      <c r="K99" s="0" t="n">
        <v>37</v>
      </c>
      <c r="L99" s="0" t="n">
        <v>4000</v>
      </c>
      <c r="M99" s="0" t="n">
        <v>14662</v>
      </c>
    </row>
    <row r="100" customFormat="false" ht="13.5" hidden="false" customHeight="false" outlineLevel="0" collapsed="false">
      <c r="A100" s="0" t="s">
        <v>106</v>
      </c>
      <c r="B100" s="1" t="n">
        <v>43960</v>
      </c>
      <c r="C100" s="0" t="n">
        <v>854</v>
      </c>
      <c r="D100" s="0" t="n">
        <f aca="false">C100-C99</f>
        <v>0</v>
      </c>
      <c r="E100" s="0" t="n">
        <v>10</v>
      </c>
      <c r="F100" s="0" t="n">
        <f aca="false">E100-E99</f>
        <v>0</v>
      </c>
      <c r="G100" s="0" t="n">
        <v>352</v>
      </c>
      <c r="H100" s="0" t="n">
        <v>492</v>
      </c>
      <c r="I100" s="0" t="n">
        <v>7</v>
      </c>
      <c r="J100" s="0" t="n">
        <v>3130</v>
      </c>
      <c r="K100" s="0" t="n">
        <v>37</v>
      </c>
      <c r="L100" s="0" t="n">
        <v>4000</v>
      </c>
      <c r="M100" s="0" t="n">
        <v>14662</v>
      </c>
    </row>
    <row r="101" customFormat="false" ht="13.5" hidden="false" customHeight="false" outlineLevel="0" collapsed="false">
      <c r="A101" s="0" t="s">
        <v>106</v>
      </c>
      <c r="B101" s="1" t="n">
        <v>43961</v>
      </c>
      <c r="C101" s="0" t="n">
        <v>988</v>
      </c>
      <c r="D101" s="0" t="n">
        <f aca="false">C101-C100</f>
        <v>134</v>
      </c>
      <c r="E101" s="0" t="n">
        <v>11</v>
      </c>
      <c r="F101" s="0" t="n">
        <f aca="false">E101-E100</f>
        <v>1</v>
      </c>
      <c r="G101" s="0" t="n">
        <v>492</v>
      </c>
      <c r="H101" s="0" t="n">
        <v>485</v>
      </c>
      <c r="I101" s="0" t="n">
        <v>7</v>
      </c>
      <c r="J101" s="0" t="n">
        <v>3622</v>
      </c>
      <c r="K101" s="0" t="n">
        <v>40</v>
      </c>
      <c r="L101" s="0" t="n">
        <v>4000</v>
      </c>
      <c r="M101" s="0" t="n">
        <v>14662</v>
      </c>
    </row>
    <row r="102" customFormat="false" ht="13.5" hidden="false" customHeight="false" outlineLevel="0" collapsed="false">
      <c r="A102" s="0" t="s">
        <v>106</v>
      </c>
      <c r="B102" s="1" t="n">
        <v>43962</v>
      </c>
      <c r="C102" s="0" t="n">
        <v>1023</v>
      </c>
      <c r="D102" s="0" t="n">
        <f aca="false">C102-C101</f>
        <v>35</v>
      </c>
      <c r="E102" s="0" t="n">
        <v>11</v>
      </c>
      <c r="F102" s="0" t="n">
        <f aca="false">E102-E101</f>
        <v>0</v>
      </c>
      <c r="G102" s="0" t="n">
        <v>492</v>
      </c>
      <c r="H102" s="0" t="n">
        <v>520</v>
      </c>
      <c r="I102" s="0" t="n">
        <v>9</v>
      </c>
      <c r="J102" s="0" t="n">
        <v>3750</v>
      </c>
      <c r="K102" s="0" t="n">
        <v>40</v>
      </c>
      <c r="L102" s="0" t="n">
        <v>4000</v>
      </c>
      <c r="M102" s="0" t="n">
        <v>14662</v>
      </c>
    </row>
    <row r="103" customFormat="false" ht="13.5" hidden="false" customHeight="false" outlineLevel="0" collapsed="false">
      <c r="A103" s="0" t="s">
        <v>106</v>
      </c>
      <c r="B103" s="1" t="n">
        <v>43963</v>
      </c>
      <c r="C103" s="0" t="n">
        <v>1023</v>
      </c>
      <c r="D103" s="0" t="n">
        <f aca="false">C103-C102</f>
        <v>0</v>
      </c>
      <c r="E103" s="0" t="n">
        <v>11</v>
      </c>
      <c r="F103" s="0" t="n">
        <f aca="false">E103-E102</f>
        <v>0</v>
      </c>
      <c r="G103" s="0" t="n">
        <v>492</v>
      </c>
      <c r="H103" s="0" t="n">
        <v>520</v>
      </c>
      <c r="I103" s="0" t="n">
        <v>9</v>
      </c>
      <c r="J103" s="0" t="n">
        <v>3750</v>
      </c>
      <c r="K103" s="0" t="n">
        <v>40</v>
      </c>
      <c r="L103" s="0" t="n">
        <v>4000</v>
      </c>
      <c r="M103" s="0" t="n">
        <v>14662</v>
      </c>
    </row>
    <row r="104" customFormat="false" ht="13.5" hidden="false" customHeight="false" outlineLevel="0" collapsed="false">
      <c r="A104" s="0" t="s">
        <v>106</v>
      </c>
      <c r="B104" s="1" t="n">
        <v>43964</v>
      </c>
      <c r="C104" s="0" t="n">
        <v>1095</v>
      </c>
      <c r="D104" s="0" t="n">
        <f aca="false">C104-C103</f>
        <v>72</v>
      </c>
      <c r="E104" s="0" t="n">
        <v>12</v>
      </c>
      <c r="F104" s="0" t="n">
        <f aca="false">E104-E103</f>
        <v>1</v>
      </c>
      <c r="G104" s="0" t="n">
        <v>492</v>
      </c>
      <c r="H104" s="0" t="n">
        <v>591</v>
      </c>
      <c r="I104" s="0" t="n">
        <v>9</v>
      </c>
      <c r="J104" s="0" t="n">
        <v>4014</v>
      </c>
      <c r="K104" s="0" t="n">
        <v>44</v>
      </c>
      <c r="L104" s="0" t="n">
        <v>4000</v>
      </c>
      <c r="M104" s="0" t="n">
        <v>14662</v>
      </c>
    </row>
    <row r="105" customFormat="false" ht="13.5" hidden="false" customHeight="false" outlineLevel="0" collapsed="false">
      <c r="A105" s="0" t="s">
        <v>106</v>
      </c>
      <c r="B105" s="1" t="n">
        <v>43965</v>
      </c>
      <c r="C105" s="0" t="n">
        <v>1143</v>
      </c>
      <c r="D105" s="0" t="n">
        <f aca="false">C105-C104</f>
        <v>48</v>
      </c>
      <c r="E105" s="0" t="n">
        <v>14</v>
      </c>
      <c r="F105" s="0" t="n">
        <f aca="false">E105-E104</f>
        <v>2</v>
      </c>
      <c r="G105" s="0" t="n">
        <v>627</v>
      </c>
      <c r="H105" s="0" t="n">
        <v>502</v>
      </c>
      <c r="I105" s="0" t="n">
        <v>6</v>
      </c>
      <c r="J105" s="0" t="n">
        <v>4190</v>
      </c>
      <c r="K105" s="0" t="n">
        <v>51</v>
      </c>
      <c r="L105" s="0" t="n">
        <v>4800</v>
      </c>
      <c r="M105" s="0" t="n">
        <v>17594</v>
      </c>
    </row>
    <row r="106" customFormat="false" ht="13.5" hidden="false" customHeight="false" outlineLevel="0" collapsed="false">
      <c r="A106" s="0" t="s">
        <v>106</v>
      </c>
      <c r="B106" s="1" t="n">
        <v>43966</v>
      </c>
      <c r="C106" s="0" t="n">
        <v>1210</v>
      </c>
      <c r="D106" s="0" t="n">
        <f aca="false">C106-C105</f>
        <v>67</v>
      </c>
      <c r="E106" s="0" t="n">
        <v>16</v>
      </c>
      <c r="F106" s="0" t="n">
        <f aca="false">E106-E105</f>
        <v>2</v>
      </c>
      <c r="G106" s="0" t="n">
        <v>627</v>
      </c>
      <c r="H106" s="0" t="n">
        <v>567</v>
      </c>
      <c r="I106" s="0" t="n">
        <v>10</v>
      </c>
      <c r="J106" s="0" t="n">
        <v>4435</v>
      </c>
      <c r="K106" s="0" t="n">
        <v>59</v>
      </c>
      <c r="L106" s="0" t="n">
        <v>5000</v>
      </c>
      <c r="M106" s="0" t="n">
        <v>18327</v>
      </c>
    </row>
    <row r="107" customFormat="false" ht="13.5" hidden="false" customHeight="false" outlineLevel="0" collapsed="false">
      <c r="A107" s="0" t="s">
        <v>106</v>
      </c>
      <c r="B107" s="1" t="n">
        <v>43967</v>
      </c>
      <c r="C107" s="0" t="n">
        <v>1210</v>
      </c>
      <c r="D107" s="0" t="n">
        <f aca="false">C107-C106</f>
        <v>0</v>
      </c>
      <c r="E107" s="0" t="n">
        <v>16</v>
      </c>
      <c r="F107" s="0" t="n">
        <f aca="false">E107-E106</f>
        <v>0</v>
      </c>
      <c r="G107" s="0" t="n">
        <v>627</v>
      </c>
      <c r="H107" s="0" t="n">
        <v>567</v>
      </c>
      <c r="I107" s="0" t="n">
        <v>10</v>
      </c>
      <c r="J107" s="0" t="n">
        <v>4450</v>
      </c>
      <c r="K107" s="0" t="n">
        <v>59</v>
      </c>
      <c r="L107" s="0" t="n">
        <v>5000</v>
      </c>
      <c r="M107" s="0" t="n">
        <v>18389</v>
      </c>
    </row>
    <row r="108" customFormat="false" ht="13.5" hidden="false" customHeight="false" outlineLevel="0" collapsed="false">
      <c r="A108" s="0" t="s">
        <v>106</v>
      </c>
      <c r="B108" s="1" t="n">
        <v>43968</v>
      </c>
      <c r="C108" s="0" t="n">
        <v>1312</v>
      </c>
      <c r="D108" s="0" t="n">
        <f aca="false">C108-C107</f>
        <v>102</v>
      </c>
      <c r="E108" s="0" t="n">
        <v>18</v>
      </c>
      <c r="F108" s="0" t="n">
        <f aca="false">E108-E107</f>
        <v>2</v>
      </c>
      <c r="G108" s="0" t="n">
        <v>627</v>
      </c>
      <c r="H108" s="0" t="n">
        <v>667</v>
      </c>
      <c r="I108" s="0" t="n">
        <v>9</v>
      </c>
      <c r="J108" s="0" t="n">
        <v>4825</v>
      </c>
      <c r="K108" s="0" t="n">
        <v>66</v>
      </c>
      <c r="L108" s="0" t="n">
        <v>5200</v>
      </c>
      <c r="M108" s="0" t="n">
        <v>19123</v>
      </c>
    </row>
    <row r="109" customFormat="false" ht="13.5" hidden="false" customHeight="false" outlineLevel="0" collapsed="false">
      <c r="A109" s="0" t="s">
        <v>106</v>
      </c>
      <c r="B109" s="1" t="n">
        <v>43969</v>
      </c>
      <c r="C109" s="0" t="n">
        <v>1342</v>
      </c>
      <c r="D109" s="0" t="n">
        <f aca="false">C109-C108</f>
        <v>30</v>
      </c>
      <c r="E109" s="0" t="n">
        <v>18</v>
      </c>
      <c r="F109" s="0" t="n">
        <f aca="false">E109-E108</f>
        <v>0</v>
      </c>
      <c r="G109" s="0" t="n">
        <v>627</v>
      </c>
      <c r="H109" s="0" t="n">
        <v>697</v>
      </c>
      <c r="I109" s="0" t="n">
        <v>10</v>
      </c>
      <c r="J109" s="0" t="n">
        <v>4935</v>
      </c>
      <c r="K109" s="0" t="n">
        <v>66</v>
      </c>
      <c r="L109" s="0" t="n">
        <v>5200</v>
      </c>
      <c r="M109" s="0" t="n">
        <v>19122</v>
      </c>
    </row>
    <row r="110" customFormat="false" ht="13.5" hidden="false" customHeight="false" outlineLevel="0" collapsed="false">
      <c r="A110" s="0" t="s">
        <v>106</v>
      </c>
      <c r="B110" s="1" t="n">
        <v>43970</v>
      </c>
      <c r="C110" s="0" t="n">
        <v>1370</v>
      </c>
      <c r="D110" s="0" t="n">
        <f aca="false">C110-C109</f>
        <v>28</v>
      </c>
      <c r="E110" s="0" t="n">
        <v>18</v>
      </c>
      <c r="F110" s="0" t="n">
        <f aca="false">E110-E109</f>
        <v>0</v>
      </c>
      <c r="G110" s="0" t="n">
        <v>627</v>
      </c>
      <c r="H110" s="0" t="n">
        <v>725</v>
      </c>
      <c r="I110" s="0" t="n">
        <v>9</v>
      </c>
      <c r="J110" s="0" t="n">
        <v>5038</v>
      </c>
      <c r="K110" s="0" t="n">
        <v>66</v>
      </c>
      <c r="L110" s="0" t="n">
        <v>5200</v>
      </c>
      <c r="M110" s="0" t="n">
        <v>19121</v>
      </c>
    </row>
    <row r="111" customFormat="false" ht="13.5" hidden="false" customHeight="false" outlineLevel="0" collapsed="false">
      <c r="A111" s="0" t="s">
        <v>106</v>
      </c>
      <c r="B111" s="1" t="n">
        <v>43971</v>
      </c>
      <c r="C111" s="0" t="n">
        <v>1370</v>
      </c>
      <c r="D111" s="0" t="n">
        <f aca="false">C111-C110</f>
        <v>0</v>
      </c>
      <c r="E111" s="0" t="n">
        <v>18</v>
      </c>
      <c r="F111" s="0" t="n">
        <f aca="false">E111-E110</f>
        <v>0</v>
      </c>
      <c r="G111" s="0" t="n">
        <v>627</v>
      </c>
      <c r="H111" s="0" t="n">
        <v>725</v>
      </c>
      <c r="I111" s="0" t="n">
        <v>9</v>
      </c>
      <c r="J111" s="0" t="n">
        <v>5037</v>
      </c>
      <c r="K111" s="0" t="n">
        <v>66</v>
      </c>
      <c r="L111" s="0" t="n">
        <v>5200</v>
      </c>
      <c r="M111" s="0" t="n">
        <v>19119</v>
      </c>
    </row>
    <row r="112" customFormat="false" ht="13.5" hidden="false" customHeight="false" outlineLevel="0" collapsed="false">
      <c r="A112" s="0" t="s">
        <v>106</v>
      </c>
      <c r="B112" s="1" t="n">
        <v>43972</v>
      </c>
      <c r="C112" s="0" t="n">
        <v>1475</v>
      </c>
      <c r="D112" s="0" t="n">
        <f aca="false">C112-C111</f>
        <v>105</v>
      </c>
      <c r="E112" s="0" t="n">
        <v>19</v>
      </c>
      <c r="F112" s="0" t="n">
        <f aca="false">E112-E111</f>
        <v>1</v>
      </c>
      <c r="G112" s="0" t="n">
        <v>894</v>
      </c>
      <c r="H112" s="0" t="n">
        <v>562</v>
      </c>
      <c r="I112" s="0" t="n">
        <v>11</v>
      </c>
      <c r="J112" s="0" t="n">
        <v>5423</v>
      </c>
      <c r="K112" s="0" t="n">
        <v>70</v>
      </c>
      <c r="L112" s="0" t="n">
        <v>5200</v>
      </c>
      <c r="M112" s="0" t="n">
        <v>19118</v>
      </c>
    </row>
    <row r="113" customFormat="false" ht="13.5" hidden="false" customHeight="false" outlineLevel="0" collapsed="false">
      <c r="A113" s="0" t="s">
        <v>106</v>
      </c>
      <c r="B113" s="1" t="n">
        <v>43973</v>
      </c>
      <c r="C113" s="0" t="n">
        <v>1475</v>
      </c>
      <c r="D113" s="0" t="n">
        <f aca="false">C113-C112</f>
        <v>0</v>
      </c>
      <c r="E113" s="0" t="n">
        <v>19</v>
      </c>
      <c r="F113" s="0" t="n">
        <f aca="false">E113-E112</f>
        <v>0</v>
      </c>
      <c r="G113" s="0" t="n">
        <v>894</v>
      </c>
      <c r="H113" s="0" t="n">
        <v>562</v>
      </c>
      <c r="I113" s="0" t="n">
        <v>11</v>
      </c>
      <c r="J113" s="0" t="n">
        <v>5423</v>
      </c>
      <c r="K113" s="0" t="n">
        <v>70</v>
      </c>
      <c r="L113" s="0" t="n">
        <v>5200</v>
      </c>
      <c r="M113" s="0" t="n">
        <v>19117</v>
      </c>
    </row>
    <row r="114" customFormat="false" ht="13.5" hidden="false" customHeight="false" outlineLevel="0" collapsed="false">
      <c r="A114" s="0" t="s">
        <v>106</v>
      </c>
      <c r="B114" s="1" t="n">
        <v>43974</v>
      </c>
      <c r="C114" s="0" t="n">
        <v>1521</v>
      </c>
      <c r="D114" s="0" t="n">
        <f aca="false">C114-C113</f>
        <v>46</v>
      </c>
      <c r="E114" s="0" t="n">
        <v>19</v>
      </c>
      <c r="F114" s="0" t="n">
        <f aca="false">E114-E113</f>
        <v>0</v>
      </c>
      <c r="G114" s="0" t="n">
        <v>894</v>
      </c>
      <c r="H114" s="0" t="n">
        <v>608</v>
      </c>
      <c r="I114" s="0" t="n">
        <v>11</v>
      </c>
      <c r="J114" s="0" t="n">
        <v>5591</v>
      </c>
      <c r="K114" s="0" t="n">
        <v>70</v>
      </c>
      <c r="L114" s="0" t="n">
        <v>5200</v>
      </c>
      <c r="M114" s="0" t="n">
        <v>19116</v>
      </c>
    </row>
    <row r="115" customFormat="false" ht="13.5" hidden="false" customHeight="false" outlineLevel="0" collapsed="false">
      <c r="A115" s="0" t="s">
        <v>106</v>
      </c>
      <c r="B115" s="1" t="n">
        <v>43975</v>
      </c>
      <c r="C115" s="0" t="n">
        <v>1521</v>
      </c>
      <c r="D115" s="0" t="n">
        <f aca="false">C115-C114</f>
        <v>0</v>
      </c>
      <c r="E115" s="0" t="n">
        <v>19</v>
      </c>
      <c r="F115" s="0" t="n">
        <f aca="false">E115-E114</f>
        <v>0</v>
      </c>
      <c r="G115" s="0" t="n">
        <v>894</v>
      </c>
      <c r="H115" s="0" t="n">
        <v>608</v>
      </c>
      <c r="I115" s="0" t="n">
        <v>11</v>
      </c>
      <c r="J115" s="0" t="n">
        <v>5591</v>
      </c>
      <c r="K115" s="0" t="n">
        <v>70</v>
      </c>
      <c r="L115" s="0" t="n">
        <v>5200</v>
      </c>
      <c r="M115" s="0" t="n">
        <v>19114</v>
      </c>
    </row>
    <row r="116" customFormat="false" ht="13.5" hidden="false" customHeight="false" outlineLevel="0" collapsed="false">
      <c r="A116" s="0" t="s">
        <v>106</v>
      </c>
      <c r="B116" s="1" t="n">
        <v>43976</v>
      </c>
      <c r="C116" s="0" t="n">
        <v>1587</v>
      </c>
      <c r="D116" s="0" t="n">
        <f aca="false">C116-C115</f>
        <v>66</v>
      </c>
      <c r="E116" s="0" t="n">
        <v>20</v>
      </c>
      <c r="F116" s="0" t="n">
        <f aca="false">E116-E115</f>
        <v>1</v>
      </c>
      <c r="G116" s="0" t="n">
        <v>894</v>
      </c>
      <c r="H116" s="0" t="n">
        <v>673</v>
      </c>
      <c r="I116" s="0" t="n">
        <v>11</v>
      </c>
      <c r="J116" s="0" t="n">
        <v>5833</v>
      </c>
      <c r="K116" s="0" t="n">
        <v>74</v>
      </c>
      <c r="L116" s="0" t="n">
        <v>5200</v>
      </c>
      <c r="M116" s="0" t="n">
        <v>19113</v>
      </c>
    </row>
    <row r="117" customFormat="false" ht="13.5" hidden="false" customHeight="false" outlineLevel="0" collapsed="false">
      <c r="A117" s="0" t="s">
        <v>106</v>
      </c>
      <c r="B117" s="1" t="n">
        <v>43977</v>
      </c>
      <c r="C117" s="0" t="n">
        <v>1609</v>
      </c>
      <c r="D117" s="0" t="n">
        <f aca="false">C117-C116</f>
        <v>22</v>
      </c>
      <c r="E117" s="0" t="n">
        <v>20</v>
      </c>
      <c r="F117" s="0" t="n">
        <f aca="false">E117-E116</f>
        <v>0</v>
      </c>
      <c r="G117" s="0" t="n">
        <v>894</v>
      </c>
      <c r="H117" s="0" t="n">
        <v>695</v>
      </c>
      <c r="I117" s="0" t="n">
        <v>11</v>
      </c>
      <c r="J117" s="0" t="n">
        <v>5914</v>
      </c>
      <c r="K117" s="0" t="n">
        <v>74</v>
      </c>
      <c r="L117" s="0" t="n">
        <v>5200</v>
      </c>
      <c r="M117" s="0" t="n">
        <v>19112</v>
      </c>
    </row>
    <row r="118" customFormat="false" ht="13.5" hidden="false" customHeight="false" outlineLevel="0" collapsed="false">
      <c r="A118" s="0" t="s">
        <v>106</v>
      </c>
      <c r="B118" s="1" t="n">
        <v>43978</v>
      </c>
      <c r="C118" s="0" t="n">
        <v>1634</v>
      </c>
      <c r="D118" s="0" t="n">
        <f aca="false">C118-C117</f>
        <v>25</v>
      </c>
      <c r="E118" s="0" t="n">
        <v>20</v>
      </c>
      <c r="F118" s="0" t="n">
        <f aca="false">E118-E117</f>
        <v>0</v>
      </c>
      <c r="G118" s="0" t="n">
        <v>894</v>
      </c>
      <c r="H118" s="0" t="n">
        <v>720</v>
      </c>
      <c r="I118" s="0" t="n">
        <v>11</v>
      </c>
      <c r="J118" s="0" t="n">
        <v>6005</v>
      </c>
      <c r="K118" s="0" t="n">
        <v>74</v>
      </c>
      <c r="L118" s="0" t="n">
        <v>5200</v>
      </c>
      <c r="M118" s="0" t="n">
        <v>19110</v>
      </c>
    </row>
    <row r="119" customFormat="false" ht="13.5" hidden="false" customHeight="false" outlineLevel="0" collapsed="false">
      <c r="A119" s="0" t="s">
        <v>106</v>
      </c>
      <c r="B119" s="1" t="n">
        <v>43979</v>
      </c>
      <c r="C119" s="0" t="n">
        <v>1645</v>
      </c>
      <c r="D119" s="0" t="n">
        <f aca="false">C119-C118</f>
        <v>11</v>
      </c>
      <c r="E119" s="0" t="n">
        <v>20</v>
      </c>
      <c r="F119" s="0" t="n">
        <f aca="false">E119-E118</f>
        <v>0</v>
      </c>
      <c r="G119" s="0" t="n">
        <v>1314</v>
      </c>
      <c r="H119" s="0" t="n">
        <v>311</v>
      </c>
      <c r="I119" s="0" t="n">
        <v>10</v>
      </c>
      <c r="J119" s="0" t="n">
        <v>6045</v>
      </c>
      <c r="K119" s="0" t="n">
        <v>73</v>
      </c>
      <c r="L119" s="0" t="n">
        <v>5200</v>
      </c>
      <c r="M119" s="0" t="n">
        <v>19109</v>
      </c>
    </row>
    <row r="120" customFormat="false" ht="13.5" hidden="false" customHeight="false" outlineLevel="0" collapsed="false">
      <c r="A120" s="0" t="s">
        <v>106</v>
      </c>
      <c r="B120" s="1" t="n">
        <v>43980</v>
      </c>
      <c r="C120" s="0" t="n">
        <v>1670</v>
      </c>
      <c r="D120" s="0" t="n">
        <f aca="false">C120-C119</f>
        <v>25</v>
      </c>
      <c r="E120" s="0" t="n">
        <v>21</v>
      </c>
      <c r="F120" s="0" t="n">
        <f aca="false">E120-E119</f>
        <v>1</v>
      </c>
      <c r="G120" s="0" t="n">
        <v>1315</v>
      </c>
      <c r="H120" s="0" t="n">
        <v>334</v>
      </c>
      <c r="I120" s="0" t="n">
        <v>10</v>
      </c>
      <c r="J120" s="0" t="n">
        <v>6137</v>
      </c>
      <c r="K120" s="0" t="n">
        <v>77</v>
      </c>
      <c r="L120" s="0" t="n">
        <v>5200</v>
      </c>
      <c r="M120" s="0" t="n">
        <v>19108</v>
      </c>
    </row>
    <row r="121" customFormat="false" ht="13.5" hidden="false" customHeight="false" outlineLevel="0" collapsed="false">
      <c r="A121" s="0" t="s">
        <v>106</v>
      </c>
      <c r="B121" s="1" t="n">
        <v>43981</v>
      </c>
      <c r="C121" s="0" t="n">
        <v>1699</v>
      </c>
      <c r="D121" s="0" t="n">
        <f aca="false">C121-C120</f>
        <v>29</v>
      </c>
      <c r="E121" s="0" t="n">
        <v>21</v>
      </c>
      <c r="F121" s="0" t="n">
        <f aca="false">E121-E120</f>
        <v>0</v>
      </c>
      <c r="G121" s="0" t="n">
        <v>1385</v>
      </c>
      <c r="H121" s="0" t="n">
        <v>293</v>
      </c>
      <c r="I121" s="0" t="n">
        <v>9</v>
      </c>
      <c r="J121" s="0" t="n">
        <v>6243</v>
      </c>
      <c r="K121" s="0" t="n">
        <v>77</v>
      </c>
      <c r="L121" s="0" t="n">
        <v>5200</v>
      </c>
      <c r="M121" s="0" t="n">
        <v>19107</v>
      </c>
    </row>
    <row r="122" customFormat="false" ht="13.5" hidden="false" customHeight="false" outlineLevel="0" collapsed="false">
      <c r="A122" s="0" t="s">
        <v>106</v>
      </c>
      <c r="B122" s="1" t="n">
        <v>43982</v>
      </c>
      <c r="C122" s="0" t="n">
        <v>1699</v>
      </c>
      <c r="D122" s="0" t="n">
        <f aca="false">C122-C121</f>
        <v>0</v>
      </c>
      <c r="E122" s="0" t="n">
        <v>21</v>
      </c>
      <c r="F122" s="0" t="n">
        <f aca="false">E122-E121</f>
        <v>0</v>
      </c>
      <c r="G122" s="0" t="n">
        <v>1385</v>
      </c>
      <c r="H122" s="0" t="n">
        <v>293</v>
      </c>
      <c r="I122" s="0" t="n">
        <v>9</v>
      </c>
      <c r="J122" s="0" t="n">
        <v>6242</v>
      </c>
      <c r="K122" s="0" t="n">
        <v>77</v>
      </c>
      <c r="L122" s="0" t="n">
        <v>5200</v>
      </c>
      <c r="M122" s="0" t="n">
        <v>19105</v>
      </c>
    </row>
    <row r="123" customFormat="false" ht="13.5" hidden="false" customHeight="false" outlineLevel="0" collapsed="false">
      <c r="A123" s="0" t="s">
        <v>106</v>
      </c>
      <c r="B123" s="1" t="n">
        <v>43983</v>
      </c>
      <c r="C123" s="0" t="n">
        <v>1699</v>
      </c>
      <c r="D123" s="0" t="n">
        <f aca="false">C123-C122</f>
        <v>0</v>
      </c>
      <c r="E123" s="0" t="n">
        <v>21</v>
      </c>
      <c r="F123" s="0" t="n">
        <f aca="false">E123-E122</f>
        <v>0</v>
      </c>
      <c r="G123" s="0" t="n">
        <v>1385</v>
      </c>
      <c r="H123" s="0" t="n">
        <v>293</v>
      </c>
      <c r="I123" s="0" t="n">
        <v>9</v>
      </c>
      <c r="J123" s="0" t="n">
        <v>6242</v>
      </c>
      <c r="K123" s="0" t="n">
        <v>77</v>
      </c>
      <c r="L123" s="0" t="n">
        <v>5200</v>
      </c>
      <c r="M123" s="0" t="n">
        <v>19104</v>
      </c>
    </row>
    <row r="124" customFormat="false" ht="13.5" hidden="false" customHeight="false" outlineLevel="0" collapsed="false">
      <c r="A124" s="0" t="s">
        <v>106</v>
      </c>
      <c r="B124" s="1" t="n">
        <v>43984</v>
      </c>
      <c r="C124" s="0" t="n">
        <v>1934</v>
      </c>
      <c r="D124" s="0" t="n">
        <f aca="false">C124-C123</f>
        <v>235</v>
      </c>
      <c r="E124" s="0" t="n">
        <v>24</v>
      </c>
      <c r="F124" s="0" t="n">
        <f aca="false">E124-E123</f>
        <v>3</v>
      </c>
      <c r="G124" s="0" t="n">
        <v>1473</v>
      </c>
      <c r="H124" s="0" t="n">
        <v>437</v>
      </c>
      <c r="I124" s="0" t="n">
        <v>10</v>
      </c>
      <c r="J124" s="0" t="n">
        <v>7105</v>
      </c>
      <c r="K124" s="0" t="n">
        <v>88</v>
      </c>
      <c r="L124" s="0" t="n">
        <v>5200</v>
      </c>
      <c r="M124" s="0" t="n">
        <v>19103</v>
      </c>
    </row>
    <row r="125" customFormat="false" ht="13.5" hidden="false" customHeight="false" outlineLevel="0" collapsed="false">
      <c r="A125" s="0" t="s">
        <v>106</v>
      </c>
      <c r="B125" s="1" t="n">
        <v>43985</v>
      </c>
      <c r="C125" s="0" t="e">
        <f aca="false">sheet1!ayj126</f>
        <v>#NAME?</v>
      </c>
      <c r="D125" s="0" t="e">
        <f aca="false">sheet1!ayk126</f>
        <v>#NAME?</v>
      </c>
      <c r="E125" s="0" t="e">
        <f aca="false">sheet1!ayl126</f>
        <v>#NAME?</v>
      </c>
      <c r="F125" s="0" t="e">
        <f aca="false">sheet1!aym126</f>
        <v>#NAME?</v>
      </c>
      <c r="G125" s="0" t="e">
        <f aca="false">sheet1!ayn126</f>
        <v>#NAME?</v>
      </c>
      <c r="H125" s="0" t="e">
        <f aca="false">sheet1!ayo126</f>
        <v>#NAME?</v>
      </c>
      <c r="I125" s="0" t="e">
        <f aca="false">sheet1!ayp126</f>
        <v>#NAME?</v>
      </c>
      <c r="J125" s="0" t="e">
        <f aca="false">sheet1!ayq126</f>
        <v>#NAME?</v>
      </c>
      <c r="K125" s="0" t="e">
        <f aca="false">sheet1!ayr126</f>
        <v>#NAME?</v>
      </c>
      <c r="L125" s="0" t="e">
        <f aca="false">sheet1!ays126</f>
        <v>#NAME?</v>
      </c>
      <c r="M125" s="0" t="e">
        <f aca="false">sheet1!ayt126</f>
        <v>#NAME?</v>
      </c>
    </row>
    <row r="126" customFormat="false" ht="13.5" hidden="false" customHeight="false" outlineLevel="0" collapsed="false">
      <c r="A126" s="0" t="s">
        <v>106</v>
      </c>
      <c r="B126" s="1" t="n">
        <v>43986</v>
      </c>
      <c r="C126" s="0" t="e">
        <f aca="false">sheet1!ayj127</f>
        <v>#NAME?</v>
      </c>
      <c r="D126" s="0" t="e">
        <f aca="false">sheet1!ayk127</f>
        <v>#NAME?</v>
      </c>
      <c r="E126" s="0" t="e">
        <f aca="false">sheet1!ayl127</f>
        <v>#NAME?</v>
      </c>
      <c r="F126" s="0" t="e">
        <f aca="false">sheet1!aym127</f>
        <v>#NAME?</v>
      </c>
      <c r="G126" s="0" t="e">
        <f aca="false">sheet1!ayn127</f>
        <v>#NAME?</v>
      </c>
      <c r="H126" s="0" t="e">
        <f aca="false">sheet1!ayo127</f>
        <v>#NAME?</v>
      </c>
      <c r="I126" s="0" t="e">
        <f aca="false">sheet1!ayp127</f>
        <v>#NAME?</v>
      </c>
      <c r="J126" s="0" t="e">
        <f aca="false">sheet1!ayq127</f>
        <v>#NAME?</v>
      </c>
      <c r="K126" s="0" t="e">
        <f aca="false">sheet1!ayr127</f>
        <v>#NAME?</v>
      </c>
      <c r="L126" s="0" t="e">
        <f aca="false">sheet1!ays127</f>
        <v>#NAME?</v>
      </c>
      <c r="M126" s="0" t="e">
        <f aca="false">sheet1!ayt127</f>
        <v>#NAME?</v>
      </c>
    </row>
    <row r="127" customFormat="false" ht="13.5" hidden="false" customHeight="false" outlineLevel="0" collapsed="false">
      <c r="A127" s="0" t="s">
        <v>106</v>
      </c>
      <c r="B127" s="1" t="n">
        <v>43987</v>
      </c>
      <c r="C127" s="0" t="e">
        <f aca="false">sheet1!ayj128</f>
        <v>#NAME?</v>
      </c>
      <c r="D127" s="0" t="e">
        <f aca="false">sheet1!ayk128</f>
        <v>#NAME?</v>
      </c>
      <c r="E127" s="0" t="e">
        <f aca="false">sheet1!ayl128</f>
        <v>#NAME?</v>
      </c>
      <c r="F127" s="0" t="e">
        <f aca="false">sheet1!aym128</f>
        <v>#NAME?</v>
      </c>
      <c r="G127" s="0" t="e">
        <f aca="false">sheet1!ayn128</f>
        <v>#NAME?</v>
      </c>
      <c r="H127" s="0" t="e">
        <f aca="false">sheet1!ayo128</f>
        <v>#NAME?</v>
      </c>
      <c r="I127" s="0" t="e">
        <f aca="false">sheet1!ayp128</f>
        <v>#NAME?</v>
      </c>
      <c r="J127" s="0" t="e">
        <f aca="false">sheet1!ayq128</f>
        <v>#NAME?</v>
      </c>
      <c r="K127" s="0" t="e">
        <f aca="false">sheet1!ayr128</f>
        <v>#NAME?</v>
      </c>
      <c r="L127" s="0" t="e">
        <f aca="false">sheet1!ays128</f>
        <v>#NAME?</v>
      </c>
      <c r="M127" s="0" t="e">
        <f aca="false">sheet1!ayt128</f>
        <v>#NAME?</v>
      </c>
    </row>
    <row r="128" customFormat="false" ht="13.5" hidden="false" customHeight="false" outlineLevel="0" collapsed="false">
      <c r="A128" s="0" t="s">
        <v>106</v>
      </c>
      <c r="B128" s="1" t="n">
        <v>43988</v>
      </c>
      <c r="C128" s="0" t="e">
        <f aca="false">sheet1!ayj129</f>
        <v>#NAME?</v>
      </c>
      <c r="D128" s="0" t="e">
        <f aca="false">sheet1!ayk129</f>
        <v>#NAME?</v>
      </c>
      <c r="E128" s="0" t="e">
        <f aca="false">sheet1!ayl129</f>
        <v>#NAME?</v>
      </c>
      <c r="F128" s="0" t="e">
        <f aca="false">sheet1!aym129</f>
        <v>#NAME?</v>
      </c>
      <c r="G128" s="0" t="e">
        <f aca="false">sheet1!ayn129</f>
        <v>#NAME?</v>
      </c>
      <c r="H128" s="0" t="e">
        <f aca="false">sheet1!ayo129</f>
        <v>#NAME?</v>
      </c>
      <c r="I128" s="0" t="e">
        <f aca="false">sheet1!ayp129</f>
        <v>#NAME?</v>
      </c>
      <c r="J128" s="0" t="e">
        <f aca="false">sheet1!ayq129</f>
        <v>#NAME?</v>
      </c>
      <c r="K128" s="0" t="e">
        <f aca="false">sheet1!ayr129</f>
        <v>#NAME?</v>
      </c>
      <c r="L128" s="0" t="e">
        <f aca="false">sheet1!ays129</f>
        <v>#NAME?</v>
      </c>
      <c r="M128" s="0" t="e">
        <f aca="false">sheet1!ayt129</f>
        <v>#NAME?</v>
      </c>
    </row>
    <row r="129" customFormat="false" ht="13.5" hidden="false" customHeight="false" outlineLevel="0" collapsed="false">
      <c r="A129" s="0" t="s">
        <v>106</v>
      </c>
      <c r="B129" s="1" t="n">
        <v>43989</v>
      </c>
      <c r="C129" s="0" t="e">
        <f aca="false">sheet1!ayj130</f>
        <v>#NAME?</v>
      </c>
      <c r="D129" s="0" t="e">
        <f aca="false">sheet1!ayk130</f>
        <v>#NAME?</v>
      </c>
      <c r="E129" s="0" t="e">
        <f aca="false">sheet1!ayl130</f>
        <v>#NAME?</v>
      </c>
      <c r="F129" s="0" t="e">
        <f aca="false">sheet1!aym130</f>
        <v>#NAME?</v>
      </c>
      <c r="G129" s="0" t="e">
        <f aca="false">sheet1!ayn130</f>
        <v>#NAME?</v>
      </c>
      <c r="H129" s="0" t="e">
        <f aca="false">sheet1!ayo130</f>
        <v>#NAME?</v>
      </c>
      <c r="I129" s="0" t="e">
        <f aca="false">sheet1!ayp130</f>
        <v>#NAME?</v>
      </c>
      <c r="J129" s="0" t="e">
        <f aca="false">sheet1!ayq130</f>
        <v>#NAME?</v>
      </c>
      <c r="K129" s="0" t="e">
        <f aca="false">sheet1!ayr130</f>
        <v>#NAME?</v>
      </c>
      <c r="L129" s="0" t="e">
        <f aca="false">sheet1!ays130</f>
        <v>#NAME?</v>
      </c>
      <c r="M129" s="0" t="e">
        <f aca="false">sheet1!ayt130</f>
        <v>#NAME?</v>
      </c>
    </row>
    <row r="130" customFormat="false" ht="13.5" hidden="false" customHeight="false" outlineLevel="0" collapsed="false">
      <c r="A130" s="0" t="s">
        <v>106</v>
      </c>
      <c r="B130" s="1" t="n">
        <v>43990</v>
      </c>
      <c r="C130" s="0" t="e">
        <f aca="false">sheet1!ayj131</f>
        <v>#NAME?</v>
      </c>
      <c r="D130" s="0" t="e">
        <f aca="false">sheet1!ayk131</f>
        <v>#NAME?</v>
      </c>
      <c r="E130" s="0" t="e">
        <f aca="false">sheet1!ayl131</f>
        <v>#NAME?</v>
      </c>
      <c r="F130" s="0" t="e">
        <f aca="false">sheet1!aym131</f>
        <v>#NAME?</v>
      </c>
      <c r="G130" s="0" t="e">
        <f aca="false">sheet1!ayn131</f>
        <v>#NAME?</v>
      </c>
      <c r="H130" s="0" t="e">
        <f aca="false">sheet1!ayo131</f>
        <v>#NAME?</v>
      </c>
      <c r="I130" s="0" t="e">
        <f aca="false">sheet1!ayp131</f>
        <v>#NAME?</v>
      </c>
      <c r="J130" s="0" t="e">
        <f aca="false">sheet1!ayq131</f>
        <v>#NAME?</v>
      </c>
      <c r="K130" s="0" t="e">
        <f aca="false">sheet1!ayr131</f>
        <v>#NAME?</v>
      </c>
      <c r="L130" s="0" t="e">
        <f aca="false">sheet1!ays131</f>
        <v>#NAME?</v>
      </c>
      <c r="M130" s="0" t="e">
        <f aca="false">sheet1!ayt131</f>
        <v>#NAME?</v>
      </c>
    </row>
    <row r="131" customFormat="false" ht="13.5" hidden="false" customHeight="false" outlineLevel="0" collapsed="false">
      <c r="A131" s="0" t="s">
        <v>106</v>
      </c>
      <c r="B131" s="1" t="n">
        <v>43991</v>
      </c>
      <c r="C131" s="0" t="e">
        <f aca="false">sheet1!ayj132</f>
        <v>#NAME?</v>
      </c>
      <c r="D131" s="0" t="e">
        <f aca="false">sheet1!ayk132</f>
        <v>#NAME?</v>
      </c>
      <c r="E131" s="0" t="e">
        <f aca="false">sheet1!ayl132</f>
        <v>#NAME?</v>
      </c>
      <c r="F131" s="0" t="e">
        <f aca="false">sheet1!aym132</f>
        <v>#NAME?</v>
      </c>
      <c r="G131" s="0" t="e">
        <f aca="false">sheet1!ayn132</f>
        <v>#NAME?</v>
      </c>
      <c r="H131" s="0" t="e">
        <f aca="false">sheet1!ayo132</f>
        <v>#NAME?</v>
      </c>
      <c r="I131" s="0" t="e">
        <f aca="false">sheet1!ayp132</f>
        <v>#NAME?</v>
      </c>
      <c r="J131" s="0" t="e">
        <f aca="false">sheet1!ayq132</f>
        <v>#NAME?</v>
      </c>
      <c r="K131" s="0" t="e">
        <f aca="false">sheet1!ayr132</f>
        <v>#NAME?</v>
      </c>
      <c r="L131" s="0" t="e">
        <f aca="false">sheet1!ays132</f>
        <v>#NAME?</v>
      </c>
      <c r="M131" s="0" t="e">
        <f aca="false">sheet1!ayt132</f>
        <v>#NAME?</v>
      </c>
    </row>
    <row r="132" customFormat="false" ht="13.5" hidden="false" customHeight="false" outlineLevel="0" collapsed="false">
      <c r="A132" s="0" t="s">
        <v>106</v>
      </c>
      <c r="B132" s="1" t="n">
        <v>43992</v>
      </c>
      <c r="C132" s="0" t="e">
        <f aca="false">sheet1!ayj133</f>
        <v>#NAME?</v>
      </c>
      <c r="D132" s="0" t="e">
        <f aca="false">sheet1!ayk133</f>
        <v>#NAME?</v>
      </c>
      <c r="E132" s="0" t="e">
        <f aca="false">sheet1!ayl133</f>
        <v>#NAME?</v>
      </c>
      <c r="F132" s="0" t="e">
        <f aca="false">sheet1!aym133</f>
        <v>#NAME?</v>
      </c>
      <c r="G132" s="0" t="e">
        <f aca="false">sheet1!ayn133</f>
        <v>#NAME?</v>
      </c>
      <c r="H132" s="0" t="e">
        <f aca="false">sheet1!ayo133</f>
        <v>#NAME?</v>
      </c>
      <c r="I132" s="0" t="e">
        <f aca="false">sheet1!ayp133</f>
        <v>#NAME?</v>
      </c>
      <c r="J132" s="0" t="e">
        <f aca="false">sheet1!ayq133</f>
        <v>#NAME?</v>
      </c>
      <c r="K132" s="0" t="e">
        <f aca="false">sheet1!ayr133</f>
        <v>#NAME?</v>
      </c>
      <c r="L132" s="0" t="e">
        <f aca="false">sheet1!ays133</f>
        <v>#NAME?</v>
      </c>
      <c r="M132" s="0" t="e">
        <f aca="false">sheet1!ayt133</f>
        <v>#NAME?</v>
      </c>
    </row>
    <row r="133" customFormat="false" ht="13.5" hidden="false" customHeight="false" outlineLevel="0" collapsed="false">
      <c r="A133" s="0" t="s">
        <v>106</v>
      </c>
      <c r="B133" s="1" t="n">
        <v>43993</v>
      </c>
      <c r="C133" s="0" t="e">
        <f aca="false">sheet1!ayj134</f>
        <v>#NAME?</v>
      </c>
      <c r="D133" s="0" t="e">
        <f aca="false">sheet1!ayk134</f>
        <v>#NAME?</v>
      </c>
      <c r="E133" s="0" t="e">
        <f aca="false">sheet1!ayl134</f>
        <v>#NAME?</v>
      </c>
      <c r="F133" s="0" t="e">
        <f aca="false">sheet1!aym134</f>
        <v>#NAME?</v>
      </c>
      <c r="G133" s="0" t="e">
        <f aca="false">sheet1!ayn134</f>
        <v>#NAME?</v>
      </c>
      <c r="H133" s="0" t="e">
        <f aca="false">sheet1!ayo134</f>
        <v>#NAME?</v>
      </c>
      <c r="I133" s="0" t="e">
        <f aca="false">sheet1!ayp134</f>
        <v>#NAME?</v>
      </c>
      <c r="J133" s="0" t="e">
        <f aca="false">sheet1!ayq134</f>
        <v>#NAME?</v>
      </c>
      <c r="K133" s="0" t="e">
        <f aca="false">sheet1!ayr134</f>
        <v>#NAME?</v>
      </c>
      <c r="L133" s="0" t="e">
        <f aca="false">sheet1!ays134</f>
        <v>#NAME?</v>
      </c>
      <c r="M133" s="0" t="e">
        <f aca="false">sheet1!ayt134</f>
        <v>#NAME?</v>
      </c>
    </row>
    <row r="134" customFormat="false" ht="13.5" hidden="false" customHeight="false" outlineLevel="0" collapsed="false">
      <c r="A134" s="0" t="s">
        <v>106</v>
      </c>
      <c r="B134" s="1" t="n">
        <v>43994</v>
      </c>
      <c r="C134" s="0" t="e">
        <f aca="false">sheet1!ayj135</f>
        <v>#NAME?</v>
      </c>
      <c r="D134" s="0" t="e">
        <f aca="false">sheet1!ayk135</f>
        <v>#NAME?</v>
      </c>
      <c r="E134" s="0" t="e">
        <f aca="false">sheet1!ayl135</f>
        <v>#NAME?</v>
      </c>
      <c r="F134" s="0" t="e">
        <f aca="false">sheet1!aym135</f>
        <v>#NAME?</v>
      </c>
      <c r="G134" s="0" t="e">
        <f aca="false">sheet1!ayn135</f>
        <v>#NAME?</v>
      </c>
      <c r="H134" s="0" t="e">
        <f aca="false">sheet1!ayo135</f>
        <v>#NAME?</v>
      </c>
      <c r="I134" s="0" t="e">
        <f aca="false">sheet1!ayp135</f>
        <v>#NAME?</v>
      </c>
      <c r="J134" s="0" t="e">
        <f aca="false">sheet1!ayq135</f>
        <v>#NAME?</v>
      </c>
      <c r="K134" s="0" t="e">
        <f aca="false">sheet1!ayr135</f>
        <v>#NAME?</v>
      </c>
      <c r="L134" s="0" t="e">
        <f aca="false">sheet1!ays135</f>
        <v>#NAME?</v>
      </c>
      <c r="M134" s="0" t="e">
        <f aca="false">sheet1!ayt135</f>
        <v>#NAME?</v>
      </c>
    </row>
    <row r="135" customFormat="false" ht="13.5" hidden="false" customHeight="false" outlineLevel="0" collapsed="false">
      <c r="A135" s="0" t="s">
        <v>106</v>
      </c>
      <c r="B135" s="1" t="n">
        <v>43995</v>
      </c>
      <c r="C135" s="0" t="e">
        <f aca="false">sheet1!ayj136</f>
        <v>#NAME?</v>
      </c>
      <c r="D135" s="0" t="e">
        <f aca="false">sheet1!ayk136</f>
        <v>#NAME?</v>
      </c>
      <c r="E135" s="0" t="e">
        <f aca="false">sheet1!ayl136</f>
        <v>#NAME?</v>
      </c>
      <c r="F135" s="0" t="e">
        <f aca="false">sheet1!aym136</f>
        <v>#NAME?</v>
      </c>
      <c r="G135" s="0" t="e">
        <f aca="false">sheet1!ayn136</f>
        <v>#NAME?</v>
      </c>
      <c r="H135" s="0" t="e">
        <f aca="false">sheet1!ayo136</f>
        <v>#NAME?</v>
      </c>
      <c r="I135" s="0" t="e">
        <f aca="false">sheet1!ayp136</f>
        <v>#NAME?</v>
      </c>
      <c r="J135" s="0" t="e">
        <f aca="false">sheet1!ayq136</f>
        <v>#NAME?</v>
      </c>
      <c r="K135" s="0" t="e">
        <f aca="false">sheet1!ayr136</f>
        <v>#NAME?</v>
      </c>
      <c r="L135" s="0" t="e">
        <f aca="false">sheet1!ays136</f>
        <v>#NAME?</v>
      </c>
      <c r="M135" s="0" t="e">
        <f aca="false">sheet1!ayt136</f>
        <v>#NAME?</v>
      </c>
    </row>
    <row r="136" customFormat="false" ht="13.5" hidden="false" customHeight="false" outlineLevel="0" collapsed="false">
      <c r="A136" s="0" t="s">
        <v>106</v>
      </c>
      <c r="B136" s="1" t="n">
        <v>43996</v>
      </c>
      <c r="C136" s="0" t="e">
        <f aca="false">sheet1!ayj137</f>
        <v>#NAME?</v>
      </c>
      <c r="D136" s="0" t="e">
        <f aca="false">sheet1!ayk137</f>
        <v>#NAME?</v>
      </c>
      <c r="E136" s="0" t="e">
        <f aca="false">sheet1!ayl137</f>
        <v>#NAME?</v>
      </c>
      <c r="F136" s="0" t="e">
        <f aca="false">sheet1!aym137</f>
        <v>#NAME?</v>
      </c>
      <c r="G136" s="0" t="e">
        <f aca="false">sheet1!ayn137</f>
        <v>#NAME?</v>
      </c>
      <c r="H136" s="0" t="e">
        <f aca="false">sheet1!ayo137</f>
        <v>#NAME?</v>
      </c>
      <c r="I136" s="0" t="e">
        <f aca="false">sheet1!ayp137</f>
        <v>#NAME?</v>
      </c>
      <c r="J136" s="0" t="e">
        <f aca="false">sheet1!ayq137</f>
        <v>#NAME?</v>
      </c>
      <c r="K136" s="0" t="e">
        <f aca="false">sheet1!ayr137</f>
        <v>#NAME?</v>
      </c>
      <c r="L136" s="0" t="e">
        <f aca="false">sheet1!ays137</f>
        <v>#NAME?</v>
      </c>
      <c r="M136" s="0" t="e">
        <f aca="false">sheet1!ayt137</f>
        <v>#NAME?</v>
      </c>
    </row>
    <row r="137" customFormat="false" ht="13.5" hidden="false" customHeight="false" outlineLevel="0" collapsed="false">
      <c r="A137" s="0" t="s">
        <v>106</v>
      </c>
      <c r="B137" s="1" t="n">
        <v>43997</v>
      </c>
      <c r="C137" s="0" t="e">
        <f aca="false">sheet1!ayj138</f>
        <v>#NAME?</v>
      </c>
      <c r="D137" s="0" t="e">
        <f aca="false">sheet1!ayk138</f>
        <v>#NAME?</v>
      </c>
      <c r="E137" s="0" t="e">
        <f aca="false">sheet1!ayl138</f>
        <v>#NAME?</v>
      </c>
      <c r="F137" s="0" t="e">
        <f aca="false">sheet1!aym138</f>
        <v>#NAME?</v>
      </c>
      <c r="G137" s="0" t="e">
        <f aca="false">sheet1!ayn138</f>
        <v>#NAME?</v>
      </c>
      <c r="H137" s="0" t="e">
        <f aca="false">sheet1!ayo138</f>
        <v>#NAME?</v>
      </c>
      <c r="I137" s="0" t="e">
        <f aca="false">sheet1!ayp138</f>
        <v>#NAME?</v>
      </c>
      <c r="J137" s="0" t="e">
        <f aca="false">sheet1!ayq138</f>
        <v>#NAME?</v>
      </c>
      <c r="K137" s="0" t="e">
        <f aca="false">sheet1!ayr138</f>
        <v>#NAME?</v>
      </c>
      <c r="L137" s="0" t="e">
        <f aca="false">sheet1!ays138</f>
        <v>#NAME?</v>
      </c>
      <c r="M137" s="0" t="e">
        <f aca="false">sheet1!ayt138</f>
        <v>#NAME?</v>
      </c>
    </row>
    <row r="138" customFormat="false" ht="13.5" hidden="false" customHeight="false" outlineLevel="0" collapsed="false">
      <c r="A138" s="0" t="s">
        <v>106</v>
      </c>
      <c r="B138" s="1" t="n">
        <v>43998</v>
      </c>
      <c r="C138" s="0" t="e">
        <f aca="false">sheet1!ayj139</f>
        <v>#NAME?</v>
      </c>
      <c r="D138" s="0" t="e">
        <f aca="false">sheet1!ayk139</f>
        <v>#NAME?</v>
      </c>
      <c r="E138" s="0" t="e">
        <f aca="false">sheet1!ayl139</f>
        <v>#NAME?</v>
      </c>
      <c r="F138" s="0" t="e">
        <f aca="false">sheet1!aym139</f>
        <v>#NAME?</v>
      </c>
      <c r="G138" s="0" t="e">
        <f aca="false">sheet1!ayn139</f>
        <v>#NAME?</v>
      </c>
      <c r="H138" s="0" t="e">
        <f aca="false">sheet1!ayo139</f>
        <v>#NAME?</v>
      </c>
      <c r="I138" s="0" t="e">
        <f aca="false">sheet1!ayp139</f>
        <v>#NAME?</v>
      </c>
      <c r="J138" s="0" t="e">
        <f aca="false">sheet1!ayq139</f>
        <v>#NAME?</v>
      </c>
      <c r="K138" s="0" t="e">
        <f aca="false">sheet1!ayr139</f>
        <v>#NAME?</v>
      </c>
      <c r="L138" s="0" t="e">
        <f aca="false">sheet1!ays139</f>
        <v>#NAME?</v>
      </c>
      <c r="M138" s="0" t="e">
        <f aca="false">sheet1!ayt139</f>
        <v>#NAME?</v>
      </c>
    </row>
    <row r="139" customFormat="false" ht="13.5" hidden="false" customHeight="false" outlineLevel="0" collapsed="false">
      <c r="A139" s="0" t="s">
        <v>106</v>
      </c>
      <c r="B139" s="1" t="n">
        <v>43999</v>
      </c>
      <c r="C139" s="0" t="e">
        <f aca="false">sheet1!ayj140</f>
        <v>#NAME?</v>
      </c>
      <c r="D139" s="0" t="e">
        <f aca="false">sheet1!ayk140</f>
        <v>#NAME?</v>
      </c>
      <c r="E139" s="0" t="e">
        <f aca="false">sheet1!ayl140</f>
        <v>#NAME?</v>
      </c>
      <c r="F139" s="0" t="e">
        <f aca="false">sheet1!aym140</f>
        <v>#NAME?</v>
      </c>
      <c r="G139" s="0" t="e">
        <f aca="false">sheet1!ayn140</f>
        <v>#NAME?</v>
      </c>
      <c r="H139" s="0" t="e">
        <f aca="false">sheet1!ayo140</f>
        <v>#NAME?</v>
      </c>
      <c r="I139" s="0" t="e">
        <f aca="false">sheet1!ayp140</f>
        <v>#NAME?</v>
      </c>
      <c r="J139" s="0" t="e">
        <f aca="false">sheet1!ayq140</f>
        <v>#NAME?</v>
      </c>
      <c r="K139" s="0" t="e">
        <f aca="false">sheet1!ayr140</f>
        <v>#NAME?</v>
      </c>
      <c r="L139" s="0" t="e">
        <f aca="false">sheet1!ays140</f>
        <v>#NAME?</v>
      </c>
      <c r="M139" s="0" t="e">
        <f aca="false">sheet1!ayt140</f>
        <v>#NAME?</v>
      </c>
    </row>
    <row r="140" customFormat="false" ht="13.5" hidden="false" customHeight="false" outlineLevel="0" collapsed="false">
      <c r="A140" s="0" t="s">
        <v>106</v>
      </c>
      <c r="B140" s="1" t="n">
        <v>44000</v>
      </c>
      <c r="C140" s="0" t="e">
        <f aca="false">sheet1!ayj141</f>
        <v>#NAME?</v>
      </c>
      <c r="D140" s="0" t="e">
        <f aca="false">sheet1!ayk141</f>
        <v>#NAME?</v>
      </c>
      <c r="E140" s="0" t="e">
        <f aca="false">sheet1!ayl141</f>
        <v>#NAME?</v>
      </c>
      <c r="F140" s="0" t="e">
        <f aca="false">sheet1!aym141</f>
        <v>#NAME?</v>
      </c>
      <c r="G140" s="0" t="e">
        <f aca="false">sheet1!ayn141</f>
        <v>#NAME?</v>
      </c>
      <c r="H140" s="0" t="e">
        <f aca="false">sheet1!ayo141</f>
        <v>#NAME?</v>
      </c>
      <c r="I140" s="0" t="e">
        <f aca="false">sheet1!ayp141</f>
        <v>#NAME?</v>
      </c>
      <c r="J140" s="0" t="e">
        <f aca="false">sheet1!ayq141</f>
        <v>#NAME?</v>
      </c>
      <c r="K140" s="0" t="e">
        <f aca="false">sheet1!ayr141</f>
        <v>#NAME?</v>
      </c>
      <c r="L140" s="0" t="e">
        <f aca="false">sheet1!ays141</f>
        <v>#NAME?</v>
      </c>
      <c r="M140" s="0" t="e">
        <f aca="false">sheet1!ayt141</f>
        <v>#NAME?</v>
      </c>
    </row>
    <row r="141" customFormat="false" ht="13.5" hidden="false" customHeight="false" outlineLevel="0" collapsed="false">
      <c r="A141" s="0" t="s">
        <v>106</v>
      </c>
      <c r="B141" s="1" t="n">
        <v>44001</v>
      </c>
      <c r="C141" s="0" t="e">
        <f aca="false">sheet1!ayj142</f>
        <v>#NAME?</v>
      </c>
      <c r="D141" s="0" t="e">
        <f aca="false">sheet1!ayk142</f>
        <v>#NAME?</v>
      </c>
      <c r="E141" s="0" t="e">
        <f aca="false">sheet1!ayl142</f>
        <v>#NAME?</v>
      </c>
      <c r="F141" s="0" t="e">
        <f aca="false">sheet1!aym142</f>
        <v>#NAME?</v>
      </c>
      <c r="G141" s="0" t="e">
        <f aca="false">sheet1!ayn142</f>
        <v>#NAME?</v>
      </c>
      <c r="H141" s="0" t="e">
        <f aca="false">sheet1!ayo142</f>
        <v>#NAME?</v>
      </c>
      <c r="I141" s="0" t="e">
        <f aca="false">sheet1!ayp142</f>
        <v>#NAME?</v>
      </c>
      <c r="J141" s="0" t="e">
        <f aca="false">sheet1!ayq142</f>
        <v>#NAME?</v>
      </c>
      <c r="K141" s="0" t="e">
        <f aca="false">sheet1!ayr142</f>
        <v>#NAME?</v>
      </c>
      <c r="L141" s="0" t="e">
        <f aca="false">sheet1!ays142</f>
        <v>#NAME?</v>
      </c>
      <c r="M141" s="0" t="e">
        <f aca="false">sheet1!ayt142</f>
        <v>#NAME?</v>
      </c>
    </row>
    <row r="142" customFormat="false" ht="13.5" hidden="false" customHeight="false" outlineLevel="0" collapsed="false">
      <c r="A142" s="0" t="s">
        <v>106</v>
      </c>
      <c r="B142" s="1" t="n">
        <v>44002</v>
      </c>
      <c r="C142" s="0" t="e">
        <f aca="false">sheet1!ayj143</f>
        <v>#NAME?</v>
      </c>
      <c r="D142" s="0" t="e">
        <f aca="false">sheet1!ayk143</f>
        <v>#NAME?</v>
      </c>
      <c r="E142" s="0" t="e">
        <f aca="false">sheet1!ayl143</f>
        <v>#NAME?</v>
      </c>
      <c r="F142" s="0" t="e">
        <f aca="false">sheet1!aym143</f>
        <v>#NAME?</v>
      </c>
      <c r="G142" s="0" t="e">
        <f aca="false">sheet1!ayn143</f>
        <v>#NAME?</v>
      </c>
      <c r="H142" s="0" t="e">
        <f aca="false">sheet1!ayo143</f>
        <v>#NAME?</v>
      </c>
      <c r="I142" s="0" t="e">
        <f aca="false">sheet1!ayp143</f>
        <v>#NAME?</v>
      </c>
      <c r="J142" s="0" t="e">
        <f aca="false">sheet1!ayq143</f>
        <v>#NAME?</v>
      </c>
      <c r="K142" s="0" t="e">
        <f aca="false">sheet1!ayr143</f>
        <v>#NAME?</v>
      </c>
      <c r="L142" s="0" t="e">
        <f aca="false">sheet1!ays143</f>
        <v>#NAME?</v>
      </c>
      <c r="M142" s="0" t="e">
        <f aca="false">sheet1!ayt143</f>
        <v>#NAME?</v>
      </c>
    </row>
    <row r="143" customFormat="false" ht="13.5" hidden="false" customHeight="false" outlineLevel="0" collapsed="false">
      <c r="A143" s="0" t="s">
        <v>106</v>
      </c>
      <c r="B143" s="1" t="n">
        <v>44003</v>
      </c>
      <c r="C143" s="0" t="e">
        <f aca="false">sheet1!ayj144</f>
        <v>#NAME?</v>
      </c>
      <c r="D143" s="0" t="e">
        <f aca="false">sheet1!ayk144</f>
        <v>#NAME?</v>
      </c>
      <c r="E143" s="0" t="e">
        <f aca="false">sheet1!ayl144</f>
        <v>#NAME?</v>
      </c>
      <c r="F143" s="0" t="e">
        <f aca="false">sheet1!aym144</f>
        <v>#NAME?</v>
      </c>
      <c r="G143" s="0" t="e">
        <f aca="false">sheet1!ayn144</f>
        <v>#NAME?</v>
      </c>
      <c r="H143" s="0" t="e">
        <f aca="false">sheet1!ayo144</f>
        <v>#NAME?</v>
      </c>
      <c r="I143" s="0" t="e">
        <f aca="false">sheet1!ayp144</f>
        <v>#NAME?</v>
      </c>
      <c r="J143" s="0" t="e">
        <f aca="false">sheet1!ayq144</f>
        <v>#NAME?</v>
      </c>
      <c r="K143" s="0" t="e">
        <f aca="false">sheet1!ayr144</f>
        <v>#NAME?</v>
      </c>
      <c r="L143" s="0" t="e">
        <f aca="false">sheet1!ays144</f>
        <v>#NAME?</v>
      </c>
      <c r="M143" s="0" t="e">
        <f aca="false">sheet1!ayt144</f>
        <v>#NAME?</v>
      </c>
    </row>
    <row r="144" customFormat="false" ht="13.5" hidden="false" customHeight="false" outlineLevel="0" collapsed="false">
      <c r="A144" s="0" t="s">
        <v>106</v>
      </c>
      <c r="B144" s="1" t="n">
        <v>44004</v>
      </c>
      <c r="C144" s="0" t="e">
        <f aca="false">sheet1!ayj145</f>
        <v>#NAME?</v>
      </c>
      <c r="D144" s="0" t="e">
        <f aca="false">sheet1!ayk145</f>
        <v>#NAME?</v>
      </c>
      <c r="E144" s="0" t="e">
        <f aca="false">sheet1!ayl145</f>
        <v>#NAME?</v>
      </c>
      <c r="F144" s="0" t="e">
        <f aca="false">sheet1!aym145</f>
        <v>#NAME?</v>
      </c>
      <c r="G144" s="0" t="e">
        <f aca="false">sheet1!ayn145</f>
        <v>#NAME?</v>
      </c>
      <c r="H144" s="0" t="e">
        <f aca="false">sheet1!ayo145</f>
        <v>#NAME?</v>
      </c>
      <c r="I144" s="0" t="e">
        <f aca="false">sheet1!ayp145</f>
        <v>#NAME?</v>
      </c>
      <c r="J144" s="0" t="e">
        <f aca="false">sheet1!ayq145</f>
        <v>#NAME?</v>
      </c>
      <c r="K144" s="0" t="e">
        <f aca="false">sheet1!ayr145</f>
        <v>#NAME?</v>
      </c>
      <c r="L144" s="0" t="e">
        <f aca="false">sheet1!ays145</f>
        <v>#NAME?</v>
      </c>
      <c r="M144" s="0" t="e">
        <f aca="false">sheet1!ayt145</f>
        <v>#NAME?</v>
      </c>
    </row>
    <row r="145" customFormat="false" ht="13.5" hidden="false" customHeight="false" outlineLevel="0" collapsed="false">
      <c r="A145" s="0" t="s">
        <v>106</v>
      </c>
      <c r="B145" s="1" t="n">
        <v>44005</v>
      </c>
      <c r="C145" s="0" t="e">
        <f aca="false">sheet1!ayj146</f>
        <v>#NAME?</v>
      </c>
      <c r="D145" s="0" t="e">
        <f aca="false">sheet1!ayk146</f>
        <v>#NAME?</v>
      </c>
      <c r="E145" s="0" t="e">
        <f aca="false">sheet1!ayl146</f>
        <v>#NAME?</v>
      </c>
      <c r="F145" s="0" t="e">
        <f aca="false">sheet1!aym146</f>
        <v>#NAME?</v>
      </c>
      <c r="G145" s="0" t="e">
        <f aca="false">sheet1!ayn146</f>
        <v>#NAME?</v>
      </c>
      <c r="H145" s="0" t="e">
        <f aca="false">sheet1!ayo146</f>
        <v>#NAME?</v>
      </c>
      <c r="I145" s="0" t="e">
        <f aca="false">sheet1!ayp146</f>
        <v>#NAME?</v>
      </c>
      <c r="J145" s="0" t="e">
        <f aca="false">sheet1!ayq146</f>
        <v>#NAME?</v>
      </c>
      <c r="K145" s="0" t="e">
        <f aca="false">sheet1!ayr146</f>
        <v>#NAME?</v>
      </c>
      <c r="L145" s="0" t="e">
        <f aca="false">sheet1!ays146</f>
        <v>#NAME?</v>
      </c>
      <c r="M145" s="0" t="e">
        <f aca="false">sheet1!ayt146</f>
        <v>#NAME?</v>
      </c>
    </row>
    <row r="146" customFormat="false" ht="13.5" hidden="false" customHeight="false" outlineLevel="0" collapsed="false">
      <c r="A146" s="0" t="s">
        <v>106</v>
      </c>
      <c r="B146" s="1" t="n">
        <v>44006</v>
      </c>
      <c r="C146" s="0" t="e">
        <f aca="false">sheet1!ayj147</f>
        <v>#NAME?</v>
      </c>
      <c r="D146" s="0" t="e">
        <f aca="false">sheet1!ayk147</f>
        <v>#NAME?</v>
      </c>
      <c r="E146" s="0" t="e">
        <f aca="false">sheet1!ayl147</f>
        <v>#NAME?</v>
      </c>
      <c r="F146" s="0" t="e">
        <f aca="false">sheet1!aym147</f>
        <v>#NAME?</v>
      </c>
      <c r="G146" s="0" t="e">
        <f aca="false">sheet1!ayn147</f>
        <v>#NAME?</v>
      </c>
      <c r="H146" s="0" t="e">
        <f aca="false">sheet1!ayo147</f>
        <v>#NAME?</v>
      </c>
      <c r="I146" s="0" t="e">
        <f aca="false">sheet1!ayp147</f>
        <v>#NAME?</v>
      </c>
      <c r="J146" s="0" t="e">
        <f aca="false">sheet1!ayq147</f>
        <v>#NAME?</v>
      </c>
      <c r="K146" s="0" t="e">
        <f aca="false">sheet1!ayr147</f>
        <v>#NAME?</v>
      </c>
      <c r="L146" s="0" t="e">
        <f aca="false">sheet1!ays147</f>
        <v>#NAME?</v>
      </c>
      <c r="M146" s="0" t="e">
        <f aca="false">sheet1!ayt147</f>
        <v>#NAME?</v>
      </c>
    </row>
    <row r="147" customFormat="false" ht="13.5" hidden="false" customHeight="false" outlineLevel="0" collapsed="false">
      <c r="A147" s="0" t="s">
        <v>106</v>
      </c>
      <c r="B147" s="1" t="n">
        <v>44007</v>
      </c>
      <c r="C147" s="0" t="e">
        <f aca="false">sheet1!ayj148</f>
        <v>#NAME?</v>
      </c>
      <c r="D147" s="0" t="e">
        <f aca="false">sheet1!ayk148</f>
        <v>#NAME?</v>
      </c>
      <c r="E147" s="0" t="e">
        <f aca="false">sheet1!ayl148</f>
        <v>#NAME?</v>
      </c>
      <c r="F147" s="0" t="e">
        <f aca="false">sheet1!aym148</f>
        <v>#NAME?</v>
      </c>
      <c r="G147" s="0" t="e">
        <f aca="false">sheet1!ayn148</f>
        <v>#NAME?</v>
      </c>
      <c r="H147" s="0" t="e">
        <f aca="false">sheet1!ayo148</f>
        <v>#NAME?</v>
      </c>
      <c r="I147" s="0" t="e">
        <f aca="false">sheet1!ayp148</f>
        <v>#NAME?</v>
      </c>
      <c r="J147" s="0" t="e">
        <f aca="false">sheet1!ayq148</f>
        <v>#NAME?</v>
      </c>
      <c r="K147" s="0" t="e">
        <f aca="false">sheet1!ayr148</f>
        <v>#NAME?</v>
      </c>
      <c r="L147" s="0" t="e">
        <f aca="false">sheet1!ays148</f>
        <v>#NAME?</v>
      </c>
      <c r="M147" s="0" t="e">
        <f aca="false">sheet1!ayt148</f>
        <v>#NAME?</v>
      </c>
    </row>
    <row r="148" customFormat="false" ht="13.5" hidden="false" customHeight="false" outlineLevel="0" collapsed="false">
      <c r="A148" s="0" t="s">
        <v>106</v>
      </c>
      <c r="B148" s="1" t="n">
        <v>44008</v>
      </c>
      <c r="C148" s="0" t="e">
        <f aca="false">sheet1!ayj149</f>
        <v>#NAME?</v>
      </c>
      <c r="D148" s="0" t="e">
        <f aca="false">sheet1!ayk149</f>
        <v>#NAME?</v>
      </c>
      <c r="E148" s="0" t="e">
        <f aca="false">sheet1!ayl149</f>
        <v>#NAME?</v>
      </c>
      <c r="F148" s="0" t="e">
        <f aca="false">sheet1!aym149</f>
        <v>#NAME?</v>
      </c>
      <c r="G148" s="0" t="e">
        <f aca="false">sheet1!ayn149</f>
        <v>#NAME?</v>
      </c>
      <c r="H148" s="0" t="e">
        <f aca="false">sheet1!ayo149</f>
        <v>#NAME?</v>
      </c>
      <c r="I148" s="0" t="e">
        <f aca="false">sheet1!ayp149</f>
        <v>#NAME?</v>
      </c>
      <c r="J148" s="0" t="e">
        <f aca="false">sheet1!ayq149</f>
        <v>#NAME?</v>
      </c>
      <c r="K148" s="0" t="e">
        <f aca="false">sheet1!ayr149</f>
        <v>#NAME?</v>
      </c>
      <c r="L148" s="0" t="e">
        <f aca="false">sheet1!ays149</f>
        <v>#NAME?</v>
      </c>
      <c r="M148" s="0" t="e">
        <f aca="false">sheet1!ayt149</f>
        <v>#NAME?</v>
      </c>
    </row>
    <row r="149" customFormat="false" ht="13.5" hidden="false" customHeight="false" outlineLevel="0" collapsed="false">
      <c r="A149" s="0" t="s">
        <v>106</v>
      </c>
      <c r="B149" s="1" t="n">
        <v>44009</v>
      </c>
      <c r="C149" s="0" t="e">
        <f aca="false">sheet1!ayj150</f>
        <v>#NAME?</v>
      </c>
      <c r="D149" s="0" t="e">
        <f aca="false">sheet1!ayk150</f>
        <v>#NAME?</v>
      </c>
      <c r="E149" s="0" t="e">
        <f aca="false">sheet1!ayl150</f>
        <v>#NAME?</v>
      </c>
      <c r="F149" s="0" t="e">
        <f aca="false">sheet1!aym150</f>
        <v>#NAME?</v>
      </c>
      <c r="G149" s="0" t="e">
        <f aca="false">sheet1!ayn150</f>
        <v>#NAME?</v>
      </c>
      <c r="H149" s="0" t="e">
        <f aca="false">sheet1!ayo150</f>
        <v>#NAME?</v>
      </c>
      <c r="I149" s="0" t="e">
        <f aca="false">sheet1!ayp150</f>
        <v>#NAME?</v>
      </c>
      <c r="J149" s="0" t="e">
        <f aca="false">sheet1!ayq150</f>
        <v>#NAME?</v>
      </c>
      <c r="K149" s="0" t="e">
        <f aca="false">sheet1!ayr150</f>
        <v>#NAME?</v>
      </c>
      <c r="L149" s="0" t="e">
        <f aca="false">sheet1!ays150</f>
        <v>#NAME?</v>
      </c>
      <c r="M149" s="0" t="e">
        <f aca="false">sheet1!ayt150</f>
        <v>#NAME?</v>
      </c>
    </row>
    <row r="150" customFormat="false" ht="13.5" hidden="false" customHeight="false" outlineLevel="0" collapsed="false">
      <c r="A150" s="0" t="s">
        <v>106</v>
      </c>
      <c r="B150" s="1" t="n">
        <v>44010</v>
      </c>
      <c r="C150" s="0" t="e">
        <f aca="false">sheet1!ayj151</f>
        <v>#NAME?</v>
      </c>
      <c r="D150" s="0" t="e">
        <f aca="false">sheet1!ayk151</f>
        <v>#NAME?</v>
      </c>
      <c r="E150" s="0" t="e">
        <f aca="false">sheet1!ayl151</f>
        <v>#NAME?</v>
      </c>
      <c r="F150" s="0" t="e">
        <f aca="false">sheet1!aym151</f>
        <v>#NAME?</v>
      </c>
      <c r="G150" s="0" t="e">
        <f aca="false">sheet1!ayn151</f>
        <v>#NAME?</v>
      </c>
      <c r="H150" s="0" t="e">
        <f aca="false">sheet1!ayo151</f>
        <v>#NAME?</v>
      </c>
      <c r="I150" s="0" t="e">
        <f aca="false">sheet1!ayp151</f>
        <v>#NAME?</v>
      </c>
      <c r="J150" s="0" t="e">
        <f aca="false">sheet1!ayq151</f>
        <v>#NAME?</v>
      </c>
      <c r="K150" s="0" t="e">
        <f aca="false">sheet1!ayr151</f>
        <v>#NAME?</v>
      </c>
      <c r="L150" s="0" t="e">
        <f aca="false">sheet1!ays151</f>
        <v>#NAME?</v>
      </c>
      <c r="M150" s="0" t="e">
        <f aca="false">sheet1!ayt151</f>
        <v>#NAME?</v>
      </c>
    </row>
    <row r="151" customFormat="false" ht="13.5" hidden="false" customHeight="false" outlineLevel="0" collapsed="false">
      <c r="A151" s="0" t="s">
        <v>106</v>
      </c>
      <c r="B151" s="1" t="n">
        <v>44011</v>
      </c>
      <c r="C151" s="0" t="e">
        <f aca="false">sheet1!ayj152</f>
        <v>#NAME?</v>
      </c>
      <c r="D151" s="0" t="e">
        <f aca="false">sheet1!ayk152</f>
        <v>#NAME?</v>
      </c>
      <c r="E151" s="0" t="e">
        <f aca="false">sheet1!ayl152</f>
        <v>#NAME?</v>
      </c>
      <c r="F151" s="0" t="e">
        <f aca="false">sheet1!aym152</f>
        <v>#NAME?</v>
      </c>
      <c r="G151" s="0" t="e">
        <f aca="false">sheet1!ayn152</f>
        <v>#NAME?</v>
      </c>
      <c r="H151" s="0" t="e">
        <f aca="false">sheet1!ayo152</f>
        <v>#NAME?</v>
      </c>
      <c r="I151" s="0" t="e">
        <f aca="false">sheet1!ayp152</f>
        <v>#NAME?</v>
      </c>
      <c r="J151" s="0" t="e">
        <f aca="false">sheet1!ayq152</f>
        <v>#NAME?</v>
      </c>
      <c r="K151" s="0" t="e">
        <f aca="false">sheet1!ayr152</f>
        <v>#NAME?</v>
      </c>
      <c r="L151" s="0" t="e">
        <f aca="false">sheet1!ays152</f>
        <v>#NAME?</v>
      </c>
      <c r="M151" s="0" t="e">
        <f aca="false">sheet1!ayt152</f>
        <v>#NAME?</v>
      </c>
    </row>
    <row r="152" customFormat="false" ht="13.5" hidden="false" customHeight="false" outlineLevel="0" collapsed="false">
      <c r="A152" s="0" t="s">
        <v>106</v>
      </c>
      <c r="B152" s="1" t="n">
        <v>44012</v>
      </c>
      <c r="C152" s="0" t="e">
        <f aca="false">sheet1!ayj153</f>
        <v>#NAME?</v>
      </c>
      <c r="D152" s="0" t="e">
        <f aca="false">sheet1!ayk153</f>
        <v>#NAME?</v>
      </c>
      <c r="E152" s="0" t="e">
        <f aca="false">sheet1!ayl153</f>
        <v>#NAME?</v>
      </c>
      <c r="F152" s="0" t="e">
        <f aca="false">sheet1!aym153</f>
        <v>#NAME?</v>
      </c>
      <c r="G152" s="0" t="e">
        <f aca="false">sheet1!ayn153</f>
        <v>#NAME?</v>
      </c>
      <c r="H152" s="0" t="e">
        <f aca="false">sheet1!ayo153</f>
        <v>#NAME?</v>
      </c>
      <c r="I152" s="0" t="e">
        <f aca="false">sheet1!ayp153</f>
        <v>#NAME?</v>
      </c>
      <c r="J152" s="0" t="e">
        <f aca="false">sheet1!ayq153</f>
        <v>#NAME?</v>
      </c>
      <c r="K152" s="0" t="e">
        <f aca="false">sheet1!ayr153</f>
        <v>#NAME?</v>
      </c>
      <c r="L152" s="0" t="e">
        <f aca="false">sheet1!ays153</f>
        <v>#NAME?</v>
      </c>
      <c r="M152" s="0" t="e">
        <f aca="false">sheet1!ayt153</f>
        <v>#NAME?</v>
      </c>
    </row>
    <row r="153" customFormat="false" ht="13.5" hidden="false" customHeight="false" outlineLevel="0" collapsed="false">
      <c r="A153" s="0" t="s">
        <v>106</v>
      </c>
      <c r="B153" s="1" t="n">
        <v>44013</v>
      </c>
      <c r="C153" s="0" t="e">
        <f aca="false">sheet1!ayj154</f>
        <v>#NAME?</v>
      </c>
      <c r="D153" s="0" t="e">
        <f aca="false">sheet1!ayk154</f>
        <v>#NAME?</v>
      </c>
      <c r="E153" s="0" t="e">
        <f aca="false">sheet1!ayl154</f>
        <v>#NAME?</v>
      </c>
      <c r="F153" s="0" t="e">
        <f aca="false">sheet1!aym154</f>
        <v>#NAME?</v>
      </c>
      <c r="G153" s="0" t="e">
        <f aca="false">sheet1!ayn154</f>
        <v>#NAME?</v>
      </c>
      <c r="H153" s="0" t="e">
        <f aca="false">sheet1!ayo154</f>
        <v>#NAME?</v>
      </c>
      <c r="I153" s="0" t="e">
        <f aca="false">sheet1!ayp154</f>
        <v>#NAME?</v>
      </c>
      <c r="J153" s="0" t="e">
        <f aca="false">sheet1!ayq154</f>
        <v>#NAME?</v>
      </c>
      <c r="K153" s="0" t="e">
        <f aca="false">sheet1!ayr154</f>
        <v>#NAME?</v>
      </c>
      <c r="L153" s="0" t="e">
        <f aca="false">sheet1!ays154</f>
        <v>#NAME?</v>
      </c>
      <c r="M153" s="0" t="e">
        <f aca="false">sheet1!ayt154</f>
        <v>#NAME?</v>
      </c>
    </row>
    <row r="154" customFormat="false" ht="13.5" hidden="false" customHeight="false" outlineLevel="0" collapsed="false">
      <c r="A154" s="0" t="s">
        <v>106</v>
      </c>
      <c r="B154" s="1" t="n">
        <v>44014</v>
      </c>
      <c r="C154" s="0" t="e">
        <f aca="false">sheet1!ayj155</f>
        <v>#NAME?</v>
      </c>
      <c r="D154" s="0" t="e">
        <f aca="false">sheet1!ayk155</f>
        <v>#NAME?</v>
      </c>
      <c r="E154" s="0" t="e">
        <f aca="false">sheet1!ayl155</f>
        <v>#NAME?</v>
      </c>
      <c r="F154" s="0" t="e">
        <f aca="false">sheet1!aym155</f>
        <v>#NAME?</v>
      </c>
      <c r="G154" s="0" t="e">
        <f aca="false">sheet1!ayn155</f>
        <v>#NAME?</v>
      </c>
      <c r="H154" s="0" t="e">
        <f aca="false">sheet1!ayo155</f>
        <v>#NAME?</v>
      </c>
      <c r="I154" s="0" t="e">
        <f aca="false">sheet1!ayp155</f>
        <v>#NAME?</v>
      </c>
      <c r="J154" s="0" t="e">
        <f aca="false">sheet1!ayq155</f>
        <v>#NAME?</v>
      </c>
      <c r="K154" s="0" t="e">
        <f aca="false">sheet1!ayr155</f>
        <v>#NAME?</v>
      </c>
      <c r="L154" s="0" t="e">
        <f aca="false">sheet1!ays155</f>
        <v>#NAME?</v>
      </c>
      <c r="M154" s="0" t="e">
        <f aca="false">sheet1!ayt155</f>
        <v>#NAME?</v>
      </c>
    </row>
    <row r="155" customFormat="false" ht="13.5" hidden="false" customHeight="false" outlineLevel="0" collapsed="false">
      <c r="A155" s="0" t="s">
        <v>106</v>
      </c>
      <c r="B155" s="1" t="n">
        <v>44015</v>
      </c>
      <c r="C155" s="0" t="e">
        <f aca="false">sheet1!ayj156</f>
        <v>#NAME?</v>
      </c>
      <c r="D155" s="0" t="e">
        <f aca="false">sheet1!ayk156</f>
        <v>#NAME?</v>
      </c>
      <c r="E155" s="0" t="e">
        <f aca="false">sheet1!ayl156</f>
        <v>#NAME?</v>
      </c>
      <c r="F155" s="0" t="e">
        <f aca="false">sheet1!aym156</f>
        <v>#NAME?</v>
      </c>
      <c r="G155" s="0" t="e">
        <f aca="false">sheet1!ayn156</f>
        <v>#NAME?</v>
      </c>
      <c r="H155" s="0" t="e">
        <f aca="false">sheet1!ayo156</f>
        <v>#NAME?</v>
      </c>
      <c r="I155" s="0" t="e">
        <f aca="false">sheet1!ayp156</f>
        <v>#NAME?</v>
      </c>
      <c r="J155" s="0" t="e">
        <f aca="false">sheet1!ayq156</f>
        <v>#NAME?</v>
      </c>
      <c r="K155" s="0" t="e">
        <f aca="false">sheet1!ayr156</f>
        <v>#NAME?</v>
      </c>
      <c r="L155" s="0" t="e">
        <f aca="false">sheet1!ays156</f>
        <v>#NAME?</v>
      </c>
      <c r="M155" s="0" t="e">
        <f aca="false">sheet1!ayt156</f>
        <v>#NAME?</v>
      </c>
    </row>
    <row r="156" customFormat="false" ht="13.5" hidden="false" customHeight="false" outlineLevel="0" collapsed="false">
      <c r="A156" s="0" t="s">
        <v>106</v>
      </c>
      <c r="B156" s="1" t="n">
        <v>44016</v>
      </c>
      <c r="C156" s="0" t="e">
        <f aca="false">sheet1!ayj157</f>
        <v>#NAME?</v>
      </c>
      <c r="D156" s="0" t="e">
        <f aca="false">sheet1!ayk157</f>
        <v>#NAME?</v>
      </c>
      <c r="E156" s="0" t="e">
        <f aca="false">sheet1!ayl157</f>
        <v>#NAME?</v>
      </c>
      <c r="F156" s="0" t="e">
        <f aca="false">sheet1!aym157</f>
        <v>#NAME?</v>
      </c>
      <c r="G156" s="0" t="e">
        <f aca="false">sheet1!ayn157</f>
        <v>#NAME?</v>
      </c>
      <c r="H156" s="0" t="e">
        <f aca="false">sheet1!ayo157</f>
        <v>#NAME?</v>
      </c>
      <c r="I156" s="0" t="e">
        <f aca="false">sheet1!ayp157</f>
        <v>#NAME?</v>
      </c>
      <c r="J156" s="0" t="e">
        <f aca="false">sheet1!ayq157</f>
        <v>#NAME?</v>
      </c>
      <c r="K156" s="0" t="e">
        <f aca="false">sheet1!ayr157</f>
        <v>#NAME?</v>
      </c>
      <c r="L156" s="0" t="e">
        <f aca="false">sheet1!ays157</f>
        <v>#NAME?</v>
      </c>
      <c r="M156" s="0" t="e">
        <f aca="false">sheet1!ayt157</f>
        <v>#NAME?</v>
      </c>
    </row>
    <row r="157" customFormat="false" ht="13.5" hidden="false" customHeight="false" outlineLevel="0" collapsed="false">
      <c r="A157" s="0" t="s">
        <v>106</v>
      </c>
      <c r="B157" s="1" t="n">
        <v>44017</v>
      </c>
      <c r="C157" s="0" t="e">
        <f aca="false">sheet1!ayj158</f>
        <v>#NAME?</v>
      </c>
      <c r="D157" s="0" t="e">
        <f aca="false">sheet1!ayk158</f>
        <v>#NAME?</v>
      </c>
      <c r="E157" s="0" t="e">
        <f aca="false">sheet1!ayl158</f>
        <v>#NAME?</v>
      </c>
      <c r="F157" s="0" t="e">
        <f aca="false">sheet1!aym158</f>
        <v>#NAME?</v>
      </c>
      <c r="G157" s="0" t="e">
        <f aca="false">sheet1!ayn158</f>
        <v>#NAME?</v>
      </c>
      <c r="H157" s="0" t="e">
        <f aca="false">sheet1!ayo158</f>
        <v>#NAME?</v>
      </c>
      <c r="I157" s="0" t="e">
        <f aca="false">sheet1!ayp158</f>
        <v>#NAME?</v>
      </c>
      <c r="J157" s="0" t="e">
        <f aca="false">sheet1!ayq158</f>
        <v>#NAME?</v>
      </c>
      <c r="K157" s="0" t="e">
        <f aca="false">sheet1!ayr158</f>
        <v>#NAME?</v>
      </c>
      <c r="L157" s="0" t="e">
        <f aca="false">sheet1!ays158</f>
        <v>#NAME?</v>
      </c>
      <c r="M157" s="0" t="e">
        <f aca="false">sheet1!ayt158</f>
        <v>#NAME?</v>
      </c>
    </row>
    <row r="158" customFormat="false" ht="13.5" hidden="false" customHeight="false" outlineLevel="0" collapsed="false">
      <c r="A158" s="0" t="s">
        <v>106</v>
      </c>
      <c r="B158" s="1" t="n">
        <v>44018</v>
      </c>
      <c r="C158" s="0" t="e">
        <f aca="false">sheet1!ayj159</f>
        <v>#NAME?</v>
      </c>
      <c r="D158" s="0" t="e">
        <f aca="false">sheet1!ayk159</f>
        <v>#NAME?</v>
      </c>
      <c r="E158" s="0" t="e">
        <f aca="false">sheet1!ayl159</f>
        <v>#NAME?</v>
      </c>
      <c r="F158" s="0" t="e">
        <f aca="false">sheet1!aym159</f>
        <v>#NAME?</v>
      </c>
      <c r="G158" s="0" t="e">
        <f aca="false">sheet1!ayn159</f>
        <v>#NAME?</v>
      </c>
      <c r="H158" s="0" t="e">
        <f aca="false">sheet1!ayo159</f>
        <v>#NAME?</v>
      </c>
      <c r="I158" s="0" t="e">
        <f aca="false">sheet1!ayp159</f>
        <v>#NAME?</v>
      </c>
      <c r="J158" s="0" t="e">
        <f aca="false">sheet1!ayq159</f>
        <v>#NAME?</v>
      </c>
      <c r="K158" s="0" t="e">
        <f aca="false">sheet1!ayr159</f>
        <v>#NAME?</v>
      </c>
      <c r="L158" s="0" t="e">
        <f aca="false">sheet1!ays159</f>
        <v>#NAME?</v>
      </c>
      <c r="M158" s="0" t="e">
        <f aca="false">sheet1!ayt159</f>
        <v>#NAME?</v>
      </c>
    </row>
    <row r="159" customFormat="false" ht="13.5" hidden="false" customHeight="false" outlineLevel="0" collapsed="false">
      <c r="A159" s="0" t="s">
        <v>106</v>
      </c>
      <c r="B159" s="1" t="n">
        <v>44019</v>
      </c>
      <c r="C159" s="0" t="e">
        <f aca="false">sheet1!ayj160</f>
        <v>#NAME?</v>
      </c>
      <c r="D159" s="0" t="e">
        <f aca="false">sheet1!ayk160</f>
        <v>#NAME?</v>
      </c>
      <c r="E159" s="0" t="e">
        <f aca="false">sheet1!ayl160</f>
        <v>#NAME?</v>
      </c>
      <c r="F159" s="0" t="e">
        <f aca="false">sheet1!aym160</f>
        <v>#NAME?</v>
      </c>
      <c r="G159" s="0" t="e">
        <f aca="false">sheet1!ayn160</f>
        <v>#NAME?</v>
      </c>
      <c r="H159" s="0" t="e">
        <f aca="false">sheet1!ayo160</f>
        <v>#NAME?</v>
      </c>
      <c r="I159" s="0" t="e">
        <f aca="false">sheet1!ayp160</f>
        <v>#NAME?</v>
      </c>
      <c r="J159" s="0" t="e">
        <f aca="false">sheet1!ayq160</f>
        <v>#NAME?</v>
      </c>
      <c r="K159" s="0" t="e">
        <f aca="false">sheet1!ayr160</f>
        <v>#NAME?</v>
      </c>
      <c r="L159" s="0" t="e">
        <f aca="false">sheet1!ays160</f>
        <v>#NAME?</v>
      </c>
      <c r="M159" s="0" t="e">
        <f aca="false">sheet1!ayt160</f>
        <v>#NAME?</v>
      </c>
    </row>
    <row r="160" customFormat="false" ht="13.5" hidden="false" customHeight="false" outlineLevel="0" collapsed="false">
      <c r="A160" s="0" t="s">
        <v>106</v>
      </c>
      <c r="B160" s="1" t="n">
        <v>44020</v>
      </c>
      <c r="C160" s="0" t="e">
        <f aca="false">sheet1!ayj161</f>
        <v>#NAME?</v>
      </c>
      <c r="D160" s="0" t="e">
        <f aca="false">sheet1!ayk161</f>
        <v>#NAME?</v>
      </c>
      <c r="E160" s="0" t="e">
        <f aca="false">sheet1!ayl161</f>
        <v>#NAME?</v>
      </c>
      <c r="F160" s="0" t="e">
        <f aca="false">sheet1!aym161</f>
        <v>#NAME?</v>
      </c>
      <c r="G160" s="0" t="e">
        <f aca="false">sheet1!ayn161</f>
        <v>#NAME?</v>
      </c>
      <c r="H160" s="0" t="e">
        <f aca="false">sheet1!ayo161</f>
        <v>#NAME?</v>
      </c>
      <c r="I160" s="0" t="e">
        <f aca="false">sheet1!ayp161</f>
        <v>#NAME?</v>
      </c>
      <c r="J160" s="0" t="e">
        <f aca="false">sheet1!ayq161</f>
        <v>#NAME?</v>
      </c>
      <c r="K160" s="0" t="e">
        <f aca="false">sheet1!ayr161</f>
        <v>#NAME?</v>
      </c>
      <c r="L160" s="0" t="e">
        <f aca="false">sheet1!ays161</f>
        <v>#NAME?</v>
      </c>
      <c r="M160" s="0" t="e">
        <f aca="false">sheet1!ayt161</f>
        <v>#NAME?</v>
      </c>
    </row>
    <row r="161" customFormat="false" ht="13.5" hidden="false" customHeight="false" outlineLevel="0" collapsed="false">
      <c r="A161" s="0" t="s">
        <v>106</v>
      </c>
      <c r="B161" s="1" t="n">
        <v>44021</v>
      </c>
      <c r="C161" s="0" t="e">
        <f aca="false">sheet1!ayj162</f>
        <v>#NAME?</v>
      </c>
      <c r="D161" s="0" t="e">
        <f aca="false">sheet1!ayk162</f>
        <v>#NAME?</v>
      </c>
      <c r="E161" s="0" t="e">
        <f aca="false">sheet1!ayl162</f>
        <v>#NAME?</v>
      </c>
      <c r="F161" s="0" t="e">
        <f aca="false">sheet1!aym162</f>
        <v>#NAME?</v>
      </c>
      <c r="G161" s="0" t="e">
        <f aca="false">sheet1!ayn162</f>
        <v>#NAME?</v>
      </c>
      <c r="H161" s="0" t="e">
        <f aca="false">sheet1!ayo162</f>
        <v>#NAME?</v>
      </c>
      <c r="I161" s="0" t="e">
        <f aca="false">sheet1!ayp162</f>
        <v>#NAME?</v>
      </c>
      <c r="J161" s="0" t="e">
        <f aca="false">sheet1!ayq162</f>
        <v>#NAME?</v>
      </c>
      <c r="K161" s="0" t="e">
        <f aca="false">sheet1!ayr162</f>
        <v>#NAME?</v>
      </c>
      <c r="L161" s="0" t="e">
        <f aca="false">sheet1!ays162</f>
        <v>#NAME?</v>
      </c>
      <c r="M161" s="0" t="e">
        <f aca="false">sheet1!ayt162</f>
        <v>#NAME?</v>
      </c>
    </row>
    <row r="162" customFormat="false" ht="13.5" hidden="false" customHeight="false" outlineLevel="0" collapsed="false">
      <c r="A162" s="0" t="s">
        <v>106</v>
      </c>
      <c r="B162" s="1" t="n">
        <v>44022</v>
      </c>
      <c r="C162" s="0" t="e">
        <f aca="false">sheet1!ayj163</f>
        <v>#NAME?</v>
      </c>
      <c r="D162" s="0" t="e">
        <f aca="false">sheet1!ayk163</f>
        <v>#NAME?</v>
      </c>
      <c r="E162" s="0" t="e">
        <f aca="false">sheet1!ayl163</f>
        <v>#NAME?</v>
      </c>
      <c r="F162" s="0" t="e">
        <f aca="false">sheet1!aym163</f>
        <v>#NAME?</v>
      </c>
      <c r="G162" s="0" t="e">
        <f aca="false">sheet1!ayn163</f>
        <v>#NAME?</v>
      </c>
      <c r="H162" s="0" t="e">
        <f aca="false">sheet1!ayo163</f>
        <v>#NAME?</v>
      </c>
      <c r="I162" s="0" t="e">
        <f aca="false">sheet1!ayp163</f>
        <v>#NAME?</v>
      </c>
      <c r="J162" s="0" t="e">
        <f aca="false">sheet1!ayq163</f>
        <v>#NAME?</v>
      </c>
      <c r="K162" s="0" t="e">
        <f aca="false">sheet1!ayr163</f>
        <v>#NAME?</v>
      </c>
      <c r="L162" s="0" t="e">
        <f aca="false">sheet1!ays163</f>
        <v>#NAME?</v>
      </c>
      <c r="M162" s="0" t="e">
        <f aca="false">sheet1!ayt163</f>
        <v>#NAME?</v>
      </c>
    </row>
    <row r="163" customFormat="false" ht="13.5" hidden="false" customHeight="false" outlineLevel="0" collapsed="false">
      <c r="A163" s="0" t="s">
        <v>106</v>
      </c>
      <c r="B163" s="1" t="n">
        <v>44023</v>
      </c>
      <c r="C163" s="0" t="e">
        <f aca="false">sheet1!ayj164</f>
        <v>#NAME?</v>
      </c>
      <c r="D163" s="0" t="e">
        <f aca="false">sheet1!ayk164</f>
        <v>#NAME?</v>
      </c>
      <c r="E163" s="0" t="e">
        <f aca="false">sheet1!ayl164</f>
        <v>#NAME?</v>
      </c>
      <c r="F163" s="0" t="e">
        <f aca="false">sheet1!aym164</f>
        <v>#NAME?</v>
      </c>
      <c r="G163" s="0" t="e">
        <f aca="false">sheet1!ayn164</f>
        <v>#NAME?</v>
      </c>
      <c r="H163" s="0" t="e">
        <f aca="false">sheet1!ayo164</f>
        <v>#NAME?</v>
      </c>
      <c r="I163" s="0" t="e">
        <f aca="false">sheet1!ayp164</f>
        <v>#NAME?</v>
      </c>
      <c r="J163" s="0" t="e">
        <f aca="false">sheet1!ayq164</f>
        <v>#NAME?</v>
      </c>
      <c r="K163" s="0" t="e">
        <f aca="false">sheet1!ayr164</f>
        <v>#NAME?</v>
      </c>
      <c r="L163" s="0" t="e">
        <f aca="false">sheet1!ays164</f>
        <v>#NAME?</v>
      </c>
      <c r="M163" s="0" t="e">
        <f aca="false">sheet1!ayt164</f>
        <v>#NAME?</v>
      </c>
    </row>
    <row r="164" customFormat="false" ht="13.5" hidden="false" customHeight="false" outlineLevel="0" collapsed="false">
      <c r="A164" s="0" t="s">
        <v>106</v>
      </c>
      <c r="B164" s="1" t="n">
        <v>44024</v>
      </c>
      <c r="C164" s="0" t="e">
        <f aca="false">sheet1!ayj165</f>
        <v>#NAME?</v>
      </c>
      <c r="D164" s="0" t="e">
        <f aca="false">sheet1!ayk165</f>
        <v>#NAME?</v>
      </c>
      <c r="E164" s="0" t="e">
        <f aca="false">sheet1!ayl165</f>
        <v>#NAME?</v>
      </c>
      <c r="F164" s="0" t="e">
        <f aca="false">sheet1!aym165</f>
        <v>#NAME?</v>
      </c>
      <c r="G164" s="0" t="e">
        <f aca="false">sheet1!ayn165</f>
        <v>#NAME?</v>
      </c>
      <c r="H164" s="0" t="e">
        <f aca="false">sheet1!ayo165</f>
        <v>#NAME?</v>
      </c>
      <c r="I164" s="0" t="e">
        <f aca="false">sheet1!ayp165</f>
        <v>#NAME?</v>
      </c>
      <c r="J164" s="0" t="e">
        <f aca="false">sheet1!ayq165</f>
        <v>#NAME?</v>
      </c>
      <c r="K164" s="0" t="e">
        <f aca="false">sheet1!ayr165</f>
        <v>#NAME?</v>
      </c>
      <c r="L164" s="0" t="e">
        <f aca="false">sheet1!ays165</f>
        <v>#NAME?</v>
      </c>
      <c r="M164" s="0" t="e">
        <f aca="false">sheet1!ayt165</f>
        <v>#NAME?</v>
      </c>
    </row>
    <row r="165" customFormat="false" ht="13.5" hidden="false" customHeight="false" outlineLevel="0" collapsed="false">
      <c r="A165" s="0" t="s">
        <v>106</v>
      </c>
      <c r="B165" s="1" t="n">
        <v>44025</v>
      </c>
      <c r="C165" s="0" t="e">
        <f aca="false">sheet1!ayj166</f>
        <v>#NAME?</v>
      </c>
      <c r="D165" s="0" t="e">
        <f aca="false">sheet1!ayk166</f>
        <v>#NAME?</v>
      </c>
      <c r="E165" s="0" t="e">
        <f aca="false">sheet1!ayl166</f>
        <v>#NAME?</v>
      </c>
      <c r="F165" s="0" t="e">
        <f aca="false">sheet1!aym166</f>
        <v>#NAME?</v>
      </c>
      <c r="G165" s="0" t="e">
        <f aca="false">sheet1!ayn166</f>
        <v>#NAME?</v>
      </c>
      <c r="H165" s="0" t="e">
        <f aca="false">sheet1!ayo166</f>
        <v>#NAME?</v>
      </c>
      <c r="I165" s="0" t="e">
        <f aca="false">sheet1!ayp166</f>
        <v>#NAME?</v>
      </c>
      <c r="J165" s="0" t="e">
        <f aca="false">sheet1!ayq166</f>
        <v>#NAME?</v>
      </c>
      <c r="K165" s="0" t="e">
        <f aca="false">sheet1!ayr166</f>
        <v>#NAME?</v>
      </c>
      <c r="L165" s="0" t="e">
        <f aca="false">sheet1!ays166</f>
        <v>#NAME?</v>
      </c>
      <c r="M165" s="0" t="e">
        <f aca="false">sheet1!ayt166</f>
        <v>#NAME?</v>
      </c>
    </row>
    <row r="166" customFormat="false" ht="13.5" hidden="false" customHeight="false" outlineLevel="0" collapsed="false">
      <c r="A166" s="0" t="s">
        <v>106</v>
      </c>
      <c r="B166" s="1" t="n">
        <v>44026</v>
      </c>
      <c r="C166" s="0" t="e">
        <f aca="false">sheet1!ayj167</f>
        <v>#NAME?</v>
      </c>
      <c r="D166" s="0" t="e">
        <f aca="false">sheet1!ayk167</f>
        <v>#NAME?</v>
      </c>
      <c r="E166" s="0" t="e">
        <f aca="false">sheet1!ayl167</f>
        <v>#NAME?</v>
      </c>
      <c r="F166" s="0" t="e">
        <f aca="false">sheet1!aym167</f>
        <v>#NAME?</v>
      </c>
      <c r="G166" s="0" t="e">
        <f aca="false">sheet1!ayn167</f>
        <v>#NAME?</v>
      </c>
      <c r="H166" s="0" t="e">
        <f aca="false">sheet1!ayo167</f>
        <v>#NAME?</v>
      </c>
      <c r="I166" s="0" t="e">
        <f aca="false">sheet1!ayp167</f>
        <v>#NAME?</v>
      </c>
      <c r="J166" s="0" t="e">
        <f aca="false">sheet1!ayq167</f>
        <v>#NAME?</v>
      </c>
      <c r="K166" s="0" t="e">
        <f aca="false">sheet1!ayr167</f>
        <v>#NAME?</v>
      </c>
      <c r="L166" s="0" t="e">
        <f aca="false">sheet1!ays167</f>
        <v>#NAME?</v>
      </c>
      <c r="M166" s="0" t="e">
        <f aca="false">sheet1!ayt167</f>
        <v>#NAME?</v>
      </c>
    </row>
    <row r="167" customFormat="false" ht="13.5" hidden="false" customHeight="false" outlineLevel="0" collapsed="false">
      <c r="A167" s="0" t="s">
        <v>106</v>
      </c>
      <c r="B167" s="1" t="n">
        <v>44027</v>
      </c>
      <c r="C167" s="0" t="e">
        <f aca="false">sheet1!ayj168</f>
        <v>#NAME?</v>
      </c>
      <c r="D167" s="0" t="e">
        <f aca="false">sheet1!ayk168</f>
        <v>#NAME?</v>
      </c>
      <c r="E167" s="0" t="e">
        <f aca="false">sheet1!ayl168</f>
        <v>#NAME?</v>
      </c>
      <c r="F167" s="0" t="e">
        <f aca="false">sheet1!aym168</f>
        <v>#NAME?</v>
      </c>
      <c r="G167" s="0" t="e">
        <f aca="false">sheet1!ayn168</f>
        <v>#NAME?</v>
      </c>
      <c r="H167" s="0" t="e">
        <f aca="false">sheet1!ayo168</f>
        <v>#NAME?</v>
      </c>
      <c r="I167" s="0" t="e">
        <f aca="false">sheet1!ayp168</f>
        <v>#NAME?</v>
      </c>
      <c r="J167" s="0" t="e">
        <f aca="false">sheet1!ayq168</f>
        <v>#NAME?</v>
      </c>
      <c r="K167" s="0" t="e">
        <f aca="false">sheet1!ayr168</f>
        <v>#NAME?</v>
      </c>
      <c r="L167" s="0" t="e">
        <f aca="false">sheet1!ays168</f>
        <v>#NAME?</v>
      </c>
      <c r="M167" s="0" t="e">
        <f aca="false">sheet1!ayt168</f>
        <v>#NAME?</v>
      </c>
    </row>
    <row r="168" customFormat="false" ht="13.5" hidden="false" customHeight="false" outlineLevel="0" collapsed="false">
      <c r="A168" s="0" t="s">
        <v>106</v>
      </c>
      <c r="B168" s="1" t="n">
        <v>44028</v>
      </c>
      <c r="C168" s="0" t="e">
        <f aca="false">sheet1!ayj169</f>
        <v>#NAME?</v>
      </c>
      <c r="D168" s="0" t="e">
        <f aca="false">sheet1!ayk169</f>
        <v>#NAME?</v>
      </c>
      <c r="E168" s="0" t="e">
        <f aca="false">sheet1!ayl169</f>
        <v>#NAME?</v>
      </c>
      <c r="F168" s="0" t="e">
        <f aca="false">sheet1!aym169</f>
        <v>#NAME?</v>
      </c>
      <c r="G168" s="0" t="e">
        <f aca="false">sheet1!ayn169</f>
        <v>#NAME?</v>
      </c>
      <c r="H168" s="0" t="e">
        <f aca="false">sheet1!ayo169</f>
        <v>#NAME?</v>
      </c>
      <c r="I168" s="0" t="e">
        <f aca="false">sheet1!ayp169</f>
        <v>#NAME?</v>
      </c>
      <c r="J168" s="0" t="e">
        <f aca="false">sheet1!ayq169</f>
        <v>#NAME?</v>
      </c>
      <c r="K168" s="0" t="e">
        <f aca="false">sheet1!ayr169</f>
        <v>#NAME?</v>
      </c>
      <c r="L168" s="0" t="e">
        <f aca="false">sheet1!ays169</f>
        <v>#NAME?</v>
      </c>
      <c r="M168" s="0" t="e">
        <f aca="false">sheet1!ayt169</f>
        <v>#NAME?</v>
      </c>
    </row>
    <row r="169" customFormat="false" ht="13.5" hidden="false" customHeight="false" outlineLevel="0" collapsed="false">
      <c r="A169" s="0" t="s">
        <v>106</v>
      </c>
      <c r="B169" s="1" t="n">
        <v>44029</v>
      </c>
      <c r="C169" s="0" t="e">
        <f aca="false">sheet1!ayj170</f>
        <v>#NAME?</v>
      </c>
      <c r="D169" s="0" t="e">
        <f aca="false">sheet1!ayk170</f>
        <v>#NAME?</v>
      </c>
      <c r="E169" s="0" t="e">
        <f aca="false">sheet1!ayl170</f>
        <v>#NAME?</v>
      </c>
      <c r="F169" s="0" t="e">
        <f aca="false">sheet1!aym170</f>
        <v>#NAME?</v>
      </c>
      <c r="G169" s="0" t="e">
        <f aca="false">sheet1!ayn170</f>
        <v>#NAME?</v>
      </c>
      <c r="H169" s="0" t="e">
        <f aca="false">sheet1!ayo170</f>
        <v>#NAME?</v>
      </c>
      <c r="I169" s="0" t="e">
        <f aca="false">sheet1!ayp170</f>
        <v>#NAME?</v>
      </c>
      <c r="J169" s="0" t="e">
        <f aca="false">sheet1!ayq170</f>
        <v>#NAME?</v>
      </c>
      <c r="K169" s="0" t="e">
        <f aca="false">sheet1!ayr170</f>
        <v>#NAME?</v>
      </c>
      <c r="L169" s="0" t="e">
        <f aca="false">sheet1!ays170</f>
        <v>#NAME?</v>
      </c>
      <c r="M169" s="0" t="e">
        <f aca="false">sheet1!ayt170</f>
        <v>#NAME?</v>
      </c>
    </row>
    <row r="170" customFormat="false" ht="13.5" hidden="false" customHeight="false" outlineLevel="0" collapsed="false">
      <c r="A170" s="0" t="s">
        <v>106</v>
      </c>
      <c r="B170" s="1" t="n">
        <v>44030</v>
      </c>
      <c r="C170" s="0" t="e">
        <f aca="false">sheet1!ayj171</f>
        <v>#NAME?</v>
      </c>
      <c r="D170" s="0" t="e">
        <f aca="false">sheet1!ayk171</f>
        <v>#NAME?</v>
      </c>
      <c r="E170" s="0" t="e">
        <f aca="false">sheet1!ayl171</f>
        <v>#NAME?</v>
      </c>
      <c r="F170" s="0" t="e">
        <f aca="false">sheet1!aym171</f>
        <v>#NAME?</v>
      </c>
      <c r="G170" s="0" t="e">
        <f aca="false">sheet1!ayn171</f>
        <v>#NAME?</v>
      </c>
      <c r="H170" s="0" t="e">
        <f aca="false">sheet1!ayo171</f>
        <v>#NAME?</v>
      </c>
      <c r="I170" s="0" t="e">
        <f aca="false">sheet1!ayp171</f>
        <v>#NAME?</v>
      </c>
      <c r="J170" s="0" t="e">
        <f aca="false">sheet1!ayq171</f>
        <v>#NAME?</v>
      </c>
      <c r="K170" s="0" t="e">
        <f aca="false">sheet1!ayr171</f>
        <v>#NAME?</v>
      </c>
      <c r="L170" s="0" t="e">
        <f aca="false">sheet1!ays171</f>
        <v>#NAME?</v>
      </c>
      <c r="M170" s="0" t="e">
        <f aca="false">sheet1!ayt171</f>
        <v>#NAME?</v>
      </c>
    </row>
    <row r="171" customFormat="false" ht="13.5" hidden="false" customHeight="false" outlineLevel="0" collapsed="false">
      <c r="A171" s="0" t="s">
        <v>106</v>
      </c>
      <c r="B171" s="1" t="n">
        <v>44031</v>
      </c>
      <c r="C171" s="0" t="e">
        <f aca="false">sheet1!ayj172</f>
        <v>#NAME?</v>
      </c>
      <c r="D171" s="0" t="e">
        <f aca="false">sheet1!ayk172</f>
        <v>#NAME?</v>
      </c>
      <c r="E171" s="0" t="e">
        <f aca="false">sheet1!ayl172</f>
        <v>#NAME?</v>
      </c>
      <c r="F171" s="0" t="e">
        <f aca="false">sheet1!aym172</f>
        <v>#NAME?</v>
      </c>
      <c r="G171" s="0" t="e">
        <f aca="false">sheet1!ayn172</f>
        <v>#NAME?</v>
      </c>
      <c r="H171" s="0" t="e">
        <f aca="false">sheet1!ayo172</f>
        <v>#NAME?</v>
      </c>
      <c r="I171" s="0" t="e">
        <f aca="false">sheet1!ayp172</f>
        <v>#NAME?</v>
      </c>
      <c r="J171" s="0" t="e">
        <f aca="false">sheet1!ayq172</f>
        <v>#NAME?</v>
      </c>
      <c r="K171" s="0" t="e">
        <f aca="false">sheet1!ayr172</f>
        <v>#NAME?</v>
      </c>
      <c r="L171" s="0" t="e">
        <f aca="false">sheet1!ays172</f>
        <v>#NAME?</v>
      </c>
      <c r="M171" s="0" t="e">
        <f aca="false">sheet1!ayt172</f>
        <v>#NAME?</v>
      </c>
    </row>
    <row r="172" customFormat="false" ht="13.5" hidden="false" customHeight="false" outlineLevel="0" collapsed="false">
      <c r="A172" s="0" t="s">
        <v>106</v>
      </c>
      <c r="B172" s="1" t="n">
        <v>44032</v>
      </c>
      <c r="C172" s="0" t="e">
        <f aca="false">sheet1!ayj173</f>
        <v>#NAME?</v>
      </c>
      <c r="D172" s="0" t="e">
        <f aca="false">sheet1!ayk173</f>
        <v>#NAME?</v>
      </c>
      <c r="E172" s="0" t="e">
        <f aca="false">sheet1!ayl173</f>
        <v>#NAME?</v>
      </c>
      <c r="F172" s="0" t="e">
        <f aca="false">sheet1!aym173</f>
        <v>#NAME?</v>
      </c>
      <c r="G172" s="0" t="e">
        <f aca="false">sheet1!ayn173</f>
        <v>#NAME?</v>
      </c>
      <c r="H172" s="0" t="e">
        <f aca="false">sheet1!ayo173</f>
        <v>#NAME?</v>
      </c>
      <c r="I172" s="0" t="e">
        <f aca="false">sheet1!ayp173</f>
        <v>#NAME?</v>
      </c>
      <c r="J172" s="0" t="e">
        <f aca="false">sheet1!ayq173</f>
        <v>#NAME?</v>
      </c>
      <c r="K172" s="0" t="e">
        <f aca="false">sheet1!ayr173</f>
        <v>#NAME?</v>
      </c>
      <c r="L172" s="0" t="e">
        <f aca="false">sheet1!ays173</f>
        <v>#NAME?</v>
      </c>
      <c r="M172" s="0" t="e">
        <f aca="false">sheet1!ayt173</f>
        <v>#NAME?</v>
      </c>
    </row>
    <row r="173" customFormat="false" ht="13.5" hidden="false" customHeight="false" outlineLevel="0" collapsed="false">
      <c r="A173" s="0" t="s">
        <v>106</v>
      </c>
      <c r="B173" s="1" t="n">
        <v>44033</v>
      </c>
      <c r="C173" s="0" t="e">
        <f aca="false">sheet1!ayj174</f>
        <v>#NAME?</v>
      </c>
      <c r="D173" s="0" t="e">
        <f aca="false">sheet1!ayk174</f>
        <v>#NAME?</v>
      </c>
      <c r="E173" s="0" t="e">
        <f aca="false">sheet1!ayl174</f>
        <v>#NAME?</v>
      </c>
      <c r="F173" s="0" t="e">
        <f aca="false">sheet1!aym174</f>
        <v>#NAME?</v>
      </c>
      <c r="G173" s="0" t="e">
        <f aca="false">sheet1!ayn174</f>
        <v>#NAME?</v>
      </c>
      <c r="H173" s="0" t="e">
        <f aca="false">sheet1!ayo174</f>
        <v>#NAME?</v>
      </c>
      <c r="I173" s="0" t="e">
        <f aca="false">sheet1!ayp174</f>
        <v>#NAME?</v>
      </c>
      <c r="J173" s="0" t="e">
        <f aca="false">sheet1!ayq174</f>
        <v>#NAME?</v>
      </c>
      <c r="K173" s="0" t="e">
        <f aca="false">sheet1!ayr174</f>
        <v>#NAME?</v>
      </c>
      <c r="L173" s="0" t="e">
        <f aca="false">sheet1!ays174</f>
        <v>#NAME?</v>
      </c>
      <c r="M173" s="0" t="e">
        <f aca="false">sheet1!ayt174</f>
        <v>#NAME?</v>
      </c>
    </row>
    <row r="174" customFormat="false" ht="13.5" hidden="false" customHeight="false" outlineLevel="0" collapsed="false">
      <c r="A174" s="0" t="s">
        <v>106</v>
      </c>
      <c r="B174" s="1" t="n">
        <v>44034</v>
      </c>
      <c r="C174" s="0" t="e">
        <f aca="false">sheet1!ayj175</f>
        <v>#NAME?</v>
      </c>
      <c r="D174" s="0" t="e">
        <f aca="false">sheet1!ayk175</f>
        <v>#NAME?</v>
      </c>
      <c r="E174" s="0" t="e">
        <f aca="false">sheet1!ayl175</f>
        <v>#NAME?</v>
      </c>
      <c r="F174" s="0" t="e">
        <f aca="false">sheet1!aym175</f>
        <v>#NAME?</v>
      </c>
      <c r="G174" s="0" t="e">
        <f aca="false">sheet1!ayn175</f>
        <v>#NAME?</v>
      </c>
      <c r="H174" s="0" t="e">
        <f aca="false">sheet1!ayo175</f>
        <v>#NAME?</v>
      </c>
      <c r="I174" s="0" t="e">
        <f aca="false">sheet1!ayp175</f>
        <v>#NAME?</v>
      </c>
      <c r="J174" s="0" t="e">
        <f aca="false">sheet1!ayq175</f>
        <v>#NAME?</v>
      </c>
      <c r="K174" s="0" t="e">
        <f aca="false">sheet1!ayr175</f>
        <v>#NAME?</v>
      </c>
      <c r="L174" s="0" t="e">
        <f aca="false">sheet1!ays175</f>
        <v>#NAME?</v>
      </c>
      <c r="M174" s="0" t="e">
        <f aca="false">sheet1!ayt175</f>
        <v>#NAME?</v>
      </c>
    </row>
    <row r="175" customFormat="false" ht="13.5" hidden="false" customHeight="false" outlineLevel="0" collapsed="false">
      <c r="A175" s="0" t="s">
        <v>106</v>
      </c>
      <c r="B175" s="1" t="n">
        <v>44035</v>
      </c>
      <c r="C175" s="0" t="e">
        <f aca="false">sheet1!ayj176</f>
        <v>#NAME?</v>
      </c>
      <c r="D175" s="0" t="e">
        <f aca="false">sheet1!ayk176</f>
        <v>#NAME?</v>
      </c>
      <c r="E175" s="0" t="e">
        <f aca="false">sheet1!ayl176</f>
        <v>#NAME?</v>
      </c>
      <c r="F175" s="0" t="e">
        <f aca="false">sheet1!aym176</f>
        <v>#NAME?</v>
      </c>
      <c r="G175" s="0" t="e">
        <f aca="false">sheet1!ayn176</f>
        <v>#NAME?</v>
      </c>
      <c r="H175" s="0" t="e">
        <f aca="false">sheet1!ayo176</f>
        <v>#NAME?</v>
      </c>
      <c r="I175" s="0" t="e">
        <f aca="false">sheet1!ayp176</f>
        <v>#NAME?</v>
      </c>
      <c r="J175" s="0" t="e">
        <f aca="false">sheet1!ayq176</f>
        <v>#NAME?</v>
      </c>
      <c r="K175" s="0" t="e">
        <f aca="false">sheet1!ayr176</f>
        <v>#NAME?</v>
      </c>
      <c r="L175" s="0" t="e">
        <f aca="false">sheet1!ays176</f>
        <v>#NAME?</v>
      </c>
      <c r="M175" s="0" t="e">
        <f aca="false">sheet1!ayt176</f>
        <v>#NAME?</v>
      </c>
    </row>
    <row r="176" customFormat="false" ht="13.5" hidden="false" customHeight="false" outlineLevel="0" collapsed="false">
      <c r="A176" s="0" t="s">
        <v>106</v>
      </c>
      <c r="B176" s="1" t="n">
        <v>44036</v>
      </c>
      <c r="C176" s="0" t="e">
        <f aca="false">sheet1!ayj177</f>
        <v>#NAME?</v>
      </c>
      <c r="D176" s="0" t="e">
        <f aca="false">sheet1!ayk177</f>
        <v>#NAME?</v>
      </c>
      <c r="E176" s="0" t="e">
        <f aca="false">sheet1!ayl177</f>
        <v>#NAME?</v>
      </c>
      <c r="F176" s="0" t="e">
        <f aca="false">sheet1!aym177</f>
        <v>#NAME?</v>
      </c>
      <c r="G176" s="0" t="e">
        <f aca="false">sheet1!ayn177</f>
        <v>#NAME?</v>
      </c>
      <c r="H176" s="0" t="e">
        <f aca="false">sheet1!ayo177</f>
        <v>#NAME?</v>
      </c>
      <c r="I176" s="0" t="e">
        <f aca="false">sheet1!ayp177</f>
        <v>#NAME?</v>
      </c>
      <c r="J176" s="0" t="e">
        <f aca="false">sheet1!ayq177</f>
        <v>#NAME?</v>
      </c>
      <c r="K176" s="0" t="e">
        <f aca="false">sheet1!ayr177</f>
        <v>#NAME?</v>
      </c>
      <c r="L176" s="0" t="e">
        <f aca="false">sheet1!ays177</f>
        <v>#NAME?</v>
      </c>
      <c r="M176" s="0" t="e">
        <f aca="false">sheet1!ayt177</f>
        <v>#NAME?</v>
      </c>
    </row>
    <row r="177" customFormat="false" ht="13.5" hidden="false" customHeight="false" outlineLevel="0" collapsed="false">
      <c r="A177" s="0" t="s">
        <v>106</v>
      </c>
      <c r="B177" s="1" t="n">
        <v>44037</v>
      </c>
      <c r="C177" s="0" t="e">
        <f aca="false">sheet1!ayj178</f>
        <v>#NAME?</v>
      </c>
      <c r="D177" s="0" t="e">
        <f aca="false">sheet1!ayk178</f>
        <v>#NAME?</v>
      </c>
      <c r="E177" s="0" t="e">
        <f aca="false">sheet1!ayl178</f>
        <v>#NAME?</v>
      </c>
      <c r="F177" s="0" t="e">
        <f aca="false">sheet1!aym178</f>
        <v>#NAME?</v>
      </c>
      <c r="G177" s="0" t="e">
        <f aca="false">sheet1!ayn178</f>
        <v>#NAME?</v>
      </c>
      <c r="H177" s="0" t="e">
        <f aca="false">sheet1!ayo178</f>
        <v>#NAME?</v>
      </c>
      <c r="I177" s="0" t="e">
        <f aca="false">sheet1!ayp178</f>
        <v>#NAME?</v>
      </c>
      <c r="J177" s="0" t="e">
        <f aca="false">sheet1!ayq178</f>
        <v>#NAME?</v>
      </c>
      <c r="K177" s="0" t="e">
        <f aca="false">sheet1!ayr178</f>
        <v>#NAME?</v>
      </c>
      <c r="L177" s="0" t="e">
        <f aca="false">sheet1!ays178</f>
        <v>#NAME?</v>
      </c>
      <c r="M177" s="0" t="e">
        <f aca="false">sheet1!ayt178</f>
        <v>#NAME?</v>
      </c>
    </row>
    <row r="178" customFormat="false" ht="13.5" hidden="false" customHeight="false" outlineLevel="0" collapsed="false">
      <c r="A178" s="0" t="s">
        <v>106</v>
      </c>
      <c r="B178" s="1" t="n">
        <v>44038</v>
      </c>
      <c r="C178" s="0" t="e">
        <f aca="false">sheet1!ayj179</f>
        <v>#NAME?</v>
      </c>
      <c r="D178" s="0" t="e">
        <f aca="false">sheet1!ayk179</f>
        <v>#NAME?</v>
      </c>
      <c r="E178" s="0" t="e">
        <f aca="false">sheet1!ayl179</f>
        <v>#NAME?</v>
      </c>
      <c r="F178" s="0" t="e">
        <f aca="false">sheet1!aym179</f>
        <v>#NAME?</v>
      </c>
      <c r="G178" s="0" t="e">
        <f aca="false">sheet1!ayn179</f>
        <v>#NAME?</v>
      </c>
      <c r="H178" s="0" t="e">
        <f aca="false">sheet1!ayo179</f>
        <v>#NAME?</v>
      </c>
      <c r="I178" s="0" t="e">
        <f aca="false">sheet1!ayp179</f>
        <v>#NAME?</v>
      </c>
      <c r="J178" s="0" t="e">
        <f aca="false">sheet1!ayq179</f>
        <v>#NAME?</v>
      </c>
      <c r="K178" s="0" t="e">
        <f aca="false">sheet1!ayr179</f>
        <v>#NAME?</v>
      </c>
      <c r="L178" s="0" t="e">
        <f aca="false">sheet1!ays179</f>
        <v>#NAME?</v>
      </c>
      <c r="M178" s="0" t="e">
        <f aca="false">sheet1!ayt179</f>
        <v>#NAME?</v>
      </c>
    </row>
    <row r="179" customFormat="false" ht="13.5" hidden="false" customHeight="false" outlineLevel="0" collapsed="false">
      <c r="A179" s="0" t="s">
        <v>106</v>
      </c>
      <c r="B179" s="1" t="n">
        <v>44039</v>
      </c>
      <c r="C179" s="0" t="e">
        <f aca="false">sheet1!ayj180</f>
        <v>#NAME?</v>
      </c>
      <c r="D179" s="0" t="e">
        <f aca="false">sheet1!ayk180</f>
        <v>#NAME?</v>
      </c>
      <c r="E179" s="0" t="e">
        <f aca="false">sheet1!ayl180</f>
        <v>#NAME?</v>
      </c>
      <c r="F179" s="0" t="e">
        <f aca="false">sheet1!aym180</f>
        <v>#NAME?</v>
      </c>
      <c r="G179" s="0" t="e">
        <f aca="false">sheet1!ayn180</f>
        <v>#NAME?</v>
      </c>
      <c r="H179" s="0" t="e">
        <f aca="false">sheet1!ayo180</f>
        <v>#NAME?</v>
      </c>
      <c r="I179" s="0" t="e">
        <f aca="false">sheet1!ayp180</f>
        <v>#NAME?</v>
      </c>
      <c r="J179" s="0" t="e">
        <f aca="false">sheet1!ayq180</f>
        <v>#NAME?</v>
      </c>
      <c r="K179" s="0" t="e">
        <f aca="false">sheet1!ayr180</f>
        <v>#NAME?</v>
      </c>
      <c r="L179" s="0" t="e">
        <f aca="false">sheet1!ays180</f>
        <v>#NAME?</v>
      </c>
      <c r="M179" s="0" t="e">
        <f aca="false">sheet1!ayt180</f>
        <v>#NAME?</v>
      </c>
    </row>
    <row r="180" customFormat="false" ht="13.5" hidden="false" customHeight="false" outlineLevel="0" collapsed="false">
      <c r="A180" s="0" t="s">
        <v>106</v>
      </c>
      <c r="B180" s="1" t="n">
        <v>44040</v>
      </c>
      <c r="C180" s="0" t="e">
        <f aca="false">sheet1!ayj181</f>
        <v>#NAME?</v>
      </c>
      <c r="D180" s="0" t="e">
        <f aca="false">sheet1!ayk181</f>
        <v>#NAME?</v>
      </c>
      <c r="E180" s="0" t="e">
        <f aca="false">sheet1!ayl181</f>
        <v>#NAME?</v>
      </c>
      <c r="F180" s="0" t="e">
        <f aca="false">sheet1!aym181</f>
        <v>#NAME?</v>
      </c>
      <c r="G180" s="0" t="e">
        <f aca="false">sheet1!ayn181</f>
        <v>#NAME?</v>
      </c>
      <c r="H180" s="0" t="e">
        <f aca="false">sheet1!ayo181</f>
        <v>#NAME?</v>
      </c>
      <c r="I180" s="0" t="e">
        <f aca="false">sheet1!ayp181</f>
        <v>#NAME?</v>
      </c>
      <c r="J180" s="0" t="e">
        <f aca="false">sheet1!ayq181</f>
        <v>#NAME?</v>
      </c>
      <c r="K180" s="0" t="e">
        <f aca="false">sheet1!ayr181</f>
        <v>#NAME?</v>
      </c>
      <c r="L180" s="0" t="e">
        <f aca="false">sheet1!ays181</f>
        <v>#NAME?</v>
      </c>
      <c r="M180" s="0" t="e">
        <f aca="false">sheet1!ayt181</f>
        <v>#NAME?</v>
      </c>
    </row>
    <row r="181" customFormat="false" ht="13.5" hidden="false" customHeight="false" outlineLevel="0" collapsed="false">
      <c r="A181" s="0" t="s">
        <v>106</v>
      </c>
      <c r="B181" s="1" t="n">
        <v>44041</v>
      </c>
      <c r="C181" s="0" t="e">
        <f aca="false">sheet1!ayj182</f>
        <v>#NAME?</v>
      </c>
      <c r="D181" s="0" t="e">
        <f aca="false">sheet1!ayk182</f>
        <v>#NAME?</v>
      </c>
      <c r="E181" s="0" t="e">
        <f aca="false">sheet1!ayl182</f>
        <v>#NAME?</v>
      </c>
      <c r="F181" s="0" t="e">
        <f aca="false">sheet1!aym182</f>
        <v>#NAME?</v>
      </c>
      <c r="G181" s="0" t="e">
        <f aca="false">sheet1!ayn182</f>
        <v>#NAME?</v>
      </c>
      <c r="H181" s="0" t="e">
        <f aca="false">sheet1!ayo182</f>
        <v>#NAME?</v>
      </c>
      <c r="I181" s="0" t="e">
        <f aca="false">sheet1!ayp182</f>
        <v>#NAME?</v>
      </c>
      <c r="J181" s="0" t="e">
        <f aca="false">sheet1!ayq182</f>
        <v>#NAME?</v>
      </c>
      <c r="K181" s="0" t="e">
        <f aca="false">sheet1!ayr182</f>
        <v>#NAME?</v>
      </c>
      <c r="L181" s="0" t="e">
        <f aca="false">sheet1!ays182</f>
        <v>#NAME?</v>
      </c>
      <c r="M181" s="0" t="e">
        <f aca="false">sheet1!ayt182</f>
        <v>#NAME?</v>
      </c>
    </row>
    <row r="182" customFormat="false" ht="13.5" hidden="false" customHeight="false" outlineLevel="0" collapsed="false">
      <c r="A182" s="0" t="s">
        <v>106</v>
      </c>
      <c r="B182" s="1" t="n">
        <v>44042</v>
      </c>
      <c r="C182" s="0" t="e">
        <f aca="false">sheet1!ayj183</f>
        <v>#NAME?</v>
      </c>
      <c r="D182" s="0" t="e">
        <f aca="false">sheet1!ayk183</f>
        <v>#NAME?</v>
      </c>
      <c r="E182" s="0" t="e">
        <f aca="false">sheet1!ayl183</f>
        <v>#NAME?</v>
      </c>
      <c r="F182" s="0" t="e">
        <f aca="false">sheet1!aym183</f>
        <v>#NAME?</v>
      </c>
      <c r="G182" s="0" t="e">
        <f aca="false">sheet1!ayn183</f>
        <v>#NAME?</v>
      </c>
      <c r="H182" s="0" t="e">
        <f aca="false">sheet1!ayo183</f>
        <v>#NAME?</v>
      </c>
      <c r="I182" s="0" t="e">
        <f aca="false">sheet1!ayp183</f>
        <v>#NAME?</v>
      </c>
      <c r="J182" s="0" t="e">
        <f aca="false">sheet1!ayq183</f>
        <v>#NAME?</v>
      </c>
      <c r="K182" s="0" t="e">
        <f aca="false">sheet1!ayr183</f>
        <v>#NAME?</v>
      </c>
      <c r="L182" s="0" t="e">
        <f aca="false">sheet1!ays183</f>
        <v>#NAME?</v>
      </c>
      <c r="M182" s="0" t="e">
        <f aca="false">sheet1!ayt183</f>
        <v>#NAME?</v>
      </c>
    </row>
    <row r="183" customFormat="false" ht="13.5" hidden="false" customHeight="false" outlineLevel="0" collapsed="false">
      <c r="A183" s="0" t="s">
        <v>106</v>
      </c>
      <c r="B183" s="1" t="n">
        <v>44043</v>
      </c>
      <c r="C183" s="0" t="e">
        <f aca="false">sheet1!ayj184</f>
        <v>#NAME?</v>
      </c>
      <c r="D183" s="0" t="e">
        <f aca="false">sheet1!ayk184</f>
        <v>#NAME?</v>
      </c>
      <c r="E183" s="0" t="e">
        <f aca="false">sheet1!ayl184</f>
        <v>#NAME?</v>
      </c>
      <c r="F183" s="0" t="e">
        <f aca="false">sheet1!aym184</f>
        <v>#NAME?</v>
      </c>
      <c r="G183" s="0" t="e">
        <f aca="false">sheet1!ayn184</f>
        <v>#NAME?</v>
      </c>
      <c r="H183" s="0" t="e">
        <f aca="false">sheet1!ayo184</f>
        <v>#NAME?</v>
      </c>
      <c r="I183" s="0" t="e">
        <f aca="false">sheet1!ayp184</f>
        <v>#NAME?</v>
      </c>
      <c r="J183" s="0" t="e">
        <f aca="false">sheet1!ayq184</f>
        <v>#NAME?</v>
      </c>
      <c r="K183" s="0" t="e">
        <f aca="false">sheet1!ayr184</f>
        <v>#NAME?</v>
      </c>
      <c r="L183" s="0" t="e">
        <f aca="false">sheet1!ays184</f>
        <v>#NAME?</v>
      </c>
      <c r="M183" s="0" t="e">
        <f aca="false">sheet1!ayt184</f>
        <v>#NAME?</v>
      </c>
    </row>
    <row r="184" customFormat="false" ht="13.5" hidden="false" customHeight="false" outlineLevel="0" collapsed="false">
      <c r="A184" s="0" t="s">
        <v>106</v>
      </c>
      <c r="B184" s="1" t="n">
        <v>44044</v>
      </c>
      <c r="C184" s="0" t="e">
        <f aca="false">sheet1!ayj185</f>
        <v>#NAME?</v>
      </c>
      <c r="D184" s="0" t="e">
        <f aca="false">sheet1!ayk185</f>
        <v>#NAME?</v>
      </c>
      <c r="E184" s="0" t="e">
        <f aca="false">sheet1!ayl185</f>
        <v>#NAME?</v>
      </c>
      <c r="F184" s="0" t="e">
        <f aca="false">sheet1!aym185</f>
        <v>#NAME?</v>
      </c>
      <c r="G184" s="0" t="e">
        <f aca="false">sheet1!ayn185</f>
        <v>#NAME?</v>
      </c>
      <c r="H184" s="0" t="e">
        <f aca="false">sheet1!ayo185</f>
        <v>#NAME?</v>
      </c>
      <c r="I184" s="0" t="e">
        <f aca="false">sheet1!ayp185</f>
        <v>#NAME?</v>
      </c>
      <c r="J184" s="0" t="e">
        <f aca="false">sheet1!ayq185</f>
        <v>#NAME?</v>
      </c>
      <c r="K184" s="0" t="e">
        <f aca="false">sheet1!ayr185</f>
        <v>#NAME?</v>
      </c>
      <c r="L184" s="0" t="e">
        <f aca="false">sheet1!ays185</f>
        <v>#NAME?</v>
      </c>
      <c r="M184" s="0" t="e">
        <f aca="false">sheet1!ayt185</f>
        <v>#NAME?</v>
      </c>
    </row>
    <row r="185" customFormat="false" ht="13.5" hidden="false" customHeight="false" outlineLevel="0" collapsed="false">
      <c r="A185" s="0" t="s">
        <v>106</v>
      </c>
      <c r="B185" s="1" t="n">
        <v>44045</v>
      </c>
      <c r="C185" s="0" t="e">
        <f aca="false">sheet1!ayj186</f>
        <v>#NAME?</v>
      </c>
      <c r="D185" s="0" t="e">
        <f aca="false">sheet1!ayk186</f>
        <v>#NAME?</v>
      </c>
      <c r="E185" s="0" t="e">
        <f aca="false">sheet1!ayl186</f>
        <v>#NAME?</v>
      </c>
      <c r="F185" s="0" t="e">
        <f aca="false">sheet1!aym186</f>
        <v>#NAME?</v>
      </c>
      <c r="G185" s="0" t="e">
        <f aca="false">sheet1!ayn186</f>
        <v>#NAME?</v>
      </c>
      <c r="H185" s="0" t="e">
        <f aca="false">sheet1!ayo186</f>
        <v>#NAME?</v>
      </c>
      <c r="I185" s="0" t="e">
        <f aca="false">sheet1!ayp186</f>
        <v>#NAME?</v>
      </c>
      <c r="J185" s="0" t="e">
        <f aca="false">sheet1!ayq186</f>
        <v>#NAME?</v>
      </c>
      <c r="K185" s="0" t="e">
        <f aca="false">sheet1!ayr186</f>
        <v>#NAME?</v>
      </c>
      <c r="L185" s="0" t="e">
        <f aca="false">sheet1!ays186</f>
        <v>#NAME?</v>
      </c>
      <c r="M185" s="0" t="e">
        <f aca="false">sheet1!ayt186</f>
        <v>#NAME?</v>
      </c>
    </row>
    <row r="186" customFormat="false" ht="13.5" hidden="false" customHeight="false" outlineLevel="0" collapsed="false">
      <c r="A186" s="0" t="s">
        <v>106</v>
      </c>
      <c r="B186" s="1" t="n">
        <v>44046</v>
      </c>
      <c r="C186" s="0" t="e">
        <f aca="false">sheet1!ayj187</f>
        <v>#NAME?</v>
      </c>
      <c r="D186" s="0" t="e">
        <f aca="false">sheet1!ayk187</f>
        <v>#NAME?</v>
      </c>
      <c r="E186" s="0" t="e">
        <f aca="false">sheet1!ayl187</f>
        <v>#NAME?</v>
      </c>
      <c r="F186" s="0" t="e">
        <f aca="false">sheet1!aym187</f>
        <v>#NAME?</v>
      </c>
      <c r="G186" s="0" t="e">
        <f aca="false">sheet1!ayn187</f>
        <v>#NAME?</v>
      </c>
      <c r="H186" s="0" t="e">
        <f aca="false">sheet1!ayo187</f>
        <v>#NAME?</v>
      </c>
      <c r="I186" s="0" t="e">
        <f aca="false">sheet1!ayp187</f>
        <v>#NAME?</v>
      </c>
      <c r="J186" s="0" t="e">
        <f aca="false">sheet1!ayq187</f>
        <v>#NAME?</v>
      </c>
      <c r="K186" s="0" t="e">
        <f aca="false">sheet1!ayr187</f>
        <v>#NAME?</v>
      </c>
      <c r="L186" s="0" t="e">
        <f aca="false">sheet1!ays187</f>
        <v>#NAME?</v>
      </c>
      <c r="M186" s="0" t="e">
        <f aca="false">sheet1!ayt187</f>
        <v>#NAME?</v>
      </c>
    </row>
    <row r="187" customFormat="false" ht="13.5" hidden="false" customHeight="false" outlineLevel="0" collapsed="false">
      <c r="A187" s="0" t="s">
        <v>106</v>
      </c>
      <c r="B187" s="1" t="n">
        <v>44047</v>
      </c>
      <c r="C187" s="0" t="e">
        <f aca="false">sheet1!ayj188</f>
        <v>#NAME?</v>
      </c>
      <c r="D187" s="0" t="e">
        <f aca="false">sheet1!ayk188</f>
        <v>#NAME?</v>
      </c>
      <c r="E187" s="0" t="e">
        <f aca="false">sheet1!ayl188</f>
        <v>#NAME?</v>
      </c>
      <c r="F187" s="0" t="e">
        <f aca="false">sheet1!aym188</f>
        <v>#NAME?</v>
      </c>
      <c r="G187" s="0" t="e">
        <f aca="false">sheet1!ayn188</f>
        <v>#NAME?</v>
      </c>
      <c r="H187" s="0" t="e">
        <f aca="false">sheet1!ayo188</f>
        <v>#NAME?</v>
      </c>
      <c r="I187" s="0" t="e">
        <f aca="false">sheet1!ayp188</f>
        <v>#NAME?</v>
      </c>
      <c r="J187" s="0" t="e">
        <f aca="false">sheet1!ayq188</f>
        <v>#NAME?</v>
      </c>
      <c r="K187" s="0" t="e">
        <f aca="false">sheet1!ayr188</f>
        <v>#NAME?</v>
      </c>
      <c r="L187" s="0" t="e">
        <f aca="false">sheet1!ays188</f>
        <v>#NAME?</v>
      </c>
      <c r="M187" s="0" t="e">
        <f aca="false">sheet1!ayt188</f>
        <v>#NAME?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I137" activeCellId="0" sqref="I137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107</v>
      </c>
      <c r="B2" s="1" t="n">
        <v>43862</v>
      </c>
    </row>
    <row r="3" customFormat="false" ht="13.5" hidden="false" customHeight="false" outlineLevel="0" collapsed="false">
      <c r="A3" s="0" t="s">
        <v>107</v>
      </c>
      <c r="B3" s="1" t="n">
        <v>43863</v>
      </c>
    </row>
    <row r="4" customFormat="false" ht="13.5" hidden="false" customHeight="false" outlineLevel="0" collapsed="false">
      <c r="A4" s="0" t="s">
        <v>107</v>
      </c>
      <c r="B4" s="1" t="n">
        <v>43864</v>
      </c>
    </row>
    <row r="5" customFormat="false" ht="13.5" hidden="false" customHeight="false" outlineLevel="0" collapsed="false">
      <c r="A5" s="0" t="s">
        <v>107</v>
      </c>
      <c r="B5" s="1" t="n">
        <v>43865</v>
      </c>
    </row>
    <row r="6" customFormat="false" ht="13.5" hidden="false" customHeight="false" outlineLevel="0" collapsed="false">
      <c r="A6" s="0" t="s">
        <v>107</v>
      </c>
      <c r="B6" s="1" t="n">
        <v>43866</v>
      </c>
    </row>
    <row r="7" customFormat="false" ht="13.5" hidden="false" customHeight="false" outlineLevel="0" collapsed="false">
      <c r="A7" s="0" t="s">
        <v>107</v>
      </c>
      <c r="B7" s="1" t="n">
        <v>43867</v>
      </c>
    </row>
    <row r="8" customFormat="false" ht="13.5" hidden="false" customHeight="false" outlineLevel="0" collapsed="false">
      <c r="A8" s="0" t="s">
        <v>107</v>
      </c>
      <c r="B8" s="1" t="n">
        <v>43868</v>
      </c>
    </row>
    <row r="9" customFormat="false" ht="13.5" hidden="false" customHeight="false" outlineLevel="0" collapsed="false">
      <c r="A9" s="0" t="s">
        <v>107</v>
      </c>
      <c r="B9" s="1" t="n">
        <v>43869</v>
      </c>
    </row>
    <row r="10" customFormat="false" ht="13.5" hidden="false" customHeight="false" outlineLevel="0" collapsed="false">
      <c r="A10" s="0" t="s">
        <v>107</v>
      </c>
      <c r="B10" s="1" t="n">
        <v>43870</v>
      </c>
    </row>
    <row r="11" customFormat="false" ht="13.5" hidden="false" customHeight="false" outlineLevel="0" collapsed="false">
      <c r="A11" s="0" t="s">
        <v>107</v>
      </c>
      <c r="B11" s="1" t="n">
        <v>43871</v>
      </c>
    </row>
    <row r="12" customFormat="false" ht="13.5" hidden="false" customHeight="false" outlineLevel="0" collapsed="false">
      <c r="A12" s="0" t="s">
        <v>107</v>
      </c>
      <c r="B12" s="1" t="n">
        <v>43872</v>
      </c>
    </row>
    <row r="13" customFormat="false" ht="13.5" hidden="false" customHeight="false" outlineLevel="0" collapsed="false">
      <c r="A13" s="0" t="s">
        <v>107</v>
      </c>
      <c r="B13" s="1" t="n">
        <v>43873</v>
      </c>
    </row>
    <row r="14" customFormat="false" ht="13.5" hidden="false" customHeight="false" outlineLevel="0" collapsed="false">
      <c r="A14" s="0" t="s">
        <v>107</v>
      </c>
      <c r="B14" s="1" t="n">
        <v>43874</v>
      </c>
    </row>
    <row r="15" customFormat="false" ht="13.5" hidden="false" customHeight="false" outlineLevel="0" collapsed="false">
      <c r="A15" s="0" t="s">
        <v>107</v>
      </c>
      <c r="B15" s="1" t="n">
        <v>43875</v>
      </c>
    </row>
    <row r="16" customFormat="false" ht="13.5" hidden="false" customHeight="false" outlineLevel="0" collapsed="false">
      <c r="A16" s="0" t="s">
        <v>107</v>
      </c>
      <c r="B16" s="1" t="n">
        <v>43876</v>
      </c>
    </row>
    <row r="17" customFormat="false" ht="13.5" hidden="false" customHeight="false" outlineLevel="0" collapsed="false">
      <c r="A17" s="0" t="s">
        <v>107</v>
      </c>
      <c r="B17" s="1" t="n">
        <v>43877</v>
      </c>
    </row>
    <row r="18" customFormat="false" ht="13.5" hidden="false" customHeight="false" outlineLevel="0" collapsed="false">
      <c r="A18" s="0" t="s">
        <v>107</v>
      </c>
      <c r="B18" s="1" t="n">
        <v>43878</v>
      </c>
    </row>
    <row r="19" customFormat="false" ht="13.5" hidden="false" customHeight="false" outlineLevel="0" collapsed="false">
      <c r="A19" s="0" t="s">
        <v>107</v>
      </c>
      <c r="B19" s="1" t="n">
        <v>43879</v>
      </c>
    </row>
    <row r="20" customFormat="false" ht="13.5" hidden="false" customHeight="false" outlineLevel="0" collapsed="false">
      <c r="A20" s="0" t="s">
        <v>107</v>
      </c>
      <c r="B20" s="1" t="n">
        <v>43880</v>
      </c>
    </row>
    <row r="21" customFormat="false" ht="13.5" hidden="false" customHeight="false" outlineLevel="0" collapsed="false">
      <c r="A21" s="0" t="s">
        <v>107</v>
      </c>
      <c r="B21" s="1" t="n">
        <v>43881</v>
      </c>
    </row>
    <row r="22" customFormat="false" ht="13.5" hidden="false" customHeight="false" outlineLevel="0" collapsed="false">
      <c r="A22" s="0" t="s">
        <v>107</v>
      </c>
      <c r="B22" s="1" t="n">
        <v>43882</v>
      </c>
    </row>
    <row r="23" customFormat="false" ht="13.5" hidden="false" customHeight="false" outlineLevel="0" collapsed="false">
      <c r="A23" s="0" t="s">
        <v>107</v>
      </c>
      <c r="B23" s="1" t="n">
        <v>43883</v>
      </c>
    </row>
    <row r="24" customFormat="false" ht="13.5" hidden="false" customHeight="false" outlineLevel="0" collapsed="false">
      <c r="A24" s="0" t="s">
        <v>107</v>
      </c>
      <c r="B24" s="1" t="n">
        <v>43884</v>
      </c>
    </row>
    <row r="25" customFormat="false" ht="13.5" hidden="false" customHeight="false" outlineLevel="0" collapsed="false">
      <c r="A25" s="0" t="s">
        <v>107</v>
      </c>
      <c r="B25" s="1" t="n">
        <v>43885</v>
      </c>
    </row>
    <row r="26" customFormat="false" ht="13.5" hidden="false" customHeight="false" outlineLevel="0" collapsed="false">
      <c r="A26" s="0" t="s">
        <v>107</v>
      </c>
      <c r="B26" s="1" t="n">
        <v>43886</v>
      </c>
    </row>
    <row r="27" customFormat="false" ht="13.5" hidden="false" customHeight="false" outlineLevel="0" collapsed="false">
      <c r="A27" s="0" t="s">
        <v>107</v>
      </c>
      <c r="B27" s="1" t="n">
        <v>43887</v>
      </c>
    </row>
    <row r="28" customFormat="false" ht="13.5" hidden="false" customHeight="false" outlineLevel="0" collapsed="false">
      <c r="A28" s="0" t="s">
        <v>107</v>
      </c>
      <c r="B28" s="1" t="n">
        <v>43888</v>
      </c>
    </row>
    <row r="29" customFormat="false" ht="13.5" hidden="false" customHeight="false" outlineLevel="0" collapsed="false">
      <c r="A29" s="0" t="s">
        <v>107</v>
      </c>
      <c r="B29" s="1" t="n">
        <v>43889</v>
      </c>
    </row>
    <row r="30" customFormat="false" ht="13.5" hidden="false" customHeight="false" outlineLevel="0" collapsed="false">
      <c r="A30" s="0" t="s">
        <v>107</v>
      </c>
      <c r="B30" s="1" t="n">
        <v>43890</v>
      </c>
    </row>
    <row r="31" customFormat="false" ht="13.5" hidden="false" customHeight="false" outlineLevel="0" collapsed="false">
      <c r="A31" s="0" t="s">
        <v>107</v>
      </c>
      <c r="B31" s="1" t="n">
        <v>43891</v>
      </c>
    </row>
    <row r="32" customFormat="false" ht="13.5" hidden="false" customHeight="false" outlineLevel="0" collapsed="false">
      <c r="A32" s="0" t="s">
        <v>107</v>
      </c>
      <c r="B32" s="1" t="n">
        <v>43892</v>
      </c>
    </row>
    <row r="33" customFormat="false" ht="13.5" hidden="false" customHeight="false" outlineLevel="0" collapsed="false">
      <c r="A33" s="0" t="s">
        <v>107</v>
      </c>
      <c r="B33" s="1" t="n">
        <v>43893</v>
      </c>
    </row>
    <row r="34" customFormat="false" ht="13.5" hidden="false" customHeight="false" outlineLevel="0" collapsed="false">
      <c r="A34" s="0" t="s">
        <v>107</v>
      </c>
      <c r="B34" s="1" t="n">
        <v>43894</v>
      </c>
    </row>
    <row r="35" customFormat="false" ht="13.5" hidden="false" customHeight="false" outlineLevel="0" collapsed="false">
      <c r="A35" s="0" t="s">
        <v>107</v>
      </c>
      <c r="B35" s="1" t="n">
        <v>43895</v>
      </c>
    </row>
    <row r="36" customFormat="false" ht="13.5" hidden="false" customHeight="false" outlineLevel="0" collapsed="false">
      <c r="A36" s="0" t="s">
        <v>107</v>
      </c>
      <c r="B36" s="1" t="n">
        <v>43896</v>
      </c>
    </row>
    <row r="37" customFormat="false" ht="13.5" hidden="false" customHeight="false" outlineLevel="0" collapsed="false">
      <c r="A37" s="0" t="s">
        <v>107</v>
      </c>
      <c r="B37" s="1" t="n">
        <v>43897</v>
      </c>
      <c r="C37" s="0" t="n">
        <v>1</v>
      </c>
      <c r="G37" s="0" t="n">
        <v>1</v>
      </c>
      <c r="H37" s="0" t="n">
        <v>0</v>
      </c>
    </row>
    <row r="38" customFormat="false" ht="13.5" hidden="false" customHeight="false" outlineLevel="0" collapsed="false">
      <c r="A38" s="0" t="s">
        <v>107</v>
      </c>
      <c r="B38" s="1" t="n">
        <v>43898</v>
      </c>
      <c r="C38" s="0" t="n">
        <v>1</v>
      </c>
      <c r="G38" s="0" t="n">
        <v>1</v>
      </c>
      <c r="H38" s="0" t="n">
        <v>0</v>
      </c>
    </row>
    <row r="39" customFormat="false" ht="13.5" hidden="false" customHeight="false" outlineLevel="0" collapsed="false">
      <c r="A39" s="0" t="s">
        <v>107</v>
      </c>
      <c r="B39" s="1" t="n">
        <v>43899</v>
      </c>
      <c r="C39" s="0" t="n">
        <v>1</v>
      </c>
      <c r="G39" s="0" t="n">
        <v>1</v>
      </c>
      <c r="H39" s="0" t="n">
        <v>0</v>
      </c>
    </row>
    <row r="40" customFormat="false" ht="13.5" hidden="false" customHeight="false" outlineLevel="0" collapsed="false">
      <c r="A40" s="0" t="s">
        <v>107</v>
      </c>
      <c r="B40" s="1" t="n">
        <v>43900</v>
      </c>
      <c r="C40" s="0" t="n">
        <v>1</v>
      </c>
      <c r="G40" s="0" t="n">
        <v>1</v>
      </c>
      <c r="H40" s="0" t="n">
        <v>0</v>
      </c>
    </row>
    <row r="41" customFormat="false" ht="13.5" hidden="false" customHeight="false" outlineLevel="0" collapsed="false">
      <c r="A41" s="0" t="s">
        <v>107</v>
      </c>
      <c r="B41" s="1" t="n">
        <v>43901</v>
      </c>
      <c r="C41" s="0" t="n">
        <v>1</v>
      </c>
      <c r="G41" s="0" t="n">
        <v>1</v>
      </c>
      <c r="H41" s="0" t="n">
        <v>0</v>
      </c>
    </row>
    <row r="42" customFormat="false" ht="13.5" hidden="false" customHeight="false" outlineLevel="0" collapsed="false">
      <c r="A42" s="0" t="s">
        <v>107</v>
      </c>
      <c r="B42" s="1" t="n">
        <v>43902</v>
      </c>
      <c r="C42" s="0" t="n">
        <v>1</v>
      </c>
      <c r="G42" s="0" t="n">
        <v>1</v>
      </c>
      <c r="H42" s="0" t="n">
        <v>0</v>
      </c>
    </row>
    <row r="43" customFormat="false" ht="13.5" hidden="false" customHeight="false" outlineLevel="0" collapsed="false">
      <c r="A43" s="0" t="s">
        <v>107</v>
      </c>
      <c r="B43" s="1" t="n">
        <v>43903</v>
      </c>
      <c r="C43" s="0" t="n">
        <v>1</v>
      </c>
      <c r="G43" s="0" t="n">
        <v>1</v>
      </c>
      <c r="H43" s="0" t="n">
        <v>0</v>
      </c>
    </row>
    <row r="44" customFormat="false" ht="13.5" hidden="false" customHeight="false" outlineLevel="0" collapsed="false">
      <c r="A44" s="0" t="s">
        <v>107</v>
      </c>
      <c r="B44" s="1" t="n">
        <v>43904</v>
      </c>
      <c r="C44" s="0" t="n">
        <v>1</v>
      </c>
      <c r="G44" s="0" t="n">
        <v>1</v>
      </c>
      <c r="H44" s="0" t="n">
        <v>0</v>
      </c>
    </row>
    <row r="45" customFormat="false" ht="13.5" hidden="false" customHeight="false" outlineLevel="0" collapsed="false">
      <c r="A45" s="0" t="s">
        <v>107</v>
      </c>
      <c r="B45" s="1" t="n">
        <v>43905</v>
      </c>
      <c r="C45" s="0" t="n">
        <v>1</v>
      </c>
      <c r="G45" s="0" t="n">
        <v>1</v>
      </c>
      <c r="H45" s="0" t="n">
        <v>0</v>
      </c>
    </row>
    <row r="46" customFormat="false" ht="13.5" hidden="false" customHeight="false" outlineLevel="0" collapsed="false">
      <c r="A46" s="0" t="s">
        <v>107</v>
      </c>
      <c r="B46" s="1" t="n">
        <v>43906</v>
      </c>
      <c r="C46" s="0" t="n">
        <v>1</v>
      </c>
      <c r="G46" s="0" t="n">
        <v>1</v>
      </c>
      <c r="H46" s="0" t="n">
        <v>0</v>
      </c>
    </row>
    <row r="47" customFormat="false" ht="13.5" hidden="false" customHeight="false" outlineLevel="0" collapsed="false">
      <c r="A47" s="0" t="s">
        <v>107</v>
      </c>
      <c r="B47" s="1" t="n">
        <v>43907</v>
      </c>
      <c r="C47" s="0" t="n">
        <v>1</v>
      </c>
      <c r="G47" s="0" t="n">
        <v>1</v>
      </c>
      <c r="H47" s="0" t="n">
        <v>0</v>
      </c>
    </row>
    <row r="48" customFormat="false" ht="13.5" hidden="false" customHeight="false" outlineLevel="0" collapsed="false">
      <c r="A48" s="0" t="s">
        <v>107</v>
      </c>
      <c r="B48" s="1" t="n">
        <v>43908</v>
      </c>
      <c r="C48" s="0" t="n">
        <v>1</v>
      </c>
      <c r="G48" s="0" t="n">
        <v>1</v>
      </c>
      <c r="H48" s="0" t="n">
        <v>0</v>
      </c>
    </row>
    <row r="49" customFormat="false" ht="13.5" hidden="false" customHeight="false" outlineLevel="0" collapsed="false">
      <c r="A49" s="0" t="s">
        <v>107</v>
      </c>
      <c r="B49" s="1" t="n">
        <v>43909</v>
      </c>
      <c r="C49" s="0" t="n">
        <v>1</v>
      </c>
      <c r="G49" s="0" t="n">
        <v>1</v>
      </c>
      <c r="H49" s="0" t="n">
        <v>0</v>
      </c>
      <c r="J49" s="0" t="n">
        <v>0.03</v>
      </c>
    </row>
    <row r="50" customFormat="false" ht="13.5" hidden="false" customHeight="false" outlineLevel="0" collapsed="false">
      <c r="A50" s="0" t="s">
        <v>107</v>
      </c>
      <c r="B50" s="1" t="n">
        <v>43910</v>
      </c>
      <c r="C50" s="0" t="n">
        <v>1</v>
      </c>
      <c r="G50" s="0" t="n">
        <v>1</v>
      </c>
      <c r="H50" s="0" t="n">
        <v>0</v>
      </c>
      <c r="J50" s="0" t="n">
        <v>0.03</v>
      </c>
    </row>
    <row r="51" customFormat="false" ht="13.5" hidden="false" customHeight="false" outlineLevel="0" collapsed="false">
      <c r="A51" s="0" t="s">
        <v>107</v>
      </c>
      <c r="B51" s="1" t="n">
        <v>43911</v>
      </c>
      <c r="C51" s="0" t="n">
        <v>1</v>
      </c>
      <c r="G51" s="0" t="n">
        <v>1</v>
      </c>
      <c r="H51" s="0" t="n">
        <v>0</v>
      </c>
      <c r="J51" s="0" t="n">
        <v>0.03</v>
      </c>
    </row>
    <row r="52" customFormat="false" ht="13.5" hidden="false" customHeight="false" outlineLevel="0" collapsed="false">
      <c r="A52" s="0" t="s">
        <v>107</v>
      </c>
      <c r="B52" s="1" t="n">
        <v>43912</v>
      </c>
      <c r="C52" s="0" t="n">
        <v>1</v>
      </c>
      <c r="G52" s="0" t="n">
        <v>1</v>
      </c>
      <c r="H52" s="0" t="n">
        <v>0</v>
      </c>
      <c r="J52" s="0" t="n">
        <v>0.03</v>
      </c>
    </row>
    <row r="53" customFormat="false" ht="13.5" hidden="false" customHeight="false" outlineLevel="0" collapsed="false">
      <c r="A53" s="0" t="s">
        <v>107</v>
      </c>
      <c r="B53" s="1" t="n">
        <v>43913</v>
      </c>
      <c r="C53" s="0" t="n">
        <v>1</v>
      </c>
      <c r="G53" s="0" t="n">
        <v>1</v>
      </c>
      <c r="H53" s="0" t="n">
        <v>0</v>
      </c>
      <c r="J53" s="0" t="n">
        <v>0.03</v>
      </c>
    </row>
    <row r="54" customFormat="false" ht="13.5" hidden="false" customHeight="false" outlineLevel="0" collapsed="false">
      <c r="A54" s="0" t="s">
        <v>107</v>
      </c>
      <c r="B54" s="1" t="n">
        <v>43914</v>
      </c>
      <c r="C54" s="0" t="n">
        <v>2</v>
      </c>
      <c r="D54" s="0" t="n">
        <v>1</v>
      </c>
      <c r="G54" s="0" t="n">
        <v>1</v>
      </c>
      <c r="H54" s="0" t="n">
        <v>1</v>
      </c>
      <c r="J54" s="0" t="n">
        <v>0.07</v>
      </c>
    </row>
    <row r="55" customFormat="false" ht="13.5" hidden="false" customHeight="false" outlineLevel="0" collapsed="false">
      <c r="A55" s="0" t="s">
        <v>107</v>
      </c>
      <c r="B55" s="1" t="n">
        <v>43915</v>
      </c>
      <c r="C55" s="0" t="n">
        <v>2</v>
      </c>
      <c r="G55" s="0" t="n">
        <v>1</v>
      </c>
      <c r="H55" s="0" t="n">
        <v>1</v>
      </c>
      <c r="J55" s="0" t="n">
        <v>0.07</v>
      </c>
    </row>
    <row r="56" customFormat="false" ht="13.5" hidden="false" customHeight="false" outlineLevel="0" collapsed="false">
      <c r="A56" s="0" t="s">
        <v>107</v>
      </c>
      <c r="B56" s="1" t="n">
        <v>43916</v>
      </c>
      <c r="C56" s="0" t="n">
        <v>3</v>
      </c>
      <c r="D56" s="0" t="n">
        <v>1</v>
      </c>
      <c r="G56" s="0" t="n">
        <v>1</v>
      </c>
      <c r="H56" s="0" t="n">
        <v>2</v>
      </c>
      <c r="J56" s="0" t="n">
        <v>0.1</v>
      </c>
    </row>
    <row r="57" customFormat="false" ht="13.5" hidden="false" customHeight="false" outlineLevel="0" collapsed="false">
      <c r="A57" s="0" t="s">
        <v>107</v>
      </c>
      <c r="B57" s="1" t="n">
        <v>43917</v>
      </c>
      <c r="C57" s="0" t="n">
        <v>3</v>
      </c>
      <c r="G57" s="0" t="n">
        <v>1</v>
      </c>
      <c r="H57" s="0" t="n">
        <v>2</v>
      </c>
      <c r="J57" s="0" t="n">
        <v>0.1</v>
      </c>
    </row>
    <row r="58" customFormat="false" ht="13.5" hidden="false" customHeight="false" outlineLevel="0" collapsed="false">
      <c r="A58" s="0" t="s">
        <v>107</v>
      </c>
      <c r="B58" s="1" t="n">
        <v>43918</v>
      </c>
      <c r="C58" s="0" t="n">
        <v>4</v>
      </c>
      <c r="D58" s="0" t="n">
        <v>1</v>
      </c>
      <c r="G58" s="0" t="n">
        <v>1</v>
      </c>
      <c r="H58" s="0" t="n">
        <v>3</v>
      </c>
      <c r="J58" s="0" t="n">
        <v>0.1</v>
      </c>
    </row>
    <row r="59" customFormat="false" ht="13.5" hidden="false" customHeight="false" outlineLevel="0" collapsed="false">
      <c r="A59" s="0" t="s">
        <v>107</v>
      </c>
      <c r="B59" s="1" t="n">
        <v>43919</v>
      </c>
      <c r="C59" s="0" t="n">
        <v>5</v>
      </c>
      <c r="D59" s="0" t="n">
        <v>1</v>
      </c>
      <c r="G59" s="0" t="n">
        <v>1</v>
      </c>
      <c r="H59" s="0" t="n">
        <v>4</v>
      </c>
      <c r="J59" s="0" t="n">
        <v>0.2</v>
      </c>
    </row>
    <row r="60" customFormat="false" ht="13.5" hidden="false" customHeight="false" outlineLevel="0" collapsed="false">
      <c r="A60" s="0" t="s">
        <v>107</v>
      </c>
      <c r="B60" s="1" t="n">
        <v>43920</v>
      </c>
      <c r="C60" s="0" t="n">
        <v>5</v>
      </c>
      <c r="G60" s="0" t="n">
        <v>1</v>
      </c>
      <c r="H60" s="0" t="n">
        <v>4</v>
      </c>
      <c r="J60" s="0" t="n">
        <v>0.2</v>
      </c>
    </row>
    <row r="61" customFormat="false" ht="13.5" hidden="false" customHeight="false" outlineLevel="0" collapsed="false">
      <c r="A61" s="0" t="s">
        <v>107</v>
      </c>
      <c r="B61" s="1" t="n">
        <v>43921</v>
      </c>
      <c r="C61" s="0" t="n">
        <v>5</v>
      </c>
      <c r="G61" s="0" t="n">
        <v>1</v>
      </c>
      <c r="H61" s="0" t="n">
        <v>4</v>
      </c>
      <c r="J61" s="0" t="n">
        <v>0.2</v>
      </c>
    </row>
    <row r="62" customFormat="false" ht="13.5" hidden="false" customHeight="false" outlineLevel="0" collapsed="false">
      <c r="A62" s="0" t="s">
        <v>107</v>
      </c>
      <c r="B62" s="1" t="n">
        <v>43922</v>
      </c>
      <c r="C62" s="0" t="n">
        <v>5</v>
      </c>
      <c r="G62" s="0" t="n">
        <v>1</v>
      </c>
      <c r="H62" s="0" t="n">
        <v>4</v>
      </c>
      <c r="J62" s="0" t="n">
        <v>0.2</v>
      </c>
    </row>
    <row r="63" customFormat="false" ht="13.5" hidden="false" customHeight="false" outlineLevel="0" collapsed="false">
      <c r="A63" s="0" t="s">
        <v>107</v>
      </c>
      <c r="B63" s="1" t="n">
        <v>43923</v>
      </c>
      <c r="C63" s="0" t="n">
        <v>5</v>
      </c>
      <c r="G63" s="0" t="n">
        <v>1</v>
      </c>
      <c r="H63" s="0" t="n">
        <v>4</v>
      </c>
      <c r="J63" s="0" t="n">
        <v>0.2</v>
      </c>
    </row>
    <row r="64" customFormat="false" ht="13.5" hidden="false" customHeight="false" outlineLevel="0" collapsed="false">
      <c r="A64" s="0" t="s">
        <v>107</v>
      </c>
      <c r="B64" s="1" t="n">
        <v>43924</v>
      </c>
      <c r="C64" s="0" t="n">
        <v>6</v>
      </c>
      <c r="D64" s="0" t="n">
        <v>1</v>
      </c>
      <c r="G64" s="0" t="n">
        <v>1</v>
      </c>
      <c r="H64" s="0" t="n">
        <v>5</v>
      </c>
      <c r="J64" s="0" t="n">
        <v>0.2</v>
      </c>
    </row>
    <row r="65" customFormat="false" ht="13.5" hidden="false" customHeight="false" outlineLevel="0" collapsed="false">
      <c r="A65" s="0" t="s">
        <v>107</v>
      </c>
      <c r="B65" s="1" t="n">
        <v>43925</v>
      </c>
      <c r="C65" s="0" t="n">
        <v>6</v>
      </c>
      <c r="G65" s="0" t="n">
        <v>1</v>
      </c>
      <c r="H65" s="0" t="n">
        <v>5</v>
      </c>
      <c r="J65" s="0" t="n">
        <v>0.2</v>
      </c>
    </row>
    <row r="66" customFormat="false" ht="13.5" hidden="false" customHeight="false" outlineLevel="0" collapsed="false">
      <c r="A66" s="0" t="s">
        <v>107</v>
      </c>
      <c r="B66" s="1" t="n">
        <v>43926</v>
      </c>
      <c r="C66" s="0" t="n">
        <v>9</v>
      </c>
      <c r="D66" s="0" t="n">
        <v>3</v>
      </c>
      <c r="G66" s="0" t="n">
        <v>1</v>
      </c>
      <c r="H66" s="0" t="n">
        <v>8</v>
      </c>
      <c r="J66" s="0" t="n">
        <v>0.3</v>
      </c>
      <c r="L66" s="0" t="n">
        <v>1521</v>
      </c>
      <c r="M66" s="0" t="n">
        <v>52</v>
      </c>
    </row>
    <row r="67" customFormat="false" ht="13.5" hidden="false" customHeight="false" outlineLevel="0" collapsed="false">
      <c r="A67" s="0" t="s">
        <v>107</v>
      </c>
      <c r="B67" s="1" t="n">
        <v>43927</v>
      </c>
      <c r="C67" s="0" t="n">
        <v>9</v>
      </c>
      <c r="G67" s="0" t="n">
        <v>1</v>
      </c>
      <c r="H67" s="0" t="n">
        <v>8</v>
      </c>
      <c r="J67" s="0" t="n">
        <v>0.3</v>
      </c>
      <c r="L67" s="0" t="n">
        <v>1521</v>
      </c>
      <c r="M67" s="0" t="n">
        <v>52</v>
      </c>
    </row>
    <row r="68" customFormat="false" ht="13.5" hidden="false" customHeight="false" outlineLevel="0" collapsed="false">
      <c r="A68" s="0" t="s">
        <v>107</v>
      </c>
      <c r="B68" s="1" t="n">
        <v>43928</v>
      </c>
      <c r="C68" s="0" t="n">
        <v>9</v>
      </c>
      <c r="G68" s="0" t="n">
        <v>1</v>
      </c>
      <c r="H68" s="0" t="n">
        <v>8</v>
      </c>
      <c r="J68" s="0" t="n">
        <v>0.3</v>
      </c>
      <c r="L68" s="0" t="n">
        <v>1656</v>
      </c>
      <c r="M68" s="0" t="n">
        <v>57</v>
      </c>
    </row>
    <row r="69" customFormat="false" ht="13.5" hidden="false" customHeight="false" outlineLevel="0" collapsed="false">
      <c r="A69" s="0" t="s">
        <v>107</v>
      </c>
      <c r="B69" s="1" t="n">
        <v>43929</v>
      </c>
      <c r="C69" s="0" t="n">
        <v>9</v>
      </c>
      <c r="G69" s="0" t="n">
        <v>1</v>
      </c>
      <c r="H69" s="0" t="n">
        <v>8</v>
      </c>
      <c r="J69" s="0" t="n">
        <v>0.3</v>
      </c>
      <c r="L69" s="0" t="n">
        <v>1890</v>
      </c>
      <c r="M69" s="0" t="n">
        <v>65</v>
      </c>
    </row>
    <row r="70" customFormat="false" ht="13.5" hidden="false" customHeight="false" outlineLevel="0" collapsed="false">
      <c r="A70" s="0" t="s">
        <v>107</v>
      </c>
      <c r="B70" s="1" t="n">
        <v>43930</v>
      </c>
      <c r="C70" s="0" t="n">
        <v>9</v>
      </c>
      <c r="G70" s="0" t="n">
        <v>1</v>
      </c>
      <c r="H70" s="0" t="n">
        <v>8</v>
      </c>
      <c r="J70" s="0" t="n">
        <v>0.3</v>
      </c>
      <c r="L70" s="0" t="n">
        <v>2366</v>
      </c>
      <c r="M70" s="0" t="n">
        <v>81</v>
      </c>
    </row>
    <row r="71" customFormat="false" ht="13.5" hidden="false" customHeight="false" outlineLevel="0" collapsed="false">
      <c r="A71" s="0" t="s">
        <v>107</v>
      </c>
      <c r="B71" s="1" t="n">
        <v>43931</v>
      </c>
      <c r="C71" s="0" t="n">
        <v>9</v>
      </c>
      <c r="G71" s="0" t="n">
        <v>1</v>
      </c>
      <c r="H71" s="0" t="n">
        <v>8</v>
      </c>
      <c r="J71" s="0" t="n">
        <v>0.3</v>
      </c>
      <c r="L71" s="0" t="n">
        <v>2895</v>
      </c>
      <c r="M71" s="0" t="n">
        <v>99</v>
      </c>
    </row>
    <row r="72" customFormat="false" ht="13.5" hidden="false" customHeight="false" outlineLevel="0" collapsed="false">
      <c r="A72" s="0" t="s">
        <v>107</v>
      </c>
      <c r="B72" s="1" t="n">
        <v>43932</v>
      </c>
      <c r="C72" s="0" t="n">
        <v>9</v>
      </c>
      <c r="G72" s="0" t="n">
        <v>1</v>
      </c>
      <c r="H72" s="0" t="n">
        <v>8</v>
      </c>
      <c r="J72" s="0" t="n">
        <v>0.3</v>
      </c>
      <c r="L72" s="0" t="n">
        <v>3524</v>
      </c>
      <c r="M72" s="0" t="n">
        <v>121</v>
      </c>
    </row>
    <row r="73" customFormat="false" ht="13.5" hidden="false" customHeight="false" outlineLevel="0" collapsed="false">
      <c r="A73" s="0" t="s">
        <v>107</v>
      </c>
      <c r="B73" s="1" t="n">
        <v>43933</v>
      </c>
      <c r="C73" s="0" t="n">
        <v>9</v>
      </c>
      <c r="G73" s="0" t="n">
        <v>1</v>
      </c>
      <c r="H73" s="0" t="n">
        <v>8</v>
      </c>
      <c r="J73" s="0" t="n">
        <v>0.3</v>
      </c>
      <c r="L73" s="0" t="n">
        <v>4426</v>
      </c>
      <c r="M73" s="0" t="n">
        <v>152</v>
      </c>
    </row>
    <row r="74" customFormat="false" ht="13.5" hidden="false" customHeight="false" outlineLevel="0" collapsed="false">
      <c r="A74" s="0" t="s">
        <v>107</v>
      </c>
      <c r="B74" s="1" t="n">
        <v>43934</v>
      </c>
      <c r="C74" s="0" t="n">
        <v>12</v>
      </c>
      <c r="D74" s="0" t="n">
        <v>3</v>
      </c>
      <c r="G74" s="0" t="n">
        <v>1</v>
      </c>
      <c r="H74" s="0" t="n">
        <v>11</v>
      </c>
      <c r="J74" s="0" t="n">
        <v>0.4</v>
      </c>
      <c r="L74" s="0" t="n">
        <v>4426</v>
      </c>
      <c r="M74" s="0" t="n">
        <v>152</v>
      </c>
    </row>
    <row r="75" customFormat="false" ht="13.5" hidden="false" customHeight="false" outlineLevel="0" collapsed="false">
      <c r="A75" s="0" t="s">
        <v>107</v>
      </c>
      <c r="B75" s="1" t="n">
        <v>43935</v>
      </c>
      <c r="C75" s="0" t="n">
        <v>14</v>
      </c>
      <c r="D75" s="0" t="n">
        <v>2</v>
      </c>
      <c r="E75" s="0" t="n">
        <v>0</v>
      </c>
      <c r="F75" s="0" t="n">
        <v>0</v>
      </c>
      <c r="G75" s="0" t="n">
        <v>1</v>
      </c>
      <c r="H75" s="0" t="n">
        <v>13</v>
      </c>
      <c r="I75" s="0" t="n">
        <v>0</v>
      </c>
      <c r="J75" s="0" t="n">
        <v>0.5</v>
      </c>
      <c r="K75" s="0" t="n">
        <v>0</v>
      </c>
      <c r="L75" s="0" t="n">
        <v>5184</v>
      </c>
      <c r="M75" s="0" t="n">
        <v>178</v>
      </c>
    </row>
    <row r="76" customFormat="false" ht="13.5" hidden="false" customHeight="false" outlineLevel="0" collapsed="false">
      <c r="A76" s="0" t="s">
        <v>107</v>
      </c>
      <c r="B76" s="1" t="n">
        <v>43936</v>
      </c>
      <c r="C76" s="0" t="n">
        <v>16</v>
      </c>
      <c r="D76" s="0" t="n">
        <v>2</v>
      </c>
      <c r="E76" s="0" t="n">
        <v>0</v>
      </c>
      <c r="F76" s="0" t="n">
        <v>0</v>
      </c>
      <c r="G76" s="0" t="n">
        <v>1</v>
      </c>
      <c r="H76" s="0" t="n">
        <v>15</v>
      </c>
      <c r="I76" s="0" t="n">
        <v>0</v>
      </c>
      <c r="J76" s="0" t="n">
        <v>0.5</v>
      </c>
      <c r="K76" s="0" t="n">
        <v>0</v>
      </c>
      <c r="L76" s="0" t="n">
        <v>6299</v>
      </c>
      <c r="M76" s="0" t="n">
        <v>216</v>
      </c>
    </row>
    <row r="77" customFormat="false" ht="13.5" hidden="false" customHeight="false" outlineLevel="0" collapsed="false">
      <c r="A77" s="0" t="s">
        <v>107</v>
      </c>
      <c r="B77" s="1" t="n">
        <v>43937</v>
      </c>
      <c r="C77" s="0" t="n">
        <v>16</v>
      </c>
      <c r="D77" s="0" t="n">
        <v>0</v>
      </c>
      <c r="E77" s="0" t="n">
        <v>0</v>
      </c>
      <c r="F77" s="0" t="n">
        <v>0</v>
      </c>
      <c r="G77" s="0" t="n">
        <v>1</v>
      </c>
      <c r="H77" s="0" t="n">
        <v>15</v>
      </c>
      <c r="I77" s="0" t="n">
        <v>0</v>
      </c>
      <c r="J77" s="0" t="n">
        <v>0.5</v>
      </c>
      <c r="K77" s="0" t="n">
        <v>0</v>
      </c>
      <c r="L77" s="0" t="n">
        <v>6299</v>
      </c>
      <c r="M77" s="0" t="n">
        <v>216</v>
      </c>
    </row>
    <row r="78" customFormat="false" ht="13.5" hidden="false" customHeight="false" outlineLevel="0" collapsed="false">
      <c r="A78" s="0" t="s">
        <v>107</v>
      </c>
      <c r="B78" s="1" t="n">
        <v>43938</v>
      </c>
      <c r="C78" s="0" t="n">
        <v>16</v>
      </c>
      <c r="D78" s="0" t="n">
        <v>0</v>
      </c>
      <c r="E78" s="0" t="n">
        <v>0</v>
      </c>
      <c r="F78" s="0" t="n">
        <v>0</v>
      </c>
      <c r="G78" s="0" t="n">
        <v>2</v>
      </c>
      <c r="H78" s="0" t="n">
        <v>14</v>
      </c>
      <c r="I78" s="0" t="n">
        <v>0</v>
      </c>
      <c r="J78" s="0" t="n">
        <v>0.5</v>
      </c>
      <c r="K78" s="0" t="n">
        <v>0</v>
      </c>
      <c r="L78" s="0" t="n">
        <v>15800</v>
      </c>
      <c r="M78" s="0" t="n">
        <v>542</v>
      </c>
    </row>
    <row r="79" customFormat="false" ht="13.5" hidden="false" customHeight="false" outlineLevel="0" collapsed="false">
      <c r="A79" s="0" t="s">
        <v>107</v>
      </c>
      <c r="B79" s="1" t="n">
        <v>43939</v>
      </c>
      <c r="C79" s="0" t="n">
        <v>30</v>
      </c>
      <c r="D79" s="0" t="n">
        <v>14</v>
      </c>
      <c r="E79" s="0" t="n">
        <v>0</v>
      </c>
      <c r="F79" s="0" t="n">
        <v>0</v>
      </c>
      <c r="G79" s="0" t="n">
        <v>2</v>
      </c>
      <c r="H79" s="0" t="n">
        <v>28</v>
      </c>
      <c r="I79" s="0" t="n">
        <v>0</v>
      </c>
      <c r="J79" s="0" t="n">
        <v>1</v>
      </c>
      <c r="K79" s="0" t="n">
        <v>0</v>
      </c>
      <c r="L79" s="0" t="n">
        <v>15800</v>
      </c>
      <c r="M79" s="0" t="n">
        <v>542</v>
      </c>
    </row>
    <row r="80" customFormat="false" ht="13.5" hidden="false" customHeight="false" outlineLevel="0" collapsed="false">
      <c r="A80" s="0" t="s">
        <v>107</v>
      </c>
      <c r="B80" s="1" t="n">
        <v>43940</v>
      </c>
      <c r="C80" s="0" t="n">
        <v>31</v>
      </c>
      <c r="D80" s="0" t="n">
        <v>1</v>
      </c>
      <c r="E80" s="0" t="n">
        <v>0</v>
      </c>
      <c r="F80" s="0" t="n">
        <v>0</v>
      </c>
      <c r="G80" s="0" t="n">
        <v>2</v>
      </c>
      <c r="H80" s="0" t="n">
        <v>29</v>
      </c>
      <c r="I80" s="0" t="n">
        <v>0</v>
      </c>
      <c r="J80" s="0" t="n">
        <v>1</v>
      </c>
      <c r="K80" s="0" t="n">
        <v>0</v>
      </c>
      <c r="L80" s="0" t="n">
        <v>15800</v>
      </c>
      <c r="M80" s="0" t="n">
        <v>542</v>
      </c>
    </row>
    <row r="81" customFormat="false" ht="13.5" hidden="false" customHeight="false" outlineLevel="0" collapsed="false">
      <c r="A81" s="0" t="s">
        <v>107</v>
      </c>
      <c r="B81" s="1" t="n">
        <v>43941</v>
      </c>
      <c r="C81" s="0" t="n">
        <v>31</v>
      </c>
      <c r="D81" s="0" t="n">
        <v>0</v>
      </c>
      <c r="E81" s="0" t="n">
        <v>0</v>
      </c>
      <c r="F81" s="0" t="n">
        <v>0</v>
      </c>
      <c r="G81" s="0" t="n">
        <v>4</v>
      </c>
      <c r="H81" s="0" t="n">
        <v>27</v>
      </c>
      <c r="I81" s="0" t="n">
        <v>0</v>
      </c>
      <c r="J81" s="0" t="n">
        <v>1</v>
      </c>
      <c r="K81" s="0" t="n">
        <v>0</v>
      </c>
      <c r="L81" s="0" t="n">
        <v>29567</v>
      </c>
      <c r="M81" s="0" t="n">
        <v>1015</v>
      </c>
    </row>
    <row r="82" customFormat="false" ht="13.5" hidden="false" customHeight="false" outlineLevel="0" collapsed="false">
      <c r="A82" s="0" t="s">
        <v>107</v>
      </c>
      <c r="B82" s="1" t="n">
        <v>43942</v>
      </c>
      <c r="C82" s="0" t="n">
        <v>31</v>
      </c>
      <c r="D82" s="0" t="n">
        <v>0</v>
      </c>
      <c r="E82" s="0" t="n">
        <v>0</v>
      </c>
      <c r="F82" s="0" t="n">
        <v>0</v>
      </c>
      <c r="G82" s="0" t="n">
        <v>4</v>
      </c>
      <c r="H82" s="0" t="n">
        <v>27</v>
      </c>
      <c r="I82" s="0" t="n">
        <v>0</v>
      </c>
      <c r="J82" s="0" t="n">
        <v>1</v>
      </c>
      <c r="K82" s="0" t="n">
        <v>0</v>
      </c>
      <c r="L82" s="0" t="n">
        <v>29567</v>
      </c>
      <c r="M82" s="0" t="n">
        <v>1015</v>
      </c>
    </row>
    <row r="83" customFormat="false" ht="13.5" hidden="false" customHeight="false" outlineLevel="0" collapsed="false">
      <c r="A83" s="0" t="s">
        <v>107</v>
      </c>
      <c r="B83" s="1" t="n">
        <v>43943</v>
      </c>
      <c r="C83" s="0" t="n">
        <v>43</v>
      </c>
      <c r="D83" s="0" t="n">
        <v>12</v>
      </c>
      <c r="E83" s="0" t="n">
        <v>0</v>
      </c>
      <c r="F83" s="0" t="n">
        <v>0</v>
      </c>
      <c r="G83" s="0" t="n">
        <v>4</v>
      </c>
      <c r="H83" s="0" t="n">
        <v>39</v>
      </c>
      <c r="I83" s="0" t="n">
        <v>0</v>
      </c>
      <c r="J83" s="0" t="n">
        <v>1</v>
      </c>
      <c r="K83" s="0" t="n">
        <v>0</v>
      </c>
      <c r="L83" s="0" t="n">
        <v>29567</v>
      </c>
      <c r="M83" s="0" t="n">
        <v>1015</v>
      </c>
    </row>
    <row r="84" customFormat="false" ht="13.5" hidden="false" customHeight="false" outlineLevel="0" collapsed="false">
      <c r="A84" s="0" t="s">
        <v>107</v>
      </c>
      <c r="B84" s="1" t="n">
        <v>43944</v>
      </c>
      <c r="C84" s="0" t="n">
        <v>45</v>
      </c>
      <c r="D84" s="0" t="n">
        <v>2</v>
      </c>
      <c r="E84" s="0" t="n">
        <v>0</v>
      </c>
      <c r="F84" s="0" t="n">
        <v>0</v>
      </c>
      <c r="G84" s="0" t="n">
        <v>7</v>
      </c>
      <c r="H84" s="0" t="n">
        <v>38</v>
      </c>
      <c r="I84" s="0" t="n">
        <v>0</v>
      </c>
      <c r="J84" s="0" t="n">
        <v>2</v>
      </c>
      <c r="K84" s="0" t="n">
        <v>0</v>
      </c>
      <c r="L84" s="0" t="n">
        <v>8773</v>
      </c>
      <c r="M84" s="0" t="n">
        <v>301</v>
      </c>
    </row>
    <row r="85" customFormat="false" ht="13.5" hidden="false" customHeight="false" outlineLevel="0" collapsed="false">
      <c r="A85" s="0" t="s">
        <v>107</v>
      </c>
      <c r="B85" s="1" t="n">
        <v>43945</v>
      </c>
      <c r="C85" s="0" t="n">
        <v>48</v>
      </c>
      <c r="D85" s="0" t="n">
        <v>3</v>
      </c>
      <c r="E85" s="0" t="n">
        <v>0</v>
      </c>
      <c r="F85" s="0" t="n">
        <v>0</v>
      </c>
      <c r="G85" s="0" t="n">
        <v>9</v>
      </c>
      <c r="H85" s="0" t="n">
        <v>39</v>
      </c>
      <c r="I85" s="0" t="n">
        <v>0</v>
      </c>
      <c r="J85" s="0" t="n">
        <v>2</v>
      </c>
      <c r="K85" s="0" t="n">
        <v>0</v>
      </c>
      <c r="L85" s="0" t="n">
        <v>8773</v>
      </c>
      <c r="M85" s="0" t="n">
        <v>301</v>
      </c>
    </row>
    <row r="86" customFormat="false" ht="13.5" hidden="false" customHeight="false" outlineLevel="0" collapsed="false">
      <c r="A86" s="0" t="s">
        <v>107</v>
      </c>
      <c r="B86" s="1" t="n">
        <v>43946</v>
      </c>
      <c r="C86" s="0" t="n">
        <v>49</v>
      </c>
      <c r="D86" s="0" t="n">
        <v>1</v>
      </c>
      <c r="E86" s="0" t="n">
        <v>0</v>
      </c>
      <c r="F86" s="0" t="n">
        <v>0</v>
      </c>
      <c r="G86" s="0" t="n">
        <v>10</v>
      </c>
      <c r="H86" s="0" t="n">
        <v>39</v>
      </c>
      <c r="I86" s="0" t="n">
        <v>0</v>
      </c>
      <c r="J86" s="0" t="n">
        <v>2</v>
      </c>
      <c r="K86" s="0" t="n">
        <v>0</v>
      </c>
      <c r="L86" s="0" t="n">
        <v>9408</v>
      </c>
      <c r="M86" s="0" t="n">
        <v>323</v>
      </c>
    </row>
    <row r="87" customFormat="false" ht="13.5" hidden="false" customHeight="false" outlineLevel="0" collapsed="false">
      <c r="A87" s="0" t="s">
        <v>107</v>
      </c>
      <c r="B87" s="1" t="n">
        <v>43947</v>
      </c>
      <c r="C87" s="0" t="n">
        <v>49</v>
      </c>
      <c r="D87" s="0" t="n">
        <v>0</v>
      </c>
      <c r="E87" s="0" t="n">
        <v>0</v>
      </c>
      <c r="F87" s="0" t="n">
        <v>0</v>
      </c>
      <c r="G87" s="0" t="n">
        <v>12</v>
      </c>
      <c r="H87" s="0" t="n">
        <v>37</v>
      </c>
      <c r="I87" s="0" t="n">
        <v>0</v>
      </c>
      <c r="J87" s="0" t="n">
        <v>2</v>
      </c>
      <c r="K87" s="0" t="n">
        <v>0</v>
      </c>
      <c r="L87" s="0" t="n">
        <v>49336</v>
      </c>
      <c r="M87" s="0" t="n">
        <v>1693</v>
      </c>
    </row>
    <row r="88" customFormat="false" ht="13.5" hidden="false" customHeight="false" outlineLevel="0" collapsed="false">
      <c r="A88" s="0" t="s">
        <v>107</v>
      </c>
      <c r="B88" s="1" t="n">
        <v>43948</v>
      </c>
      <c r="C88" s="0" t="n">
        <v>52</v>
      </c>
      <c r="D88" s="0" t="n">
        <v>3</v>
      </c>
      <c r="E88" s="0" t="n">
        <v>0</v>
      </c>
      <c r="F88" s="0" t="n">
        <v>0</v>
      </c>
      <c r="G88" s="0" t="n">
        <v>16</v>
      </c>
      <c r="H88" s="0" t="n">
        <v>36</v>
      </c>
      <c r="I88" s="0" t="n">
        <v>0</v>
      </c>
      <c r="J88" s="0" t="n">
        <v>2</v>
      </c>
      <c r="K88" s="0" t="n">
        <v>0</v>
      </c>
      <c r="L88" s="0" t="n">
        <v>51367</v>
      </c>
      <c r="M88" s="0" t="n">
        <v>1763</v>
      </c>
    </row>
    <row r="89" customFormat="false" ht="13.5" hidden="false" customHeight="false" outlineLevel="0" collapsed="false">
      <c r="A89" s="0" t="s">
        <v>107</v>
      </c>
      <c r="B89" s="1" t="n">
        <v>43949</v>
      </c>
      <c r="C89" s="0" t="n">
        <v>52</v>
      </c>
      <c r="D89" s="0" t="n">
        <v>0</v>
      </c>
      <c r="E89" s="0" t="n">
        <v>0</v>
      </c>
      <c r="F89" s="0" t="n">
        <v>0</v>
      </c>
      <c r="G89" s="0" t="n">
        <v>16</v>
      </c>
      <c r="H89" s="0" t="n">
        <v>36</v>
      </c>
      <c r="I89" s="0" t="n">
        <v>0</v>
      </c>
      <c r="J89" s="0" t="n">
        <v>2</v>
      </c>
      <c r="K89" s="0" t="n">
        <v>0</v>
      </c>
      <c r="L89" s="0" t="n">
        <v>51367</v>
      </c>
      <c r="M89" s="0" t="n">
        <v>1763</v>
      </c>
    </row>
    <row r="90" customFormat="false" ht="13.5" hidden="false" customHeight="false" outlineLevel="0" collapsed="false">
      <c r="A90" s="0" t="s">
        <v>107</v>
      </c>
      <c r="B90" s="1" t="n">
        <v>43950</v>
      </c>
      <c r="C90" s="0" t="n">
        <v>54</v>
      </c>
      <c r="D90" s="0" t="n">
        <v>2</v>
      </c>
      <c r="E90" s="0" t="n">
        <v>0</v>
      </c>
      <c r="F90" s="0" t="n">
        <v>0</v>
      </c>
      <c r="G90" s="0" t="n">
        <v>16</v>
      </c>
      <c r="H90" s="0" t="n">
        <v>38</v>
      </c>
      <c r="I90" s="0" t="n">
        <v>0</v>
      </c>
      <c r="J90" s="0" t="n">
        <v>2</v>
      </c>
      <c r="K90" s="0" t="n">
        <v>0</v>
      </c>
      <c r="L90" s="0" t="n">
        <v>54826</v>
      </c>
      <c r="M90" s="0" t="n">
        <v>1882</v>
      </c>
    </row>
    <row r="91" customFormat="false" ht="13.5" hidden="false" customHeight="false" outlineLevel="0" collapsed="false">
      <c r="A91" s="0" t="s">
        <v>107</v>
      </c>
      <c r="B91" s="1" t="n">
        <v>43951</v>
      </c>
      <c r="C91" s="0" t="n">
        <v>57</v>
      </c>
      <c r="D91" s="0" t="n">
        <v>3</v>
      </c>
      <c r="E91" s="0" t="n">
        <v>0</v>
      </c>
      <c r="F91" s="0" t="n">
        <v>0</v>
      </c>
      <c r="G91" s="0" t="n">
        <v>16</v>
      </c>
      <c r="H91" s="0" t="n">
        <v>41</v>
      </c>
      <c r="I91" s="0" t="n">
        <v>0</v>
      </c>
      <c r="J91" s="0" t="n">
        <v>2</v>
      </c>
      <c r="K91" s="0" t="n">
        <v>0</v>
      </c>
      <c r="L91" s="0" t="n">
        <v>57189</v>
      </c>
      <c r="M91" s="0" t="n">
        <v>1963</v>
      </c>
    </row>
    <row r="92" customFormat="false" ht="13.5" hidden="false" customHeight="false" outlineLevel="0" collapsed="false">
      <c r="A92" s="0" t="s">
        <v>107</v>
      </c>
      <c r="B92" s="1" t="n">
        <v>43952</v>
      </c>
      <c r="C92" s="0" t="n">
        <v>57</v>
      </c>
      <c r="D92" s="0" t="n">
        <v>0</v>
      </c>
      <c r="E92" s="0" t="n">
        <v>0</v>
      </c>
      <c r="F92" s="0" t="n">
        <v>0</v>
      </c>
      <c r="G92" s="0" t="n">
        <v>16</v>
      </c>
      <c r="H92" s="0" t="n">
        <v>41</v>
      </c>
      <c r="I92" s="0" t="n">
        <v>0</v>
      </c>
      <c r="J92" s="0" t="n">
        <v>2</v>
      </c>
      <c r="K92" s="0" t="n">
        <v>0</v>
      </c>
      <c r="L92" s="0" t="n">
        <v>57189</v>
      </c>
      <c r="M92" s="0" t="n">
        <v>1963</v>
      </c>
    </row>
    <row r="93" customFormat="false" ht="13.5" hidden="false" customHeight="false" outlineLevel="0" collapsed="false">
      <c r="A93" s="0" t="s">
        <v>107</v>
      </c>
      <c r="B93" s="1" t="n">
        <v>43953</v>
      </c>
      <c r="C93" s="0" t="n">
        <v>59</v>
      </c>
      <c r="D93" s="0" t="n">
        <v>2</v>
      </c>
      <c r="E93" s="0" t="n">
        <v>0</v>
      </c>
      <c r="F93" s="0" t="n">
        <v>0</v>
      </c>
      <c r="G93" s="0" t="n">
        <v>16</v>
      </c>
      <c r="H93" s="0" t="n">
        <v>43</v>
      </c>
      <c r="I93" s="0" t="n">
        <v>0</v>
      </c>
      <c r="J93" s="0" t="n">
        <v>2</v>
      </c>
      <c r="K93" s="0" t="n">
        <v>0</v>
      </c>
      <c r="L93" s="0" t="n">
        <v>60274</v>
      </c>
      <c r="M93" s="0" t="n">
        <v>2072</v>
      </c>
    </row>
    <row r="94" customFormat="false" ht="13.5" hidden="false" customHeight="false" outlineLevel="0" collapsed="false">
      <c r="A94" s="0" t="s">
        <v>107</v>
      </c>
      <c r="B94" s="1" t="n">
        <v>43954</v>
      </c>
      <c r="C94" s="0" t="n">
        <v>59</v>
      </c>
      <c r="D94" s="0" t="n">
        <v>0</v>
      </c>
      <c r="E94" s="0" t="n">
        <v>0</v>
      </c>
      <c r="F94" s="0" t="n">
        <v>0</v>
      </c>
      <c r="G94" s="0" t="n">
        <v>16</v>
      </c>
      <c r="H94" s="0" t="n">
        <v>43</v>
      </c>
      <c r="I94" s="0" t="n">
        <v>0</v>
      </c>
      <c r="J94" s="0" t="n">
        <v>2</v>
      </c>
      <c r="K94" s="0" t="n">
        <v>0</v>
      </c>
      <c r="L94" s="0" t="n">
        <v>61627</v>
      </c>
      <c r="M94" s="0" t="n">
        <v>2115</v>
      </c>
    </row>
    <row r="95" customFormat="false" ht="13.5" hidden="false" customHeight="false" outlineLevel="0" collapsed="false">
      <c r="A95" s="0" t="s">
        <v>107</v>
      </c>
      <c r="B95" s="1" t="n">
        <v>43955</v>
      </c>
      <c r="C95" s="0" t="n">
        <v>75</v>
      </c>
      <c r="D95" s="0" t="n">
        <v>16</v>
      </c>
      <c r="E95" s="0" t="n">
        <v>0</v>
      </c>
      <c r="F95" s="0" t="n">
        <v>0</v>
      </c>
      <c r="G95" s="0" t="n">
        <v>16</v>
      </c>
      <c r="H95" s="0" t="n">
        <v>59</v>
      </c>
      <c r="I95" s="0" t="n">
        <v>0</v>
      </c>
      <c r="J95" s="0" t="n">
        <v>3</v>
      </c>
      <c r="K95" s="0" t="n">
        <v>0</v>
      </c>
      <c r="L95" s="0" t="n">
        <v>63102</v>
      </c>
      <c r="M95" s="0" t="n">
        <v>2166</v>
      </c>
    </row>
    <row r="96" customFormat="false" ht="13.5" hidden="false" customHeight="false" outlineLevel="0" collapsed="false">
      <c r="A96" s="0" t="s">
        <v>107</v>
      </c>
      <c r="B96" s="1" t="n">
        <v>43956</v>
      </c>
      <c r="C96" s="0" t="n">
        <v>75</v>
      </c>
      <c r="D96" s="0" t="n">
        <v>0</v>
      </c>
      <c r="E96" s="0" t="n">
        <v>0</v>
      </c>
      <c r="F96" s="0" t="n">
        <v>0</v>
      </c>
      <c r="G96" s="0" t="n">
        <v>16</v>
      </c>
      <c r="H96" s="0" t="n">
        <v>59</v>
      </c>
      <c r="I96" s="0" t="n">
        <v>0</v>
      </c>
      <c r="J96" s="0" t="n">
        <v>3</v>
      </c>
      <c r="K96" s="0" t="n">
        <v>0</v>
      </c>
      <c r="L96" s="0" t="n">
        <v>63102</v>
      </c>
      <c r="M96" s="0" t="n">
        <v>2166</v>
      </c>
    </row>
    <row r="97" customFormat="false" ht="13.5" hidden="false" customHeight="false" outlineLevel="0" collapsed="false">
      <c r="A97" s="0" t="s">
        <v>107</v>
      </c>
      <c r="B97" s="1" t="n">
        <v>43957</v>
      </c>
      <c r="C97" s="0" t="n">
        <v>82</v>
      </c>
      <c r="D97" s="0" t="n">
        <v>7</v>
      </c>
      <c r="E97" s="0" t="n">
        <v>0</v>
      </c>
      <c r="F97" s="0" t="n">
        <v>0</v>
      </c>
      <c r="G97" s="0" t="n">
        <v>16</v>
      </c>
      <c r="H97" s="0" t="n">
        <v>66</v>
      </c>
      <c r="I97" s="0" t="n">
        <v>0</v>
      </c>
      <c r="J97" s="0" t="n">
        <v>3</v>
      </c>
      <c r="K97" s="0" t="n">
        <v>0</v>
      </c>
      <c r="L97" s="0" t="n">
        <v>64492</v>
      </c>
      <c r="M97" s="0" t="n">
        <v>2213</v>
      </c>
    </row>
    <row r="98" customFormat="false" ht="13.5" hidden="false" customHeight="false" outlineLevel="0" collapsed="false">
      <c r="A98" s="0" t="s">
        <v>107</v>
      </c>
      <c r="B98" s="1" t="n">
        <v>43958</v>
      </c>
      <c r="C98" s="0" t="n">
        <v>99</v>
      </c>
      <c r="D98" s="0" t="n">
        <v>17</v>
      </c>
      <c r="E98" s="0" t="n">
        <v>0</v>
      </c>
      <c r="F98" s="0" t="n">
        <v>0</v>
      </c>
      <c r="G98" s="0" t="n">
        <v>22</v>
      </c>
      <c r="H98" s="0" t="n">
        <v>77</v>
      </c>
      <c r="I98" s="0" t="n">
        <v>0</v>
      </c>
      <c r="J98" s="0" t="n">
        <v>3</v>
      </c>
      <c r="K98" s="0" t="n">
        <v>0</v>
      </c>
      <c r="L98" s="0" t="n">
        <v>64492</v>
      </c>
      <c r="M98" s="0" t="n">
        <v>2213</v>
      </c>
    </row>
    <row r="99" customFormat="false" ht="13.5" hidden="false" customHeight="false" outlineLevel="0" collapsed="false">
      <c r="A99" s="0" t="s">
        <v>107</v>
      </c>
      <c r="B99" s="1" t="n">
        <v>43959</v>
      </c>
      <c r="C99" s="0" t="n">
        <v>101</v>
      </c>
      <c r="D99" s="0" t="n">
        <v>2</v>
      </c>
      <c r="E99" s="0" t="n">
        <v>0</v>
      </c>
      <c r="F99" s="0" t="n">
        <v>0</v>
      </c>
      <c r="G99" s="0" t="n">
        <v>22</v>
      </c>
      <c r="H99" s="0" t="n">
        <v>79</v>
      </c>
      <c r="I99" s="0" t="n">
        <v>0</v>
      </c>
      <c r="J99" s="0" t="n">
        <v>3</v>
      </c>
      <c r="K99" s="0" t="n">
        <v>0</v>
      </c>
      <c r="L99" s="0" t="n">
        <v>67066</v>
      </c>
      <c r="M99" s="0" t="n">
        <v>2302</v>
      </c>
    </row>
    <row r="100" customFormat="false" ht="13.5" hidden="false" customHeight="false" outlineLevel="0" collapsed="false">
      <c r="A100" s="0" t="s">
        <v>107</v>
      </c>
      <c r="B100" s="1" t="n">
        <v>43960</v>
      </c>
      <c r="C100" s="0" t="n">
        <v>102</v>
      </c>
      <c r="D100" s="0" t="n">
        <v>1</v>
      </c>
      <c r="E100" s="0" t="n">
        <v>0</v>
      </c>
      <c r="F100" s="0" t="n">
        <v>0</v>
      </c>
      <c r="G100" s="0" t="n">
        <v>31</v>
      </c>
      <c r="H100" s="0" t="n">
        <v>71</v>
      </c>
      <c r="I100" s="0" t="n">
        <v>0</v>
      </c>
      <c r="J100" s="0" t="n">
        <v>4</v>
      </c>
      <c r="K100" s="0" t="n">
        <v>0</v>
      </c>
      <c r="L100" s="0" t="n">
        <v>70023</v>
      </c>
      <c r="M100" s="0" t="n">
        <v>2403</v>
      </c>
    </row>
    <row r="101" customFormat="false" ht="13.5" hidden="false" customHeight="false" outlineLevel="0" collapsed="false">
      <c r="A101" s="0" t="s">
        <v>107</v>
      </c>
      <c r="B101" s="1" t="n">
        <v>43961</v>
      </c>
      <c r="C101" s="0" t="n">
        <v>109</v>
      </c>
      <c r="D101" s="0" t="n">
        <v>7</v>
      </c>
      <c r="E101" s="0" t="n">
        <v>0</v>
      </c>
      <c r="F101" s="0" t="n">
        <v>0</v>
      </c>
      <c r="G101" s="0" t="n">
        <v>31</v>
      </c>
      <c r="H101" s="0" t="n">
        <v>78</v>
      </c>
      <c r="I101" s="0" t="n">
        <v>0</v>
      </c>
      <c r="J101" s="0" t="n">
        <v>4</v>
      </c>
      <c r="K101" s="0" t="n">
        <v>0</v>
      </c>
      <c r="L101" s="0" t="n">
        <v>72239</v>
      </c>
      <c r="M101" s="0" t="n">
        <v>2479</v>
      </c>
    </row>
    <row r="102" customFormat="false" ht="13.5" hidden="false" customHeight="false" outlineLevel="0" collapsed="false">
      <c r="A102" s="0" t="s">
        <v>107</v>
      </c>
      <c r="B102" s="1" t="n">
        <v>43962</v>
      </c>
      <c r="C102" s="0" t="n">
        <v>110</v>
      </c>
      <c r="D102" s="0" t="n">
        <v>1</v>
      </c>
      <c r="E102" s="0" t="n">
        <v>0</v>
      </c>
      <c r="F102" s="0" t="n">
        <v>0</v>
      </c>
      <c r="G102" s="0" t="n">
        <v>31</v>
      </c>
      <c r="H102" s="0" t="n">
        <v>79</v>
      </c>
      <c r="I102" s="0" t="n">
        <v>0</v>
      </c>
      <c r="J102" s="0" t="n">
        <v>4</v>
      </c>
      <c r="K102" s="0" t="n">
        <v>0</v>
      </c>
      <c r="L102" s="0" t="n">
        <v>72239</v>
      </c>
      <c r="M102" s="0" t="n">
        <v>2479</v>
      </c>
    </row>
    <row r="103" customFormat="false" ht="13.5" hidden="false" customHeight="false" outlineLevel="0" collapsed="false">
      <c r="A103" s="0" t="s">
        <v>107</v>
      </c>
      <c r="B103" s="1" t="n">
        <v>43963</v>
      </c>
      <c r="C103" s="0" t="n">
        <v>134</v>
      </c>
      <c r="D103" s="0" t="n">
        <v>24</v>
      </c>
      <c r="E103" s="0" t="n">
        <v>0</v>
      </c>
      <c r="F103" s="0" t="n">
        <v>0</v>
      </c>
      <c r="G103" s="0" t="n">
        <v>33</v>
      </c>
      <c r="H103" s="0" t="n">
        <v>101</v>
      </c>
      <c r="I103" s="0" t="n">
        <v>0</v>
      </c>
      <c r="J103" s="0" t="n">
        <v>5</v>
      </c>
      <c r="K103" s="0" t="n">
        <v>0</v>
      </c>
      <c r="L103" s="0" t="n">
        <v>76367</v>
      </c>
      <c r="M103" s="0" t="n">
        <v>2621</v>
      </c>
    </row>
    <row r="104" customFormat="false" ht="13.5" hidden="false" customHeight="false" outlineLevel="0" collapsed="false">
      <c r="A104" s="0" t="s">
        <v>107</v>
      </c>
      <c r="B104" s="1" t="n">
        <v>43964</v>
      </c>
      <c r="C104" s="0" t="n">
        <v>217</v>
      </c>
      <c r="D104" s="0" t="n">
        <v>83</v>
      </c>
      <c r="E104" s="0" t="n">
        <v>0</v>
      </c>
      <c r="F104" s="0" t="n">
        <v>0</v>
      </c>
      <c r="G104" s="0" t="n">
        <v>33</v>
      </c>
      <c r="H104" s="0" t="n">
        <v>184</v>
      </c>
      <c r="I104" s="0" t="n">
        <v>0</v>
      </c>
      <c r="J104" s="0" t="n">
        <v>7</v>
      </c>
      <c r="K104" s="0" t="n">
        <v>0</v>
      </c>
      <c r="L104" s="0" t="n">
        <v>76424</v>
      </c>
      <c r="M104" s="0" t="n">
        <v>2623</v>
      </c>
    </row>
    <row r="105" customFormat="false" ht="13.5" hidden="false" customHeight="false" outlineLevel="0" collapsed="false">
      <c r="A105" s="0" t="s">
        <v>107</v>
      </c>
      <c r="B105" s="1" t="n">
        <v>43965</v>
      </c>
      <c r="C105" s="0" t="n">
        <v>243</v>
      </c>
      <c r="D105" s="0" t="n">
        <v>26</v>
      </c>
      <c r="E105" s="0" t="n">
        <v>0</v>
      </c>
      <c r="F105" s="0" t="n">
        <v>0</v>
      </c>
      <c r="G105" s="0" t="n">
        <v>35</v>
      </c>
      <c r="H105" s="0" t="n">
        <v>208</v>
      </c>
      <c r="I105" s="0" t="n">
        <v>0</v>
      </c>
      <c r="J105" s="0" t="n">
        <v>8</v>
      </c>
      <c r="K105" s="0" t="n">
        <v>0</v>
      </c>
      <c r="L105" s="0" t="n">
        <v>81659</v>
      </c>
      <c r="M105" s="0" t="n">
        <v>2803</v>
      </c>
    </row>
    <row r="106" customFormat="false" ht="13.5" hidden="false" customHeight="false" outlineLevel="0" collapsed="false">
      <c r="A106" s="0" t="s">
        <v>107</v>
      </c>
      <c r="B106" s="1" t="n">
        <v>43966</v>
      </c>
      <c r="C106" s="0" t="n">
        <v>246</v>
      </c>
      <c r="D106" s="0" t="n">
        <v>3</v>
      </c>
      <c r="E106" s="0" t="n">
        <v>0</v>
      </c>
      <c r="F106" s="0" t="n">
        <v>0</v>
      </c>
      <c r="G106" s="0" t="n">
        <v>35</v>
      </c>
      <c r="H106" s="0" t="n">
        <v>211</v>
      </c>
      <c r="I106" s="0" t="n">
        <v>0</v>
      </c>
      <c r="J106" s="0" t="n">
        <v>8</v>
      </c>
      <c r="K106" s="0" t="n">
        <v>0</v>
      </c>
      <c r="L106" s="0" t="n">
        <v>81685</v>
      </c>
      <c r="M106" s="0" t="n">
        <v>2803</v>
      </c>
    </row>
    <row r="107" customFormat="false" ht="13.5" hidden="false" customHeight="false" outlineLevel="0" collapsed="false">
      <c r="A107" s="0" t="s">
        <v>107</v>
      </c>
      <c r="B107" s="1" t="n">
        <v>43967</v>
      </c>
      <c r="C107" s="0" t="n">
        <v>267</v>
      </c>
      <c r="D107" s="0" t="n">
        <v>21</v>
      </c>
      <c r="E107" s="0" t="n">
        <v>0</v>
      </c>
      <c r="F107" s="0" t="n">
        <v>0</v>
      </c>
      <c r="G107" s="0" t="n">
        <v>36</v>
      </c>
      <c r="H107" s="0" t="n">
        <v>231</v>
      </c>
      <c r="I107" s="0" t="n">
        <v>0</v>
      </c>
      <c r="J107" s="0" t="n">
        <v>9</v>
      </c>
      <c r="K107" s="0" t="n">
        <v>0</v>
      </c>
      <c r="L107" s="0" t="n">
        <v>87008</v>
      </c>
      <c r="M107" s="0" t="n">
        <v>2993</v>
      </c>
    </row>
    <row r="108" customFormat="false" ht="13.5" hidden="false" customHeight="false" outlineLevel="0" collapsed="false">
      <c r="A108" s="0" t="s">
        <v>107</v>
      </c>
      <c r="B108" s="1" t="n">
        <v>43968</v>
      </c>
      <c r="C108" s="0" t="n">
        <v>281</v>
      </c>
      <c r="D108" s="0" t="n">
        <v>14</v>
      </c>
      <c r="E108" s="0" t="n">
        <v>1</v>
      </c>
      <c r="F108" s="0" t="n">
        <v>1</v>
      </c>
      <c r="G108" s="0" t="n">
        <v>36</v>
      </c>
      <c r="H108" s="0" t="n">
        <v>244</v>
      </c>
      <c r="I108" s="0" t="n">
        <v>0</v>
      </c>
      <c r="J108" s="0" t="n">
        <v>10</v>
      </c>
      <c r="K108" s="0" t="n">
        <v>0.03</v>
      </c>
      <c r="L108" s="0" t="n">
        <v>92440</v>
      </c>
      <c r="M108" s="0" t="n">
        <v>3180</v>
      </c>
    </row>
    <row r="109" customFormat="false" ht="13.5" hidden="false" customHeight="false" outlineLevel="0" collapsed="false">
      <c r="A109" s="0" t="s">
        <v>107</v>
      </c>
      <c r="B109" s="1" t="n">
        <v>43969</v>
      </c>
      <c r="C109" s="0" t="n">
        <v>295</v>
      </c>
      <c r="D109" s="0" t="n">
        <v>14</v>
      </c>
      <c r="E109" s="0" t="n">
        <v>2</v>
      </c>
      <c r="F109" s="0" t="n">
        <v>1</v>
      </c>
      <c r="G109" s="0" t="n">
        <v>36</v>
      </c>
      <c r="H109" s="0" t="n">
        <v>257</v>
      </c>
      <c r="I109" s="0" t="n">
        <v>0</v>
      </c>
      <c r="J109" s="0" t="n">
        <v>10</v>
      </c>
      <c r="K109" s="0" t="n">
        <v>0.07</v>
      </c>
      <c r="L109" s="0" t="n">
        <v>92440</v>
      </c>
      <c r="M109" s="0" t="n">
        <v>3180</v>
      </c>
    </row>
    <row r="110" customFormat="false" ht="13.5" hidden="false" customHeight="false" outlineLevel="0" collapsed="false">
      <c r="A110" s="0" t="s">
        <v>107</v>
      </c>
      <c r="B110" s="1" t="n">
        <v>43970</v>
      </c>
      <c r="C110" s="0" t="n">
        <v>375</v>
      </c>
      <c r="D110" s="0" t="n">
        <v>80</v>
      </c>
      <c r="E110" s="0" t="n">
        <v>2</v>
      </c>
      <c r="F110" s="0" t="n">
        <v>0</v>
      </c>
      <c r="G110" s="0" t="n">
        <v>36</v>
      </c>
      <c r="H110" s="0" t="n">
        <v>337</v>
      </c>
      <c r="I110" s="0" t="n">
        <v>1</v>
      </c>
      <c r="J110" s="0" t="n">
        <v>13</v>
      </c>
      <c r="K110" s="0" t="n">
        <v>0.07</v>
      </c>
      <c r="L110" s="0" t="n">
        <v>100283</v>
      </c>
      <c r="M110" s="0" t="n">
        <v>3450</v>
      </c>
    </row>
    <row r="111" customFormat="false" ht="13.5" hidden="false" customHeight="false" outlineLevel="0" collapsed="false">
      <c r="A111" s="0" t="s">
        <v>107</v>
      </c>
      <c r="B111" s="1" t="n">
        <v>43971</v>
      </c>
      <c r="C111" s="0" t="n">
        <v>402</v>
      </c>
      <c r="D111" s="0" t="n">
        <v>27</v>
      </c>
      <c r="E111" s="0" t="n">
        <v>2</v>
      </c>
      <c r="F111" s="0" t="n">
        <v>0</v>
      </c>
      <c r="G111" s="0" t="n">
        <v>37</v>
      </c>
      <c r="H111" s="0" t="n">
        <v>363</v>
      </c>
      <c r="I111" s="0" t="n">
        <v>1</v>
      </c>
      <c r="J111" s="0" t="n">
        <v>14</v>
      </c>
      <c r="K111" s="0" t="n">
        <v>0.07</v>
      </c>
      <c r="L111" s="0" t="n">
        <v>107253</v>
      </c>
      <c r="M111" s="0" t="n">
        <v>3689</v>
      </c>
    </row>
    <row r="112" customFormat="false" ht="13.5" hidden="false" customHeight="false" outlineLevel="0" collapsed="false">
      <c r="A112" s="0" t="s">
        <v>107</v>
      </c>
      <c r="B112" s="1" t="n">
        <v>43972</v>
      </c>
      <c r="C112" s="0" t="n">
        <v>427</v>
      </c>
      <c r="D112" s="0" t="n">
        <v>25</v>
      </c>
      <c r="E112" s="0" t="n">
        <v>2</v>
      </c>
      <c r="F112" s="0" t="n">
        <v>0</v>
      </c>
      <c r="G112" s="0" t="n">
        <v>45</v>
      </c>
      <c r="H112" s="0" t="n">
        <v>380</v>
      </c>
      <c r="I112" s="0" t="n">
        <v>1</v>
      </c>
      <c r="J112" s="0" t="n">
        <v>15</v>
      </c>
      <c r="K112" s="0" t="n">
        <v>0.07</v>
      </c>
      <c r="L112" s="0" t="n">
        <v>110566</v>
      </c>
      <c r="M112" s="0" t="n">
        <v>3803</v>
      </c>
    </row>
    <row r="113" customFormat="false" ht="13.5" hidden="false" customHeight="false" outlineLevel="0" collapsed="false">
      <c r="A113" s="0" t="s">
        <v>107</v>
      </c>
      <c r="B113" s="1" t="n">
        <v>43973</v>
      </c>
      <c r="C113" s="0" t="n">
        <v>457</v>
      </c>
      <c r="D113" s="0" t="n">
        <v>30</v>
      </c>
      <c r="E113" s="0" t="n">
        <v>3</v>
      </c>
      <c r="F113" s="0" t="n">
        <v>1</v>
      </c>
      <c r="G113" s="0" t="n">
        <v>49</v>
      </c>
      <c r="H113" s="0" t="n">
        <v>405</v>
      </c>
      <c r="I113" s="0" t="n">
        <v>1</v>
      </c>
      <c r="J113" s="0" t="n">
        <v>16</v>
      </c>
      <c r="K113" s="0" t="n">
        <v>0.1</v>
      </c>
      <c r="L113" s="0" t="n">
        <v>117431</v>
      </c>
      <c r="M113" s="0" t="n">
        <v>4039</v>
      </c>
    </row>
    <row r="114" customFormat="false" ht="13.5" hidden="false" customHeight="false" outlineLevel="0" collapsed="false">
      <c r="A114" s="0" t="s">
        <v>107</v>
      </c>
      <c r="B114" s="1" t="n">
        <v>43974</v>
      </c>
      <c r="C114" s="0" t="n">
        <v>516</v>
      </c>
      <c r="D114" s="0" t="n">
        <v>59</v>
      </c>
      <c r="E114" s="0" t="n">
        <v>3</v>
      </c>
      <c r="F114" s="0" t="n">
        <v>0</v>
      </c>
      <c r="G114" s="0" t="n">
        <v>70</v>
      </c>
      <c r="H114" s="0" t="n">
        <v>443</v>
      </c>
      <c r="I114" s="0" t="n">
        <v>1</v>
      </c>
      <c r="J114" s="0" t="n">
        <v>18</v>
      </c>
      <c r="K114" s="0" t="n">
        <v>0.1</v>
      </c>
      <c r="L114" s="0" t="n">
        <v>124604</v>
      </c>
      <c r="M114" s="0" t="n">
        <v>4285</v>
      </c>
    </row>
    <row r="115" customFormat="false" ht="13.5" hidden="false" customHeight="false" outlineLevel="0" collapsed="false">
      <c r="A115" s="0" t="s">
        <v>107</v>
      </c>
      <c r="B115" s="1" t="n">
        <v>43975</v>
      </c>
      <c r="C115" s="0" t="n">
        <v>584</v>
      </c>
      <c r="D115" s="0" t="n">
        <v>68</v>
      </c>
      <c r="E115" s="0" t="n">
        <v>3</v>
      </c>
      <c r="F115" s="0" t="n">
        <v>0</v>
      </c>
      <c r="G115" s="0" t="n">
        <v>70</v>
      </c>
      <c r="H115" s="0" t="n">
        <v>511</v>
      </c>
      <c r="I115" s="0" t="n">
        <v>1</v>
      </c>
      <c r="J115" s="0" t="n">
        <v>20</v>
      </c>
      <c r="K115" s="0" t="n">
        <v>0.1</v>
      </c>
      <c r="L115" s="0" t="n">
        <v>132195</v>
      </c>
      <c r="M115" s="0" t="n">
        <v>4546</v>
      </c>
    </row>
    <row r="116" customFormat="false" ht="13.5" hidden="false" customHeight="false" outlineLevel="0" collapsed="false">
      <c r="A116" s="0" t="s">
        <v>107</v>
      </c>
      <c r="B116" s="1" t="n">
        <v>43976</v>
      </c>
      <c r="C116" s="0" t="n">
        <v>602</v>
      </c>
      <c r="D116" s="0" t="n">
        <v>19</v>
      </c>
      <c r="E116" s="0" t="n">
        <v>3</v>
      </c>
      <c r="F116" s="0" t="n">
        <v>0</v>
      </c>
      <c r="G116" s="0" t="n">
        <v>87</v>
      </c>
      <c r="H116" s="0" t="n">
        <v>513</v>
      </c>
      <c r="I116" s="0" t="n">
        <v>0</v>
      </c>
      <c r="J116" s="0" t="n">
        <v>21</v>
      </c>
      <c r="K116" s="0" t="n">
        <v>0.1</v>
      </c>
      <c r="L116" s="0" t="n">
        <v>138841</v>
      </c>
      <c r="M116" s="0" t="n">
        <v>4775</v>
      </c>
    </row>
    <row r="117" customFormat="false" ht="13.5" hidden="false" customHeight="false" outlineLevel="0" collapsed="false">
      <c r="A117" s="0" t="s">
        <v>107</v>
      </c>
      <c r="B117" s="1" t="n">
        <v>43977</v>
      </c>
      <c r="C117" s="0" t="n">
        <v>682</v>
      </c>
      <c r="D117" s="0" t="n">
        <v>79</v>
      </c>
      <c r="E117" s="0" t="n">
        <v>4</v>
      </c>
      <c r="F117" s="0" t="n">
        <v>1</v>
      </c>
      <c r="G117" s="0" t="n">
        <v>112</v>
      </c>
      <c r="H117" s="0" t="n">
        <v>566</v>
      </c>
      <c r="I117" s="0" t="n">
        <v>0</v>
      </c>
      <c r="J117" s="0" t="n">
        <v>23</v>
      </c>
      <c r="K117" s="0" t="n">
        <v>0.1</v>
      </c>
      <c r="L117" s="0" t="n">
        <v>146834</v>
      </c>
      <c r="M117" s="0" t="n">
        <v>5049</v>
      </c>
    </row>
    <row r="118" customFormat="false" ht="13.5" hidden="false" customHeight="false" outlineLevel="0" collapsed="false">
      <c r="A118" s="0" t="s">
        <v>107</v>
      </c>
      <c r="B118" s="1" t="n">
        <v>43978</v>
      </c>
      <c r="C118" s="0" t="n">
        <v>772</v>
      </c>
      <c r="D118" s="0" t="n">
        <v>90</v>
      </c>
      <c r="E118" s="0" t="n">
        <v>4</v>
      </c>
      <c r="F118" s="0" t="n">
        <v>0</v>
      </c>
      <c r="G118" s="0" t="n">
        <v>155</v>
      </c>
      <c r="H118" s="0" t="n">
        <v>613</v>
      </c>
      <c r="I118" s="0" t="n">
        <v>0</v>
      </c>
      <c r="J118" s="0" t="n">
        <v>27</v>
      </c>
      <c r="K118" s="0" t="n">
        <v>0.1</v>
      </c>
      <c r="L118" s="0" t="n">
        <v>152391</v>
      </c>
      <c r="M118" s="0" t="n">
        <v>5240</v>
      </c>
    </row>
    <row r="119" customFormat="false" ht="13.5" hidden="false" customHeight="false" outlineLevel="0" collapsed="false">
      <c r="A119" s="0" t="s">
        <v>107</v>
      </c>
      <c r="B119" s="1" t="n">
        <v>43979</v>
      </c>
      <c r="C119" s="0" t="n">
        <v>886</v>
      </c>
      <c r="D119" s="0" t="n">
        <v>114</v>
      </c>
      <c r="E119" s="0" t="n">
        <v>4</v>
      </c>
      <c r="F119" s="0" t="n">
        <v>0</v>
      </c>
      <c r="G119" s="0" t="n">
        <v>183</v>
      </c>
      <c r="H119" s="0" t="n">
        <v>699</v>
      </c>
      <c r="I119" s="0" t="n">
        <v>0</v>
      </c>
      <c r="J119" s="0" t="n">
        <v>30</v>
      </c>
      <c r="K119" s="0" t="n">
        <v>0.1</v>
      </c>
      <c r="L119" s="0" t="n">
        <v>158564</v>
      </c>
      <c r="M119" s="0" t="n">
        <v>5452</v>
      </c>
    </row>
    <row r="120" customFormat="false" ht="13.5" hidden="false" customHeight="false" outlineLevel="0" collapsed="false">
      <c r="A120" s="0" t="s">
        <v>107</v>
      </c>
      <c r="B120" s="1" t="n">
        <v>43980</v>
      </c>
      <c r="C120" s="0" t="n">
        <v>1042</v>
      </c>
      <c r="D120" s="0" t="n">
        <v>156</v>
      </c>
      <c r="E120" s="0" t="n">
        <v>5</v>
      </c>
      <c r="F120" s="0" t="n">
        <v>1</v>
      </c>
      <c r="G120" s="0" t="n">
        <v>187</v>
      </c>
      <c r="H120" s="0" t="n">
        <v>850</v>
      </c>
      <c r="I120" s="0" t="n">
        <v>0</v>
      </c>
      <c r="J120" s="0" t="n">
        <v>36</v>
      </c>
      <c r="K120" s="0" t="n">
        <v>0.2</v>
      </c>
      <c r="L120" s="0" t="n">
        <v>162730</v>
      </c>
      <c r="M120" s="0" t="n">
        <v>5595</v>
      </c>
    </row>
    <row r="121" customFormat="false" ht="13.5" hidden="false" customHeight="false" outlineLevel="0" collapsed="false">
      <c r="A121" s="0" t="s">
        <v>107</v>
      </c>
      <c r="B121" s="1" t="n">
        <v>43981</v>
      </c>
      <c r="C121" s="0" t="n">
        <v>1212</v>
      </c>
      <c r="D121" s="0" t="n">
        <v>170</v>
      </c>
      <c r="E121" s="0" t="n">
        <v>6</v>
      </c>
      <c r="F121" s="0" t="n">
        <v>1</v>
      </c>
      <c r="G121" s="0" t="n">
        <v>206</v>
      </c>
      <c r="H121" s="0" t="n">
        <v>1000</v>
      </c>
      <c r="I121" s="0" t="n">
        <v>0</v>
      </c>
      <c r="J121" s="0" t="n">
        <v>42</v>
      </c>
      <c r="K121" s="0" t="n">
        <v>0.2</v>
      </c>
      <c r="L121" s="0" t="n">
        <v>169632</v>
      </c>
      <c r="M121" s="0" t="n">
        <v>5832</v>
      </c>
    </row>
    <row r="122" customFormat="false" ht="13.5" hidden="false" customHeight="false" outlineLevel="0" collapsed="false">
      <c r="A122" s="0" t="s">
        <v>107</v>
      </c>
      <c r="B122" s="1" t="n">
        <v>43982</v>
      </c>
      <c r="C122" s="0" t="n">
        <v>1401</v>
      </c>
      <c r="D122" s="0" t="n">
        <v>189</v>
      </c>
      <c r="E122" s="0" t="n">
        <v>6</v>
      </c>
      <c r="F122" s="0" t="n">
        <v>0</v>
      </c>
      <c r="G122" s="0" t="n">
        <v>219</v>
      </c>
      <c r="H122" s="0" t="n">
        <v>1176</v>
      </c>
      <c r="I122" s="0" t="n">
        <v>0</v>
      </c>
      <c r="J122" s="0" t="n">
        <v>48</v>
      </c>
      <c r="K122" s="0" t="n">
        <v>0.2</v>
      </c>
      <c r="L122" s="0" t="n">
        <v>173784</v>
      </c>
      <c r="M122" s="0" t="n">
        <v>5975</v>
      </c>
    </row>
    <row r="123" customFormat="false" ht="13.5" hidden="false" customHeight="false" outlineLevel="0" collapsed="false">
      <c r="A123" s="0" t="s">
        <v>107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107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107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107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107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107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107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107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107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107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107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107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107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107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107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n">
        <v>0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107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107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107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107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107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107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107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107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107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107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107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107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107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107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107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107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107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107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107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107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107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107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107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107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107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107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107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107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107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107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107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107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107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107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107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107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107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107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107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107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107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107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107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107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107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107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107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107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107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107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48" activeCellId="0" sqref="A148"/>
    </sheetView>
  </sheetViews>
  <sheetFormatPr defaultColWidth="8.9921875" defaultRowHeight="13.5" zeroHeight="false" outlineLevelRow="0" outlineLevelCol="0"/>
  <cols>
    <col collapsed="false" customWidth="true" hidden="false" outlineLevel="0" max="1" min="1" style="0" width="11.13"/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108</v>
      </c>
      <c r="B2" s="1" t="n">
        <v>43862</v>
      </c>
    </row>
    <row r="3" customFormat="false" ht="13.5" hidden="false" customHeight="false" outlineLevel="0" collapsed="false">
      <c r="A3" s="0" t="s">
        <v>108</v>
      </c>
      <c r="B3" s="1" t="n">
        <v>43863</v>
      </c>
    </row>
    <row r="4" customFormat="false" ht="13.5" hidden="false" customHeight="false" outlineLevel="0" collapsed="false">
      <c r="A4" s="0" t="s">
        <v>108</v>
      </c>
      <c r="B4" s="1" t="n">
        <v>43864</v>
      </c>
    </row>
    <row r="5" customFormat="false" ht="13.5" hidden="false" customHeight="false" outlineLevel="0" collapsed="false">
      <c r="A5" s="0" t="s">
        <v>108</v>
      </c>
      <c r="B5" s="1" t="n">
        <v>43865</v>
      </c>
    </row>
    <row r="6" customFormat="false" ht="13.5" hidden="false" customHeight="false" outlineLevel="0" collapsed="false">
      <c r="A6" s="0" t="s">
        <v>108</v>
      </c>
      <c r="B6" s="1" t="n">
        <v>43866</v>
      </c>
    </row>
    <row r="7" customFormat="false" ht="13.5" hidden="false" customHeight="false" outlineLevel="0" collapsed="false">
      <c r="A7" s="0" t="s">
        <v>108</v>
      </c>
      <c r="B7" s="1" t="n">
        <v>43867</v>
      </c>
    </row>
    <row r="8" customFormat="false" ht="13.5" hidden="false" customHeight="false" outlineLevel="0" collapsed="false">
      <c r="A8" s="0" t="s">
        <v>108</v>
      </c>
      <c r="B8" s="1" t="n">
        <v>43868</v>
      </c>
    </row>
    <row r="9" customFormat="false" ht="13.5" hidden="false" customHeight="false" outlineLevel="0" collapsed="false">
      <c r="A9" s="0" t="s">
        <v>108</v>
      </c>
      <c r="B9" s="1" t="n">
        <v>43869</v>
      </c>
    </row>
    <row r="10" customFormat="false" ht="13.5" hidden="false" customHeight="false" outlineLevel="0" collapsed="false">
      <c r="A10" s="0" t="s">
        <v>108</v>
      </c>
      <c r="B10" s="1" t="n">
        <v>43870</v>
      </c>
    </row>
    <row r="11" customFormat="false" ht="13.5" hidden="false" customHeight="false" outlineLevel="0" collapsed="false">
      <c r="A11" s="0" t="s">
        <v>108</v>
      </c>
      <c r="B11" s="1" t="n">
        <v>43871</v>
      </c>
    </row>
    <row r="12" customFormat="false" ht="13.5" hidden="false" customHeight="false" outlineLevel="0" collapsed="false">
      <c r="A12" s="0" t="s">
        <v>108</v>
      </c>
      <c r="B12" s="1" t="n">
        <v>43872</v>
      </c>
    </row>
    <row r="13" customFormat="false" ht="13.5" hidden="false" customHeight="false" outlineLevel="0" collapsed="false">
      <c r="A13" s="0" t="s">
        <v>108</v>
      </c>
      <c r="B13" s="1" t="n">
        <v>43873</v>
      </c>
    </row>
    <row r="14" customFormat="false" ht="13.5" hidden="false" customHeight="false" outlineLevel="0" collapsed="false">
      <c r="A14" s="0" t="s">
        <v>108</v>
      </c>
      <c r="B14" s="1" t="n">
        <v>43874</v>
      </c>
    </row>
    <row r="15" customFormat="false" ht="13.5" hidden="false" customHeight="false" outlineLevel="0" collapsed="false">
      <c r="A15" s="0" t="s">
        <v>108</v>
      </c>
      <c r="B15" s="1" t="n">
        <v>43875</v>
      </c>
    </row>
    <row r="16" customFormat="false" ht="13.5" hidden="false" customHeight="false" outlineLevel="0" collapsed="false">
      <c r="A16" s="0" t="s">
        <v>108</v>
      </c>
      <c r="B16" s="1" t="n">
        <v>43876</v>
      </c>
    </row>
    <row r="17" customFormat="false" ht="13.5" hidden="false" customHeight="false" outlineLevel="0" collapsed="false">
      <c r="A17" s="0" t="s">
        <v>108</v>
      </c>
      <c r="B17" s="1" t="n">
        <v>43877</v>
      </c>
    </row>
    <row r="18" customFormat="false" ht="13.5" hidden="false" customHeight="false" outlineLevel="0" collapsed="false">
      <c r="A18" s="0" t="s">
        <v>108</v>
      </c>
      <c r="B18" s="1" t="n">
        <v>43878</v>
      </c>
    </row>
    <row r="19" customFormat="false" ht="13.5" hidden="false" customHeight="false" outlineLevel="0" collapsed="false">
      <c r="A19" s="0" t="s">
        <v>108</v>
      </c>
      <c r="B19" s="1" t="n">
        <v>43879</v>
      </c>
    </row>
    <row r="20" customFormat="false" ht="13.5" hidden="false" customHeight="false" outlineLevel="0" collapsed="false">
      <c r="A20" s="0" t="s">
        <v>108</v>
      </c>
      <c r="B20" s="1" t="n">
        <v>43880</v>
      </c>
    </row>
    <row r="21" customFormat="false" ht="13.5" hidden="false" customHeight="false" outlineLevel="0" collapsed="false">
      <c r="A21" s="0" t="s">
        <v>108</v>
      </c>
      <c r="B21" s="1" t="n">
        <v>43881</v>
      </c>
    </row>
    <row r="22" customFormat="false" ht="13.5" hidden="false" customHeight="false" outlineLevel="0" collapsed="false">
      <c r="A22" s="0" t="s">
        <v>108</v>
      </c>
      <c r="B22" s="1" t="n">
        <v>43882</v>
      </c>
    </row>
    <row r="23" customFormat="false" ht="13.5" hidden="false" customHeight="false" outlineLevel="0" collapsed="false">
      <c r="A23" s="0" t="s">
        <v>108</v>
      </c>
      <c r="B23" s="1" t="n">
        <v>43883</v>
      </c>
    </row>
    <row r="24" customFormat="false" ht="13.5" hidden="false" customHeight="false" outlineLevel="0" collapsed="false">
      <c r="A24" s="0" t="s">
        <v>108</v>
      </c>
      <c r="B24" s="1" t="n">
        <v>43884</v>
      </c>
    </row>
    <row r="25" customFormat="false" ht="13.5" hidden="false" customHeight="false" outlineLevel="0" collapsed="false">
      <c r="A25" s="0" t="s">
        <v>108</v>
      </c>
      <c r="B25" s="1" t="n">
        <v>43885</v>
      </c>
    </row>
    <row r="26" customFormat="false" ht="13.5" hidden="false" customHeight="false" outlineLevel="0" collapsed="false">
      <c r="A26" s="0" t="s">
        <v>108</v>
      </c>
      <c r="B26" s="1" t="n">
        <v>43886</v>
      </c>
    </row>
    <row r="27" customFormat="false" ht="13.5" hidden="false" customHeight="false" outlineLevel="0" collapsed="false">
      <c r="A27" s="0" t="s">
        <v>108</v>
      </c>
      <c r="B27" s="1" t="n">
        <v>43887</v>
      </c>
    </row>
    <row r="28" customFormat="false" ht="13.5" hidden="false" customHeight="false" outlineLevel="0" collapsed="false">
      <c r="A28" s="0" t="s">
        <v>108</v>
      </c>
      <c r="B28" s="1" t="n">
        <v>43888</v>
      </c>
    </row>
    <row r="29" customFormat="false" ht="13.5" hidden="false" customHeight="false" outlineLevel="0" collapsed="false">
      <c r="A29" s="0" t="s">
        <v>108</v>
      </c>
      <c r="B29" s="1" t="n">
        <v>43889</v>
      </c>
    </row>
    <row r="30" customFormat="false" ht="13.5" hidden="false" customHeight="false" outlineLevel="0" collapsed="false">
      <c r="A30" s="0" t="s">
        <v>108</v>
      </c>
      <c r="B30" s="1" t="n">
        <v>43890</v>
      </c>
    </row>
    <row r="31" customFormat="false" ht="13.5" hidden="false" customHeight="false" outlineLevel="0" collapsed="false">
      <c r="A31" s="0" t="s">
        <v>108</v>
      </c>
      <c r="B31" s="1" t="n">
        <v>43891</v>
      </c>
    </row>
    <row r="32" customFormat="false" ht="13.5" hidden="false" customHeight="false" outlineLevel="0" collapsed="false">
      <c r="A32" s="0" t="s">
        <v>108</v>
      </c>
      <c r="B32" s="1" t="n">
        <v>43892</v>
      </c>
    </row>
    <row r="33" customFormat="false" ht="13.5" hidden="false" customHeight="false" outlineLevel="0" collapsed="false">
      <c r="A33" s="0" t="s">
        <v>108</v>
      </c>
      <c r="B33" s="1" t="n">
        <v>43893</v>
      </c>
    </row>
    <row r="34" customFormat="false" ht="13.5" hidden="false" customHeight="false" outlineLevel="0" collapsed="false">
      <c r="A34" s="0" t="s">
        <v>108</v>
      </c>
      <c r="B34" s="1" t="n">
        <v>43894</v>
      </c>
    </row>
    <row r="35" customFormat="false" ht="13.5" hidden="false" customHeight="false" outlineLevel="0" collapsed="false">
      <c r="A35" s="0" t="s">
        <v>108</v>
      </c>
      <c r="B35" s="1" t="n">
        <v>43895</v>
      </c>
    </row>
    <row r="36" customFormat="false" ht="13.5" hidden="false" customHeight="false" outlineLevel="0" collapsed="false">
      <c r="A36" s="0" t="s">
        <v>108</v>
      </c>
      <c r="B36" s="1" t="n">
        <v>43896</v>
      </c>
    </row>
    <row r="37" customFormat="false" ht="13.5" hidden="false" customHeight="false" outlineLevel="0" collapsed="false">
      <c r="A37" s="0" t="s">
        <v>108</v>
      </c>
      <c r="B37" s="1" t="n">
        <v>43897</v>
      </c>
    </row>
    <row r="38" customFormat="false" ht="13.5" hidden="false" customHeight="false" outlineLevel="0" collapsed="false">
      <c r="A38" s="0" t="s">
        <v>108</v>
      </c>
      <c r="B38" s="1" t="n">
        <v>43898</v>
      </c>
    </row>
    <row r="39" customFormat="false" ht="13.5" hidden="false" customHeight="false" outlineLevel="0" collapsed="false">
      <c r="A39" s="0" t="s">
        <v>108</v>
      </c>
      <c r="B39" s="1" t="n">
        <v>43899</v>
      </c>
    </row>
    <row r="40" customFormat="false" ht="13.5" hidden="false" customHeight="false" outlineLevel="0" collapsed="false">
      <c r="A40" s="0" t="s">
        <v>108</v>
      </c>
      <c r="B40" s="1" t="n">
        <v>43900</v>
      </c>
    </row>
    <row r="41" customFormat="false" ht="13.5" hidden="false" customHeight="false" outlineLevel="0" collapsed="false">
      <c r="A41" s="0" t="s">
        <v>108</v>
      </c>
      <c r="B41" s="1" t="n">
        <v>43901</v>
      </c>
    </row>
    <row r="42" customFormat="false" ht="13.5" hidden="false" customHeight="false" outlineLevel="0" collapsed="false">
      <c r="A42" s="0" t="s">
        <v>108</v>
      </c>
      <c r="B42" s="1" t="n">
        <v>43902</v>
      </c>
    </row>
    <row r="43" customFormat="false" ht="13.5" hidden="false" customHeight="false" outlineLevel="0" collapsed="false">
      <c r="A43" s="0" t="s">
        <v>108</v>
      </c>
      <c r="B43" s="1" t="n">
        <v>43903</v>
      </c>
    </row>
    <row r="44" customFormat="false" ht="13.5" hidden="false" customHeight="false" outlineLevel="0" collapsed="false">
      <c r="A44" s="0" t="s">
        <v>108</v>
      </c>
      <c r="B44" s="1" t="n">
        <v>43904</v>
      </c>
    </row>
    <row r="45" customFormat="false" ht="13.5" hidden="false" customHeight="false" outlineLevel="0" collapsed="false">
      <c r="A45" s="0" t="s">
        <v>108</v>
      </c>
      <c r="B45" s="1" t="n">
        <v>43905</v>
      </c>
    </row>
    <row r="46" customFormat="false" ht="13.5" hidden="false" customHeight="false" outlineLevel="0" collapsed="false">
      <c r="A46" s="0" t="s">
        <v>108</v>
      </c>
      <c r="B46" s="1" t="n">
        <v>43906</v>
      </c>
    </row>
    <row r="47" customFormat="false" ht="13.5" hidden="false" customHeight="false" outlineLevel="0" collapsed="false">
      <c r="A47" s="0" t="s">
        <v>108</v>
      </c>
      <c r="B47" s="1" t="n">
        <v>43907</v>
      </c>
    </row>
    <row r="48" customFormat="false" ht="13.5" hidden="false" customHeight="false" outlineLevel="0" collapsed="false">
      <c r="A48" s="0" t="s">
        <v>108</v>
      </c>
      <c r="B48" s="1" t="n">
        <v>43908</v>
      </c>
    </row>
    <row r="49" customFormat="false" ht="13.5" hidden="false" customHeight="false" outlineLevel="0" collapsed="false">
      <c r="A49" s="0" t="s">
        <v>108</v>
      </c>
      <c r="B49" s="1" t="n">
        <v>43909</v>
      </c>
      <c r="C49" s="0" t="n">
        <v>3</v>
      </c>
      <c r="D49" s="0" t="n">
        <v>3</v>
      </c>
      <c r="H49" s="0" t="n">
        <v>3</v>
      </c>
      <c r="J49" s="0" t="n">
        <v>0.5</v>
      </c>
    </row>
    <row r="50" customFormat="false" ht="13.5" hidden="false" customHeight="false" outlineLevel="0" collapsed="false">
      <c r="A50" s="0" t="s">
        <v>108</v>
      </c>
      <c r="B50" s="1" t="n">
        <v>43910</v>
      </c>
      <c r="C50" s="0" t="n">
        <v>3</v>
      </c>
      <c r="D50" s="0" t="n">
        <v>0</v>
      </c>
      <c r="H50" s="0" t="n">
        <v>3</v>
      </c>
      <c r="J50" s="0" t="n">
        <v>0.5</v>
      </c>
    </row>
    <row r="51" customFormat="false" ht="13.5" hidden="false" customHeight="false" outlineLevel="0" collapsed="false">
      <c r="A51" s="0" t="s">
        <v>108</v>
      </c>
      <c r="B51" s="1" t="n">
        <v>43911</v>
      </c>
      <c r="C51" s="0" t="n">
        <v>12</v>
      </c>
      <c r="D51" s="0" t="n">
        <v>9</v>
      </c>
      <c r="H51" s="0" t="n">
        <v>12</v>
      </c>
      <c r="J51" s="0" t="n">
        <v>2</v>
      </c>
    </row>
    <row r="52" customFormat="false" ht="13.5" hidden="false" customHeight="false" outlineLevel="0" collapsed="false">
      <c r="A52" s="0" t="s">
        <v>108</v>
      </c>
      <c r="B52" s="1" t="n">
        <v>43912</v>
      </c>
      <c r="C52" s="0" t="n">
        <v>14</v>
      </c>
      <c r="D52" s="0" t="n">
        <v>2</v>
      </c>
      <c r="H52" s="0" t="n">
        <v>14</v>
      </c>
      <c r="J52" s="0" t="n">
        <v>2</v>
      </c>
    </row>
    <row r="53" customFormat="false" ht="13.5" hidden="false" customHeight="false" outlineLevel="0" collapsed="false">
      <c r="A53" s="0" t="s">
        <v>108</v>
      </c>
      <c r="B53" s="1" t="n">
        <v>43913</v>
      </c>
      <c r="C53" s="0" t="n">
        <v>14</v>
      </c>
      <c r="D53" s="0" t="n">
        <v>0</v>
      </c>
      <c r="H53" s="0" t="n">
        <v>14</v>
      </c>
      <c r="J53" s="0" t="n">
        <v>2</v>
      </c>
    </row>
    <row r="54" customFormat="false" ht="13.5" hidden="false" customHeight="false" outlineLevel="0" collapsed="false">
      <c r="A54" s="0" t="s">
        <v>108</v>
      </c>
      <c r="B54" s="1" t="n">
        <v>43914</v>
      </c>
      <c r="C54" s="0" t="n">
        <v>16</v>
      </c>
      <c r="D54" s="0" t="n">
        <v>2</v>
      </c>
      <c r="H54" s="0" t="n">
        <v>16</v>
      </c>
      <c r="J54" s="0" t="n">
        <v>2</v>
      </c>
    </row>
    <row r="55" customFormat="false" ht="13.5" hidden="false" customHeight="false" outlineLevel="0" collapsed="false">
      <c r="A55" s="0" t="s">
        <v>108</v>
      </c>
      <c r="B55" s="1" t="n">
        <v>43915</v>
      </c>
      <c r="C55" s="0" t="n">
        <v>42</v>
      </c>
      <c r="D55" s="0" t="n">
        <v>26</v>
      </c>
      <c r="H55" s="0" t="n">
        <v>42</v>
      </c>
      <c r="J55" s="0" t="n">
        <v>6</v>
      </c>
    </row>
    <row r="56" customFormat="false" ht="13.5" hidden="false" customHeight="false" outlineLevel="0" collapsed="false">
      <c r="A56" s="0" t="s">
        <v>108</v>
      </c>
      <c r="B56" s="1" t="n">
        <v>43916</v>
      </c>
      <c r="C56" s="0" t="n">
        <v>44</v>
      </c>
      <c r="D56" s="0" t="n">
        <v>2</v>
      </c>
      <c r="H56" s="0" t="n">
        <v>44</v>
      </c>
      <c r="J56" s="0" t="n">
        <v>7</v>
      </c>
    </row>
    <row r="57" customFormat="false" ht="13.5" hidden="false" customHeight="false" outlineLevel="0" collapsed="false">
      <c r="A57" s="0" t="s">
        <v>108</v>
      </c>
      <c r="B57" s="1" t="n">
        <v>43917</v>
      </c>
      <c r="C57" s="0" t="n">
        <v>44</v>
      </c>
      <c r="D57" s="0" t="n">
        <v>0</v>
      </c>
      <c r="H57" s="0" t="n">
        <v>44</v>
      </c>
      <c r="J57" s="0" t="n">
        <v>7</v>
      </c>
    </row>
    <row r="58" customFormat="false" ht="13.5" hidden="false" customHeight="false" outlineLevel="0" collapsed="false">
      <c r="A58" s="0" t="s">
        <v>108</v>
      </c>
      <c r="B58" s="1" t="n">
        <v>43918</v>
      </c>
      <c r="C58" s="0" t="n">
        <v>58</v>
      </c>
      <c r="D58" s="0" t="n">
        <v>14</v>
      </c>
      <c r="H58" s="0" t="n">
        <v>58</v>
      </c>
      <c r="J58" s="0" t="n">
        <v>9</v>
      </c>
    </row>
    <row r="59" customFormat="false" ht="13.5" hidden="false" customHeight="false" outlineLevel="0" collapsed="false">
      <c r="A59" s="0" t="s">
        <v>108</v>
      </c>
      <c r="B59" s="1" t="n">
        <v>43919</v>
      </c>
      <c r="C59" s="0" t="n">
        <v>58</v>
      </c>
      <c r="D59" s="0" t="n">
        <v>0</v>
      </c>
      <c r="H59" s="0" t="n">
        <v>58</v>
      </c>
      <c r="J59" s="0" t="n">
        <v>9</v>
      </c>
    </row>
    <row r="60" customFormat="false" ht="13.5" hidden="false" customHeight="false" outlineLevel="0" collapsed="false">
      <c r="A60" s="0" t="s">
        <v>108</v>
      </c>
      <c r="B60" s="1" t="n">
        <v>43920</v>
      </c>
      <c r="C60" s="0" t="n">
        <v>84</v>
      </c>
      <c r="D60" s="0" t="n">
        <v>26</v>
      </c>
      <c r="H60" s="0" t="n">
        <v>84</v>
      </c>
      <c r="J60" s="0" t="n">
        <v>13</v>
      </c>
    </row>
    <row r="61" customFormat="false" ht="13.5" hidden="false" customHeight="false" outlineLevel="0" collapsed="false">
      <c r="A61" s="0" t="s">
        <v>108</v>
      </c>
      <c r="B61" s="1" t="n">
        <v>43921</v>
      </c>
      <c r="C61" s="0" t="n">
        <v>94</v>
      </c>
      <c r="D61" s="0" t="n">
        <v>10</v>
      </c>
      <c r="G61" s="0" t="n">
        <v>3</v>
      </c>
      <c r="H61" s="0" t="n">
        <v>91</v>
      </c>
      <c r="J61" s="0" t="n">
        <v>14</v>
      </c>
    </row>
    <row r="62" customFormat="false" ht="13.5" hidden="false" customHeight="false" outlineLevel="0" collapsed="false">
      <c r="A62" s="0" t="s">
        <v>108</v>
      </c>
      <c r="B62" s="1" t="n">
        <v>43922</v>
      </c>
      <c r="C62" s="0" t="n">
        <v>107</v>
      </c>
      <c r="D62" s="0" t="n">
        <v>13</v>
      </c>
      <c r="G62" s="0" t="n">
        <v>3</v>
      </c>
      <c r="H62" s="0" t="n">
        <v>104</v>
      </c>
      <c r="J62" s="0" t="n">
        <v>16</v>
      </c>
    </row>
    <row r="63" customFormat="false" ht="13.5" hidden="false" customHeight="false" outlineLevel="0" collapsed="false">
      <c r="A63" s="0" t="s">
        <v>108</v>
      </c>
      <c r="B63" s="1" t="n">
        <v>43923</v>
      </c>
      <c r="C63" s="0" t="n">
        <v>111</v>
      </c>
      <c r="D63" s="0" t="n">
        <v>4</v>
      </c>
      <c r="G63" s="0" t="n">
        <v>3</v>
      </c>
      <c r="H63" s="0" t="n">
        <v>108</v>
      </c>
      <c r="I63" s="0" t="n">
        <v>3</v>
      </c>
      <c r="J63" s="0" t="n">
        <v>17</v>
      </c>
    </row>
    <row r="64" customFormat="false" ht="13.5" hidden="false" customHeight="false" outlineLevel="0" collapsed="false">
      <c r="A64" s="0" t="s">
        <v>108</v>
      </c>
      <c r="B64" s="1" t="n">
        <v>43924</v>
      </c>
      <c r="C64" s="0" t="n">
        <v>116</v>
      </c>
      <c r="D64" s="0" t="n">
        <v>5</v>
      </c>
      <c r="G64" s="0" t="n">
        <v>5</v>
      </c>
      <c r="H64" s="0" t="n">
        <v>111</v>
      </c>
      <c r="I64" s="0" t="n">
        <v>5</v>
      </c>
      <c r="J64" s="0" t="n">
        <v>18</v>
      </c>
    </row>
    <row r="65" customFormat="false" ht="13.5" hidden="false" customHeight="false" outlineLevel="0" collapsed="false">
      <c r="A65" s="0" t="s">
        <v>108</v>
      </c>
      <c r="B65" s="1" t="n">
        <v>43925</v>
      </c>
      <c r="C65" s="0" t="n">
        <v>130</v>
      </c>
      <c r="D65" s="0" t="n">
        <v>14</v>
      </c>
      <c r="E65" s="0" t="n">
        <v>1</v>
      </c>
      <c r="F65" s="0" t="n">
        <v>1</v>
      </c>
      <c r="G65" s="0" t="n">
        <v>6</v>
      </c>
      <c r="H65" s="0" t="n">
        <v>123</v>
      </c>
      <c r="I65" s="0" t="n">
        <v>5</v>
      </c>
      <c r="J65" s="0" t="n">
        <v>20</v>
      </c>
      <c r="K65" s="0" t="n">
        <v>0.2</v>
      </c>
    </row>
    <row r="66" customFormat="false" ht="13.5" hidden="false" customHeight="false" outlineLevel="0" collapsed="false">
      <c r="A66" s="0" t="s">
        <v>108</v>
      </c>
      <c r="B66" s="1" t="n">
        <v>43926</v>
      </c>
      <c r="C66" s="0" t="n">
        <v>144</v>
      </c>
      <c r="D66" s="0" t="n">
        <v>14</v>
      </c>
      <c r="E66" s="0" t="n">
        <v>1</v>
      </c>
      <c r="G66" s="0" t="n">
        <v>9</v>
      </c>
      <c r="H66" s="0" t="n">
        <v>134</v>
      </c>
      <c r="I66" s="0" t="n">
        <v>5</v>
      </c>
      <c r="J66" s="0" t="n">
        <v>22</v>
      </c>
      <c r="K66" s="0" t="n">
        <v>0.2</v>
      </c>
      <c r="L66" s="0" t="n">
        <v>9618</v>
      </c>
      <c r="M66" s="0" t="n">
        <v>1474</v>
      </c>
    </row>
    <row r="67" customFormat="false" ht="13.5" hidden="false" customHeight="false" outlineLevel="0" collapsed="false">
      <c r="A67" s="0" t="s">
        <v>108</v>
      </c>
      <c r="B67" s="1" t="n">
        <v>43927</v>
      </c>
      <c r="C67" s="0" t="n">
        <v>147</v>
      </c>
      <c r="D67" s="0" t="n">
        <v>3</v>
      </c>
      <c r="E67" s="0" t="n">
        <v>1</v>
      </c>
      <c r="G67" s="0" t="n">
        <v>9</v>
      </c>
      <c r="H67" s="0" t="n">
        <v>137</v>
      </c>
      <c r="I67" s="0" t="n">
        <v>5</v>
      </c>
      <c r="J67" s="0" t="n">
        <v>23</v>
      </c>
      <c r="K67" s="0" t="n">
        <v>0.2</v>
      </c>
      <c r="L67" s="0" t="n">
        <v>9618</v>
      </c>
      <c r="M67" s="0" t="n">
        <v>1474</v>
      </c>
    </row>
    <row r="68" customFormat="false" ht="13.5" hidden="false" customHeight="false" outlineLevel="0" collapsed="false">
      <c r="A68" s="0" t="s">
        <v>108</v>
      </c>
      <c r="B68" s="1" t="n">
        <v>43928</v>
      </c>
      <c r="C68" s="0" t="n">
        <v>216</v>
      </c>
      <c r="D68" s="0" t="n">
        <v>69</v>
      </c>
      <c r="E68" s="0" t="n">
        <v>4</v>
      </c>
      <c r="F68" s="0" t="n">
        <v>3</v>
      </c>
      <c r="G68" s="0" t="n">
        <v>33</v>
      </c>
      <c r="H68" s="0" t="n">
        <v>179</v>
      </c>
      <c r="I68" s="0" t="n">
        <v>5</v>
      </c>
      <c r="J68" s="0" t="n">
        <v>33</v>
      </c>
      <c r="K68" s="0" t="n">
        <v>0.6</v>
      </c>
      <c r="L68" s="0" t="n">
        <v>9618</v>
      </c>
      <c r="M68" s="0" t="n">
        <v>1474</v>
      </c>
    </row>
    <row r="69" customFormat="false" ht="13.5" hidden="false" customHeight="false" outlineLevel="0" collapsed="false">
      <c r="A69" s="0" t="s">
        <v>108</v>
      </c>
      <c r="B69" s="1" t="n">
        <v>43929</v>
      </c>
      <c r="C69" s="0" t="n">
        <v>228</v>
      </c>
      <c r="D69" s="0" t="n">
        <v>12</v>
      </c>
      <c r="E69" s="0" t="n">
        <v>4</v>
      </c>
      <c r="G69" s="0" t="n">
        <v>33</v>
      </c>
      <c r="H69" s="0" t="n">
        <v>191</v>
      </c>
      <c r="I69" s="0" t="n">
        <v>5</v>
      </c>
      <c r="J69" s="0" t="n">
        <v>35</v>
      </c>
      <c r="K69" s="0" t="n">
        <v>0.6</v>
      </c>
      <c r="L69" s="0" t="n">
        <v>9618</v>
      </c>
      <c r="M69" s="0" t="n">
        <v>1474</v>
      </c>
    </row>
    <row r="70" customFormat="false" ht="13.5" hidden="false" customHeight="false" outlineLevel="0" collapsed="false">
      <c r="A70" s="0" t="s">
        <v>108</v>
      </c>
      <c r="B70" s="1" t="n">
        <v>43930</v>
      </c>
      <c r="C70" s="0" t="n">
        <v>270</v>
      </c>
      <c r="D70" s="0" t="n">
        <v>42</v>
      </c>
      <c r="E70" s="0" t="n">
        <v>4</v>
      </c>
      <c r="G70" s="0" t="n">
        <v>33</v>
      </c>
      <c r="H70" s="0" t="n">
        <v>233</v>
      </c>
      <c r="I70" s="0" t="n">
        <v>5</v>
      </c>
      <c r="J70" s="0" t="n">
        <v>41</v>
      </c>
      <c r="K70" s="0" t="n">
        <v>0.6</v>
      </c>
      <c r="L70" s="0" t="n">
        <v>9618</v>
      </c>
      <c r="M70" s="0" t="n">
        <v>1474</v>
      </c>
    </row>
    <row r="71" customFormat="false" ht="13.5" hidden="false" customHeight="false" outlineLevel="0" collapsed="false">
      <c r="A71" s="0" t="s">
        <v>108</v>
      </c>
      <c r="B71" s="1" t="n">
        <v>43931</v>
      </c>
      <c r="C71" s="0" t="n">
        <v>280</v>
      </c>
      <c r="D71" s="0" t="n">
        <v>10</v>
      </c>
      <c r="E71" s="0" t="n">
        <v>4</v>
      </c>
      <c r="G71" s="0" t="n">
        <v>35</v>
      </c>
      <c r="H71" s="0" t="n">
        <v>241</v>
      </c>
      <c r="I71" s="0" t="n">
        <v>5</v>
      </c>
      <c r="J71" s="0" t="n">
        <v>43</v>
      </c>
      <c r="K71" s="0" t="n">
        <v>0.6</v>
      </c>
      <c r="L71" s="0" t="n">
        <v>9618</v>
      </c>
      <c r="M71" s="0" t="n">
        <v>1474</v>
      </c>
    </row>
    <row r="72" customFormat="false" ht="13.5" hidden="false" customHeight="false" outlineLevel="0" collapsed="false">
      <c r="A72" s="0" t="s">
        <v>108</v>
      </c>
      <c r="B72" s="1" t="n">
        <v>43932</v>
      </c>
      <c r="C72" s="0" t="n">
        <v>298</v>
      </c>
      <c r="D72" s="0" t="n">
        <v>18</v>
      </c>
      <c r="E72" s="0" t="n">
        <v>5</v>
      </c>
      <c r="F72" s="0" t="n">
        <v>1</v>
      </c>
      <c r="G72" s="0" t="n">
        <v>35</v>
      </c>
      <c r="H72" s="0" t="n">
        <v>258</v>
      </c>
      <c r="I72" s="0" t="n">
        <v>5</v>
      </c>
      <c r="J72" s="0" t="n">
        <v>46</v>
      </c>
      <c r="K72" s="0" t="n">
        <v>0.8</v>
      </c>
      <c r="L72" s="0" t="n">
        <v>9618</v>
      </c>
      <c r="M72" s="0" t="n">
        <v>1474</v>
      </c>
    </row>
    <row r="73" customFormat="false" ht="13.5" hidden="false" customHeight="false" outlineLevel="0" collapsed="false">
      <c r="A73" s="0" t="s">
        <v>108</v>
      </c>
      <c r="B73" s="1" t="n">
        <v>43933</v>
      </c>
      <c r="C73" s="0" t="n">
        <v>339</v>
      </c>
      <c r="D73" s="0" t="n">
        <v>41</v>
      </c>
      <c r="E73" s="0" t="n">
        <v>5</v>
      </c>
      <c r="G73" s="0" t="n">
        <v>44</v>
      </c>
      <c r="H73" s="0" t="n">
        <v>290</v>
      </c>
      <c r="I73" s="0" t="n">
        <v>5</v>
      </c>
      <c r="J73" s="0" t="n">
        <v>52</v>
      </c>
      <c r="K73" s="0" t="n">
        <v>0.8</v>
      </c>
      <c r="L73" s="0" t="n">
        <v>9618</v>
      </c>
      <c r="M73" s="0" t="n">
        <v>1474</v>
      </c>
    </row>
    <row r="74" customFormat="false" ht="13.5" hidden="false" customHeight="false" outlineLevel="0" collapsed="false">
      <c r="A74" s="0" t="s">
        <v>108</v>
      </c>
      <c r="B74" s="1" t="n">
        <v>43934</v>
      </c>
      <c r="C74" s="0" t="n">
        <v>377</v>
      </c>
      <c r="D74" s="0" t="n">
        <v>38</v>
      </c>
      <c r="E74" s="0" t="n">
        <v>5</v>
      </c>
      <c r="G74" s="0" t="n">
        <v>54</v>
      </c>
      <c r="H74" s="0" t="n">
        <v>318</v>
      </c>
      <c r="I74" s="0" t="n">
        <v>5</v>
      </c>
      <c r="J74" s="0" t="n">
        <v>58</v>
      </c>
      <c r="K74" s="0" t="n">
        <v>0.8</v>
      </c>
      <c r="L74" s="0" t="n">
        <v>9618</v>
      </c>
      <c r="M74" s="0" t="n">
        <v>1474</v>
      </c>
    </row>
    <row r="75" customFormat="false" ht="13.5" hidden="false" customHeight="false" outlineLevel="0" collapsed="false">
      <c r="A75" s="0" t="s">
        <v>108</v>
      </c>
      <c r="B75" s="1" t="n">
        <v>43935</v>
      </c>
      <c r="C75" s="0" t="n">
        <v>419</v>
      </c>
      <c r="D75" s="0" t="n">
        <v>42</v>
      </c>
      <c r="E75" s="0" t="n">
        <v>5</v>
      </c>
      <c r="F75" s="0" t="n">
        <v>0</v>
      </c>
      <c r="G75" s="0" t="n">
        <v>67</v>
      </c>
      <c r="H75" s="0" t="n">
        <v>347</v>
      </c>
      <c r="I75" s="0" t="n">
        <v>5</v>
      </c>
      <c r="J75" s="0" t="n">
        <v>64</v>
      </c>
      <c r="K75" s="0" t="n">
        <v>0.8</v>
      </c>
      <c r="L75" s="0" t="n">
        <v>9618</v>
      </c>
      <c r="M75" s="0" t="n">
        <v>1474</v>
      </c>
    </row>
    <row r="76" customFormat="false" ht="13.5" hidden="false" customHeight="false" outlineLevel="0" collapsed="false">
      <c r="A76" s="0" t="s">
        <v>108</v>
      </c>
      <c r="B76" s="1" t="n">
        <v>43936</v>
      </c>
      <c r="C76" s="0" t="n">
        <v>430</v>
      </c>
      <c r="D76" s="0" t="n">
        <v>11</v>
      </c>
      <c r="E76" s="0" t="n">
        <v>5</v>
      </c>
      <c r="F76" s="0" t="n">
        <v>0</v>
      </c>
      <c r="G76" s="0" t="n">
        <v>71</v>
      </c>
      <c r="H76" s="0" t="n">
        <v>354</v>
      </c>
      <c r="I76" s="0" t="n">
        <v>5</v>
      </c>
      <c r="J76" s="0" t="n">
        <v>66</v>
      </c>
      <c r="K76" s="0" t="n">
        <v>0.8</v>
      </c>
      <c r="L76" s="0" t="n">
        <v>26147</v>
      </c>
      <c r="M76" s="0" t="n">
        <v>4008</v>
      </c>
    </row>
    <row r="77" customFormat="false" ht="13.5" hidden="false" customHeight="false" outlineLevel="0" collapsed="false">
      <c r="A77" s="0" t="s">
        <v>108</v>
      </c>
      <c r="B77" s="1" t="n">
        <v>43937</v>
      </c>
      <c r="C77" s="0" t="n">
        <v>449</v>
      </c>
      <c r="D77" s="0" t="n">
        <v>19</v>
      </c>
      <c r="E77" s="0" t="n">
        <v>5</v>
      </c>
      <c r="F77" s="0" t="n">
        <v>0</v>
      </c>
      <c r="G77" s="0" t="n">
        <v>78</v>
      </c>
      <c r="H77" s="0" t="n">
        <v>366</v>
      </c>
      <c r="I77" s="0" t="n">
        <v>5</v>
      </c>
      <c r="J77" s="0" t="n">
        <v>69</v>
      </c>
      <c r="K77" s="0" t="n">
        <v>0.8</v>
      </c>
      <c r="L77" s="0" t="n">
        <v>26147</v>
      </c>
      <c r="M77" s="0" t="n">
        <v>4008</v>
      </c>
    </row>
    <row r="78" customFormat="false" ht="13.5" hidden="false" customHeight="false" outlineLevel="0" collapsed="false">
      <c r="A78" s="0" t="s">
        <v>108</v>
      </c>
      <c r="B78" s="1" t="n">
        <v>43938</v>
      </c>
      <c r="C78" s="0" t="n">
        <v>466</v>
      </c>
      <c r="D78" s="0" t="n">
        <v>17</v>
      </c>
      <c r="E78" s="0" t="n">
        <v>5</v>
      </c>
      <c r="F78" s="0" t="n">
        <v>0</v>
      </c>
      <c r="G78" s="0" t="n">
        <v>91</v>
      </c>
      <c r="H78" s="0" t="n">
        <v>370</v>
      </c>
      <c r="I78" s="0" t="n">
        <v>5</v>
      </c>
      <c r="J78" s="0" t="n">
        <v>71</v>
      </c>
      <c r="K78" s="0" t="n">
        <v>0.8</v>
      </c>
      <c r="L78" s="0" t="n">
        <v>26147</v>
      </c>
      <c r="M78" s="0" t="n">
        <v>4008</v>
      </c>
    </row>
    <row r="79" customFormat="false" ht="13.5" hidden="false" customHeight="false" outlineLevel="0" collapsed="false">
      <c r="A79" s="0" t="s">
        <v>108</v>
      </c>
      <c r="B79" s="1" t="n">
        <v>43939</v>
      </c>
      <c r="C79" s="0" t="n">
        <v>489</v>
      </c>
      <c r="D79" s="0" t="n">
        <v>23</v>
      </c>
      <c r="E79" s="0" t="n">
        <v>5</v>
      </c>
      <c r="F79" s="0" t="n">
        <v>0</v>
      </c>
      <c r="G79" s="0" t="n">
        <v>114</v>
      </c>
      <c r="H79" s="0" t="n">
        <v>370</v>
      </c>
      <c r="I79" s="0" t="n">
        <v>5</v>
      </c>
      <c r="J79" s="0" t="n">
        <v>75</v>
      </c>
      <c r="K79" s="0" t="n">
        <v>0.8</v>
      </c>
      <c r="L79" s="0" t="n">
        <v>26147</v>
      </c>
      <c r="M79" s="0" t="n">
        <v>4008</v>
      </c>
    </row>
    <row r="80" customFormat="false" ht="13.5" hidden="false" customHeight="false" outlineLevel="0" collapsed="false">
      <c r="A80" s="0" t="s">
        <v>108</v>
      </c>
      <c r="B80" s="1" t="n">
        <v>43940</v>
      </c>
      <c r="C80" s="0" t="n">
        <v>506</v>
      </c>
      <c r="D80" s="0" t="n">
        <v>17</v>
      </c>
      <c r="E80" s="0" t="n">
        <v>5</v>
      </c>
      <c r="F80" s="0" t="n">
        <v>0</v>
      </c>
      <c r="G80" s="0" t="n">
        <v>130</v>
      </c>
      <c r="H80" s="0" t="n">
        <v>371</v>
      </c>
      <c r="I80" s="0" t="n">
        <v>5</v>
      </c>
      <c r="J80" s="0" t="n">
        <v>78</v>
      </c>
      <c r="K80" s="0" t="n">
        <v>0.8</v>
      </c>
      <c r="L80" s="0" t="n">
        <v>26147</v>
      </c>
      <c r="M80" s="0" t="n">
        <v>4008</v>
      </c>
    </row>
    <row r="81" customFormat="false" ht="13.5" hidden="false" customHeight="false" outlineLevel="0" collapsed="false">
      <c r="A81" s="0" t="s">
        <v>108</v>
      </c>
      <c r="B81" s="1" t="n">
        <v>43941</v>
      </c>
      <c r="C81" s="0" t="n">
        <v>554</v>
      </c>
      <c r="D81" s="0" t="n">
        <v>48</v>
      </c>
      <c r="E81" s="0" t="n">
        <v>5</v>
      </c>
      <c r="F81" s="0" t="n">
        <v>0</v>
      </c>
      <c r="G81" s="0" t="n">
        <v>133</v>
      </c>
      <c r="H81" s="0" t="n">
        <v>416</v>
      </c>
      <c r="I81" s="0" t="n">
        <v>5</v>
      </c>
      <c r="J81" s="0" t="n">
        <v>85</v>
      </c>
      <c r="K81" s="0" t="n">
        <v>0.8</v>
      </c>
      <c r="L81" s="0" t="n">
        <v>26147</v>
      </c>
      <c r="M81" s="0" t="n">
        <v>4008</v>
      </c>
    </row>
    <row r="82" customFormat="false" ht="13.5" hidden="false" customHeight="false" outlineLevel="0" collapsed="false">
      <c r="A82" s="0" t="s">
        <v>108</v>
      </c>
      <c r="B82" s="1" t="n">
        <v>43942</v>
      </c>
      <c r="C82" s="0" t="n">
        <v>568</v>
      </c>
      <c r="D82" s="0" t="n">
        <v>14</v>
      </c>
      <c r="E82" s="0" t="n">
        <v>7</v>
      </c>
      <c r="F82" s="0" t="n">
        <v>2</v>
      </c>
      <c r="G82" s="0" t="n">
        <v>201</v>
      </c>
      <c r="H82" s="0" t="n">
        <v>360</v>
      </c>
      <c r="I82" s="0" t="n">
        <v>5</v>
      </c>
      <c r="J82" s="0" t="n">
        <v>87</v>
      </c>
      <c r="K82" s="0" t="n">
        <v>1</v>
      </c>
      <c r="L82" s="0" t="n">
        <v>26147</v>
      </c>
      <c r="M82" s="0" t="n">
        <v>4008</v>
      </c>
    </row>
    <row r="83" customFormat="false" ht="13.5" hidden="false" customHeight="false" outlineLevel="0" collapsed="false">
      <c r="A83" s="0" t="s">
        <v>108</v>
      </c>
      <c r="B83" s="1" t="n">
        <v>43943</v>
      </c>
      <c r="C83" s="0" t="n">
        <v>590</v>
      </c>
      <c r="D83" s="0" t="n">
        <v>22</v>
      </c>
      <c r="E83" s="0" t="n">
        <v>7</v>
      </c>
      <c r="F83" s="0" t="n">
        <v>0</v>
      </c>
      <c r="G83" s="0" t="n">
        <v>216</v>
      </c>
      <c r="H83" s="0" t="n">
        <v>367</v>
      </c>
      <c r="I83" s="0" t="n">
        <v>5</v>
      </c>
      <c r="J83" s="0" t="n">
        <v>90</v>
      </c>
      <c r="K83" s="0" t="n">
        <v>1</v>
      </c>
      <c r="L83" s="0" t="n">
        <v>26147</v>
      </c>
      <c r="M83" s="0" t="n">
        <v>4008</v>
      </c>
    </row>
    <row r="84" customFormat="false" ht="13.5" hidden="false" customHeight="false" outlineLevel="0" collapsed="false">
      <c r="A84" s="0" t="s">
        <v>108</v>
      </c>
      <c r="B84" s="1" t="n">
        <v>43944</v>
      </c>
      <c r="C84" s="0" t="n">
        <v>612</v>
      </c>
      <c r="D84" s="0" t="n">
        <v>22</v>
      </c>
      <c r="E84" s="0" t="n">
        <v>7</v>
      </c>
      <c r="F84" s="0" t="n">
        <v>0</v>
      </c>
      <c r="G84" s="0" t="n">
        <v>254</v>
      </c>
      <c r="H84" s="0" t="n">
        <v>351</v>
      </c>
      <c r="I84" s="0" t="n">
        <v>5</v>
      </c>
      <c r="J84" s="0" t="n">
        <v>94</v>
      </c>
      <c r="K84" s="0" t="n">
        <v>1</v>
      </c>
      <c r="L84" s="0" t="n">
        <v>26147</v>
      </c>
      <c r="M84" s="0" t="n">
        <v>4008</v>
      </c>
    </row>
    <row r="85" customFormat="false" ht="13.5" hidden="false" customHeight="false" outlineLevel="0" collapsed="false">
      <c r="A85" s="0" t="s">
        <v>108</v>
      </c>
      <c r="B85" s="1" t="n">
        <v>43945</v>
      </c>
      <c r="C85" s="0" t="n">
        <v>631</v>
      </c>
      <c r="D85" s="0" t="n">
        <v>19</v>
      </c>
      <c r="E85" s="0" t="n">
        <v>8</v>
      </c>
      <c r="F85" s="0" t="n">
        <v>1</v>
      </c>
      <c r="G85" s="0" t="n">
        <v>302</v>
      </c>
      <c r="H85" s="0" t="n">
        <v>321</v>
      </c>
      <c r="I85" s="0" t="n">
        <v>11</v>
      </c>
      <c r="J85" s="0" t="n">
        <v>97</v>
      </c>
      <c r="K85" s="0" t="n">
        <v>1</v>
      </c>
      <c r="L85" s="0" t="n">
        <v>39615</v>
      </c>
      <c r="M85" s="0" t="n">
        <v>6072</v>
      </c>
    </row>
    <row r="86" customFormat="false" ht="13.5" hidden="false" customHeight="false" outlineLevel="0" collapsed="false">
      <c r="A86" s="0" t="s">
        <v>108</v>
      </c>
      <c r="B86" s="1" t="n">
        <v>43946</v>
      </c>
      <c r="C86" s="0" t="n">
        <v>656</v>
      </c>
      <c r="D86" s="0" t="n">
        <v>25</v>
      </c>
      <c r="E86" s="0" t="n">
        <v>8</v>
      </c>
      <c r="F86" s="0" t="n">
        <v>0</v>
      </c>
      <c r="G86" s="0" t="n">
        <v>322</v>
      </c>
      <c r="H86" s="0" t="n">
        <v>326</v>
      </c>
      <c r="I86" s="0" t="n">
        <v>11</v>
      </c>
      <c r="J86" s="0" t="n">
        <v>101</v>
      </c>
      <c r="K86" s="0" t="n">
        <v>1</v>
      </c>
      <c r="L86" s="0" t="n">
        <v>39615</v>
      </c>
      <c r="M86" s="0" t="n">
        <v>6072</v>
      </c>
    </row>
    <row r="87" customFormat="false" ht="13.5" hidden="false" customHeight="false" outlineLevel="0" collapsed="false">
      <c r="A87" s="0" t="s">
        <v>108</v>
      </c>
      <c r="B87" s="1" t="n">
        <v>43947</v>
      </c>
      <c r="C87" s="0" t="n">
        <v>665</v>
      </c>
      <c r="D87" s="0" t="n">
        <v>9</v>
      </c>
      <c r="E87" s="0" t="n">
        <v>8</v>
      </c>
      <c r="F87" s="0" t="n">
        <v>0</v>
      </c>
      <c r="G87" s="0" t="n">
        <v>345</v>
      </c>
      <c r="H87" s="0" t="n">
        <v>312</v>
      </c>
      <c r="I87" s="0" t="n">
        <v>11</v>
      </c>
      <c r="J87" s="0" t="n">
        <v>102</v>
      </c>
      <c r="K87" s="0" t="n">
        <v>1</v>
      </c>
      <c r="L87" s="0" t="n">
        <v>39615</v>
      </c>
      <c r="M87" s="0" t="n">
        <v>6072</v>
      </c>
    </row>
    <row r="88" customFormat="false" ht="13.5" hidden="false" customHeight="false" outlineLevel="0" collapsed="false">
      <c r="A88" s="0" t="s">
        <v>108</v>
      </c>
      <c r="B88" s="1" t="n">
        <v>43948</v>
      </c>
      <c r="C88" s="0" t="n">
        <v>682</v>
      </c>
      <c r="D88" s="0" t="n">
        <v>17</v>
      </c>
      <c r="E88" s="0" t="n">
        <v>8</v>
      </c>
      <c r="F88" s="0" t="n">
        <v>0</v>
      </c>
      <c r="G88" s="0" t="n">
        <v>370</v>
      </c>
      <c r="H88" s="0" t="n">
        <v>304</v>
      </c>
      <c r="I88" s="0" t="n">
        <v>13</v>
      </c>
      <c r="J88" s="0" t="n">
        <v>105</v>
      </c>
      <c r="K88" s="0" t="n">
        <v>1</v>
      </c>
      <c r="L88" s="0" t="n">
        <v>45627</v>
      </c>
      <c r="M88" s="0" t="n">
        <v>6994</v>
      </c>
    </row>
    <row r="89" customFormat="false" ht="13.5" hidden="false" customHeight="false" outlineLevel="0" collapsed="false">
      <c r="A89" s="0" t="s">
        <v>108</v>
      </c>
      <c r="B89" s="1" t="n">
        <v>43949</v>
      </c>
      <c r="C89" s="0" t="n">
        <v>695</v>
      </c>
      <c r="D89" s="0" t="n">
        <v>13</v>
      </c>
      <c r="E89" s="0" t="n">
        <v>8</v>
      </c>
      <c r="F89" s="0" t="n">
        <v>0</v>
      </c>
      <c r="G89" s="0" t="n">
        <v>395</v>
      </c>
      <c r="H89" s="0" t="n">
        <v>292</v>
      </c>
      <c r="I89" s="0" t="n">
        <v>13</v>
      </c>
      <c r="J89" s="0" t="n">
        <v>107</v>
      </c>
      <c r="K89" s="0" t="n">
        <v>1</v>
      </c>
      <c r="L89" s="0" t="n">
        <v>45627</v>
      </c>
      <c r="M89" s="0" t="n">
        <v>6994</v>
      </c>
    </row>
    <row r="90" customFormat="false" ht="13.5" hidden="false" customHeight="false" outlineLevel="0" collapsed="false">
      <c r="A90" s="0" t="s">
        <v>108</v>
      </c>
      <c r="B90" s="1" t="n">
        <v>43950</v>
      </c>
      <c r="C90" s="0" t="n">
        <v>708</v>
      </c>
      <c r="D90" s="0" t="n">
        <v>13</v>
      </c>
      <c r="E90" s="0" t="n">
        <v>8</v>
      </c>
      <c r="F90" s="0" t="n">
        <v>0</v>
      </c>
      <c r="G90" s="0" t="n">
        <v>416</v>
      </c>
      <c r="H90" s="0" t="n">
        <v>284</v>
      </c>
      <c r="I90" s="0" t="n">
        <v>13</v>
      </c>
      <c r="J90" s="0" t="n">
        <v>109</v>
      </c>
      <c r="K90" s="0" t="n">
        <v>1</v>
      </c>
      <c r="L90" s="0" t="n">
        <v>45627</v>
      </c>
      <c r="M90" s="0" t="n">
        <v>6994</v>
      </c>
    </row>
    <row r="91" customFormat="false" ht="13.5" hidden="false" customHeight="false" outlineLevel="0" collapsed="false">
      <c r="A91" s="0" t="s">
        <v>108</v>
      </c>
      <c r="B91" s="1" t="n">
        <v>43951</v>
      </c>
      <c r="C91" s="0" t="n">
        <v>729</v>
      </c>
      <c r="D91" s="0" t="n">
        <v>21</v>
      </c>
      <c r="E91" s="0" t="n">
        <v>8</v>
      </c>
      <c r="F91" s="0" t="n">
        <v>0</v>
      </c>
      <c r="G91" s="0" t="n">
        <v>437</v>
      </c>
      <c r="H91" s="0" t="n">
        <v>284</v>
      </c>
      <c r="I91" s="0" t="n">
        <v>10</v>
      </c>
      <c r="J91" s="0" t="n">
        <v>112</v>
      </c>
      <c r="K91" s="0" t="n">
        <v>1</v>
      </c>
      <c r="L91" s="0" t="n">
        <v>50775</v>
      </c>
      <c r="M91" s="0" t="n">
        <v>7783</v>
      </c>
    </row>
    <row r="92" customFormat="false" ht="13.5" hidden="false" customHeight="false" outlineLevel="0" collapsed="false">
      <c r="A92" s="0" t="s">
        <v>108</v>
      </c>
      <c r="B92" s="1" t="n">
        <v>43952</v>
      </c>
      <c r="C92" s="0" t="n">
        <v>746</v>
      </c>
      <c r="D92" s="0" t="n">
        <v>17</v>
      </c>
      <c r="E92" s="0" t="n">
        <v>8</v>
      </c>
      <c r="F92" s="0" t="n">
        <v>0</v>
      </c>
      <c r="G92" s="0" t="n">
        <v>462</v>
      </c>
      <c r="H92" s="0" t="n">
        <v>276</v>
      </c>
      <c r="I92" s="0" t="n">
        <v>12</v>
      </c>
      <c r="J92" s="0" t="n">
        <v>114</v>
      </c>
      <c r="K92" s="0" t="n">
        <v>1</v>
      </c>
      <c r="L92" s="0" t="n">
        <v>51472</v>
      </c>
      <c r="M92" s="0" t="n">
        <v>7889</v>
      </c>
    </row>
    <row r="93" customFormat="false" ht="13.5" hidden="false" customHeight="false" outlineLevel="0" collapsed="false">
      <c r="A93" s="0" t="s">
        <v>108</v>
      </c>
      <c r="B93" s="1" t="n">
        <v>43953</v>
      </c>
      <c r="C93" s="0" t="n">
        <v>756</v>
      </c>
      <c r="D93" s="0" t="n">
        <v>10</v>
      </c>
      <c r="E93" s="0" t="n">
        <v>8</v>
      </c>
      <c r="F93" s="0" t="n">
        <v>0</v>
      </c>
      <c r="G93" s="0" t="n">
        <v>504</v>
      </c>
      <c r="H93" s="0" t="n">
        <v>244</v>
      </c>
      <c r="I93" s="0" t="n">
        <v>12</v>
      </c>
      <c r="J93" s="0" t="n">
        <v>116</v>
      </c>
      <c r="K93" s="0" t="n">
        <v>1</v>
      </c>
      <c r="L93" s="0" t="n">
        <v>51472</v>
      </c>
      <c r="M93" s="0" t="n">
        <v>7889</v>
      </c>
    </row>
    <row r="94" customFormat="false" ht="13.5" hidden="false" customHeight="false" outlineLevel="0" collapsed="false">
      <c r="A94" s="0" t="s">
        <v>108</v>
      </c>
      <c r="B94" s="1" t="n">
        <v>43954</v>
      </c>
      <c r="C94" s="0" t="n">
        <v>769</v>
      </c>
      <c r="D94" s="0" t="n">
        <v>13</v>
      </c>
      <c r="E94" s="0" t="n">
        <v>8</v>
      </c>
      <c r="F94" s="0" t="n">
        <v>0</v>
      </c>
      <c r="G94" s="0" t="n">
        <v>527</v>
      </c>
      <c r="H94" s="0" t="n">
        <v>234</v>
      </c>
      <c r="I94" s="0" t="n">
        <v>12</v>
      </c>
      <c r="J94" s="0" t="n">
        <v>118</v>
      </c>
      <c r="K94" s="0" t="n">
        <v>1</v>
      </c>
      <c r="L94" s="0" t="n">
        <v>51472</v>
      </c>
      <c r="M94" s="0" t="n">
        <v>7889</v>
      </c>
    </row>
    <row r="95" customFormat="false" ht="13.5" hidden="false" customHeight="false" outlineLevel="0" collapsed="false">
      <c r="A95" s="0" t="s">
        <v>108</v>
      </c>
      <c r="B95" s="1" t="n">
        <v>43955</v>
      </c>
      <c r="C95" s="0" t="n">
        <v>795</v>
      </c>
      <c r="D95" s="0" t="n">
        <v>26</v>
      </c>
      <c r="E95" s="0" t="n">
        <v>10</v>
      </c>
      <c r="F95" s="0" t="n">
        <v>2</v>
      </c>
      <c r="G95" s="0" t="n">
        <v>564</v>
      </c>
      <c r="H95" s="0" t="n">
        <v>221</v>
      </c>
      <c r="I95" s="0" t="n">
        <v>12</v>
      </c>
      <c r="J95" s="0" t="n">
        <v>122</v>
      </c>
      <c r="K95" s="0" t="n">
        <v>2</v>
      </c>
      <c r="L95" s="0" t="n">
        <v>51472</v>
      </c>
      <c r="M95" s="0" t="n">
        <v>7889</v>
      </c>
    </row>
    <row r="96" customFormat="false" ht="13.5" hidden="false" customHeight="false" outlineLevel="0" collapsed="false">
      <c r="A96" s="0" t="s">
        <v>108</v>
      </c>
      <c r="B96" s="1" t="n">
        <v>43956</v>
      </c>
      <c r="C96" s="0" t="n">
        <v>830</v>
      </c>
      <c r="D96" s="0" t="n">
        <v>35</v>
      </c>
      <c r="E96" s="0" t="n">
        <v>10</v>
      </c>
      <c r="F96" s="0" t="n">
        <v>0</v>
      </c>
      <c r="G96" s="0" t="n">
        <v>575</v>
      </c>
      <c r="H96" s="0" t="n">
        <v>245</v>
      </c>
      <c r="I96" s="0" t="n">
        <v>13</v>
      </c>
      <c r="J96" s="0" t="n">
        <v>127</v>
      </c>
      <c r="K96" s="0" t="n">
        <v>2</v>
      </c>
      <c r="L96" s="0" t="n">
        <v>56488</v>
      </c>
      <c r="M96" s="0" t="n">
        <v>8658</v>
      </c>
    </row>
    <row r="97" customFormat="false" ht="13.5" hidden="false" customHeight="false" outlineLevel="0" collapsed="false">
      <c r="A97" s="0" t="s">
        <v>108</v>
      </c>
      <c r="B97" s="1" t="n">
        <v>43957</v>
      </c>
      <c r="C97" s="0" t="n">
        <v>843</v>
      </c>
      <c r="D97" s="0" t="n">
        <v>13</v>
      </c>
      <c r="E97" s="0" t="n">
        <v>11</v>
      </c>
      <c r="F97" s="0" t="n">
        <v>1</v>
      </c>
      <c r="G97" s="0" t="n">
        <v>600</v>
      </c>
      <c r="H97" s="0" t="n">
        <v>232</v>
      </c>
      <c r="I97" s="0" t="n">
        <v>13</v>
      </c>
      <c r="J97" s="0" t="n">
        <v>129</v>
      </c>
      <c r="K97" s="0" t="n">
        <v>2</v>
      </c>
      <c r="L97" s="0" t="n">
        <v>56488</v>
      </c>
      <c r="M97" s="0" t="n">
        <v>8658</v>
      </c>
    </row>
    <row r="98" customFormat="false" ht="13.5" hidden="false" customHeight="false" outlineLevel="0" collapsed="false">
      <c r="A98" s="0" t="s">
        <v>108</v>
      </c>
      <c r="B98" s="1" t="n">
        <v>43958</v>
      </c>
      <c r="C98" s="0" t="n">
        <v>871</v>
      </c>
      <c r="D98" s="0" t="n">
        <v>28</v>
      </c>
      <c r="E98" s="0" t="n">
        <v>12</v>
      </c>
      <c r="F98" s="0" t="n">
        <v>1</v>
      </c>
      <c r="G98" s="0" t="n">
        <v>614</v>
      </c>
      <c r="H98" s="0" t="n">
        <v>245</v>
      </c>
      <c r="I98" s="0" t="n">
        <v>13</v>
      </c>
      <c r="J98" s="0" t="n">
        <v>134</v>
      </c>
      <c r="K98" s="0" t="n">
        <v>2</v>
      </c>
      <c r="L98" s="0" t="n">
        <v>59490</v>
      </c>
      <c r="M98" s="0" t="n">
        <v>9118</v>
      </c>
    </row>
    <row r="99" customFormat="false" ht="13.5" hidden="false" customHeight="false" outlineLevel="0" collapsed="false">
      <c r="A99" s="0" t="s">
        <v>108</v>
      </c>
      <c r="B99" s="1" t="n">
        <v>43959</v>
      </c>
      <c r="C99" s="0" t="n">
        <v>895</v>
      </c>
      <c r="D99" s="0" t="n">
        <v>24</v>
      </c>
      <c r="E99" s="0" t="n">
        <v>12</v>
      </c>
      <c r="F99" s="0" t="n">
        <v>0</v>
      </c>
      <c r="G99" s="0" t="n">
        <v>637</v>
      </c>
      <c r="H99" s="0" t="n">
        <v>246</v>
      </c>
      <c r="I99" s="0" t="n">
        <v>13</v>
      </c>
      <c r="J99" s="0" t="n">
        <v>137</v>
      </c>
      <c r="K99" s="0" t="n">
        <v>2</v>
      </c>
      <c r="L99" s="0" t="n">
        <v>59490</v>
      </c>
      <c r="M99" s="0" t="n">
        <v>9118</v>
      </c>
    </row>
    <row r="100" customFormat="false" ht="13.5" hidden="false" customHeight="false" outlineLevel="0" collapsed="false">
      <c r="A100" s="0" t="s">
        <v>108</v>
      </c>
      <c r="B100" s="1" t="n">
        <v>43960</v>
      </c>
      <c r="C100" s="0" t="n">
        <v>906</v>
      </c>
      <c r="D100" s="0" t="n">
        <v>11</v>
      </c>
      <c r="E100" s="0" t="n">
        <v>12</v>
      </c>
      <c r="F100" s="0" t="n">
        <v>0</v>
      </c>
      <c r="G100" s="0" t="n">
        <v>650</v>
      </c>
      <c r="H100" s="0" t="n">
        <v>244</v>
      </c>
      <c r="I100" s="0" t="n">
        <v>13</v>
      </c>
      <c r="J100" s="0" t="n">
        <v>139</v>
      </c>
      <c r="K100" s="0" t="n">
        <v>2</v>
      </c>
      <c r="L100" s="0" t="n">
        <v>59490</v>
      </c>
      <c r="M100" s="0" t="n">
        <v>9118</v>
      </c>
    </row>
    <row r="101" customFormat="false" ht="13.5" hidden="false" customHeight="false" outlineLevel="0" collapsed="false">
      <c r="A101" s="0" t="s">
        <v>108</v>
      </c>
      <c r="B101" s="1" t="n">
        <v>43961</v>
      </c>
      <c r="C101" s="0" t="n">
        <v>931</v>
      </c>
      <c r="D101" s="0" t="n">
        <v>25</v>
      </c>
      <c r="E101" s="0" t="n">
        <v>12</v>
      </c>
      <c r="F101" s="0" t="n">
        <v>0</v>
      </c>
      <c r="G101" s="0" t="n">
        <v>658</v>
      </c>
      <c r="H101" s="0" t="n">
        <v>261</v>
      </c>
      <c r="I101" s="0" t="n">
        <v>13</v>
      </c>
      <c r="J101" s="0" t="n">
        <v>143</v>
      </c>
      <c r="K101" s="0" t="n">
        <v>2</v>
      </c>
      <c r="L101" s="0" t="n">
        <v>59490</v>
      </c>
      <c r="M101" s="0" t="n">
        <v>9118</v>
      </c>
    </row>
    <row r="102" customFormat="false" ht="13.5" hidden="false" customHeight="false" outlineLevel="0" collapsed="false">
      <c r="A102" s="0" t="s">
        <v>108</v>
      </c>
      <c r="B102" s="1" t="n">
        <v>43962</v>
      </c>
      <c r="C102" s="0" t="n">
        <v>1002</v>
      </c>
      <c r="D102" s="0" t="n">
        <v>71</v>
      </c>
      <c r="E102" s="0" t="n">
        <v>12</v>
      </c>
      <c r="F102" s="0" t="n">
        <v>0</v>
      </c>
      <c r="G102" s="0" t="n">
        <v>675</v>
      </c>
      <c r="H102" s="0" t="n">
        <v>315</v>
      </c>
      <c r="I102" s="0" t="n">
        <v>13</v>
      </c>
      <c r="J102" s="0" t="n">
        <v>154</v>
      </c>
      <c r="K102" s="0" t="n">
        <v>2</v>
      </c>
      <c r="L102" s="0" t="n">
        <v>59490</v>
      </c>
      <c r="M102" s="0" t="n">
        <v>9118</v>
      </c>
    </row>
    <row r="103" customFormat="false" ht="13.5" hidden="false" customHeight="false" outlineLevel="0" collapsed="false">
      <c r="A103" s="0" t="s">
        <v>108</v>
      </c>
      <c r="B103" s="1" t="n">
        <v>43963</v>
      </c>
      <c r="C103" s="0" t="n">
        <v>1016</v>
      </c>
      <c r="D103" s="0" t="n">
        <v>14</v>
      </c>
      <c r="E103" s="0" t="n">
        <v>12</v>
      </c>
      <c r="F103" s="0" t="n">
        <v>0</v>
      </c>
      <c r="G103" s="0" t="n">
        <v>688</v>
      </c>
      <c r="H103" s="0" t="n">
        <v>316</v>
      </c>
      <c r="I103" s="0" t="n">
        <v>13</v>
      </c>
      <c r="J103" s="0" t="n">
        <v>156</v>
      </c>
      <c r="K103" s="0" t="n">
        <v>2</v>
      </c>
      <c r="L103" s="0" t="n">
        <v>59490</v>
      </c>
      <c r="M103" s="0" t="n">
        <v>9118</v>
      </c>
    </row>
    <row r="104" customFormat="false" ht="13.5" hidden="false" customHeight="false" outlineLevel="0" collapsed="false">
      <c r="A104" s="0" t="s">
        <v>108</v>
      </c>
      <c r="B104" s="1" t="n">
        <v>43964</v>
      </c>
      <c r="C104" s="0" t="n">
        <v>1037</v>
      </c>
      <c r="D104" s="0" t="n">
        <v>21</v>
      </c>
      <c r="E104" s="0" t="n">
        <v>12</v>
      </c>
      <c r="F104" s="0" t="n">
        <v>0</v>
      </c>
      <c r="G104" s="0" t="n">
        <v>709</v>
      </c>
      <c r="H104" s="0" t="n">
        <v>316</v>
      </c>
      <c r="I104" s="0" t="n">
        <v>13</v>
      </c>
      <c r="J104" s="0" t="n">
        <v>159</v>
      </c>
      <c r="K104" s="0" t="n">
        <v>2</v>
      </c>
      <c r="L104" s="0" t="n">
        <v>59490</v>
      </c>
      <c r="M104" s="0" t="n">
        <v>9118</v>
      </c>
    </row>
    <row r="105" customFormat="false" ht="13.5" hidden="false" customHeight="false" outlineLevel="0" collapsed="false">
      <c r="A105" s="0" t="s">
        <v>108</v>
      </c>
      <c r="B105" s="1" t="n">
        <v>43965</v>
      </c>
      <c r="C105" s="0" t="n">
        <v>1044</v>
      </c>
      <c r="D105" s="0" t="n">
        <v>7</v>
      </c>
      <c r="E105" s="0" t="n">
        <v>12</v>
      </c>
      <c r="F105" s="0" t="n">
        <v>0</v>
      </c>
      <c r="G105" s="0" t="n">
        <v>726</v>
      </c>
      <c r="H105" s="0" t="n">
        <v>306</v>
      </c>
      <c r="I105" s="0" t="n">
        <v>13</v>
      </c>
      <c r="J105" s="0" t="n">
        <v>160</v>
      </c>
      <c r="K105" s="0" t="n">
        <v>2</v>
      </c>
      <c r="L105" s="0" t="n">
        <v>59490</v>
      </c>
      <c r="M105" s="0" t="n">
        <v>9118</v>
      </c>
    </row>
    <row r="106" customFormat="false" ht="13.5" hidden="false" customHeight="false" outlineLevel="0" collapsed="false">
      <c r="A106" s="0" t="s">
        <v>108</v>
      </c>
      <c r="B106" s="1" t="n">
        <v>43966</v>
      </c>
      <c r="C106" s="0" t="n">
        <v>1082</v>
      </c>
      <c r="D106" s="0" t="n">
        <v>38</v>
      </c>
      <c r="E106" s="0" t="n">
        <v>12</v>
      </c>
      <c r="F106" s="0" t="n">
        <v>0</v>
      </c>
      <c r="G106" s="0" t="n">
        <v>735</v>
      </c>
      <c r="H106" s="0" t="n">
        <v>335</v>
      </c>
      <c r="I106" s="0" t="n">
        <v>13</v>
      </c>
      <c r="J106" s="0" t="n">
        <v>166</v>
      </c>
      <c r="K106" s="0" t="n">
        <v>2</v>
      </c>
      <c r="L106" s="0" t="n">
        <v>59490</v>
      </c>
      <c r="M106" s="0" t="n">
        <v>9118</v>
      </c>
    </row>
    <row r="107" customFormat="false" ht="13.5" hidden="false" customHeight="false" outlineLevel="0" collapsed="false">
      <c r="A107" s="0" t="s">
        <v>108</v>
      </c>
      <c r="B107" s="1" t="n">
        <v>43967</v>
      </c>
      <c r="C107" s="0" t="n">
        <v>1111</v>
      </c>
      <c r="D107" s="0" t="n">
        <v>29</v>
      </c>
      <c r="E107" s="0" t="n">
        <v>14</v>
      </c>
      <c r="F107" s="0" t="n">
        <v>2</v>
      </c>
      <c r="G107" s="0" t="n">
        <v>745</v>
      </c>
      <c r="H107" s="0" t="n">
        <v>352</v>
      </c>
      <c r="I107" s="0" t="n">
        <v>13</v>
      </c>
      <c r="J107" s="0" t="n">
        <v>171</v>
      </c>
      <c r="K107" s="0" t="n">
        <v>2</v>
      </c>
      <c r="L107" s="0" t="n">
        <v>59490</v>
      </c>
      <c r="M107" s="0" t="n">
        <v>9139</v>
      </c>
    </row>
    <row r="108" customFormat="false" ht="13.5" hidden="false" customHeight="false" outlineLevel="0" collapsed="false">
      <c r="A108" s="0" t="s">
        <v>108</v>
      </c>
      <c r="B108" s="1" t="n">
        <v>43968</v>
      </c>
      <c r="C108" s="0" t="n">
        <v>1117</v>
      </c>
      <c r="D108" s="0" t="n">
        <v>6</v>
      </c>
      <c r="E108" s="0" t="n">
        <v>14</v>
      </c>
      <c r="F108" s="0" t="n">
        <v>0</v>
      </c>
      <c r="G108" s="0" t="n">
        <v>783</v>
      </c>
      <c r="H108" s="0" t="n">
        <v>320</v>
      </c>
      <c r="I108" s="0" t="n">
        <v>5</v>
      </c>
      <c r="J108" s="0" t="n">
        <v>172</v>
      </c>
      <c r="K108" s="0" t="n">
        <v>2</v>
      </c>
      <c r="L108" s="0" t="n">
        <v>59490</v>
      </c>
      <c r="M108" s="0" t="n">
        <v>9138</v>
      </c>
    </row>
    <row r="109" customFormat="false" ht="13.5" hidden="false" customHeight="false" outlineLevel="0" collapsed="false">
      <c r="A109" s="0" t="s">
        <v>108</v>
      </c>
      <c r="B109" s="1" t="n">
        <v>43969</v>
      </c>
      <c r="C109" s="0" t="n">
        <v>1138</v>
      </c>
      <c r="D109" s="0" t="n">
        <v>21</v>
      </c>
      <c r="E109" s="0" t="n">
        <v>14</v>
      </c>
      <c r="F109" s="0" t="n">
        <v>0</v>
      </c>
      <c r="G109" s="0" t="n">
        <v>804</v>
      </c>
      <c r="H109" s="0" t="n">
        <v>320</v>
      </c>
      <c r="I109" s="0" t="n">
        <v>5</v>
      </c>
      <c r="J109" s="0" t="n">
        <v>175</v>
      </c>
      <c r="K109" s="0" t="n">
        <v>2</v>
      </c>
      <c r="L109" s="0" t="n">
        <v>59490</v>
      </c>
      <c r="M109" s="0" t="n">
        <v>9138</v>
      </c>
    </row>
    <row r="110" customFormat="false" ht="13.5" hidden="false" customHeight="false" outlineLevel="0" collapsed="false">
      <c r="A110" s="0" t="s">
        <v>108</v>
      </c>
      <c r="B110" s="1" t="n">
        <v>43970</v>
      </c>
      <c r="C110" s="0" t="n">
        <v>1216</v>
      </c>
      <c r="D110" s="0" t="n">
        <v>78</v>
      </c>
      <c r="E110" s="0" t="n">
        <v>14</v>
      </c>
      <c r="F110" s="0" t="n">
        <v>0</v>
      </c>
      <c r="G110" s="0" t="n">
        <v>827</v>
      </c>
      <c r="H110" s="0" t="n">
        <v>375</v>
      </c>
      <c r="I110" s="0" t="n">
        <v>5</v>
      </c>
      <c r="J110" s="0" t="n">
        <v>187</v>
      </c>
      <c r="K110" s="0" t="n">
        <v>2</v>
      </c>
      <c r="L110" s="0" t="n">
        <v>59490</v>
      </c>
      <c r="M110" s="0" t="n">
        <v>9137</v>
      </c>
    </row>
    <row r="111" customFormat="false" ht="13.5" hidden="false" customHeight="false" outlineLevel="0" collapsed="false">
      <c r="A111" s="0" t="s">
        <v>108</v>
      </c>
      <c r="B111" s="1" t="n">
        <v>43971</v>
      </c>
      <c r="C111" s="0" t="n">
        <v>1243</v>
      </c>
      <c r="D111" s="0" t="n">
        <v>27</v>
      </c>
      <c r="E111" s="0" t="n">
        <v>14</v>
      </c>
      <c r="F111" s="0" t="n">
        <v>0</v>
      </c>
      <c r="G111" s="0" t="n">
        <v>898</v>
      </c>
      <c r="H111" s="0" t="n">
        <v>331</v>
      </c>
      <c r="I111" s="0" t="n">
        <v>5</v>
      </c>
      <c r="J111" s="0" t="n">
        <v>191</v>
      </c>
      <c r="K111" s="0" t="n">
        <v>2</v>
      </c>
      <c r="L111" s="0" t="n">
        <v>59490</v>
      </c>
      <c r="M111" s="0" t="n">
        <v>9137</v>
      </c>
    </row>
    <row r="112" customFormat="false" ht="13.5" hidden="false" customHeight="false" outlineLevel="0" collapsed="false">
      <c r="A112" s="0" t="s">
        <v>108</v>
      </c>
      <c r="B112" s="1" t="n">
        <v>43972</v>
      </c>
      <c r="C112" s="0" t="n">
        <v>1270</v>
      </c>
      <c r="D112" s="0" t="n">
        <v>27</v>
      </c>
      <c r="E112" s="0" t="n">
        <v>14</v>
      </c>
      <c r="F112" s="0" t="n">
        <v>0</v>
      </c>
      <c r="G112" s="0" t="n">
        <v>910</v>
      </c>
      <c r="H112" s="0" t="n">
        <v>346</v>
      </c>
      <c r="I112" s="0" t="n">
        <v>5</v>
      </c>
      <c r="J112" s="0" t="n">
        <v>195</v>
      </c>
      <c r="K112" s="0" t="n">
        <v>2</v>
      </c>
      <c r="L112" s="0" t="n">
        <v>94441</v>
      </c>
      <c r="M112" s="0" t="n">
        <v>14504</v>
      </c>
    </row>
    <row r="113" customFormat="false" ht="13.5" hidden="false" customHeight="false" outlineLevel="0" collapsed="false">
      <c r="A113" s="0" t="s">
        <v>108</v>
      </c>
      <c r="B113" s="1" t="n">
        <v>43973</v>
      </c>
      <c r="C113" s="0" t="n">
        <v>1313</v>
      </c>
      <c r="D113" s="0" t="n">
        <v>43</v>
      </c>
      <c r="E113" s="0" t="n">
        <v>14</v>
      </c>
      <c r="F113" s="0" t="n">
        <v>0</v>
      </c>
      <c r="G113" s="0" t="n">
        <v>923</v>
      </c>
      <c r="H113" s="0" t="n">
        <v>376</v>
      </c>
      <c r="I113" s="0" t="n">
        <v>5</v>
      </c>
      <c r="J113" s="0" t="n">
        <v>202</v>
      </c>
      <c r="K113" s="0" t="n">
        <v>2</v>
      </c>
      <c r="L113" s="0" t="n">
        <v>94441</v>
      </c>
      <c r="M113" s="0" t="n">
        <v>14504</v>
      </c>
    </row>
    <row r="114" customFormat="false" ht="13.5" hidden="false" customHeight="false" outlineLevel="0" collapsed="false">
      <c r="A114" s="0" t="s">
        <v>108</v>
      </c>
      <c r="B114" s="1" t="n">
        <v>43974</v>
      </c>
      <c r="C114" s="0" t="n">
        <v>1350</v>
      </c>
      <c r="D114" s="0" t="n">
        <v>37</v>
      </c>
      <c r="E114" s="0" t="n">
        <v>14</v>
      </c>
      <c r="F114" s="0" t="n">
        <v>0</v>
      </c>
      <c r="G114" s="0" t="n">
        <v>939</v>
      </c>
      <c r="H114" s="0" t="n">
        <v>397</v>
      </c>
      <c r="I114" s="0" t="n">
        <v>5</v>
      </c>
      <c r="J114" s="0" t="n">
        <v>207</v>
      </c>
      <c r="K114" s="0" t="n">
        <v>2</v>
      </c>
      <c r="L114" s="0" t="n">
        <v>98281</v>
      </c>
      <c r="M114" s="0" t="n">
        <v>15093</v>
      </c>
    </row>
    <row r="115" customFormat="false" ht="13.5" hidden="false" customHeight="false" outlineLevel="0" collapsed="false">
      <c r="A115" s="0" t="s">
        <v>108</v>
      </c>
      <c r="B115" s="1" t="n">
        <v>43975</v>
      </c>
      <c r="C115" s="0" t="n">
        <v>1365</v>
      </c>
      <c r="D115" s="0" t="n">
        <v>15</v>
      </c>
      <c r="E115" s="0" t="n">
        <v>14</v>
      </c>
      <c r="F115" s="0" t="n">
        <v>0</v>
      </c>
      <c r="G115" s="0" t="n">
        <v>957</v>
      </c>
      <c r="H115" s="0" t="n">
        <v>394</v>
      </c>
      <c r="I115" s="0" t="n">
        <v>5</v>
      </c>
      <c r="J115" s="0" t="n">
        <v>210</v>
      </c>
      <c r="K115" s="0" t="n">
        <v>2</v>
      </c>
      <c r="L115" s="0" t="n">
        <v>98281</v>
      </c>
      <c r="M115" s="0" t="n">
        <v>15092</v>
      </c>
    </row>
    <row r="116" customFormat="false" ht="13.5" hidden="false" customHeight="false" outlineLevel="0" collapsed="false">
      <c r="A116" s="0" t="s">
        <v>108</v>
      </c>
      <c r="B116" s="1" t="n">
        <v>43976</v>
      </c>
      <c r="C116" s="0" t="n">
        <v>1403</v>
      </c>
      <c r="D116" s="0" t="n">
        <v>38</v>
      </c>
      <c r="E116" s="0" t="n">
        <v>14</v>
      </c>
      <c r="F116" s="0" t="n">
        <v>0</v>
      </c>
      <c r="G116" s="0" t="n">
        <v>980</v>
      </c>
      <c r="H116" s="0" t="n">
        <v>409</v>
      </c>
      <c r="I116" s="0" t="n">
        <v>5</v>
      </c>
      <c r="J116" s="0" t="n">
        <v>215</v>
      </c>
      <c r="K116" s="0" t="n">
        <v>2</v>
      </c>
      <c r="L116" s="0" t="n">
        <v>98281</v>
      </c>
      <c r="M116" s="0" t="n">
        <v>15091</v>
      </c>
    </row>
    <row r="117" customFormat="false" ht="13.5" hidden="false" customHeight="false" outlineLevel="0" collapsed="false">
      <c r="A117" s="0" t="s">
        <v>108</v>
      </c>
      <c r="B117" s="1" t="n">
        <v>43977</v>
      </c>
      <c r="C117" s="0" t="n">
        <v>1433</v>
      </c>
      <c r="D117" s="0" t="n">
        <v>30</v>
      </c>
      <c r="E117" s="0" t="n">
        <v>16</v>
      </c>
      <c r="F117" s="0" t="n">
        <v>2</v>
      </c>
      <c r="G117" s="0" t="n">
        <v>992</v>
      </c>
      <c r="H117" s="0" t="n">
        <v>425</v>
      </c>
      <c r="I117" s="0" t="n">
        <v>5</v>
      </c>
      <c r="J117" s="0" t="n">
        <v>220</v>
      </c>
      <c r="K117" s="0" t="n">
        <v>2</v>
      </c>
      <c r="L117" s="0" t="n">
        <v>100488</v>
      </c>
      <c r="M117" s="0" t="n">
        <v>15430</v>
      </c>
    </row>
    <row r="118" customFormat="false" ht="13.5" hidden="false" customHeight="false" outlineLevel="0" collapsed="false">
      <c r="A118" s="0" t="s">
        <v>108</v>
      </c>
      <c r="B118" s="1" t="n">
        <v>43978</v>
      </c>
      <c r="C118" s="0" t="n">
        <v>1468</v>
      </c>
      <c r="D118" s="0" t="n">
        <v>35</v>
      </c>
      <c r="E118" s="0" t="n">
        <v>16</v>
      </c>
      <c r="F118" s="0" t="n">
        <v>0</v>
      </c>
      <c r="G118" s="0" t="n">
        <v>1015</v>
      </c>
      <c r="H118" s="0" t="n">
        <v>437</v>
      </c>
      <c r="I118" s="0" t="n">
        <v>5</v>
      </c>
      <c r="J118" s="0" t="n">
        <v>225</v>
      </c>
      <c r="K118" s="0" t="n">
        <v>2</v>
      </c>
      <c r="L118" s="0" t="n">
        <v>100488</v>
      </c>
      <c r="M118" s="0" t="n">
        <v>15429</v>
      </c>
    </row>
    <row r="119" customFormat="false" ht="13.5" hidden="false" customHeight="false" outlineLevel="0" collapsed="false">
      <c r="A119" s="0" t="s">
        <v>108</v>
      </c>
      <c r="B119" s="1" t="n">
        <v>43979</v>
      </c>
      <c r="C119" s="0" t="n">
        <v>1520</v>
      </c>
      <c r="D119" s="0" t="n">
        <v>52</v>
      </c>
      <c r="E119" s="0" t="n">
        <v>16</v>
      </c>
      <c r="F119" s="0" t="n">
        <v>0</v>
      </c>
      <c r="G119" s="0" t="n">
        <v>1043</v>
      </c>
      <c r="H119" s="0" t="n">
        <v>461</v>
      </c>
      <c r="I119" s="0" t="n">
        <v>4</v>
      </c>
      <c r="J119" s="0" t="n">
        <v>233</v>
      </c>
      <c r="K119" s="0" t="n">
        <v>2</v>
      </c>
      <c r="L119" s="0" t="n">
        <v>105815</v>
      </c>
      <c r="M119" s="0" t="n">
        <v>16246</v>
      </c>
    </row>
    <row r="120" customFormat="false" ht="13.5" hidden="false" customHeight="false" outlineLevel="0" collapsed="false">
      <c r="A120" s="0" t="s">
        <v>108</v>
      </c>
      <c r="B120" s="1" t="n">
        <v>43980</v>
      </c>
      <c r="C120" s="0" t="n">
        <v>1594</v>
      </c>
      <c r="D120" s="0" t="n">
        <v>74</v>
      </c>
      <c r="E120" s="0" t="n">
        <v>16</v>
      </c>
      <c r="F120" s="0" t="n">
        <v>0</v>
      </c>
      <c r="G120" s="0" t="n">
        <v>1066</v>
      </c>
      <c r="H120" s="0" t="n">
        <v>512</v>
      </c>
      <c r="I120" s="0" t="n">
        <v>4</v>
      </c>
      <c r="J120" s="0" t="n">
        <v>245</v>
      </c>
      <c r="K120" s="0" t="n">
        <v>2</v>
      </c>
      <c r="L120" s="0" t="n">
        <v>109521</v>
      </c>
      <c r="M120" s="0" t="n">
        <v>16814</v>
      </c>
    </row>
    <row r="121" customFormat="false" ht="13.5" hidden="false" customHeight="false" outlineLevel="0" collapsed="false">
      <c r="A121" s="0" t="s">
        <v>108</v>
      </c>
      <c r="B121" s="1" t="n">
        <v>43981</v>
      </c>
      <c r="C121" s="0" t="n">
        <v>1662</v>
      </c>
      <c r="D121" s="0" t="n">
        <v>68</v>
      </c>
      <c r="E121" s="0" t="n">
        <v>16</v>
      </c>
      <c r="F121" s="0" t="n">
        <v>0</v>
      </c>
      <c r="G121" s="0" t="n">
        <v>1088</v>
      </c>
      <c r="H121" s="0" t="n">
        <v>558</v>
      </c>
      <c r="I121" s="0" t="n">
        <v>4</v>
      </c>
      <c r="J121" s="0" t="n">
        <v>255</v>
      </c>
      <c r="K121" s="0" t="n">
        <v>2</v>
      </c>
      <c r="L121" s="0" t="n">
        <v>109521</v>
      </c>
      <c r="M121" s="0" t="n">
        <v>16813</v>
      </c>
    </row>
    <row r="122" customFormat="false" ht="13.5" hidden="false" customHeight="false" outlineLevel="0" collapsed="false">
      <c r="A122" s="0" t="s">
        <v>108</v>
      </c>
      <c r="B122" s="1" t="n">
        <v>43982</v>
      </c>
      <c r="C122" s="0" t="n">
        <v>1722</v>
      </c>
      <c r="D122" s="0" t="n">
        <v>60</v>
      </c>
      <c r="E122" s="0" t="n">
        <v>16</v>
      </c>
      <c r="F122" s="0" t="n">
        <v>0</v>
      </c>
      <c r="G122" s="0" t="n">
        <v>1113</v>
      </c>
      <c r="H122" s="0" t="n">
        <v>593</v>
      </c>
      <c r="I122" s="0" t="n">
        <v>4</v>
      </c>
      <c r="J122" s="0" t="n">
        <v>264</v>
      </c>
      <c r="K122" s="0" t="n">
        <v>2</v>
      </c>
      <c r="L122" s="0" t="n">
        <v>109521</v>
      </c>
      <c r="M122" s="0" t="n">
        <v>16813</v>
      </c>
    </row>
    <row r="123" customFormat="false" ht="13.5" hidden="false" customHeight="false" outlineLevel="0" collapsed="false">
      <c r="A123" s="0" t="s">
        <v>108</v>
      </c>
      <c r="B123" s="1" t="n">
        <v>43983</v>
      </c>
      <c r="C123" s="0" t="n">
        <v>1748</v>
      </c>
      <c r="D123" s="0" t="n">
        <v>26</v>
      </c>
      <c r="E123" s="0" t="n">
        <v>16</v>
      </c>
      <c r="F123" s="0" t="n">
        <v>0</v>
      </c>
      <c r="G123" s="0" t="n">
        <v>1170</v>
      </c>
      <c r="H123" s="0" t="n">
        <v>562</v>
      </c>
      <c r="I123" s="0" t="n">
        <v>4</v>
      </c>
      <c r="J123" s="0" t="n">
        <v>268</v>
      </c>
      <c r="K123" s="0" t="n">
        <v>2</v>
      </c>
      <c r="L123" s="0" t="n">
        <v>111859</v>
      </c>
      <c r="M123" s="0" t="n">
        <v>17171</v>
      </c>
    </row>
    <row r="124" customFormat="false" ht="13.5" hidden="false" customHeight="false" outlineLevel="0" collapsed="false">
      <c r="A124" s="0" t="s">
        <v>108</v>
      </c>
      <c r="B124" s="1" t="n">
        <v>43984</v>
      </c>
      <c r="C124" s="0" t="n">
        <v>1817</v>
      </c>
      <c r="D124" s="0" t="n">
        <v>69</v>
      </c>
      <c r="E124" s="0" t="n">
        <v>16</v>
      </c>
      <c r="F124" s="0" t="n">
        <v>0</v>
      </c>
      <c r="G124" s="0" t="n">
        <v>1181</v>
      </c>
      <c r="H124" s="0" t="n">
        <v>620</v>
      </c>
      <c r="I124" s="0" t="n">
        <v>4</v>
      </c>
      <c r="J124" s="0" t="n">
        <v>279</v>
      </c>
      <c r="K124" s="0" t="n">
        <v>2</v>
      </c>
      <c r="L124" s="0" t="n">
        <v>111859</v>
      </c>
      <c r="M124" s="0" t="n">
        <v>17170</v>
      </c>
    </row>
    <row r="125" customFormat="false" ht="13.5" hidden="false" customHeight="false" outlineLevel="0" collapsed="false">
      <c r="A125" s="0" t="s">
        <v>108</v>
      </c>
      <c r="B125" s="1" t="n">
        <v>43985</v>
      </c>
      <c r="C125" s="0" t="n">
        <v>1845</v>
      </c>
      <c r="D125" s="0" t="n">
        <v>28</v>
      </c>
      <c r="E125" s="0" t="n">
        <v>17</v>
      </c>
      <c r="F125" s="0" t="n">
        <v>1</v>
      </c>
      <c r="G125" s="0" t="n">
        <v>1219</v>
      </c>
      <c r="H125" s="0" t="n">
        <v>609</v>
      </c>
      <c r="I125" s="0" t="n">
        <v>4</v>
      </c>
      <c r="J125" s="0" t="n">
        <v>283</v>
      </c>
      <c r="K125" s="0" t="n">
        <v>3</v>
      </c>
      <c r="L125" s="0" t="n">
        <v>114353</v>
      </c>
      <c r="M125" s="0" t="n">
        <v>17552</v>
      </c>
    </row>
    <row r="126" customFormat="false" ht="13.5" hidden="false" customHeight="false" outlineLevel="0" collapsed="false">
      <c r="A126" s="0" t="s">
        <v>108</v>
      </c>
      <c r="B126" s="1" t="n">
        <v>43986</v>
      </c>
      <c r="C126" s="0" t="n">
        <v>1871</v>
      </c>
      <c r="D126" s="0" t="n">
        <v>26</v>
      </c>
      <c r="E126" s="0" t="n">
        <v>20</v>
      </c>
      <c r="F126" s="0" t="n">
        <v>3</v>
      </c>
      <c r="G126" s="0" t="n">
        <v>1265</v>
      </c>
      <c r="H126" s="0" t="n">
        <v>586</v>
      </c>
      <c r="I126" s="0" t="n">
        <v>5</v>
      </c>
      <c r="J126" s="0" t="n">
        <v>287</v>
      </c>
      <c r="K126" s="0" t="n">
        <v>3</v>
      </c>
      <c r="L126" s="0" t="n">
        <v>119124</v>
      </c>
      <c r="M126" s="0" t="n">
        <v>18284</v>
      </c>
    </row>
    <row r="127" customFormat="false" ht="13.5" hidden="false" customHeight="false" outlineLevel="0" collapsed="false">
      <c r="A127" s="0" t="s">
        <v>108</v>
      </c>
      <c r="B127" s="1" t="n">
        <v>43987</v>
      </c>
      <c r="C127" s="0" t="n">
        <v>1899</v>
      </c>
      <c r="D127" s="0" t="n">
        <v>28</v>
      </c>
      <c r="E127" s="0" t="n">
        <v>20</v>
      </c>
      <c r="F127" s="0" t="n">
        <v>0</v>
      </c>
      <c r="G127" s="0" t="n">
        <v>1292</v>
      </c>
      <c r="H127" s="0" t="n">
        <v>587</v>
      </c>
      <c r="I127" s="0" t="n">
        <v>5</v>
      </c>
      <c r="J127" s="0" t="n">
        <v>291</v>
      </c>
      <c r="K127" s="0" t="n">
        <v>3</v>
      </c>
      <c r="L127" s="0" t="n">
        <v>119124</v>
      </c>
      <c r="M127" s="0" t="n">
        <v>18283</v>
      </c>
    </row>
    <row r="128" customFormat="false" ht="13.5" hidden="false" customHeight="false" outlineLevel="0" collapsed="false">
      <c r="A128" s="0" t="s">
        <v>108</v>
      </c>
      <c r="B128" s="1" t="n">
        <v>43988</v>
      </c>
      <c r="C128" s="0" t="n">
        <v>1936</v>
      </c>
      <c r="D128" s="0" t="n">
        <v>37</v>
      </c>
      <c r="E128" s="0" t="n">
        <v>22</v>
      </c>
      <c r="F128" s="0" t="n">
        <v>2</v>
      </c>
      <c r="G128" s="0" t="n">
        <v>1340</v>
      </c>
      <c r="H128" s="0" t="n">
        <v>574</v>
      </c>
      <c r="I128" s="0" t="n">
        <v>5</v>
      </c>
      <c r="J128" s="0" t="n">
        <v>297</v>
      </c>
      <c r="K128" s="0" t="n">
        <v>3</v>
      </c>
      <c r="L128" s="0" t="n">
        <v>124434</v>
      </c>
      <c r="M128" s="0" t="n">
        <v>19097</v>
      </c>
    </row>
    <row r="129" customFormat="false" ht="13.5" hidden="false" customHeight="false" outlineLevel="0" collapsed="false">
      <c r="A129" s="0" t="s">
        <v>108</v>
      </c>
      <c r="B129" s="1" t="n">
        <v>43989</v>
      </c>
      <c r="C129" s="0" t="n">
        <v>1974</v>
      </c>
      <c r="D129" s="0" t="n">
        <v>38</v>
      </c>
      <c r="E129" s="0" t="n">
        <v>22</v>
      </c>
      <c r="F129" s="0" t="n">
        <v>0</v>
      </c>
      <c r="G129" s="0" t="n">
        <v>1360</v>
      </c>
      <c r="H129" s="0" t="n">
        <v>592</v>
      </c>
      <c r="I129" s="0" t="n">
        <v>5</v>
      </c>
      <c r="J129" s="0" t="n">
        <v>303</v>
      </c>
      <c r="K129" s="0" t="n">
        <v>3</v>
      </c>
      <c r="L129" s="0" t="n">
        <v>127051</v>
      </c>
      <c r="M129" s="0" t="n">
        <v>19498</v>
      </c>
    </row>
    <row r="130" customFormat="false" ht="13.5" hidden="false" customHeight="false" outlineLevel="0" collapsed="false">
      <c r="A130" s="0" t="s">
        <v>108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108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108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108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108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108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108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108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108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108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108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108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108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108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108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108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108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108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108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108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108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108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108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108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108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108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108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108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108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108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108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108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108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108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108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108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108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108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108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108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108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108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108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108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108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108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108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108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108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108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108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108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108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108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108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108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108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108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5" colorId="64" zoomScale="100" zoomScaleNormal="100" zoomScalePageLayoutView="100" workbookViewId="0">
      <selection pane="topLeft" activeCell="I162" activeCellId="0" sqref="I162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109</v>
      </c>
      <c r="B2" s="1" t="n">
        <v>43862</v>
      </c>
    </row>
    <row r="3" customFormat="false" ht="13.5" hidden="false" customHeight="false" outlineLevel="0" collapsed="false">
      <c r="A3" s="0" t="s">
        <v>109</v>
      </c>
      <c r="B3" s="1" t="n">
        <v>43863</v>
      </c>
    </row>
    <row r="4" customFormat="false" ht="13.5" hidden="false" customHeight="false" outlineLevel="0" collapsed="false">
      <c r="A4" s="0" t="s">
        <v>109</v>
      </c>
      <c r="B4" s="1" t="n">
        <v>43864</v>
      </c>
    </row>
    <row r="5" customFormat="false" ht="13.5" hidden="false" customHeight="false" outlineLevel="0" collapsed="false">
      <c r="A5" s="0" t="s">
        <v>109</v>
      </c>
      <c r="B5" s="1" t="n">
        <v>43865</v>
      </c>
    </row>
    <row r="6" customFormat="false" ht="13.5" hidden="false" customHeight="false" outlineLevel="0" collapsed="false">
      <c r="A6" s="0" t="s">
        <v>109</v>
      </c>
      <c r="B6" s="1" t="n">
        <v>43866</v>
      </c>
    </row>
    <row r="7" customFormat="false" ht="13.5" hidden="false" customHeight="false" outlineLevel="0" collapsed="false">
      <c r="A7" s="0" t="s">
        <v>109</v>
      </c>
      <c r="B7" s="1" t="n">
        <v>43867</v>
      </c>
    </row>
    <row r="8" customFormat="false" ht="13.5" hidden="false" customHeight="false" outlineLevel="0" collapsed="false">
      <c r="A8" s="0" t="s">
        <v>109</v>
      </c>
      <c r="B8" s="1" t="n">
        <v>43868</v>
      </c>
    </row>
    <row r="9" customFormat="false" ht="13.5" hidden="false" customHeight="false" outlineLevel="0" collapsed="false">
      <c r="A9" s="0" t="s">
        <v>109</v>
      </c>
      <c r="B9" s="1" t="n">
        <v>43869</v>
      </c>
    </row>
    <row r="10" customFormat="false" ht="13.5" hidden="false" customHeight="false" outlineLevel="0" collapsed="false">
      <c r="A10" s="0" t="s">
        <v>109</v>
      </c>
      <c r="B10" s="1" t="n">
        <v>43870</v>
      </c>
    </row>
    <row r="11" customFormat="false" ht="13.5" hidden="false" customHeight="false" outlineLevel="0" collapsed="false">
      <c r="A11" s="0" t="s">
        <v>109</v>
      </c>
      <c r="B11" s="1" t="n">
        <v>43871</v>
      </c>
    </row>
    <row r="12" customFormat="false" ht="13.5" hidden="false" customHeight="false" outlineLevel="0" collapsed="false">
      <c r="A12" s="0" t="s">
        <v>109</v>
      </c>
      <c r="B12" s="1" t="n">
        <v>43872</v>
      </c>
    </row>
    <row r="13" customFormat="false" ht="13.5" hidden="false" customHeight="false" outlineLevel="0" collapsed="false">
      <c r="A13" s="0" t="s">
        <v>109</v>
      </c>
      <c r="B13" s="1" t="n">
        <v>43873</v>
      </c>
    </row>
    <row r="14" customFormat="false" ht="13.5" hidden="false" customHeight="false" outlineLevel="0" collapsed="false">
      <c r="A14" s="0" t="s">
        <v>109</v>
      </c>
      <c r="B14" s="1" t="n">
        <v>43874</v>
      </c>
    </row>
    <row r="15" customFormat="false" ht="13.5" hidden="false" customHeight="false" outlineLevel="0" collapsed="false">
      <c r="A15" s="0" t="s">
        <v>109</v>
      </c>
      <c r="B15" s="1" t="n">
        <v>43875</v>
      </c>
    </row>
    <row r="16" customFormat="false" ht="13.5" hidden="false" customHeight="false" outlineLevel="0" collapsed="false">
      <c r="A16" s="0" t="s">
        <v>109</v>
      </c>
      <c r="B16" s="1" t="n">
        <v>43876</v>
      </c>
    </row>
    <row r="17" customFormat="false" ht="13.5" hidden="false" customHeight="false" outlineLevel="0" collapsed="false">
      <c r="A17" s="0" t="s">
        <v>109</v>
      </c>
      <c r="B17" s="1" t="n">
        <v>43877</v>
      </c>
    </row>
    <row r="18" customFormat="false" ht="13.5" hidden="false" customHeight="false" outlineLevel="0" collapsed="false">
      <c r="A18" s="0" t="s">
        <v>109</v>
      </c>
      <c r="B18" s="1" t="n">
        <v>43878</v>
      </c>
    </row>
    <row r="19" customFormat="false" ht="13.5" hidden="false" customHeight="false" outlineLevel="0" collapsed="false">
      <c r="A19" s="0" t="s">
        <v>109</v>
      </c>
      <c r="B19" s="1" t="n">
        <v>43879</v>
      </c>
    </row>
    <row r="20" customFormat="false" ht="13.5" hidden="false" customHeight="false" outlineLevel="0" collapsed="false">
      <c r="A20" s="0" t="s">
        <v>109</v>
      </c>
      <c r="B20" s="1" t="n">
        <v>43880</v>
      </c>
    </row>
    <row r="21" customFormat="false" ht="13.5" hidden="false" customHeight="false" outlineLevel="0" collapsed="false">
      <c r="A21" s="0" t="s">
        <v>109</v>
      </c>
      <c r="B21" s="1" t="n">
        <v>43881</v>
      </c>
    </row>
    <row r="22" customFormat="false" ht="13.5" hidden="false" customHeight="false" outlineLevel="0" collapsed="false">
      <c r="A22" s="0" t="s">
        <v>109</v>
      </c>
      <c r="B22" s="1" t="n">
        <v>43882</v>
      </c>
    </row>
    <row r="23" customFormat="false" ht="13.5" hidden="false" customHeight="false" outlineLevel="0" collapsed="false">
      <c r="A23" s="0" t="s">
        <v>109</v>
      </c>
      <c r="B23" s="1" t="n">
        <v>43883</v>
      </c>
    </row>
    <row r="24" customFormat="false" ht="13.5" hidden="false" customHeight="false" outlineLevel="0" collapsed="false">
      <c r="A24" s="0" t="s">
        <v>109</v>
      </c>
      <c r="B24" s="1" t="n">
        <v>43884</v>
      </c>
    </row>
    <row r="25" customFormat="false" ht="13.5" hidden="false" customHeight="false" outlineLevel="0" collapsed="false">
      <c r="A25" s="0" t="s">
        <v>109</v>
      </c>
      <c r="B25" s="1" t="n">
        <v>43885</v>
      </c>
    </row>
    <row r="26" customFormat="false" ht="13.5" hidden="false" customHeight="false" outlineLevel="0" collapsed="false">
      <c r="A26" s="0" t="s">
        <v>109</v>
      </c>
      <c r="B26" s="1" t="n">
        <v>43886</v>
      </c>
    </row>
    <row r="27" customFormat="false" ht="13.5" hidden="false" customHeight="false" outlineLevel="0" collapsed="false">
      <c r="A27" s="0" t="s">
        <v>109</v>
      </c>
      <c r="B27" s="1" t="n">
        <v>43887</v>
      </c>
    </row>
    <row r="28" customFormat="false" ht="13.5" hidden="false" customHeight="false" outlineLevel="0" collapsed="false">
      <c r="A28" s="0" t="s">
        <v>109</v>
      </c>
      <c r="B28" s="1" t="n">
        <v>43888</v>
      </c>
    </row>
    <row r="29" customFormat="false" ht="13.5" hidden="false" customHeight="false" outlineLevel="0" collapsed="false">
      <c r="A29" s="0" t="s">
        <v>109</v>
      </c>
      <c r="B29" s="1" t="n">
        <v>43889</v>
      </c>
    </row>
    <row r="30" customFormat="false" ht="13.5" hidden="false" customHeight="false" outlineLevel="0" collapsed="false">
      <c r="A30" s="0" t="s">
        <v>109</v>
      </c>
      <c r="B30" s="1" t="n">
        <v>43890</v>
      </c>
    </row>
    <row r="31" customFormat="false" ht="13.5" hidden="false" customHeight="false" outlineLevel="0" collapsed="false">
      <c r="A31" s="0" t="s">
        <v>109</v>
      </c>
      <c r="B31" s="1" t="n">
        <v>43891</v>
      </c>
    </row>
    <row r="32" customFormat="false" ht="13.5" hidden="false" customHeight="false" outlineLevel="0" collapsed="false">
      <c r="A32" s="0" t="s">
        <v>109</v>
      </c>
      <c r="B32" s="1" t="n">
        <v>43892</v>
      </c>
    </row>
    <row r="33" customFormat="false" ht="13.5" hidden="false" customHeight="false" outlineLevel="0" collapsed="false">
      <c r="A33" s="0" t="s">
        <v>109</v>
      </c>
      <c r="B33" s="1" t="n">
        <v>43893</v>
      </c>
    </row>
    <row r="34" customFormat="false" ht="13.5" hidden="false" customHeight="false" outlineLevel="0" collapsed="false">
      <c r="A34" s="0" t="s">
        <v>109</v>
      </c>
      <c r="B34" s="1" t="n">
        <v>43894</v>
      </c>
    </row>
    <row r="35" customFormat="false" ht="13.5" hidden="false" customHeight="false" outlineLevel="0" collapsed="false">
      <c r="A35" s="0" t="s">
        <v>109</v>
      </c>
      <c r="B35" s="1" t="n">
        <v>43895</v>
      </c>
    </row>
    <row r="36" customFormat="false" ht="13.5" hidden="false" customHeight="false" outlineLevel="0" collapsed="false">
      <c r="A36" s="0" t="s">
        <v>109</v>
      </c>
      <c r="B36" s="1" t="n">
        <v>43896</v>
      </c>
    </row>
    <row r="37" customFormat="false" ht="13.5" hidden="false" customHeight="false" outlineLevel="0" collapsed="false">
      <c r="A37" s="0" t="s">
        <v>109</v>
      </c>
      <c r="B37" s="1" t="n">
        <v>43897</v>
      </c>
    </row>
    <row r="38" customFormat="false" ht="13.5" hidden="false" customHeight="false" outlineLevel="0" collapsed="false">
      <c r="A38" s="0" t="s">
        <v>109</v>
      </c>
      <c r="B38" s="1" t="n">
        <v>43898</v>
      </c>
    </row>
    <row r="39" customFormat="false" ht="13.5" hidden="false" customHeight="false" outlineLevel="0" collapsed="false">
      <c r="A39" s="0" t="s">
        <v>109</v>
      </c>
      <c r="B39" s="1" t="n">
        <v>43899</v>
      </c>
    </row>
    <row r="40" customFormat="false" ht="13.5" hidden="false" customHeight="false" outlineLevel="0" collapsed="false">
      <c r="A40" s="0" t="s">
        <v>109</v>
      </c>
      <c r="B40" s="1" t="n">
        <v>43900</v>
      </c>
    </row>
    <row r="41" customFormat="false" ht="13.5" hidden="false" customHeight="false" outlineLevel="0" collapsed="false">
      <c r="A41" s="0" t="s">
        <v>109</v>
      </c>
      <c r="B41" s="1" t="n">
        <v>43901</v>
      </c>
    </row>
    <row r="42" customFormat="false" ht="13.5" hidden="false" customHeight="false" outlineLevel="0" collapsed="false">
      <c r="A42" s="0" t="s">
        <v>109</v>
      </c>
      <c r="B42" s="1" t="n">
        <v>43902</v>
      </c>
    </row>
    <row r="43" customFormat="false" ht="13.5" hidden="false" customHeight="false" outlineLevel="0" collapsed="false">
      <c r="A43" s="0" t="s">
        <v>109</v>
      </c>
      <c r="B43" s="1" t="n">
        <v>43903</v>
      </c>
    </row>
    <row r="44" customFormat="false" ht="13.5" hidden="false" customHeight="false" outlineLevel="0" collapsed="false">
      <c r="A44" s="0" t="s">
        <v>109</v>
      </c>
      <c r="B44" s="1" t="n">
        <v>43904</v>
      </c>
      <c r="C44" s="0" t="n">
        <v>2</v>
      </c>
      <c r="D44" s="0" t="n">
        <v>2</v>
      </c>
      <c r="H44" s="0" t="n">
        <v>2</v>
      </c>
      <c r="J44" s="0" t="n">
        <v>0.1</v>
      </c>
    </row>
    <row r="45" customFormat="false" ht="13.5" hidden="false" customHeight="false" outlineLevel="0" collapsed="false">
      <c r="A45" s="0" t="s">
        <v>109</v>
      </c>
      <c r="B45" s="1" t="n">
        <v>43905</v>
      </c>
      <c r="C45" s="0" t="n">
        <v>2</v>
      </c>
      <c r="D45" s="0" t="n">
        <v>0</v>
      </c>
      <c r="H45" s="0" t="n">
        <v>2</v>
      </c>
      <c r="J45" s="0" t="n">
        <v>0.1</v>
      </c>
    </row>
    <row r="46" customFormat="false" ht="13.5" hidden="false" customHeight="false" outlineLevel="0" collapsed="false">
      <c r="A46" s="0" t="s">
        <v>109</v>
      </c>
      <c r="B46" s="1" t="n">
        <v>43906</v>
      </c>
      <c r="C46" s="0" t="n">
        <v>17</v>
      </c>
      <c r="D46" s="0" t="n">
        <v>15</v>
      </c>
      <c r="H46" s="0" t="n">
        <v>17</v>
      </c>
      <c r="J46" s="0" t="n">
        <v>0.6</v>
      </c>
    </row>
    <row r="47" customFormat="false" ht="13.5" hidden="false" customHeight="false" outlineLevel="0" collapsed="false">
      <c r="A47" s="0" t="s">
        <v>109</v>
      </c>
      <c r="B47" s="1" t="n">
        <v>43907</v>
      </c>
      <c r="C47" s="0" t="n">
        <v>17</v>
      </c>
      <c r="D47" s="0" t="n">
        <v>0</v>
      </c>
      <c r="H47" s="0" t="n">
        <v>17</v>
      </c>
      <c r="J47" s="0" t="n">
        <v>0.6</v>
      </c>
    </row>
    <row r="48" customFormat="false" ht="13.5" hidden="false" customHeight="false" outlineLevel="0" collapsed="false">
      <c r="A48" s="0" t="s">
        <v>109</v>
      </c>
      <c r="B48" s="1" t="n">
        <v>43908</v>
      </c>
      <c r="C48" s="0" t="n">
        <v>33</v>
      </c>
      <c r="D48" s="0" t="n">
        <v>16</v>
      </c>
      <c r="H48" s="0" t="n">
        <v>33</v>
      </c>
      <c r="J48" s="0" t="n">
        <v>1.2</v>
      </c>
    </row>
    <row r="49" customFormat="false" ht="13.5" hidden="false" customHeight="false" outlineLevel="0" collapsed="false">
      <c r="A49" s="0" t="s">
        <v>109</v>
      </c>
      <c r="B49" s="1" t="n">
        <v>43909</v>
      </c>
      <c r="C49" s="0" t="n">
        <v>36</v>
      </c>
      <c r="D49" s="0" t="n">
        <v>3</v>
      </c>
      <c r="H49" s="0" t="n">
        <v>36</v>
      </c>
      <c r="J49" s="0" t="n">
        <v>1</v>
      </c>
    </row>
    <row r="50" customFormat="false" ht="13.5" hidden="false" customHeight="false" outlineLevel="0" collapsed="false">
      <c r="A50" s="0" t="s">
        <v>109</v>
      </c>
      <c r="B50" s="1" t="n">
        <v>43910</v>
      </c>
      <c r="C50" s="0" t="n">
        <v>42</v>
      </c>
      <c r="D50" s="0" t="n">
        <v>6</v>
      </c>
      <c r="H50" s="0" t="n">
        <v>42</v>
      </c>
      <c r="J50" s="0" t="n">
        <v>1</v>
      </c>
    </row>
    <row r="51" customFormat="false" ht="13.5" hidden="false" customHeight="false" outlineLevel="0" collapsed="false">
      <c r="A51" s="0" t="s">
        <v>109</v>
      </c>
      <c r="B51" s="1" t="n">
        <v>43911</v>
      </c>
      <c r="C51" s="0" t="n">
        <v>65</v>
      </c>
      <c r="D51" s="0" t="n">
        <v>23</v>
      </c>
      <c r="G51" s="0" t="n">
        <v>1</v>
      </c>
      <c r="H51" s="0" t="n">
        <v>64</v>
      </c>
      <c r="J51" s="0" t="n">
        <v>2</v>
      </c>
    </row>
    <row r="52" customFormat="false" ht="13.5" hidden="false" customHeight="false" outlineLevel="0" collapsed="false">
      <c r="A52" s="0" t="s">
        <v>109</v>
      </c>
      <c r="B52" s="1" t="n">
        <v>43912</v>
      </c>
      <c r="C52" s="0" t="n">
        <v>70</v>
      </c>
      <c r="D52" s="0" t="n">
        <v>5</v>
      </c>
      <c r="G52" s="0" t="n">
        <v>15</v>
      </c>
      <c r="H52" s="0" t="n">
        <v>55</v>
      </c>
      <c r="I52" s="0" t="n">
        <v>2</v>
      </c>
      <c r="J52" s="0" t="n">
        <v>2</v>
      </c>
    </row>
    <row r="53" customFormat="false" ht="13.5" hidden="false" customHeight="false" outlineLevel="0" collapsed="false">
      <c r="A53" s="0" t="s">
        <v>109</v>
      </c>
      <c r="B53" s="1" t="n">
        <v>43913</v>
      </c>
      <c r="C53" s="0" t="n">
        <v>70</v>
      </c>
      <c r="D53" s="0" t="n">
        <v>0</v>
      </c>
      <c r="G53" s="0" t="n">
        <v>15</v>
      </c>
      <c r="H53" s="0" t="n">
        <v>55</v>
      </c>
      <c r="I53" s="0" t="n">
        <v>2</v>
      </c>
      <c r="J53" s="0" t="n">
        <v>2</v>
      </c>
    </row>
    <row r="54" customFormat="false" ht="13.5" hidden="false" customHeight="false" outlineLevel="0" collapsed="false">
      <c r="A54" s="0" t="s">
        <v>109</v>
      </c>
      <c r="B54" s="1" t="n">
        <v>43914</v>
      </c>
      <c r="C54" s="0" t="n">
        <v>77</v>
      </c>
      <c r="D54" s="0" t="n">
        <v>7</v>
      </c>
      <c r="G54" s="0" t="n">
        <v>15</v>
      </c>
      <c r="H54" s="0" t="n">
        <v>62</v>
      </c>
      <c r="I54" s="0" t="n">
        <v>2</v>
      </c>
      <c r="J54" s="0" t="n">
        <v>3</v>
      </c>
    </row>
    <row r="55" customFormat="false" ht="13.5" hidden="false" customHeight="false" outlineLevel="0" collapsed="false">
      <c r="A55" s="0" t="s">
        <v>109</v>
      </c>
      <c r="B55" s="1" t="n">
        <v>43915</v>
      </c>
      <c r="C55" s="0" t="n">
        <v>84</v>
      </c>
      <c r="D55" s="0" t="n">
        <v>7</v>
      </c>
      <c r="G55" s="0" t="n">
        <v>15</v>
      </c>
      <c r="H55" s="0" t="n">
        <v>69</v>
      </c>
      <c r="I55" s="0" t="n">
        <v>2</v>
      </c>
      <c r="J55" s="0" t="n">
        <v>3</v>
      </c>
    </row>
    <row r="56" customFormat="false" ht="13.5" hidden="false" customHeight="false" outlineLevel="0" collapsed="false">
      <c r="A56" s="0" t="s">
        <v>109</v>
      </c>
      <c r="B56" s="1" t="n">
        <v>43916</v>
      </c>
      <c r="C56" s="0" t="n">
        <v>91</v>
      </c>
      <c r="D56" s="0" t="n">
        <v>7</v>
      </c>
      <c r="G56" s="0" t="n">
        <v>15</v>
      </c>
      <c r="H56" s="0" t="n">
        <v>76</v>
      </c>
      <c r="I56" s="0" t="n">
        <v>2</v>
      </c>
      <c r="J56" s="0" t="n">
        <v>3</v>
      </c>
    </row>
    <row r="57" customFormat="false" ht="13.5" hidden="false" customHeight="false" outlineLevel="0" collapsed="false">
      <c r="A57" s="0" t="s">
        <v>109</v>
      </c>
      <c r="B57" s="1" t="n">
        <v>43917</v>
      </c>
      <c r="C57" s="0" t="n">
        <v>106</v>
      </c>
      <c r="D57" s="0" t="n">
        <v>15</v>
      </c>
      <c r="G57" s="0" t="n">
        <v>15</v>
      </c>
      <c r="H57" s="0" t="n">
        <v>91</v>
      </c>
      <c r="I57" s="0" t="n">
        <v>2</v>
      </c>
      <c r="J57" s="0" t="n">
        <v>4</v>
      </c>
    </row>
    <row r="58" customFormat="false" ht="13.5" hidden="false" customHeight="false" outlineLevel="0" collapsed="false">
      <c r="A58" s="0" t="s">
        <v>109</v>
      </c>
      <c r="B58" s="1" t="n">
        <v>43918</v>
      </c>
      <c r="C58" s="0" t="n">
        <v>107</v>
      </c>
      <c r="D58" s="0" t="n">
        <v>1</v>
      </c>
      <c r="E58" s="0" t="n">
        <v>1</v>
      </c>
      <c r="F58" s="0" t="n">
        <v>1</v>
      </c>
      <c r="G58" s="0" t="n">
        <v>31</v>
      </c>
      <c r="H58" s="0" t="n">
        <v>75</v>
      </c>
      <c r="I58" s="0" t="n">
        <v>2</v>
      </c>
      <c r="J58" s="0" t="n">
        <v>4</v>
      </c>
      <c r="K58" s="0" t="n">
        <v>0.04</v>
      </c>
    </row>
    <row r="59" customFormat="false" ht="13.5" hidden="false" customHeight="false" outlineLevel="0" collapsed="false">
      <c r="A59" s="0" t="s">
        <v>109</v>
      </c>
      <c r="B59" s="1" t="n">
        <v>43919</v>
      </c>
      <c r="C59" s="0" t="n">
        <v>119</v>
      </c>
      <c r="D59" s="0" t="n">
        <v>12</v>
      </c>
      <c r="E59" s="0" t="n">
        <v>2</v>
      </c>
      <c r="F59" s="0" t="n">
        <v>1</v>
      </c>
      <c r="G59" s="0" t="n">
        <v>39</v>
      </c>
      <c r="H59" s="0" t="n">
        <v>78</v>
      </c>
      <c r="I59" s="0" t="n">
        <v>2</v>
      </c>
      <c r="J59" s="0" t="n">
        <v>4</v>
      </c>
      <c r="K59" s="0" t="n">
        <v>0.07</v>
      </c>
    </row>
    <row r="60" customFormat="false" ht="13.5" hidden="false" customHeight="false" outlineLevel="0" collapsed="false">
      <c r="A60" s="0" t="s">
        <v>109</v>
      </c>
      <c r="B60" s="1" t="n">
        <v>43920</v>
      </c>
      <c r="C60" s="0" t="n">
        <v>119</v>
      </c>
      <c r="D60" s="0" t="n">
        <v>0</v>
      </c>
      <c r="E60" s="0" t="n">
        <v>2</v>
      </c>
      <c r="F60" s="0" t="n">
        <v>0</v>
      </c>
      <c r="G60" s="0" t="n">
        <v>39</v>
      </c>
      <c r="H60" s="0" t="n">
        <v>78</v>
      </c>
      <c r="I60" s="0" t="n">
        <v>2</v>
      </c>
      <c r="J60" s="0" t="n">
        <v>4</v>
      </c>
      <c r="K60" s="0" t="n">
        <v>0.07</v>
      </c>
    </row>
    <row r="61" customFormat="false" ht="13.5" hidden="false" customHeight="false" outlineLevel="0" collapsed="false">
      <c r="A61" s="0" t="s">
        <v>109</v>
      </c>
      <c r="B61" s="1" t="n">
        <v>43921</v>
      </c>
      <c r="C61" s="0" t="n">
        <v>135</v>
      </c>
      <c r="D61" s="0" t="n">
        <v>16</v>
      </c>
      <c r="E61" s="0" t="n">
        <v>3</v>
      </c>
      <c r="F61" s="0" t="n">
        <v>1</v>
      </c>
      <c r="G61" s="0" t="n">
        <v>39</v>
      </c>
      <c r="H61" s="0" t="n">
        <v>93</v>
      </c>
      <c r="I61" s="0" t="n">
        <v>6</v>
      </c>
      <c r="J61" s="0" t="n">
        <v>5</v>
      </c>
      <c r="K61" s="0" t="n">
        <v>0.1</v>
      </c>
    </row>
    <row r="62" customFormat="false" ht="13.5" hidden="false" customHeight="false" outlineLevel="0" collapsed="false">
      <c r="A62" s="0" t="s">
        <v>109</v>
      </c>
      <c r="B62" s="1" t="n">
        <v>43922</v>
      </c>
      <c r="C62" s="0" t="n">
        <v>135</v>
      </c>
      <c r="D62" s="0" t="n">
        <v>0</v>
      </c>
      <c r="E62" s="0" t="n">
        <v>3</v>
      </c>
      <c r="F62" s="0" t="n">
        <v>0</v>
      </c>
      <c r="G62" s="0" t="n">
        <v>39</v>
      </c>
      <c r="H62" s="0" t="n">
        <v>93</v>
      </c>
      <c r="I62" s="0" t="n">
        <v>6</v>
      </c>
      <c r="J62" s="0" t="n">
        <v>5</v>
      </c>
      <c r="K62" s="0" t="n">
        <v>0.1</v>
      </c>
    </row>
    <row r="63" customFormat="false" ht="13.5" hidden="false" customHeight="false" outlineLevel="0" collapsed="false">
      <c r="A63" s="0" t="s">
        <v>109</v>
      </c>
      <c r="B63" s="1" t="n">
        <v>43923</v>
      </c>
      <c r="C63" s="0" t="n">
        <v>143</v>
      </c>
      <c r="D63" s="0" t="n">
        <v>8</v>
      </c>
      <c r="E63" s="0" t="n">
        <v>3</v>
      </c>
      <c r="F63" s="0" t="n">
        <v>0</v>
      </c>
      <c r="G63" s="0" t="n">
        <v>41</v>
      </c>
      <c r="H63" s="0" t="n">
        <v>99</v>
      </c>
      <c r="I63" s="0" t="n">
        <v>6</v>
      </c>
      <c r="J63" s="0" t="n">
        <v>5</v>
      </c>
      <c r="K63" s="0" t="n">
        <v>0.1</v>
      </c>
    </row>
    <row r="64" customFormat="false" ht="13.5" hidden="false" customHeight="false" outlineLevel="0" collapsed="false">
      <c r="A64" s="0" t="s">
        <v>109</v>
      </c>
      <c r="B64" s="1" t="n">
        <v>43924</v>
      </c>
      <c r="C64" s="0" t="n">
        <v>144</v>
      </c>
      <c r="D64" s="0" t="n">
        <v>1</v>
      </c>
      <c r="E64" s="0" t="n">
        <v>3</v>
      </c>
      <c r="F64" s="0" t="n">
        <v>0</v>
      </c>
      <c r="G64" s="0" t="n">
        <v>43</v>
      </c>
      <c r="H64" s="0" t="n">
        <v>98</v>
      </c>
      <c r="I64" s="0" t="n">
        <v>6</v>
      </c>
      <c r="J64" s="0" t="n">
        <v>5</v>
      </c>
      <c r="K64" s="0" t="n">
        <v>0.1</v>
      </c>
    </row>
    <row r="65" customFormat="false" ht="13.5" hidden="false" customHeight="false" outlineLevel="0" collapsed="false">
      <c r="A65" s="0" t="s">
        <v>109</v>
      </c>
      <c r="B65" s="1" t="n">
        <v>43925</v>
      </c>
      <c r="C65" s="0" t="n">
        <v>146</v>
      </c>
      <c r="D65" s="0" t="n">
        <v>2</v>
      </c>
      <c r="E65" s="0" t="n">
        <v>5</v>
      </c>
      <c r="F65" s="0" t="n">
        <v>2</v>
      </c>
      <c r="G65" s="0" t="n">
        <v>43</v>
      </c>
      <c r="H65" s="0" t="n">
        <v>98</v>
      </c>
      <c r="I65" s="0" t="n">
        <v>6</v>
      </c>
      <c r="J65" s="0" t="n">
        <v>5</v>
      </c>
      <c r="K65" s="0" t="n">
        <v>0.2</v>
      </c>
    </row>
    <row r="66" customFormat="false" ht="13.5" hidden="false" customHeight="false" outlineLevel="0" collapsed="false">
      <c r="A66" s="0" t="s">
        <v>109</v>
      </c>
      <c r="B66" s="1" t="n">
        <v>43926</v>
      </c>
      <c r="C66" s="0" t="n">
        <v>155</v>
      </c>
      <c r="D66" s="0" t="n">
        <v>9</v>
      </c>
      <c r="E66" s="0" t="n">
        <v>7</v>
      </c>
      <c r="F66" s="0" t="n">
        <v>2</v>
      </c>
      <c r="G66" s="0" t="n">
        <v>52</v>
      </c>
      <c r="H66" s="0" t="n">
        <v>96</v>
      </c>
      <c r="I66" s="0" t="n">
        <v>6</v>
      </c>
      <c r="J66" s="0" t="n">
        <v>5</v>
      </c>
      <c r="K66" s="0" t="n">
        <v>0.2</v>
      </c>
      <c r="L66" s="0" t="n">
        <v>1779</v>
      </c>
      <c r="M66" s="0" t="n">
        <v>63</v>
      </c>
    </row>
    <row r="67" customFormat="false" ht="13.5" hidden="false" customHeight="false" outlineLevel="0" collapsed="false">
      <c r="A67" s="0" t="s">
        <v>109</v>
      </c>
      <c r="B67" s="1" t="n">
        <v>43927</v>
      </c>
      <c r="C67" s="0" t="n">
        <v>159</v>
      </c>
      <c r="D67" s="0" t="n">
        <v>4</v>
      </c>
      <c r="E67" s="0" t="n">
        <v>7</v>
      </c>
      <c r="F67" s="0" t="n">
        <v>0</v>
      </c>
      <c r="G67" s="0" t="n">
        <v>52</v>
      </c>
      <c r="H67" s="0" t="n">
        <v>100</v>
      </c>
      <c r="I67" s="0" t="n">
        <v>6</v>
      </c>
      <c r="J67" s="0" t="n">
        <v>6</v>
      </c>
      <c r="K67" s="0" t="n">
        <v>0.2</v>
      </c>
      <c r="L67" s="0" t="n">
        <v>1779</v>
      </c>
      <c r="M67" s="0" t="n">
        <v>63</v>
      </c>
    </row>
    <row r="68" customFormat="false" ht="13.5" hidden="false" customHeight="false" outlineLevel="0" collapsed="false">
      <c r="A68" s="0" t="s">
        <v>109</v>
      </c>
      <c r="B68" s="1" t="n">
        <v>43928</v>
      </c>
      <c r="C68" s="0" t="n">
        <v>159</v>
      </c>
      <c r="D68" s="0" t="n">
        <v>0</v>
      </c>
      <c r="E68" s="0" t="n">
        <v>7</v>
      </c>
      <c r="F68" s="0" t="n">
        <v>0</v>
      </c>
      <c r="G68" s="0" t="n">
        <v>52</v>
      </c>
      <c r="H68" s="0" t="n">
        <v>100</v>
      </c>
      <c r="I68" s="0" t="n">
        <v>6</v>
      </c>
      <c r="J68" s="0" t="n">
        <v>6</v>
      </c>
      <c r="K68" s="0" t="n">
        <v>0.2</v>
      </c>
      <c r="L68" s="0" t="n">
        <v>1779</v>
      </c>
      <c r="M68" s="0" t="n">
        <v>63</v>
      </c>
    </row>
    <row r="69" customFormat="false" ht="13.5" hidden="false" customHeight="false" outlineLevel="0" collapsed="false">
      <c r="A69" s="0" t="s">
        <v>109</v>
      </c>
      <c r="B69" s="1" t="n">
        <v>43929</v>
      </c>
      <c r="C69" s="0" t="n">
        <v>165</v>
      </c>
      <c r="D69" s="0" t="n">
        <v>6</v>
      </c>
      <c r="E69" s="0" t="n">
        <v>7</v>
      </c>
      <c r="F69" s="0" t="n">
        <v>0</v>
      </c>
      <c r="G69" s="0" t="n">
        <v>65</v>
      </c>
      <c r="H69" s="0" t="n">
        <v>93</v>
      </c>
      <c r="I69" s="0" t="n">
        <v>6</v>
      </c>
      <c r="J69" s="0" t="n">
        <v>6</v>
      </c>
      <c r="K69" s="0" t="n">
        <v>0.2</v>
      </c>
      <c r="L69" s="0" t="n">
        <v>1779</v>
      </c>
      <c r="M69" s="0" t="n">
        <v>63</v>
      </c>
    </row>
    <row r="70" customFormat="false" ht="13.5" hidden="false" customHeight="false" outlineLevel="0" collapsed="false">
      <c r="A70" s="0" t="s">
        <v>109</v>
      </c>
      <c r="B70" s="1" t="n">
        <v>43930</v>
      </c>
      <c r="C70" s="0" t="n">
        <v>166</v>
      </c>
      <c r="D70" s="0" t="n">
        <v>1</v>
      </c>
      <c r="E70" s="0" t="n">
        <v>7</v>
      </c>
      <c r="F70" s="0" t="n">
        <v>0</v>
      </c>
      <c r="G70" s="0" t="n">
        <v>65</v>
      </c>
      <c r="H70" s="0" t="n">
        <v>94</v>
      </c>
      <c r="I70" s="0" t="n">
        <v>6</v>
      </c>
      <c r="J70" s="0" t="n">
        <v>6</v>
      </c>
      <c r="K70" s="0" t="n">
        <v>0.2</v>
      </c>
      <c r="L70" s="0" t="n">
        <v>1779</v>
      </c>
      <c r="M70" s="0" t="n">
        <v>63</v>
      </c>
    </row>
    <row r="71" customFormat="false" ht="13.5" hidden="false" customHeight="false" outlineLevel="0" collapsed="false">
      <c r="A71" s="0" t="s">
        <v>109</v>
      </c>
      <c r="B71" s="1" t="n">
        <v>43931</v>
      </c>
      <c r="C71" s="0" t="n">
        <v>171</v>
      </c>
      <c r="D71" s="0" t="n">
        <v>5</v>
      </c>
      <c r="E71" s="0" t="n">
        <v>9</v>
      </c>
      <c r="F71" s="0" t="n">
        <v>2</v>
      </c>
      <c r="G71" s="0" t="n">
        <v>84</v>
      </c>
      <c r="H71" s="0" t="n">
        <v>78</v>
      </c>
      <c r="I71" s="0" t="n">
        <v>6</v>
      </c>
      <c r="J71" s="0" t="n">
        <v>6</v>
      </c>
      <c r="K71" s="0" t="n">
        <v>0.3</v>
      </c>
      <c r="L71" s="0" t="n">
        <v>139282</v>
      </c>
      <c r="M71" s="0" t="n">
        <v>4898</v>
      </c>
    </row>
    <row r="72" customFormat="false" ht="13.5" hidden="false" customHeight="false" outlineLevel="0" collapsed="false">
      <c r="A72" s="0" t="s">
        <v>109</v>
      </c>
      <c r="B72" s="1" t="n">
        <v>43932</v>
      </c>
      <c r="C72" s="0" t="n">
        <v>171</v>
      </c>
      <c r="D72" s="0" t="n">
        <v>0</v>
      </c>
      <c r="E72" s="0" t="n">
        <v>9</v>
      </c>
      <c r="F72" s="0" t="n">
        <v>0</v>
      </c>
      <c r="G72" s="0" t="n">
        <v>84</v>
      </c>
      <c r="H72" s="0" t="n">
        <v>78</v>
      </c>
      <c r="I72" s="0" t="n">
        <v>6</v>
      </c>
      <c r="J72" s="0" t="n">
        <v>6</v>
      </c>
      <c r="K72" s="0" t="n">
        <v>0.3</v>
      </c>
      <c r="L72" s="0" t="n">
        <v>139282</v>
      </c>
      <c r="M72" s="0" t="n">
        <v>4898</v>
      </c>
    </row>
    <row r="73" customFormat="false" ht="13.5" hidden="false" customHeight="false" outlineLevel="0" collapsed="false">
      <c r="A73" s="0" t="s">
        <v>109</v>
      </c>
      <c r="B73" s="1" t="n">
        <v>43933</v>
      </c>
      <c r="C73" s="0" t="n">
        <v>175</v>
      </c>
      <c r="D73" s="0" t="n">
        <v>4</v>
      </c>
      <c r="E73" s="0" t="n">
        <v>9</v>
      </c>
      <c r="F73" s="0" t="n">
        <v>0</v>
      </c>
      <c r="G73" s="0" t="n">
        <v>93</v>
      </c>
      <c r="H73" s="0" t="n">
        <v>73</v>
      </c>
      <c r="I73" s="0" t="n">
        <v>6</v>
      </c>
      <c r="J73" s="0" t="n">
        <v>6</v>
      </c>
      <c r="K73" s="0" t="n">
        <v>0.3</v>
      </c>
      <c r="L73" s="0" t="n">
        <v>181335</v>
      </c>
      <c r="M73" s="0" t="n">
        <v>6377</v>
      </c>
    </row>
    <row r="74" customFormat="false" ht="13.5" hidden="false" customHeight="false" outlineLevel="0" collapsed="false">
      <c r="A74" s="0" t="s">
        <v>109</v>
      </c>
      <c r="B74" s="1" t="n">
        <v>43934</v>
      </c>
      <c r="C74" s="0" t="n">
        <v>175</v>
      </c>
      <c r="D74" s="0" t="n">
        <v>0</v>
      </c>
      <c r="E74" s="0" t="n">
        <v>9</v>
      </c>
      <c r="F74" s="0" t="n">
        <v>0</v>
      </c>
      <c r="G74" s="0" t="n">
        <v>93</v>
      </c>
      <c r="H74" s="0" t="n">
        <v>73</v>
      </c>
      <c r="I74" s="0" t="n">
        <v>6</v>
      </c>
      <c r="J74" s="0" t="n">
        <v>6</v>
      </c>
      <c r="K74" s="0" t="n">
        <v>0.3</v>
      </c>
      <c r="L74" s="0" t="n">
        <v>181335</v>
      </c>
      <c r="M74" s="0" t="n">
        <v>6377</v>
      </c>
    </row>
    <row r="75" customFormat="false" ht="13.5" hidden="false" customHeight="false" outlineLevel="0" collapsed="false">
      <c r="A75" s="0" t="s">
        <v>109</v>
      </c>
      <c r="B75" s="1" t="n">
        <v>43935</v>
      </c>
      <c r="C75" s="0" t="n">
        <v>189</v>
      </c>
      <c r="D75" s="0" t="n">
        <v>14</v>
      </c>
      <c r="E75" s="0" t="n">
        <v>9</v>
      </c>
      <c r="F75" s="0" t="n">
        <v>0</v>
      </c>
      <c r="G75" s="0" t="n">
        <v>110</v>
      </c>
      <c r="H75" s="0" t="n">
        <v>70</v>
      </c>
      <c r="I75" s="0" t="n">
        <v>6</v>
      </c>
      <c r="J75" s="0" t="n">
        <v>7</v>
      </c>
      <c r="K75" s="0" t="n">
        <v>0.3</v>
      </c>
      <c r="L75" s="0" t="n">
        <v>203108</v>
      </c>
      <c r="M75" s="0" t="n">
        <v>7143</v>
      </c>
    </row>
    <row r="76" customFormat="false" ht="13.5" hidden="false" customHeight="false" outlineLevel="0" collapsed="false">
      <c r="A76" s="0" t="s">
        <v>109</v>
      </c>
      <c r="B76" s="1" t="n">
        <v>43936</v>
      </c>
      <c r="C76" s="0" t="n">
        <v>189</v>
      </c>
      <c r="D76" s="0" t="n">
        <v>0</v>
      </c>
      <c r="E76" s="0" t="n">
        <v>9</v>
      </c>
      <c r="F76" s="0" t="n">
        <v>0</v>
      </c>
      <c r="G76" s="0" t="n">
        <v>110</v>
      </c>
      <c r="H76" s="0" t="n">
        <v>70</v>
      </c>
      <c r="I76" s="0" t="n">
        <v>6</v>
      </c>
      <c r="J76" s="0" t="n">
        <v>7</v>
      </c>
      <c r="K76" s="0" t="n">
        <v>0.3</v>
      </c>
      <c r="L76" s="0" t="n">
        <v>203108</v>
      </c>
      <c r="M76" s="0" t="n">
        <v>7143</v>
      </c>
    </row>
    <row r="77" customFormat="false" ht="13.5" hidden="false" customHeight="false" outlineLevel="0" collapsed="false">
      <c r="A77" s="0" t="s">
        <v>109</v>
      </c>
      <c r="B77" s="1" t="n">
        <v>43937</v>
      </c>
      <c r="C77" s="0" t="n">
        <v>197</v>
      </c>
      <c r="D77" s="0" t="n">
        <v>8</v>
      </c>
      <c r="E77" s="0" t="n">
        <v>9</v>
      </c>
      <c r="F77" s="0" t="n">
        <v>0</v>
      </c>
      <c r="G77" s="0" t="n">
        <v>111</v>
      </c>
      <c r="H77" s="0" t="n">
        <v>77</v>
      </c>
      <c r="I77" s="0" t="n">
        <v>6</v>
      </c>
      <c r="J77" s="0" t="n">
        <v>7</v>
      </c>
      <c r="K77" s="0" t="n">
        <v>0.3</v>
      </c>
      <c r="L77" s="0" t="n">
        <v>225009</v>
      </c>
      <c r="M77" s="0" t="n">
        <v>7913</v>
      </c>
    </row>
    <row r="78" customFormat="false" ht="13.5" hidden="false" customHeight="false" outlineLevel="0" collapsed="false">
      <c r="A78" s="0" t="s">
        <v>109</v>
      </c>
      <c r="B78" s="1" t="n">
        <v>43938</v>
      </c>
      <c r="C78" s="0" t="n">
        <v>204</v>
      </c>
      <c r="D78" s="0" t="n">
        <v>7</v>
      </c>
      <c r="E78" s="0" t="n">
        <v>9</v>
      </c>
      <c r="F78" s="0" t="n">
        <v>0</v>
      </c>
      <c r="G78" s="0" t="n">
        <v>111</v>
      </c>
      <c r="H78" s="0" t="n">
        <v>84</v>
      </c>
      <c r="I78" s="0" t="n">
        <v>4</v>
      </c>
      <c r="J78" s="0" t="n">
        <v>7</v>
      </c>
      <c r="K78" s="0" t="n">
        <v>0.3</v>
      </c>
      <c r="L78" s="0" t="n">
        <v>268503</v>
      </c>
      <c r="M78" s="0" t="n">
        <v>9442</v>
      </c>
    </row>
    <row r="79" customFormat="false" ht="13.5" hidden="false" customHeight="false" outlineLevel="0" collapsed="false">
      <c r="A79" s="0" t="s">
        <v>109</v>
      </c>
      <c r="B79" s="1" t="n">
        <v>43939</v>
      </c>
      <c r="C79" s="0" t="n">
        <v>204</v>
      </c>
      <c r="D79" s="0" t="n">
        <v>0</v>
      </c>
      <c r="E79" s="0" t="n">
        <v>9</v>
      </c>
      <c r="F79" s="0" t="n">
        <v>0</v>
      </c>
      <c r="G79" s="0" t="n">
        <v>111</v>
      </c>
      <c r="H79" s="0" t="n">
        <v>84</v>
      </c>
      <c r="I79" s="0" t="n">
        <v>4</v>
      </c>
      <c r="J79" s="0" t="n">
        <v>7</v>
      </c>
      <c r="K79" s="0" t="n">
        <v>0.3</v>
      </c>
      <c r="L79" s="0" t="n">
        <v>268503</v>
      </c>
      <c r="M79" s="0" t="n">
        <v>9442</v>
      </c>
    </row>
    <row r="80" customFormat="false" ht="13.5" hidden="false" customHeight="false" outlineLevel="0" collapsed="false">
      <c r="A80" s="0" t="s">
        <v>109</v>
      </c>
      <c r="B80" s="1" t="n">
        <v>43940</v>
      </c>
      <c r="C80" s="0" t="n">
        <v>227</v>
      </c>
      <c r="D80" s="0" t="n">
        <v>23</v>
      </c>
      <c r="E80" s="0" t="n">
        <v>9</v>
      </c>
      <c r="F80" s="0" t="n">
        <v>0</v>
      </c>
      <c r="G80" s="0" t="n">
        <v>113</v>
      </c>
      <c r="H80" s="0" t="n">
        <v>105</v>
      </c>
      <c r="I80" s="0" t="n">
        <v>4</v>
      </c>
      <c r="J80" s="0" t="n">
        <v>8</v>
      </c>
      <c r="K80" s="0" t="n">
        <v>0.3</v>
      </c>
      <c r="L80" s="0" t="n">
        <v>299714</v>
      </c>
      <c r="M80" s="0" t="n">
        <v>10540</v>
      </c>
    </row>
    <row r="81" customFormat="false" ht="13.5" hidden="false" customHeight="false" outlineLevel="0" collapsed="false">
      <c r="A81" s="0" t="s">
        <v>109</v>
      </c>
      <c r="B81" s="1" t="n">
        <v>43941</v>
      </c>
      <c r="C81" s="0" t="n">
        <v>227</v>
      </c>
      <c r="D81" s="0" t="n">
        <v>0</v>
      </c>
      <c r="E81" s="0" t="n">
        <v>9</v>
      </c>
      <c r="F81" s="0" t="n">
        <v>0</v>
      </c>
      <c r="G81" s="0" t="n">
        <v>117</v>
      </c>
      <c r="H81" s="0" t="n">
        <v>101</v>
      </c>
      <c r="I81" s="0" t="n">
        <v>4</v>
      </c>
      <c r="J81" s="0" t="n">
        <v>8</v>
      </c>
      <c r="K81" s="0" t="n">
        <v>0.3</v>
      </c>
      <c r="L81" s="0" t="n">
        <v>299714</v>
      </c>
      <c r="M81" s="0" t="n">
        <v>10540</v>
      </c>
    </row>
    <row r="82" customFormat="false" ht="13.5" hidden="false" customHeight="false" outlineLevel="0" collapsed="false">
      <c r="A82" s="0" t="s">
        <v>109</v>
      </c>
      <c r="B82" s="1" t="n">
        <v>43942</v>
      </c>
      <c r="C82" s="0" t="n">
        <v>256</v>
      </c>
      <c r="D82" s="0" t="n">
        <v>29</v>
      </c>
      <c r="E82" s="0" t="n">
        <v>9</v>
      </c>
      <c r="F82" s="0" t="n">
        <v>0</v>
      </c>
      <c r="G82" s="0" t="n">
        <v>117</v>
      </c>
      <c r="H82" s="0" t="n">
        <v>130</v>
      </c>
      <c r="I82" s="0" t="n">
        <v>4</v>
      </c>
      <c r="J82" s="0" t="n">
        <v>9</v>
      </c>
      <c r="K82" s="0" t="n">
        <v>0.3</v>
      </c>
      <c r="L82" s="0" t="n">
        <v>336169</v>
      </c>
      <c r="M82" s="0" t="n">
        <v>11822</v>
      </c>
    </row>
    <row r="83" customFormat="false" ht="13.5" hidden="false" customHeight="false" outlineLevel="0" collapsed="false">
      <c r="A83" s="0" t="s">
        <v>109</v>
      </c>
      <c r="B83" s="1" t="n">
        <v>43943</v>
      </c>
      <c r="C83" s="0" t="n">
        <v>285</v>
      </c>
      <c r="D83" s="0" t="n">
        <v>29</v>
      </c>
      <c r="E83" s="0" t="n">
        <v>10</v>
      </c>
      <c r="F83" s="0" t="n">
        <v>1</v>
      </c>
      <c r="G83" s="0" t="n">
        <v>117</v>
      </c>
      <c r="H83" s="0" t="n">
        <v>158</v>
      </c>
      <c r="I83" s="0" t="n">
        <v>4</v>
      </c>
      <c r="J83" s="0" t="n">
        <v>10</v>
      </c>
      <c r="K83" s="0" t="n">
        <v>0.4</v>
      </c>
      <c r="L83" s="0" t="n">
        <v>347236</v>
      </c>
      <c r="M83" s="0" t="n">
        <v>12211</v>
      </c>
    </row>
    <row r="84" customFormat="false" ht="13.5" hidden="false" customHeight="false" outlineLevel="0" collapsed="false">
      <c r="A84" s="0" t="s">
        <v>109</v>
      </c>
      <c r="B84" s="1" t="n">
        <v>43944</v>
      </c>
      <c r="C84" s="0" t="n">
        <v>288</v>
      </c>
      <c r="D84" s="0" t="n">
        <v>3</v>
      </c>
      <c r="E84" s="0" t="n">
        <v>10</v>
      </c>
      <c r="F84" s="0" t="n">
        <v>0</v>
      </c>
      <c r="G84" s="0" t="n">
        <v>122</v>
      </c>
      <c r="H84" s="0" t="n">
        <v>156</v>
      </c>
      <c r="I84" s="0" t="n">
        <v>4</v>
      </c>
      <c r="J84" s="0" t="n">
        <v>10</v>
      </c>
      <c r="K84" s="0" t="n">
        <v>0.4</v>
      </c>
      <c r="L84" s="0" t="n">
        <v>347236</v>
      </c>
      <c r="M84" s="0" t="n">
        <v>12211</v>
      </c>
    </row>
    <row r="85" customFormat="false" ht="13.5" hidden="false" customHeight="false" outlineLevel="0" collapsed="false">
      <c r="A85" s="0" t="s">
        <v>109</v>
      </c>
      <c r="B85" s="1" t="n">
        <v>43945</v>
      </c>
      <c r="C85" s="0" t="n">
        <v>298</v>
      </c>
      <c r="D85" s="0" t="n">
        <v>10</v>
      </c>
      <c r="E85" s="0" t="n">
        <v>10</v>
      </c>
      <c r="F85" s="0" t="n">
        <v>0</v>
      </c>
      <c r="G85" s="0" t="n">
        <v>122</v>
      </c>
      <c r="H85" s="0" t="n">
        <v>166</v>
      </c>
      <c r="I85" s="0" t="n">
        <v>4</v>
      </c>
      <c r="J85" s="0" t="n">
        <v>10</v>
      </c>
      <c r="K85" s="0" t="n">
        <v>0.4</v>
      </c>
      <c r="L85" s="0" t="n">
        <v>347236</v>
      </c>
      <c r="M85" s="0" t="n">
        <v>12211</v>
      </c>
    </row>
    <row r="86" customFormat="false" ht="13.5" hidden="false" customHeight="false" outlineLevel="0" collapsed="false">
      <c r="A86" s="0" t="s">
        <v>109</v>
      </c>
      <c r="B86" s="1" t="n">
        <v>43946</v>
      </c>
      <c r="C86" s="0" t="n">
        <v>318</v>
      </c>
      <c r="D86" s="0" t="n">
        <v>20</v>
      </c>
      <c r="E86" s="0" t="n">
        <v>10</v>
      </c>
      <c r="F86" s="0" t="n">
        <v>0</v>
      </c>
      <c r="G86" s="0" t="n">
        <v>132</v>
      </c>
      <c r="H86" s="0" t="n">
        <v>176</v>
      </c>
      <c r="I86" s="0" t="n">
        <v>4</v>
      </c>
      <c r="J86" s="0" t="n">
        <v>11</v>
      </c>
      <c r="K86" s="0" t="n">
        <v>0.4</v>
      </c>
      <c r="L86" s="0" t="n">
        <v>394125</v>
      </c>
      <c r="M86" s="0" t="n">
        <v>13860</v>
      </c>
    </row>
    <row r="87" customFormat="false" ht="13.5" hidden="false" customHeight="false" outlineLevel="0" collapsed="false">
      <c r="A87" s="0" t="s">
        <v>109</v>
      </c>
      <c r="B87" s="1" t="n">
        <v>43947</v>
      </c>
      <c r="C87" s="0" t="n">
        <v>318</v>
      </c>
      <c r="D87" s="0" t="n">
        <v>0</v>
      </c>
      <c r="E87" s="0" t="n">
        <v>10</v>
      </c>
      <c r="F87" s="0" t="n">
        <v>0</v>
      </c>
      <c r="G87" s="0" t="n">
        <v>132</v>
      </c>
      <c r="H87" s="0" t="n">
        <v>176</v>
      </c>
      <c r="I87" s="0" t="n">
        <v>4</v>
      </c>
      <c r="J87" s="0" t="n">
        <v>11</v>
      </c>
      <c r="K87" s="0" t="n">
        <v>0.4</v>
      </c>
      <c r="L87" s="0" t="n">
        <v>394125</v>
      </c>
      <c r="M87" s="0" t="n">
        <v>13860</v>
      </c>
    </row>
    <row r="88" customFormat="false" ht="13.5" hidden="false" customHeight="false" outlineLevel="0" collapsed="false">
      <c r="A88" s="0" t="s">
        <v>109</v>
      </c>
      <c r="B88" s="1" t="n">
        <v>43948</v>
      </c>
      <c r="C88" s="0" t="n">
        <v>323</v>
      </c>
      <c r="D88" s="0" t="n">
        <v>5</v>
      </c>
      <c r="E88" s="0" t="n">
        <v>10</v>
      </c>
      <c r="F88" s="0" t="n">
        <v>0</v>
      </c>
      <c r="G88" s="0" t="n">
        <v>132</v>
      </c>
      <c r="H88" s="0" t="n">
        <v>181</v>
      </c>
      <c r="I88" s="0" t="n">
        <v>3</v>
      </c>
      <c r="J88" s="0" t="n">
        <v>11</v>
      </c>
      <c r="K88" s="0" t="n">
        <v>0.4</v>
      </c>
      <c r="L88" s="0" t="n">
        <v>423592</v>
      </c>
      <c r="M88" s="0" t="n">
        <v>14896</v>
      </c>
    </row>
    <row r="89" customFormat="false" ht="13.5" hidden="false" customHeight="false" outlineLevel="0" collapsed="false">
      <c r="A89" s="0" t="s">
        <v>109</v>
      </c>
      <c r="B89" s="1" t="n">
        <v>43949</v>
      </c>
      <c r="C89" s="0" t="n">
        <v>325</v>
      </c>
      <c r="D89" s="0" t="n">
        <v>2</v>
      </c>
      <c r="E89" s="0" t="n">
        <v>10</v>
      </c>
      <c r="F89" s="0" t="n">
        <v>0</v>
      </c>
      <c r="G89" s="0" t="n">
        <v>137</v>
      </c>
      <c r="H89" s="0" t="n">
        <v>178</v>
      </c>
      <c r="I89" s="0" t="n">
        <v>3</v>
      </c>
      <c r="J89" s="0" t="n">
        <v>11</v>
      </c>
      <c r="K89" s="0" t="n">
        <v>0.4</v>
      </c>
      <c r="L89" s="0" t="n">
        <v>423592</v>
      </c>
      <c r="M89" s="0" t="n">
        <v>14896</v>
      </c>
    </row>
    <row r="90" customFormat="false" ht="13.5" hidden="false" customHeight="false" outlineLevel="0" collapsed="false">
      <c r="A90" s="0" t="s">
        <v>109</v>
      </c>
      <c r="B90" s="1" t="n">
        <v>43950</v>
      </c>
      <c r="C90" s="0" t="n">
        <v>329</v>
      </c>
      <c r="D90" s="0" t="n">
        <v>4</v>
      </c>
      <c r="E90" s="0" t="n">
        <v>10</v>
      </c>
      <c r="F90" s="0" t="n">
        <v>0</v>
      </c>
      <c r="G90" s="0" t="n">
        <v>142</v>
      </c>
      <c r="H90" s="0" t="n">
        <v>177</v>
      </c>
      <c r="I90" s="0" t="n">
        <v>3</v>
      </c>
      <c r="J90" s="0" t="n">
        <v>12</v>
      </c>
      <c r="K90" s="0" t="n">
        <v>0.4</v>
      </c>
      <c r="L90" s="0" t="n">
        <v>440966</v>
      </c>
      <c r="M90" s="0" t="n">
        <v>15507</v>
      </c>
    </row>
    <row r="91" customFormat="false" ht="13.5" hidden="false" customHeight="false" outlineLevel="0" collapsed="false">
      <c r="A91" s="0" t="s">
        <v>109</v>
      </c>
      <c r="B91" s="1" t="n">
        <v>43951</v>
      </c>
      <c r="C91" s="0" t="n">
        <v>329</v>
      </c>
      <c r="D91" s="0" t="n">
        <v>0</v>
      </c>
      <c r="E91" s="0" t="n">
        <v>10</v>
      </c>
      <c r="F91" s="0" t="n">
        <v>0</v>
      </c>
      <c r="G91" s="0" t="n">
        <v>142</v>
      </c>
      <c r="H91" s="0" t="n">
        <v>177</v>
      </c>
      <c r="I91" s="0" t="n">
        <v>3</v>
      </c>
      <c r="J91" s="0" t="n">
        <v>12</v>
      </c>
      <c r="K91" s="0" t="n">
        <v>0.4</v>
      </c>
      <c r="L91" s="0" t="n">
        <v>440966</v>
      </c>
      <c r="M91" s="0" t="n">
        <v>15507</v>
      </c>
    </row>
    <row r="92" customFormat="false" ht="13.5" hidden="false" customHeight="false" outlineLevel="0" collapsed="false">
      <c r="A92" s="0" t="s">
        <v>109</v>
      </c>
      <c r="B92" s="1" t="n">
        <v>43952</v>
      </c>
      <c r="C92" s="0" t="n">
        <v>331</v>
      </c>
      <c r="D92" s="0" t="n">
        <v>2</v>
      </c>
      <c r="E92" s="0" t="n">
        <v>10</v>
      </c>
      <c r="F92" s="0" t="n">
        <v>0</v>
      </c>
      <c r="G92" s="0" t="n">
        <v>142</v>
      </c>
      <c r="H92" s="0" t="n">
        <v>179</v>
      </c>
      <c r="I92" s="0" t="n">
        <v>2</v>
      </c>
      <c r="J92" s="0" t="n">
        <v>12</v>
      </c>
      <c r="K92" s="0" t="n">
        <v>0.4</v>
      </c>
      <c r="L92" s="0" t="n">
        <v>458737</v>
      </c>
      <c r="M92" s="0" t="n">
        <v>16132</v>
      </c>
    </row>
    <row r="93" customFormat="false" ht="13.5" hidden="false" customHeight="false" outlineLevel="0" collapsed="false">
      <c r="A93" s="0" t="s">
        <v>109</v>
      </c>
      <c r="B93" s="1" t="n">
        <v>43953</v>
      </c>
      <c r="C93" s="0" t="n">
        <v>335</v>
      </c>
      <c r="D93" s="0" t="n">
        <v>4</v>
      </c>
      <c r="E93" s="0" t="n">
        <v>10</v>
      </c>
      <c r="F93" s="0" t="n">
        <v>0</v>
      </c>
      <c r="G93" s="0" t="n">
        <v>142</v>
      </c>
      <c r="H93" s="0" t="n">
        <v>183</v>
      </c>
      <c r="I93" s="0" t="n">
        <v>2</v>
      </c>
      <c r="J93" s="0" t="n">
        <v>12</v>
      </c>
      <c r="K93" s="0" t="n">
        <v>0.4</v>
      </c>
      <c r="L93" s="0" t="n">
        <v>458737</v>
      </c>
      <c r="M93" s="0" t="n">
        <v>16132</v>
      </c>
    </row>
    <row r="94" customFormat="false" ht="13.5" hidden="false" customHeight="false" outlineLevel="0" collapsed="false">
      <c r="A94" s="0" t="s">
        <v>109</v>
      </c>
      <c r="B94" s="1" t="n">
        <v>43954</v>
      </c>
      <c r="C94" s="0" t="n">
        <v>345</v>
      </c>
      <c r="D94" s="0" t="n">
        <v>10</v>
      </c>
      <c r="E94" s="0" t="n">
        <v>10</v>
      </c>
      <c r="F94" s="0" t="n">
        <v>0</v>
      </c>
      <c r="G94" s="0" t="n">
        <v>148</v>
      </c>
      <c r="H94" s="0" t="n">
        <v>187</v>
      </c>
      <c r="I94" s="0" t="n">
        <v>2</v>
      </c>
      <c r="J94" s="0" t="n">
        <v>12</v>
      </c>
      <c r="K94" s="0" t="n">
        <v>0.4</v>
      </c>
      <c r="L94" s="0" t="n">
        <v>477790</v>
      </c>
      <c r="M94" s="0" t="n">
        <v>16802</v>
      </c>
    </row>
    <row r="95" customFormat="false" ht="13.5" hidden="false" customHeight="false" outlineLevel="0" collapsed="false">
      <c r="A95" s="0" t="s">
        <v>109</v>
      </c>
      <c r="B95" s="1" t="n">
        <v>43955</v>
      </c>
      <c r="C95" s="0" t="n">
        <v>345</v>
      </c>
      <c r="D95" s="0" t="n">
        <v>0</v>
      </c>
      <c r="E95" s="0" t="n">
        <v>10</v>
      </c>
      <c r="F95" s="0" t="n">
        <v>0</v>
      </c>
      <c r="G95" s="0" t="n">
        <v>148</v>
      </c>
      <c r="H95" s="0" t="n">
        <v>187</v>
      </c>
      <c r="I95" s="0" t="n">
        <v>2</v>
      </c>
      <c r="J95" s="0" t="n">
        <v>12</v>
      </c>
      <c r="K95" s="0" t="n">
        <v>0.4</v>
      </c>
      <c r="L95" s="0" t="n">
        <v>477790</v>
      </c>
      <c r="M95" s="0" t="n">
        <v>16802</v>
      </c>
    </row>
    <row r="96" customFormat="false" ht="13.5" hidden="false" customHeight="false" outlineLevel="0" collapsed="false">
      <c r="A96" s="0" t="s">
        <v>109</v>
      </c>
      <c r="B96" s="1" t="n">
        <v>43956</v>
      </c>
      <c r="C96" s="0" t="n">
        <v>357</v>
      </c>
      <c r="D96" s="0" t="n">
        <v>12</v>
      </c>
      <c r="E96" s="0" t="n">
        <v>10</v>
      </c>
      <c r="F96" s="0" t="n">
        <v>0</v>
      </c>
      <c r="G96" s="0" t="n">
        <v>158</v>
      </c>
      <c r="H96" s="0" t="n">
        <v>189</v>
      </c>
      <c r="I96" s="0" t="n">
        <v>1</v>
      </c>
      <c r="J96" s="0" t="n">
        <v>13</v>
      </c>
      <c r="K96" s="0" t="n">
        <v>0.4</v>
      </c>
      <c r="L96" s="0" t="n">
        <v>482953</v>
      </c>
      <c r="M96" s="0" t="n">
        <v>16984</v>
      </c>
    </row>
    <row r="97" customFormat="false" ht="13.5" hidden="false" customHeight="false" outlineLevel="0" collapsed="false">
      <c r="A97" s="0" t="s">
        <v>109</v>
      </c>
      <c r="B97" s="1" t="n">
        <v>43957</v>
      </c>
      <c r="C97" s="0" t="n">
        <v>361</v>
      </c>
      <c r="D97" s="0" t="n">
        <v>4</v>
      </c>
      <c r="E97" s="0" t="n">
        <v>10</v>
      </c>
      <c r="F97" s="0" t="n">
        <v>0</v>
      </c>
      <c r="G97" s="0" t="n">
        <v>158</v>
      </c>
      <c r="H97" s="0" t="n">
        <v>193</v>
      </c>
      <c r="I97" s="0" t="n">
        <v>1</v>
      </c>
      <c r="J97" s="0" t="n">
        <v>13</v>
      </c>
      <c r="K97" s="0" t="n">
        <v>0.4</v>
      </c>
      <c r="L97" s="0" t="n">
        <v>482953</v>
      </c>
      <c r="M97" s="0" t="n">
        <v>16984</v>
      </c>
    </row>
    <row r="98" customFormat="false" ht="13.5" hidden="false" customHeight="false" outlineLevel="0" collapsed="false">
      <c r="A98" s="0" t="s">
        <v>109</v>
      </c>
      <c r="B98" s="1" t="n">
        <v>43958</v>
      </c>
      <c r="C98" s="0" t="n">
        <v>367</v>
      </c>
      <c r="D98" s="0" t="n">
        <v>6</v>
      </c>
      <c r="E98" s="0" t="n">
        <v>10</v>
      </c>
      <c r="F98" s="0" t="n">
        <v>0</v>
      </c>
      <c r="G98" s="0" t="n">
        <v>164</v>
      </c>
      <c r="H98" s="0" t="n">
        <v>193</v>
      </c>
      <c r="I98" s="0" t="n">
        <v>1</v>
      </c>
      <c r="J98" s="0" t="n">
        <v>13</v>
      </c>
      <c r="K98" s="0" t="n">
        <v>0.4</v>
      </c>
      <c r="L98" s="0" t="n">
        <v>490851</v>
      </c>
      <c r="M98" s="0" t="n">
        <v>17262</v>
      </c>
    </row>
    <row r="99" customFormat="false" ht="13.5" hidden="false" customHeight="false" outlineLevel="0" collapsed="false">
      <c r="A99" s="0" t="s">
        <v>109</v>
      </c>
      <c r="B99" s="1" t="n">
        <v>43959</v>
      </c>
      <c r="C99" s="0" t="n">
        <v>379</v>
      </c>
      <c r="D99" s="0" t="n">
        <v>12</v>
      </c>
      <c r="E99" s="0" t="n">
        <v>10</v>
      </c>
      <c r="F99" s="0" t="n">
        <v>0</v>
      </c>
      <c r="G99" s="0" t="n">
        <v>176</v>
      </c>
      <c r="H99" s="0" t="n">
        <v>193</v>
      </c>
      <c r="I99" s="0" t="n">
        <v>1</v>
      </c>
      <c r="J99" s="0" t="n">
        <v>13</v>
      </c>
      <c r="K99" s="0" t="n">
        <v>0.4</v>
      </c>
      <c r="L99" s="0" t="n">
        <v>490851</v>
      </c>
      <c r="M99" s="0" t="n">
        <v>17262</v>
      </c>
    </row>
    <row r="100" customFormat="false" ht="13.5" hidden="false" customHeight="false" outlineLevel="0" collapsed="false">
      <c r="A100" s="0" t="s">
        <v>109</v>
      </c>
      <c r="B100" s="1" t="n">
        <v>43960</v>
      </c>
      <c r="C100" s="0" t="n">
        <v>381</v>
      </c>
      <c r="D100" s="0" t="n">
        <v>2</v>
      </c>
      <c r="E100" s="0" t="n">
        <v>10</v>
      </c>
      <c r="F100" s="0" t="n">
        <v>0</v>
      </c>
      <c r="G100" s="0" t="n">
        <v>185</v>
      </c>
      <c r="H100" s="0" t="n">
        <v>186</v>
      </c>
      <c r="I100" s="0" t="n">
        <v>1</v>
      </c>
      <c r="J100" s="0" t="n">
        <v>13</v>
      </c>
      <c r="K100" s="0" t="n">
        <v>0.4</v>
      </c>
      <c r="L100" s="0" t="n">
        <v>502771</v>
      </c>
      <c r="M100" s="0" t="n">
        <v>17681</v>
      </c>
    </row>
    <row r="101" customFormat="false" ht="13.5" hidden="false" customHeight="false" outlineLevel="0" collapsed="false">
      <c r="A101" s="0" t="s">
        <v>109</v>
      </c>
      <c r="B101" s="1" t="n">
        <v>43961</v>
      </c>
      <c r="C101" s="0" t="n">
        <v>388</v>
      </c>
      <c r="D101" s="0" t="n">
        <v>7</v>
      </c>
      <c r="E101" s="0" t="n">
        <v>10</v>
      </c>
      <c r="F101" s="0" t="n">
        <v>0</v>
      </c>
      <c r="G101" s="0" t="n">
        <v>190</v>
      </c>
      <c r="H101" s="0" t="n">
        <v>188</v>
      </c>
      <c r="I101" s="0" t="n">
        <v>1</v>
      </c>
      <c r="J101" s="0" t="n">
        <v>14</v>
      </c>
      <c r="K101" s="0" t="n">
        <v>0.4</v>
      </c>
      <c r="L101" s="0" t="n">
        <v>507119</v>
      </c>
      <c r="M101" s="0" t="n">
        <v>17834</v>
      </c>
    </row>
    <row r="102" customFormat="false" ht="13.5" hidden="false" customHeight="false" outlineLevel="0" collapsed="false">
      <c r="A102" s="0" t="s">
        <v>109</v>
      </c>
      <c r="B102" s="1" t="n">
        <v>43962</v>
      </c>
      <c r="C102" s="0" t="n">
        <v>402</v>
      </c>
      <c r="D102" s="0" t="n">
        <v>14</v>
      </c>
      <c r="E102" s="0" t="n">
        <v>10</v>
      </c>
      <c r="F102" s="0" t="n">
        <v>0</v>
      </c>
      <c r="G102" s="0" t="n">
        <v>190</v>
      </c>
      <c r="H102" s="0" t="n">
        <v>202</v>
      </c>
      <c r="I102" s="0" t="n">
        <v>1</v>
      </c>
      <c r="J102" s="0" t="n">
        <v>14</v>
      </c>
      <c r="K102" s="0" t="n">
        <v>0.4</v>
      </c>
      <c r="L102" s="0" t="n">
        <v>512181</v>
      </c>
      <c r="M102" s="0" t="n">
        <v>18012</v>
      </c>
    </row>
    <row r="103" customFormat="false" ht="13.5" hidden="false" customHeight="false" outlineLevel="0" collapsed="false">
      <c r="A103" s="0" t="s">
        <v>109</v>
      </c>
      <c r="B103" s="1" t="n">
        <v>43963</v>
      </c>
      <c r="C103" s="0" t="n">
        <v>414</v>
      </c>
      <c r="D103" s="0" t="n">
        <v>12</v>
      </c>
      <c r="E103" s="0" t="n">
        <v>10</v>
      </c>
      <c r="F103" s="0" t="n">
        <v>0</v>
      </c>
      <c r="G103" s="0" t="n">
        <v>193</v>
      </c>
      <c r="H103" s="0" t="n">
        <v>211</v>
      </c>
      <c r="I103" s="0" t="n">
        <v>2</v>
      </c>
      <c r="J103" s="0" t="n">
        <v>15</v>
      </c>
      <c r="K103" s="0" t="n">
        <v>0.4</v>
      </c>
      <c r="L103" s="0" t="n">
        <v>512181</v>
      </c>
      <c r="M103" s="0" t="n">
        <v>18012</v>
      </c>
    </row>
    <row r="104" customFormat="false" ht="13.5" hidden="false" customHeight="false" outlineLevel="0" collapsed="false">
      <c r="A104" s="0" t="s">
        <v>109</v>
      </c>
      <c r="B104" s="1" t="n">
        <v>43964</v>
      </c>
      <c r="C104" s="0" t="n">
        <v>422</v>
      </c>
      <c r="D104" s="0" t="n">
        <v>8</v>
      </c>
      <c r="E104" s="0" t="n">
        <v>10</v>
      </c>
      <c r="F104" s="0" t="n">
        <v>0</v>
      </c>
      <c r="G104" s="0" t="n">
        <v>205</v>
      </c>
      <c r="H104" s="0" t="n">
        <v>207</v>
      </c>
      <c r="I104" s="0" t="n">
        <v>2</v>
      </c>
      <c r="J104" s="0" t="n">
        <v>15</v>
      </c>
      <c r="K104" s="0" t="n">
        <v>0.4</v>
      </c>
      <c r="L104" s="0" t="n">
        <v>520317</v>
      </c>
      <c r="M104" s="0" t="n">
        <v>18298</v>
      </c>
    </row>
    <row r="105" customFormat="false" ht="13.5" hidden="false" customHeight="false" outlineLevel="0" collapsed="false">
      <c r="A105" s="0" t="s">
        <v>109</v>
      </c>
      <c r="B105" s="1" t="n">
        <v>43965</v>
      </c>
      <c r="C105" s="0" t="n">
        <v>423</v>
      </c>
      <c r="D105" s="0" t="n">
        <v>1</v>
      </c>
      <c r="E105" s="0" t="n">
        <v>10</v>
      </c>
      <c r="F105" s="0" t="n">
        <v>0</v>
      </c>
      <c r="G105" s="0" t="n">
        <v>220</v>
      </c>
      <c r="H105" s="0" t="n">
        <v>193</v>
      </c>
      <c r="I105" s="0" t="n">
        <v>2</v>
      </c>
      <c r="J105" s="0" t="n">
        <v>15</v>
      </c>
      <c r="K105" s="0" t="n">
        <v>0.4</v>
      </c>
      <c r="L105" s="0" t="n">
        <v>525902</v>
      </c>
      <c r="M105" s="0" t="n">
        <v>18494</v>
      </c>
    </row>
    <row r="106" customFormat="false" ht="13.5" hidden="false" customHeight="false" outlineLevel="0" collapsed="false">
      <c r="A106" s="0" t="s">
        <v>109</v>
      </c>
      <c r="B106" s="1" t="n">
        <v>43966</v>
      </c>
      <c r="C106" s="0" t="n">
        <v>440</v>
      </c>
      <c r="D106" s="0" t="n">
        <v>17</v>
      </c>
      <c r="E106" s="0" t="n">
        <v>10</v>
      </c>
      <c r="F106" s="0" t="n">
        <v>0</v>
      </c>
      <c r="G106" s="0" t="n">
        <v>220</v>
      </c>
      <c r="H106" s="0" t="n">
        <v>210</v>
      </c>
      <c r="I106" s="0" t="n">
        <v>2</v>
      </c>
      <c r="J106" s="0" t="n">
        <v>15</v>
      </c>
      <c r="K106" s="0" t="n">
        <v>0.4</v>
      </c>
      <c r="L106" s="0" t="n">
        <v>525902</v>
      </c>
      <c r="M106" s="0" t="n">
        <v>18494</v>
      </c>
    </row>
    <row r="107" customFormat="false" ht="13.5" hidden="false" customHeight="false" outlineLevel="0" collapsed="false">
      <c r="A107" s="0" t="s">
        <v>109</v>
      </c>
      <c r="B107" s="1" t="n">
        <v>43967</v>
      </c>
      <c r="C107" s="0" t="n">
        <v>455</v>
      </c>
      <c r="D107" s="0" t="n">
        <v>15</v>
      </c>
      <c r="E107" s="0" t="n">
        <v>10</v>
      </c>
      <c r="F107" s="0" t="n">
        <v>0</v>
      </c>
      <c r="G107" s="0" t="n">
        <v>220</v>
      </c>
      <c r="H107" s="0" t="n">
        <v>225</v>
      </c>
      <c r="I107" s="0" t="n">
        <v>2</v>
      </c>
      <c r="J107" s="0" t="n">
        <v>16</v>
      </c>
      <c r="K107" s="0" t="n">
        <v>0.4</v>
      </c>
      <c r="L107" s="0" t="n">
        <v>535742</v>
      </c>
      <c r="M107" s="0" t="n">
        <v>18834</v>
      </c>
    </row>
    <row r="108" customFormat="false" ht="13.5" hidden="false" customHeight="false" outlineLevel="0" collapsed="false">
      <c r="A108" s="0" t="s">
        <v>109</v>
      </c>
      <c r="B108" s="1" t="n">
        <v>43968</v>
      </c>
      <c r="C108" s="0" t="n">
        <v>459</v>
      </c>
      <c r="D108" s="0" t="n">
        <v>4</v>
      </c>
      <c r="E108" s="0" t="n">
        <v>10</v>
      </c>
      <c r="F108" s="0" t="n">
        <v>0</v>
      </c>
      <c r="G108" s="0" t="n">
        <v>229</v>
      </c>
      <c r="H108" s="0" t="n">
        <v>220</v>
      </c>
      <c r="I108" s="0" t="n">
        <v>1</v>
      </c>
      <c r="J108" s="0" t="n">
        <v>16</v>
      </c>
      <c r="K108" s="0" t="n">
        <v>0.4</v>
      </c>
      <c r="L108" s="0" t="n">
        <v>540236</v>
      </c>
      <c r="M108" s="0" t="n">
        <v>18992</v>
      </c>
    </row>
    <row r="109" customFormat="false" ht="13.5" hidden="false" customHeight="false" outlineLevel="0" collapsed="false">
      <c r="A109" s="0" t="s">
        <v>109</v>
      </c>
      <c r="B109" s="1" t="n">
        <v>43969</v>
      </c>
      <c r="C109" s="0" t="n">
        <v>504</v>
      </c>
      <c r="D109" s="0" t="n">
        <v>45</v>
      </c>
      <c r="E109" s="0" t="n">
        <v>10</v>
      </c>
      <c r="F109" s="0" t="n">
        <v>0</v>
      </c>
      <c r="G109" s="0" t="n">
        <v>241</v>
      </c>
      <c r="H109" s="0" t="n">
        <v>253</v>
      </c>
      <c r="I109" s="0" t="n">
        <v>1</v>
      </c>
      <c r="J109" s="0" t="n">
        <v>18</v>
      </c>
      <c r="K109" s="0" t="n">
        <v>0.4</v>
      </c>
      <c r="L109" s="0" t="n">
        <v>540236</v>
      </c>
      <c r="M109" s="0" t="n">
        <v>18992</v>
      </c>
    </row>
    <row r="110" customFormat="false" ht="13.5" hidden="false" customHeight="false" outlineLevel="0" collapsed="false">
      <c r="A110" s="0" t="s">
        <v>109</v>
      </c>
      <c r="B110" s="1" t="n">
        <v>43970</v>
      </c>
      <c r="C110" s="0" t="n">
        <v>541</v>
      </c>
      <c r="D110" s="0" t="n">
        <v>37</v>
      </c>
      <c r="E110" s="0" t="n">
        <v>10</v>
      </c>
      <c r="F110" s="0" t="n">
        <v>0</v>
      </c>
      <c r="G110" s="0" t="n">
        <v>241</v>
      </c>
      <c r="H110" s="0" t="n">
        <v>290</v>
      </c>
      <c r="I110" s="0" t="n">
        <v>1</v>
      </c>
      <c r="J110" s="0" t="n">
        <v>19</v>
      </c>
      <c r="K110" s="0" t="n">
        <v>0.4</v>
      </c>
      <c r="L110" s="0" t="n">
        <v>575374</v>
      </c>
      <c r="M110" s="0" t="n">
        <v>20227</v>
      </c>
    </row>
    <row r="111" customFormat="false" ht="13.5" hidden="false" customHeight="false" outlineLevel="0" collapsed="false">
      <c r="A111" s="0" t="s">
        <v>109</v>
      </c>
      <c r="B111" s="1" t="n">
        <v>43971</v>
      </c>
      <c r="C111" s="0" t="n">
        <v>618</v>
      </c>
      <c r="D111" s="0" t="n">
        <v>77</v>
      </c>
      <c r="E111" s="0" t="n">
        <v>10</v>
      </c>
      <c r="F111" s="0" t="n">
        <v>0</v>
      </c>
      <c r="G111" s="0" t="n">
        <v>253</v>
      </c>
      <c r="H111" s="0" t="n">
        <v>355</v>
      </c>
      <c r="I111" s="0" t="n">
        <v>1</v>
      </c>
      <c r="J111" s="0" t="n">
        <v>22</v>
      </c>
      <c r="K111" s="0" t="n">
        <v>0.4</v>
      </c>
      <c r="L111" s="0" t="n">
        <v>581082</v>
      </c>
      <c r="M111" s="0" t="n">
        <v>20428</v>
      </c>
    </row>
    <row r="112" customFormat="false" ht="13.5" hidden="false" customHeight="false" outlineLevel="0" collapsed="false">
      <c r="A112" s="0" t="s">
        <v>109</v>
      </c>
      <c r="B112" s="1" t="n">
        <v>43972</v>
      </c>
      <c r="C112" s="0" t="n">
        <v>749</v>
      </c>
      <c r="D112" s="0" t="n">
        <v>131</v>
      </c>
      <c r="E112" s="0" t="n">
        <v>10</v>
      </c>
      <c r="F112" s="0" t="n">
        <v>0</v>
      </c>
      <c r="G112" s="0" t="n">
        <v>253</v>
      </c>
      <c r="H112" s="0" t="n">
        <v>486</v>
      </c>
      <c r="I112" s="0" t="n">
        <v>1</v>
      </c>
      <c r="J112" s="0" t="n">
        <v>26</v>
      </c>
      <c r="K112" s="0" t="n">
        <v>0.4</v>
      </c>
      <c r="L112" s="0" t="n">
        <v>616562</v>
      </c>
      <c r="M112" s="0" t="n">
        <v>21676</v>
      </c>
    </row>
    <row r="113" customFormat="false" ht="13.5" hidden="false" customHeight="false" outlineLevel="0" collapsed="false">
      <c r="A113" s="0" t="s">
        <v>109</v>
      </c>
      <c r="B113" s="1" t="n">
        <v>43973</v>
      </c>
      <c r="C113" s="0" t="n">
        <v>824</v>
      </c>
      <c r="D113" s="0" t="n">
        <v>75</v>
      </c>
      <c r="E113" s="0" t="n">
        <v>10</v>
      </c>
      <c r="F113" s="0" t="n">
        <v>0</v>
      </c>
      <c r="G113" s="0" t="n">
        <v>262</v>
      </c>
      <c r="H113" s="0" t="n">
        <v>552</v>
      </c>
      <c r="I113" s="0" t="n">
        <v>1</v>
      </c>
      <c r="J113" s="0" t="n">
        <v>29</v>
      </c>
      <c r="K113" s="0" t="n">
        <v>0.4</v>
      </c>
      <c r="L113" s="0" t="n">
        <v>616562</v>
      </c>
      <c r="M113" s="0" t="n">
        <v>21676</v>
      </c>
    </row>
    <row r="114" customFormat="false" ht="13.5" hidden="false" customHeight="false" outlineLevel="0" collapsed="false">
      <c r="A114" s="0" t="s">
        <v>109</v>
      </c>
      <c r="B114" s="1" t="n">
        <v>43974</v>
      </c>
      <c r="C114" s="0" t="n">
        <v>882</v>
      </c>
      <c r="D114" s="0" t="n">
        <v>58</v>
      </c>
      <c r="E114" s="0" t="n">
        <v>10</v>
      </c>
      <c r="F114" s="0" t="n">
        <v>0</v>
      </c>
      <c r="G114" s="0" t="n">
        <v>262</v>
      </c>
      <c r="H114" s="0" t="n">
        <v>610</v>
      </c>
      <c r="I114" s="0" t="n">
        <v>2</v>
      </c>
      <c r="J114" s="0" t="n">
        <v>31</v>
      </c>
      <c r="K114" s="0" t="n">
        <v>0.4</v>
      </c>
      <c r="L114" s="0" t="n">
        <v>697691</v>
      </c>
      <c r="M114" s="0" t="n">
        <v>24528</v>
      </c>
    </row>
    <row r="115" customFormat="false" ht="13.5" hidden="false" customHeight="false" outlineLevel="0" collapsed="false">
      <c r="A115" s="0" t="s">
        <v>109</v>
      </c>
      <c r="B115" s="1" t="n">
        <v>43975</v>
      </c>
      <c r="C115" s="0" t="n">
        <v>944</v>
      </c>
      <c r="D115" s="0" t="n">
        <v>62</v>
      </c>
      <c r="E115" s="0" t="n">
        <v>10</v>
      </c>
      <c r="F115" s="0" t="n">
        <v>0</v>
      </c>
      <c r="G115" s="0" t="n">
        <v>262</v>
      </c>
      <c r="H115" s="0" t="n">
        <v>672</v>
      </c>
      <c r="I115" s="0" t="n">
        <v>2</v>
      </c>
      <c r="J115" s="0" t="n">
        <v>33</v>
      </c>
      <c r="K115" s="0" t="n">
        <v>0.4</v>
      </c>
      <c r="L115" s="0" t="n">
        <v>735426</v>
      </c>
      <c r="M115" s="0" t="n">
        <v>25855</v>
      </c>
    </row>
    <row r="116" customFormat="false" ht="13.5" hidden="false" customHeight="false" outlineLevel="0" collapsed="false">
      <c r="A116" s="0" t="s">
        <v>109</v>
      </c>
      <c r="B116" s="1" t="n">
        <v>43976</v>
      </c>
      <c r="C116" s="0" t="n">
        <v>1010</v>
      </c>
      <c r="D116" s="0" t="n">
        <v>66</v>
      </c>
      <c r="E116" s="0" t="n">
        <v>10</v>
      </c>
      <c r="F116" s="0" t="n">
        <v>0</v>
      </c>
      <c r="G116" s="0" t="n">
        <v>262</v>
      </c>
      <c r="H116" s="0" t="n">
        <v>738</v>
      </c>
      <c r="I116" s="0" t="n">
        <v>2</v>
      </c>
      <c r="J116" s="0" t="n">
        <v>36</v>
      </c>
      <c r="K116" s="0" t="n">
        <v>0.4</v>
      </c>
      <c r="L116" s="0" t="n">
        <v>771276</v>
      </c>
      <c r="M116" s="0" t="n">
        <v>27116</v>
      </c>
    </row>
    <row r="117" customFormat="false" ht="13.5" hidden="false" customHeight="false" outlineLevel="0" collapsed="false">
      <c r="A117" s="0" t="s">
        <v>109</v>
      </c>
      <c r="B117" s="1" t="n">
        <v>43977</v>
      </c>
      <c r="C117" s="0" t="n">
        <v>1121</v>
      </c>
      <c r="D117" s="0" t="n">
        <v>111</v>
      </c>
      <c r="E117" s="0" t="n">
        <v>10</v>
      </c>
      <c r="F117" s="0" t="n">
        <v>0</v>
      </c>
      <c r="G117" s="0" t="n">
        <v>262</v>
      </c>
      <c r="H117" s="0" t="n">
        <v>849</v>
      </c>
      <c r="I117" s="0" t="n">
        <v>2</v>
      </c>
      <c r="J117" s="0" t="n">
        <v>39</v>
      </c>
      <c r="K117" s="0" t="n">
        <v>0.4</v>
      </c>
      <c r="L117" s="0" t="n">
        <v>804004</v>
      </c>
      <c r="M117" s="0" t="n">
        <v>28266</v>
      </c>
    </row>
    <row r="118" customFormat="false" ht="13.5" hidden="false" customHeight="false" outlineLevel="0" collapsed="false">
      <c r="A118" s="0" t="s">
        <v>109</v>
      </c>
      <c r="B118" s="1" t="n">
        <v>43978</v>
      </c>
      <c r="C118" s="0" t="n">
        <v>1177</v>
      </c>
      <c r="D118" s="0" t="n">
        <v>56</v>
      </c>
      <c r="E118" s="0" t="n">
        <v>10</v>
      </c>
      <c r="F118" s="0" t="n">
        <v>0</v>
      </c>
      <c r="G118" s="0" t="n">
        <v>302</v>
      </c>
      <c r="H118" s="0" t="n">
        <v>865</v>
      </c>
      <c r="I118" s="0" t="n">
        <v>2</v>
      </c>
      <c r="J118" s="0" t="n">
        <v>41</v>
      </c>
      <c r="K118" s="0" t="n">
        <v>0.4</v>
      </c>
      <c r="L118" s="0" t="n">
        <v>832526</v>
      </c>
      <c r="M118" s="0" t="n">
        <v>29269</v>
      </c>
    </row>
    <row r="119" customFormat="false" ht="13.5" hidden="false" customHeight="false" outlineLevel="0" collapsed="false">
      <c r="A119" s="0" t="s">
        <v>109</v>
      </c>
      <c r="B119" s="1" t="n">
        <v>43979</v>
      </c>
      <c r="C119" s="0" t="n">
        <v>1245</v>
      </c>
      <c r="D119" s="0" t="n">
        <v>68</v>
      </c>
      <c r="E119" s="0" t="n">
        <v>11</v>
      </c>
      <c r="F119" s="0" t="n">
        <v>1</v>
      </c>
      <c r="G119" s="0" t="n">
        <v>302</v>
      </c>
      <c r="H119" s="0" t="n">
        <v>932</v>
      </c>
      <c r="I119" s="0" t="n">
        <v>2</v>
      </c>
      <c r="J119" s="0" t="n">
        <v>44</v>
      </c>
      <c r="K119" s="0" t="n">
        <v>0.4</v>
      </c>
      <c r="L119" s="0" t="n">
        <v>865367</v>
      </c>
      <c r="M119" s="0" t="n">
        <v>30424</v>
      </c>
    </row>
    <row r="120" customFormat="false" ht="13.5" hidden="false" customHeight="false" outlineLevel="0" collapsed="false">
      <c r="A120" s="0" t="s">
        <v>109</v>
      </c>
      <c r="B120" s="1" t="n">
        <v>43980</v>
      </c>
      <c r="C120" s="0" t="n">
        <v>1245</v>
      </c>
      <c r="D120" s="0" t="n">
        <v>0</v>
      </c>
      <c r="E120" s="0" t="n">
        <v>11</v>
      </c>
      <c r="F120" s="0" t="n">
        <v>0</v>
      </c>
      <c r="G120" s="0" t="n">
        <v>302</v>
      </c>
      <c r="H120" s="0" t="n">
        <v>932</v>
      </c>
      <c r="I120" s="0" t="n">
        <v>4</v>
      </c>
      <c r="J120" s="0" t="n">
        <v>44</v>
      </c>
      <c r="K120" s="0" t="n">
        <v>0.4</v>
      </c>
      <c r="L120" s="0" t="n">
        <v>897695</v>
      </c>
      <c r="M120" s="0" t="n">
        <v>31561</v>
      </c>
    </row>
    <row r="121" customFormat="false" ht="13.5" hidden="false" customHeight="false" outlineLevel="0" collapsed="false">
      <c r="A121" s="0" t="s">
        <v>109</v>
      </c>
      <c r="B121" s="1" t="n">
        <v>43981</v>
      </c>
      <c r="C121" s="0" t="n">
        <v>1327</v>
      </c>
      <c r="D121" s="0" t="n">
        <v>82</v>
      </c>
      <c r="E121" s="0" t="n">
        <v>11</v>
      </c>
      <c r="F121" s="0" t="n">
        <v>0</v>
      </c>
      <c r="G121" s="0" t="n">
        <v>302</v>
      </c>
      <c r="H121" s="0" t="n">
        <v>1014</v>
      </c>
      <c r="I121" s="0" t="n">
        <v>4</v>
      </c>
      <c r="J121" s="0" t="n">
        <v>47</v>
      </c>
      <c r="K121" s="0" t="n">
        <v>0.4</v>
      </c>
      <c r="L121" s="0" t="n">
        <v>897695</v>
      </c>
      <c r="M121" s="0" t="n">
        <v>31561</v>
      </c>
    </row>
    <row r="122" customFormat="false" ht="13.5" hidden="false" customHeight="false" outlineLevel="0" collapsed="false">
      <c r="A122" s="0" t="s">
        <v>109</v>
      </c>
      <c r="B122" s="1" t="n">
        <v>43982</v>
      </c>
      <c r="C122" s="0" t="n">
        <v>1370</v>
      </c>
      <c r="D122" s="0" t="n">
        <v>43</v>
      </c>
      <c r="E122" s="0" t="n">
        <v>14</v>
      </c>
      <c r="F122" s="0" t="n">
        <v>3</v>
      </c>
      <c r="G122" s="0" t="n">
        <v>302</v>
      </c>
      <c r="H122" s="0" t="n">
        <v>1054</v>
      </c>
      <c r="I122" s="0" t="n">
        <v>3</v>
      </c>
      <c r="J122" s="0" t="n">
        <v>48</v>
      </c>
      <c r="K122" s="0" t="n">
        <v>0.5</v>
      </c>
      <c r="L122" s="0" t="n">
        <v>961899</v>
      </c>
      <c r="M122" s="0" t="n">
        <v>33819</v>
      </c>
    </row>
    <row r="123" customFormat="false" ht="13.5" hidden="false" customHeight="false" outlineLevel="0" collapsed="false">
      <c r="A123" s="0" t="s">
        <v>109</v>
      </c>
      <c r="B123" s="1" t="n">
        <v>43983</v>
      </c>
      <c r="C123" s="0" t="n">
        <v>1459</v>
      </c>
      <c r="D123" s="0" t="n">
        <v>89</v>
      </c>
      <c r="E123" s="0" t="n">
        <v>14</v>
      </c>
      <c r="F123" s="0" t="n">
        <v>0</v>
      </c>
      <c r="G123" s="0" t="n">
        <v>302</v>
      </c>
      <c r="H123" s="0" t="n">
        <v>1143</v>
      </c>
      <c r="I123" s="0" t="n">
        <v>3</v>
      </c>
      <c r="J123" s="0" t="n">
        <v>51</v>
      </c>
      <c r="K123" s="0" t="n">
        <v>0.5</v>
      </c>
      <c r="L123" s="0" t="n">
        <v>970394</v>
      </c>
      <c r="M123" s="0" t="n">
        <v>34118</v>
      </c>
    </row>
    <row r="124" customFormat="false" ht="13.5" hidden="false" customHeight="false" outlineLevel="0" collapsed="false">
      <c r="A124" s="0" t="s">
        <v>109</v>
      </c>
      <c r="B124" s="1" t="n">
        <v>43984</v>
      </c>
      <c r="C124" s="0" t="n">
        <v>1510</v>
      </c>
      <c r="D124" s="0" t="n">
        <v>51</v>
      </c>
      <c r="E124" s="0" t="n">
        <v>14</v>
      </c>
      <c r="F124" s="0" t="n">
        <v>0</v>
      </c>
      <c r="G124" s="0" t="n">
        <v>302</v>
      </c>
      <c r="H124" s="0" t="n">
        <v>1194</v>
      </c>
      <c r="I124" s="0" t="n">
        <v>3</v>
      </c>
      <c r="J124" s="0" t="n">
        <v>53</v>
      </c>
      <c r="K124" s="0" t="n">
        <v>0.5</v>
      </c>
      <c r="L124" s="0" t="n">
        <v>975825</v>
      </c>
      <c r="M124" s="0" t="n">
        <v>34309</v>
      </c>
    </row>
    <row r="125" customFormat="false" ht="13.5" hidden="false" customHeight="false" outlineLevel="0" collapsed="false">
      <c r="A125" s="0" t="s">
        <v>109</v>
      </c>
      <c r="B125" s="1" t="n">
        <v>43985</v>
      </c>
      <c r="C125" s="0" t="n">
        <v>1662</v>
      </c>
      <c r="D125" s="0" t="n">
        <v>152</v>
      </c>
      <c r="E125" s="0" t="n">
        <v>17</v>
      </c>
      <c r="F125" s="0" t="n">
        <v>3</v>
      </c>
      <c r="G125" s="0" t="n">
        <v>302</v>
      </c>
      <c r="H125" s="0" t="n">
        <v>1343</v>
      </c>
      <c r="I125" s="0" t="n">
        <v>3</v>
      </c>
      <c r="J125" s="0" t="n">
        <v>58</v>
      </c>
      <c r="K125" s="0" t="n">
        <v>0.6</v>
      </c>
      <c r="L125" s="0" t="n">
        <v>975825</v>
      </c>
      <c r="M125" s="0" t="n">
        <v>34309</v>
      </c>
    </row>
    <row r="126" customFormat="false" ht="13.5" hidden="false" customHeight="false" outlineLevel="0" collapsed="false">
      <c r="A126" s="0" t="s">
        <v>109</v>
      </c>
      <c r="B126" s="1" t="n">
        <v>43986</v>
      </c>
      <c r="C126" s="0" t="n">
        <v>1819</v>
      </c>
      <c r="D126" s="0" t="n">
        <v>157</v>
      </c>
      <c r="E126" s="0" t="n">
        <v>18</v>
      </c>
      <c r="F126" s="0" t="n">
        <v>1</v>
      </c>
      <c r="G126" s="0" t="n">
        <v>334</v>
      </c>
      <c r="H126" s="0" t="n">
        <v>1467</v>
      </c>
      <c r="I126" s="0" t="n">
        <v>0</v>
      </c>
      <c r="J126" s="0" t="n">
        <v>64</v>
      </c>
      <c r="K126" s="0" t="n">
        <v>0.6</v>
      </c>
      <c r="L126" s="0" t="n">
        <v>987902</v>
      </c>
      <c r="M126" s="0" t="n">
        <v>34734</v>
      </c>
    </row>
    <row r="127" customFormat="false" ht="13.5" hidden="false" customHeight="false" outlineLevel="0" collapsed="false">
      <c r="A127" s="0" t="s">
        <v>109</v>
      </c>
      <c r="B127" s="1" t="n">
        <v>43987</v>
      </c>
      <c r="C127" s="0" t="n">
        <v>1952</v>
      </c>
      <c r="D127" s="0" t="n">
        <v>133</v>
      </c>
      <c r="E127" s="0" t="n">
        <v>20</v>
      </c>
      <c r="F127" s="0" t="n">
        <v>2</v>
      </c>
      <c r="G127" s="0" t="n">
        <v>334</v>
      </c>
      <c r="H127" s="0" t="n">
        <v>1598</v>
      </c>
      <c r="I127" s="0" t="n">
        <v>0</v>
      </c>
      <c r="J127" s="0" t="n">
        <v>69</v>
      </c>
      <c r="K127" s="0" t="n">
        <v>0.7</v>
      </c>
      <c r="L127" s="0" t="n">
        <v>995522</v>
      </c>
      <c r="M127" s="0" t="n">
        <v>35002</v>
      </c>
    </row>
    <row r="128" customFormat="false" ht="13.5" hidden="false" customHeight="false" outlineLevel="0" collapsed="false">
      <c r="A128" s="0" t="s">
        <v>109</v>
      </c>
      <c r="B128" s="1" t="n">
        <v>43988</v>
      </c>
      <c r="C128" s="0" t="n">
        <v>2087</v>
      </c>
      <c r="D128" s="0" t="n">
        <v>135</v>
      </c>
      <c r="E128" s="0" t="n">
        <v>20</v>
      </c>
      <c r="F128" s="0" t="n">
        <v>0</v>
      </c>
      <c r="G128" s="0" t="n">
        <v>334</v>
      </c>
      <c r="H128" s="0" t="n">
        <v>1733</v>
      </c>
      <c r="I128" s="0" t="n">
        <v>0</v>
      </c>
      <c r="J128" s="0" t="n">
        <v>73</v>
      </c>
      <c r="K128" s="0" t="n">
        <v>0.7</v>
      </c>
      <c r="L128" s="0" t="n">
        <v>995522</v>
      </c>
      <c r="M128" s="0" t="n">
        <v>35003</v>
      </c>
    </row>
    <row r="129" customFormat="false" ht="13.5" hidden="false" customHeight="false" outlineLevel="0" collapsed="false">
      <c r="A129" s="0" t="s">
        <v>109</v>
      </c>
      <c r="B129" s="1" t="n">
        <v>43989</v>
      </c>
      <c r="C129" s="0" t="n">
        <v>2145</v>
      </c>
      <c r="D129" s="0" t="n">
        <v>58</v>
      </c>
      <c r="E129" s="0" t="n">
        <v>20</v>
      </c>
      <c r="F129" s="0" t="n">
        <v>0</v>
      </c>
      <c r="G129" s="0" t="n">
        <v>334</v>
      </c>
      <c r="H129" s="0" t="n">
        <v>1791</v>
      </c>
      <c r="I129" s="0" t="n">
        <v>0</v>
      </c>
      <c r="J129" s="0" t="n">
        <v>75</v>
      </c>
      <c r="K129" s="0" t="n">
        <v>0.7</v>
      </c>
      <c r="L129" s="0" t="n">
        <v>1009524</v>
      </c>
      <c r="M129" s="0" t="n">
        <v>35495</v>
      </c>
    </row>
    <row r="130" customFormat="false" ht="13.5" hidden="false" customHeight="false" outlineLevel="0" collapsed="false">
      <c r="A130" s="0" t="s">
        <v>109</v>
      </c>
      <c r="B130" s="1" t="n">
        <v>43990</v>
      </c>
      <c r="C130" s="0" t="n">
        <v>2316</v>
      </c>
      <c r="D130" s="0" t="n">
        <v>171</v>
      </c>
      <c r="E130" s="0" t="n">
        <v>22</v>
      </c>
      <c r="F130" s="0" t="n">
        <v>2</v>
      </c>
      <c r="G130" s="0" t="n">
        <v>385</v>
      </c>
      <c r="H130" s="0" t="n">
        <v>1909</v>
      </c>
      <c r="I130" s="0" t="n">
        <v>0</v>
      </c>
      <c r="J130" s="0" t="n">
        <v>81</v>
      </c>
      <c r="K130" s="0" t="n">
        <v>0.8</v>
      </c>
      <c r="L130" s="0" t="n">
        <v>1023269</v>
      </c>
      <c r="M130" s="0" t="n">
        <v>35979</v>
      </c>
    </row>
    <row r="131" customFormat="false" ht="13.5" hidden="false" customHeight="false" outlineLevel="0" collapsed="false">
      <c r="A131" s="0" t="s">
        <v>109</v>
      </c>
      <c r="B131" s="1" t="n">
        <v>43991</v>
      </c>
      <c r="C131" s="0" t="n">
        <v>2377</v>
      </c>
      <c r="D131" s="0" t="n">
        <v>61</v>
      </c>
      <c r="E131" s="0" t="n">
        <v>22</v>
      </c>
      <c r="F131" s="0" t="n">
        <v>0</v>
      </c>
      <c r="G131" s="0" t="n">
        <v>487</v>
      </c>
      <c r="H131" s="0" t="n">
        <v>1868</v>
      </c>
      <c r="I131" s="0" t="n">
        <v>0</v>
      </c>
      <c r="J131" s="0" t="n">
        <v>84</v>
      </c>
      <c r="K131" s="0" t="n">
        <v>0.8</v>
      </c>
      <c r="L131" s="0" t="n">
        <v>1343336</v>
      </c>
      <c r="M131" s="0" t="n">
        <v>47233</v>
      </c>
    </row>
    <row r="132" customFormat="false" ht="13.5" hidden="false" customHeight="false" outlineLevel="0" collapsed="false">
      <c r="A132" s="0" t="s">
        <v>109</v>
      </c>
      <c r="B132" s="1" t="n">
        <v>43992</v>
      </c>
      <c r="C132" s="0" t="n">
        <v>2473</v>
      </c>
      <c r="D132" s="0" t="n">
        <v>96</v>
      </c>
      <c r="E132" s="0" t="n">
        <v>22</v>
      </c>
      <c r="F132" s="0" t="n">
        <v>0</v>
      </c>
      <c r="G132" s="0" t="n">
        <v>487</v>
      </c>
      <c r="H132" s="0" t="n">
        <v>1964</v>
      </c>
      <c r="I132" s="0" t="n">
        <v>0</v>
      </c>
      <c r="J132" s="0" t="n">
        <v>87</v>
      </c>
      <c r="K132" s="0" t="n">
        <v>0.8</v>
      </c>
      <c r="L132" s="0" t="n">
        <v>1343336</v>
      </c>
      <c r="M132" s="0" t="n">
        <v>47233</v>
      </c>
    </row>
    <row r="133" customFormat="false" ht="13.5" hidden="false" customHeight="false" outlineLevel="0" collapsed="false">
      <c r="A133" s="0" t="s">
        <v>109</v>
      </c>
      <c r="B133" s="1" t="n">
        <v>43993</v>
      </c>
      <c r="C133" s="0" t="n">
        <v>2632</v>
      </c>
      <c r="D133" s="0" t="n">
        <v>159</v>
      </c>
      <c r="E133" s="0" t="n">
        <v>23</v>
      </c>
      <c r="F133" s="0" t="n">
        <v>1</v>
      </c>
      <c r="G133" s="0" t="n">
        <v>487</v>
      </c>
      <c r="H133" s="0" t="n">
        <v>2122</v>
      </c>
      <c r="I133" s="0" t="n">
        <v>1</v>
      </c>
      <c r="J133" s="0" t="n">
        <v>93</v>
      </c>
      <c r="K133" s="0" t="n">
        <v>0.8</v>
      </c>
      <c r="L133" s="0" t="n">
        <v>1046118</v>
      </c>
      <c r="M133" s="0" t="n">
        <v>36783</v>
      </c>
    </row>
    <row r="134" customFormat="false" ht="13.5" hidden="false" customHeight="false" outlineLevel="0" collapsed="false">
      <c r="A134" s="0" t="s">
        <v>109</v>
      </c>
      <c r="B134" s="1" t="n">
        <v>43994</v>
      </c>
      <c r="C134" s="0" t="n">
        <v>2738</v>
      </c>
      <c r="D134" s="0" t="n">
        <v>106</v>
      </c>
      <c r="E134" s="0" t="n">
        <v>23</v>
      </c>
      <c r="F134" s="0" t="n">
        <v>0</v>
      </c>
      <c r="G134" s="0" t="n">
        <v>487</v>
      </c>
      <c r="H134" s="0" t="n">
        <v>2228</v>
      </c>
      <c r="I134" s="0" t="n">
        <v>1</v>
      </c>
      <c r="J134" s="0" t="n">
        <v>96</v>
      </c>
      <c r="K134" s="0" t="n">
        <v>0.8</v>
      </c>
      <c r="L134" s="0" t="n">
        <v>1053417</v>
      </c>
      <c r="M134" s="0" t="n">
        <v>37040</v>
      </c>
    </row>
    <row r="135" customFormat="false" ht="13.5" hidden="false" customHeight="false" outlineLevel="0" collapsed="false">
      <c r="A135" s="0" t="s">
        <v>109</v>
      </c>
      <c r="B135" s="1" t="n">
        <v>43995</v>
      </c>
      <c r="C135" s="0" t="n">
        <v>2814</v>
      </c>
      <c r="D135" s="0" t="n">
        <v>76</v>
      </c>
      <c r="E135" s="0" t="n">
        <v>23</v>
      </c>
      <c r="F135" s="0" t="n">
        <v>0</v>
      </c>
      <c r="G135" s="0" t="n">
        <v>487</v>
      </c>
      <c r="H135" s="0" t="n">
        <v>2304</v>
      </c>
      <c r="I135" s="0" t="n">
        <v>1</v>
      </c>
      <c r="J135" s="0" t="n">
        <v>99</v>
      </c>
      <c r="K135" s="0" t="n">
        <v>0.8</v>
      </c>
      <c r="L135" s="0" t="n">
        <v>1053417</v>
      </c>
      <c r="M135" s="0" t="n">
        <v>37040</v>
      </c>
    </row>
    <row r="136" customFormat="false" ht="13.5" hidden="false" customHeight="false" outlineLevel="0" collapsed="false">
      <c r="A136" s="0" t="s">
        <v>109</v>
      </c>
      <c r="B136" s="1" t="n">
        <v>43996</v>
      </c>
      <c r="C136" s="0" t="n">
        <v>2879</v>
      </c>
      <c r="D136" s="0" t="n">
        <v>65</v>
      </c>
      <c r="E136" s="0" t="n">
        <v>23</v>
      </c>
      <c r="F136" s="0" t="n">
        <v>0</v>
      </c>
      <c r="G136" s="0" t="n">
        <v>487</v>
      </c>
      <c r="H136" s="0" t="n">
        <v>2369</v>
      </c>
      <c r="I136" s="0" t="n">
        <v>1</v>
      </c>
      <c r="J136" s="0" t="n">
        <v>101</v>
      </c>
      <c r="K136" s="0" t="n">
        <v>0.8</v>
      </c>
      <c r="L136" s="0" t="n">
        <v>1066791</v>
      </c>
      <c r="M136" s="0" t="n">
        <v>37511</v>
      </c>
    </row>
    <row r="137" customFormat="false" ht="13.5" hidden="false" customHeight="false" outlineLevel="0" collapsed="false">
      <c r="A137" s="0" t="s">
        <v>109</v>
      </c>
      <c r="B137" s="1" t="n">
        <v>43997</v>
      </c>
      <c r="C137" s="0" t="n">
        <v>2904</v>
      </c>
      <c r="D137" s="0" t="n">
        <v>25</v>
      </c>
      <c r="E137" s="0" t="n">
        <v>24</v>
      </c>
      <c r="F137" s="0" t="n">
        <v>1</v>
      </c>
      <c r="G137" s="0" t="n">
        <v>487</v>
      </c>
      <c r="H137" s="0" t="n">
        <v>2393</v>
      </c>
      <c r="I137" s="0" t="n">
        <v>1</v>
      </c>
      <c r="J137" s="0" t="n">
        <v>102</v>
      </c>
      <c r="K137" s="0" t="n">
        <v>0.8</v>
      </c>
      <c r="L137" s="0" t="n">
        <v>1066791</v>
      </c>
      <c r="M137" s="0" t="n">
        <v>37511</v>
      </c>
    </row>
    <row r="138" customFormat="false" ht="13.5" hidden="false" customHeight="false" outlineLevel="0" collapsed="false">
      <c r="A138" s="0" t="s">
        <v>109</v>
      </c>
      <c r="B138" s="1" t="n">
        <v>43998</v>
      </c>
      <c r="C138" s="0" t="n">
        <v>3062</v>
      </c>
      <c r="D138" s="0" t="n">
        <v>158</v>
      </c>
      <c r="E138" s="0" t="n">
        <v>26</v>
      </c>
      <c r="F138" s="0" t="n">
        <v>2</v>
      </c>
      <c r="G138" s="0" t="n">
        <v>835</v>
      </c>
      <c r="H138" s="0" t="n">
        <v>2201</v>
      </c>
      <c r="I138" s="0" t="n">
        <v>5</v>
      </c>
      <c r="J138" s="0" t="n">
        <v>108</v>
      </c>
      <c r="K138" s="0" t="n">
        <v>0.9</v>
      </c>
      <c r="L138" s="0" t="n">
        <v>1081542</v>
      </c>
      <c r="M138" s="0" t="n">
        <v>38030</v>
      </c>
    </row>
    <row r="139" customFormat="false" ht="13.5" hidden="false" customHeight="false" outlineLevel="0" collapsed="false">
      <c r="A139" s="0" t="s">
        <v>109</v>
      </c>
      <c r="B139" s="1" t="n">
        <v>43999</v>
      </c>
      <c r="C139" s="0" t="n">
        <v>3062</v>
      </c>
      <c r="D139" s="0" t="n">
        <v>0</v>
      </c>
      <c r="E139" s="0" t="n">
        <v>26</v>
      </c>
      <c r="F139" s="0" t="n">
        <v>0</v>
      </c>
      <c r="G139" s="0" t="n">
        <v>835</v>
      </c>
      <c r="H139" s="0" t="n">
        <v>2201</v>
      </c>
      <c r="I139" s="0" t="n">
        <v>5</v>
      </c>
      <c r="J139" s="0" t="n">
        <v>108</v>
      </c>
      <c r="K139" s="0" t="n">
        <v>0.9</v>
      </c>
      <c r="L139" s="0" t="n">
        <v>1081542</v>
      </c>
      <c r="M139" s="0" t="n">
        <v>38030</v>
      </c>
    </row>
    <row r="140" customFormat="false" ht="13.5" hidden="false" customHeight="false" outlineLevel="0" collapsed="false">
      <c r="A140" s="0" t="s">
        <v>109</v>
      </c>
      <c r="B140" s="1" t="n">
        <v>44000</v>
      </c>
      <c r="C140" s="0" t="n">
        <v>3150</v>
      </c>
      <c r="D140" s="0" t="n">
        <v>88</v>
      </c>
      <c r="E140" s="0" t="n">
        <v>27</v>
      </c>
      <c r="F140" s="0" t="n">
        <v>1</v>
      </c>
      <c r="G140" s="0" t="n">
        <v>835</v>
      </c>
      <c r="H140" s="0" t="n">
        <v>2288</v>
      </c>
      <c r="I140" s="0" t="n">
        <v>5</v>
      </c>
      <c r="J140" s="0" t="n">
        <v>111</v>
      </c>
      <c r="K140" s="0" t="n">
        <v>0.9</v>
      </c>
      <c r="L140" s="0" t="n">
        <v>1081542</v>
      </c>
      <c r="M140" s="0" t="n">
        <v>38031</v>
      </c>
    </row>
    <row r="141" customFormat="false" ht="13.5" hidden="false" customHeight="false" outlineLevel="0" collapsed="false">
      <c r="A141" s="0" t="s">
        <v>109</v>
      </c>
      <c r="B141" s="1" t="n">
        <v>44001</v>
      </c>
      <c r="C141" s="0" t="n">
        <v>3386</v>
      </c>
      <c r="D141" s="0" t="n">
        <v>236</v>
      </c>
      <c r="E141" s="0" t="n">
        <v>28</v>
      </c>
      <c r="F141" s="0" t="n">
        <v>1</v>
      </c>
      <c r="G141" s="0" t="n">
        <v>835</v>
      </c>
      <c r="H141" s="0" t="n">
        <v>2523</v>
      </c>
      <c r="I141" s="0" t="n">
        <v>5</v>
      </c>
      <c r="J141" s="0" t="n">
        <v>119</v>
      </c>
      <c r="K141" s="0" t="n">
        <v>1</v>
      </c>
      <c r="L141" s="0" t="n">
        <v>1081542</v>
      </c>
      <c r="M141" s="0" t="n">
        <v>38031</v>
      </c>
    </row>
    <row r="142" customFormat="false" ht="13.5" hidden="false" customHeight="false" outlineLevel="0" collapsed="false">
      <c r="A142" s="0" t="s">
        <v>109</v>
      </c>
      <c r="B142" s="1" t="n">
        <v>44002</v>
      </c>
      <c r="C142" s="0" t="n">
        <v>3483</v>
      </c>
      <c r="D142" s="0" t="n">
        <v>97</v>
      </c>
      <c r="E142" s="0" t="n">
        <v>28</v>
      </c>
      <c r="F142" s="0" t="n">
        <v>0</v>
      </c>
      <c r="G142" s="0" t="n">
        <v>835</v>
      </c>
      <c r="H142" s="0" t="n">
        <v>2620</v>
      </c>
      <c r="I142" s="0" t="n">
        <v>5</v>
      </c>
      <c r="J142" s="0" t="n">
        <v>122</v>
      </c>
      <c r="K142" s="0" t="n">
        <v>1</v>
      </c>
      <c r="L142" s="0" t="n">
        <v>1104661</v>
      </c>
      <c r="M142" s="0" t="n">
        <v>38844</v>
      </c>
    </row>
    <row r="143" customFormat="false" ht="13.5" hidden="false" customHeight="false" outlineLevel="0" collapsed="false">
      <c r="A143" s="0" t="s">
        <v>109</v>
      </c>
      <c r="B143" s="1" t="n">
        <v>44003</v>
      </c>
      <c r="C143" s="0" t="n">
        <v>3591</v>
      </c>
      <c r="D143" s="0" t="n">
        <v>108</v>
      </c>
      <c r="E143" s="0" t="n">
        <v>30</v>
      </c>
      <c r="F143" s="0" t="n">
        <v>2</v>
      </c>
      <c r="G143" s="0" t="n">
        <v>835</v>
      </c>
      <c r="H143" s="0" t="n">
        <v>2726</v>
      </c>
      <c r="I143" s="0" t="n">
        <v>7</v>
      </c>
      <c r="J143" s="0" t="n">
        <v>126</v>
      </c>
      <c r="K143" s="0" t="n">
        <v>1</v>
      </c>
      <c r="L143" s="0" t="n">
        <v>1115041</v>
      </c>
      <c r="M143" s="0" t="n">
        <v>39210</v>
      </c>
    </row>
    <row r="144" customFormat="false" ht="13.5" hidden="false" customHeight="false" outlineLevel="0" collapsed="false">
      <c r="A144" s="0" t="s">
        <v>109</v>
      </c>
      <c r="B144" s="1" t="n">
        <v>44004</v>
      </c>
      <c r="C144" s="0" t="n">
        <v>3789</v>
      </c>
      <c r="D144" s="0" t="n">
        <v>198</v>
      </c>
      <c r="E144" s="0" t="n">
        <v>33</v>
      </c>
      <c r="F144" s="0" t="n">
        <v>3</v>
      </c>
      <c r="G144" s="0" t="n">
        <v>835</v>
      </c>
      <c r="H144" s="0" t="n">
        <v>2921</v>
      </c>
      <c r="I144" s="0" t="n">
        <v>6</v>
      </c>
      <c r="J144" s="0" t="n">
        <v>133</v>
      </c>
      <c r="K144" s="0" t="n">
        <v>1</v>
      </c>
      <c r="L144" s="0" t="n">
        <v>1129000</v>
      </c>
      <c r="M144" s="0" t="n">
        <v>39701</v>
      </c>
    </row>
    <row r="145" customFormat="false" ht="13.5" hidden="false" customHeight="false" outlineLevel="0" collapsed="false">
      <c r="A145" s="0" t="s">
        <v>109</v>
      </c>
      <c r="B145" s="1" t="n">
        <v>44005</v>
      </c>
      <c r="C145" s="0" t="n">
        <v>3917</v>
      </c>
      <c r="D145" s="0" t="n">
        <v>128</v>
      </c>
      <c r="E145" s="0" t="n">
        <v>33</v>
      </c>
      <c r="F145" s="0" t="n">
        <v>0</v>
      </c>
      <c r="G145" s="0" t="n">
        <v>835</v>
      </c>
      <c r="H145" s="0" t="n">
        <v>3049</v>
      </c>
      <c r="I145" s="0" t="n">
        <v>6</v>
      </c>
      <c r="J145" s="0" t="n">
        <v>138</v>
      </c>
      <c r="K145" s="0" t="n">
        <v>1</v>
      </c>
      <c r="L145" s="0" t="n">
        <v>1149315</v>
      </c>
      <c r="M145" s="0" t="n">
        <v>40415</v>
      </c>
    </row>
    <row r="146" customFormat="false" ht="13.5" hidden="false" customHeight="false" outlineLevel="0" collapsed="false">
      <c r="A146" s="0" t="s">
        <v>109</v>
      </c>
      <c r="B146" s="1" t="n">
        <v>44006</v>
      </c>
      <c r="C146" s="0" t="n">
        <v>4048</v>
      </c>
      <c r="D146" s="0" t="n">
        <v>131</v>
      </c>
      <c r="E146" s="0" t="n">
        <v>35</v>
      </c>
      <c r="F146" s="0" t="n">
        <v>2</v>
      </c>
      <c r="G146" s="0" t="n">
        <v>1327</v>
      </c>
      <c r="H146" s="0" t="n">
        <v>2686</v>
      </c>
      <c r="I146" s="0" t="n">
        <v>6</v>
      </c>
      <c r="J146" s="0" t="n">
        <v>142</v>
      </c>
      <c r="K146" s="0" t="n">
        <v>1</v>
      </c>
      <c r="L146" s="0" t="n">
        <v>1143648</v>
      </c>
      <c r="M146" s="0" t="n">
        <v>40216</v>
      </c>
    </row>
    <row r="147" customFormat="false" ht="13.5" hidden="false" customHeight="false" outlineLevel="0" collapsed="false">
      <c r="A147" s="0" t="s">
        <v>109</v>
      </c>
      <c r="B147" s="1" t="n">
        <v>44007</v>
      </c>
      <c r="C147" s="0" t="n">
        <v>4187</v>
      </c>
      <c r="D147" s="0" t="n">
        <v>139</v>
      </c>
      <c r="E147" s="0" t="n">
        <v>35</v>
      </c>
      <c r="F147" s="0" t="n">
        <v>0</v>
      </c>
      <c r="G147" s="0" t="n">
        <v>1327</v>
      </c>
      <c r="H147" s="0" t="n">
        <v>2825</v>
      </c>
      <c r="I147" s="0" t="n">
        <v>6</v>
      </c>
      <c r="J147" s="0" t="n">
        <v>147</v>
      </c>
      <c r="K147" s="0" t="n">
        <v>1</v>
      </c>
      <c r="L147" s="0" t="n">
        <v>1143648</v>
      </c>
      <c r="M147" s="0" t="n">
        <v>40217</v>
      </c>
    </row>
    <row r="148" customFormat="false" ht="13.5" hidden="false" customHeight="false" outlineLevel="0" collapsed="false">
      <c r="A148" s="0" t="s">
        <v>109</v>
      </c>
      <c r="B148" s="1" t="n">
        <v>44008</v>
      </c>
      <c r="C148" s="0" t="n">
        <v>4366</v>
      </c>
      <c r="D148" s="0" t="n">
        <v>179</v>
      </c>
      <c r="E148" s="0" t="n">
        <v>38</v>
      </c>
      <c r="F148" s="0" t="n">
        <v>3</v>
      </c>
      <c r="G148" s="0" t="n">
        <v>1327</v>
      </c>
      <c r="H148" s="0" t="n">
        <v>3001</v>
      </c>
      <c r="I148" s="0" t="n">
        <v>6</v>
      </c>
      <c r="J148" s="0" t="n">
        <v>154</v>
      </c>
      <c r="K148" s="0" t="n">
        <v>1</v>
      </c>
      <c r="L148" s="0" t="n">
        <v>1164315</v>
      </c>
      <c r="M148" s="0" t="n">
        <v>40944</v>
      </c>
    </row>
    <row r="149" customFormat="false" ht="13.5" hidden="false" customHeight="false" outlineLevel="0" collapsed="false">
      <c r="A149" s="0" t="s">
        <v>109</v>
      </c>
      <c r="B149" s="1" t="n">
        <v>44009</v>
      </c>
      <c r="C149" s="0" t="n">
        <v>4563</v>
      </c>
      <c r="D149" s="0" t="n">
        <v>197</v>
      </c>
      <c r="E149" s="0" t="n">
        <v>39</v>
      </c>
      <c r="F149" s="0" t="n">
        <v>1</v>
      </c>
      <c r="G149" s="0" t="n">
        <v>1327</v>
      </c>
      <c r="H149" s="0" t="n">
        <v>3197</v>
      </c>
      <c r="I149" s="0" t="n">
        <v>9</v>
      </c>
      <c r="J149" s="0" t="n">
        <v>160</v>
      </c>
      <c r="K149" s="0" t="n">
        <v>1</v>
      </c>
      <c r="L149" s="0" t="n">
        <v>1176146</v>
      </c>
      <c r="M149" s="0" t="n">
        <v>41360</v>
      </c>
    </row>
    <row r="150" customFormat="false" ht="13.5" hidden="false" customHeight="false" outlineLevel="0" collapsed="false">
      <c r="A150" s="0" t="s">
        <v>109</v>
      </c>
      <c r="B150" s="1" t="n">
        <v>44010</v>
      </c>
      <c r="C150" s="0" t="n">
        <v>4779</v>
      </c>
      <c r="D150" s="0" t="n">
        <v>216</v>
      </c>
      <c r="E150" s="0" t="n">
        <v>41</v>
      </c>
      <c r="F150" s="0" t="n">
        <v>2</v>
      </c>
      <c r="G150" s="0" t="n">
        <v>1327</v>
      </c>
      <c r="H150" s="0" t="n">
        <v>3411</v>
      </c>
      <c r="I150" s="0" t="n">
        <v>9</v>
      </c>
      <c r="J150" s="0" t="n">
        <v>168</v>
      </c>
      <c r="K150" s="0" t="n">
        <v>1</v>
      </c>
      <c r="L150" s="0" t="n">
        <v>1190307</v>
      </c>
      <c r="M150" s="0" t="n">
        <v>41858</v>
      </c>
    </row>
    <row r="151" customFormat="false" ht="13.5" hidden="false" customHeight="false" outlineLevel="0" collapsed="false">
      <c r="A151" s="0" t="s">
        <v>109</v>
      </c>
      <c r="B151" s="1" t="n">
        <v>44011</v>
      </c>
      <c r="C151" s="0" t="n">
        <v>5130</v>
      </c>
      <c r="D151" s="0" t="n">
        <v>351</v>
      </c>
      <c r="E151" s="0" t="n">
        <v>42</v>
      </c>
      <c r="F151" s="0" t="n">
        <v>1</v>
      </c>
      <c r="G151" s="0" t="n">
        <v>1327</v>
      </c>
      <c r="H151" s="0" t="n">
        <v>3761</v>
      </c>
      <c r="I151" s="0" t="n">
        <v>9</v>
      </c>
      <c r="J151" s="0" t="n">
        <v>180</v>
      </c>
      <c r="K151" s="0" t="n">
        <v>1</v>
      </c>
      <c r="L151" s="0" t="n">
        <v>1219651</v>
      </c>
      <c r="M151" s="0" t="n">
        <v>42891</v>
      </c>
    </row>
    <row r="152" customFormat="false" ht="13.5" hidden="false" customHeight="false" outlineLevel="0" collapsed="false">
      <c r="A152" s="0" t="s">
        <v>109</v>
      </c>
      <c r="B152" s="1" t="n">
        <v>44012</v>
      </c>
    </row>
    <row r="153" customFormat="false" ht="13.5" hidden="false" customHeight="false" outlineLevel="0" collapsed="false">
      <c r="A153" s="0" t="s">
        <v>109</v>
      </c>
      <c r="B153" s="1" t="n">
        <v>44013</v>
      </c>
    </row>
    <row r="154" customFormat="false" ht="13.5" hidden="false" customHeight="false" outlineLevel="0" collapsed="false">
      <c r="A154" s="0" t="s">
        <v>109</v>
      </c>
      <c r="B154" s="1" t="n">
        <v>44014</v>
      </c>
    </row>
    <row r="155" customFormat="false" ht="13.5" hidden="false" customHeight="false" outlineLevel="0" collapsed="false">
      <c r="A155" s="0" t="s">
        <v>109</v>
      </c>
      <c r="B155" s="1" t="n">
        <v>44015</v>
      </c>
    </row>
    <row r="156" customFormat="false" ht="13.5" hidden="false" customHeight="false" outlineLevel="0" collapsed="false">
      <c r="A156" s="0" t="s">
        <v>109</v>
      </c>
      <c r="B156" s="1" t="n">
        <v>44016</v>
      </c>
    </row>
    <row r="157" customFormat="false" ht="13.5" hidden="false" customHeight="false" outlineLevel="0" collapsed="false">
      <c r="A157" s="0" t="s">
        <v>109</v>
      </c>
      <c r="B157" s="1" t="n">
        <v>44017</v>
      </c>
    </row>
    <row r="158" customFormat="false" ht="13.5" hidden="false" customHeight="false" outlineLevel="0" collapsed="false">
      <c r="A158" s="0" t="s">
        <v>109</v>
      </c>
      <c r="B158" s="1" t="n">
        <v>44018</v>
      </c>
    </row>
    <row r="159" customFormat="false" ht="13.5" hidden="false" customHeight="false" outlineLevel="0" collapsed="false">
      <c r="A159" s="0" t="s">
        <v>109</v>
      </c>
      <c r="B159" s="1" t="n">
        <v>44019</v>
      </c>
    </row>
    <row r="160" customFormat="false" ht="13.5" hidden="false" customHeight="false" outlineLevel="0" collapsed="false">
      <c r="A160" s="0" t="s">
        <v>109</v>
      </c>
      <c r="B160" s="1" t="n">
        <v>44020</v>
      </c>
    </row>
    <row r="161" customFormat="false" ht="13.5" hidden="false" customHeight="false" outlineLevel="0" collapsed="false">
      <c r="A161" s="0" t="s">
        <v>109</v>
      </c>
      <c r="B161" s="1" t="n">
        <v>44021</v>
      </c>
    </row>
    <row r="162" customFormat="false" ht="13.5" hidden="false" customHeight="false" outlineLevel="0" collapsed="false">
      <c r="A162" s="0" t="s">
        <v>109</v>
      </c>
      <c r="B162" s="1" t="n">
        <v>44022</v>
      </c>
    </row>
    <row r="163" customFormat="false" ht="13.5" hidden="false" customHeight="false" outlineLevel="0" collapsed="false">
      <c r="A163" s="0" t="s">
        <v>109</v>
      </c>
      <c r="B163" s="1" t="n">
        <v>44023</v>
      </c>
    </row>
    <row r="164" customFormat="false" ht="13.5" hidden="false" customHeight="false" outlineLevel="0" collapsed="false">
      <c r="A164" s="0" t="s">
        <v>109</v>
      </c>
      <c r="B164" s="1" t="n">
        <v>44024</v>
      </c>
    </row>
    <row r="165" customFormat="false" ht="13.5" hidden="false" customHeight="false" outlineLevel="0" collapsed="false">
      <c r="A165" s="0" t="s">
        <v>109</v>
      </c>
      <c r="B165" s="1" t="n">
        <v>44025</v>
      </c>
    </row>
    <row r="166" customFormat="false" ht="13.5" hidden="false" customHeight="false" outlineLevel="0" collapsed="false">
      <c r="A166" s="0" t="s">
        <v>109</v>
      </c>
      <c r="B166" s="1" t="n">
        <v>44026</v>
      </c>
    </row>
    <row r="167" customFormat="false" ht="13.5" hidden="false" customHeight="false" outlineLevel="0" collapsed="false">
      <c r="A167" s="0" t="s">
        <v>109</v>
      </c>
      <c r="B167" s="1" t="n">
        <v>44027</v>
      </c>
    </row>
    <row r="168" customFormat="false" ht="13.5" hidden="false" customHeight="false" outlineLevel="0" collapsed="false">
      <c r="A168" s="0" t="s">
        <v>109</v>
      </c>
      <c r="B168" s="1" t="n">
        <v>44028</v>
      </c>
    </row>
    <row r="169" customFormat="false" ht="13.5" hidden="false" customHeight="false" outlineLevel="0" collapsed="false">
      <c r="A169" s="0" t="s">
        <v>109</v>
      </c>
      <c r="B169" s="1" t="n">
        <v>44029</v>
      </c>
    </row>
    <row r="170" customFormat="false" ht="13.5" hidden="false" customHeight="false" outlineLevel="0" collapsed="false">
      <c r="A170" s="0" t="s">
        <v>109</v>
      </c>
      <c r="B170" s="1" t="n">
        <v>44030</v>
      </c>
    </row>
    <row r="171" customFormat="false" ht="13.5" hidden="false" customHeight="false" outlineLevel="0" collapsed="false">
      <c r="A171" s="0" t="s">
        <v>109</v>
      </c>
      <c r="B171" s="1" t="n">
        <v>44031</v>
      </c>
    </row>
    <row r="172" customFormat="false" ht="13.5" hidden="false" customHeight="false" outlineLevel="0" collapsed="false">
      <c r="A172" s="0" t="s">
        <v>109</v>
      </c>
      <c r="B172" s="1" t="n">
        <v>44032</v>
      </c>
    </row>
    <row r="173" customFormat="false" ht="13.5" hidden="false" customHeight="false" outlineLevel="0" collapsed="false">
      <c r="A173" s="0" t="s">
        <v>109</v>
      </c>
      <c r="B173" s="1" t="n">
        <v>44033</v>
      </c>
    </row>
    <row r="174" customFormat="false" ht="13.5" hidden="false" customHeight="false" outlineLevel="0" collapsed="false">
      <c r="A174" s="0" t="s">
        <v>109</v>
      </c>
      <c r="B174" s="1" t="n">
        <v>44034</v>
      </c>
    </row>
    <row r="175" customFormat="false" ht="13.5" hidden="false" customHeight="false" outlineLevel="0" collapsed="false">
      <c r="A175" s="0" t="s">
        <v>109</v>
      </c>
      <c r="B175" s="1" t="n">
        <v>44035</v>
      </c>
    </row>
    <row r="176" customFormat="false" ht="13.5" hidden="false" customHeight="false" outlineLevel="0" collapsed="false">
      <c r="A176" s="0" t="s">
        <v>109</v>
      </c>
      <c r="B176" s="1" t="n">
        <v>44036</v>
      </c>
    </row>
    <row r="177" customFormat="false" ht="13.5" hidden="false" customHeight="false" outlineLevel="0" collapsed="false">
      <c r="A177" s="0" t="s">
        <v>109</v>
      </c>
      <c r="B177" s="1" t="n">
        <v>44037</v>
      </c>
    </row>
    <row r="178" customFormat="false" ht="13.5" hidden="false" customHeight="false" outlineLevel="0" collapsed="false">
      <c r="A178" s="0" t="s">
        <v>109</v>
      </c>
      <c r="B178" s="1" t="n">
        <v>44038</v>
      </c>
    </row>
    <row r="179" customFormat="false" ht="13.5" hidden="false" customHeight="false" outlineLevel="0" collapsed="false">
      <c r="A179" s="0" t="s">
        <v>109</v>
      </c>
      <c r="B179" s="1" t="n">
        <v>44039</v>
      </c>
    </row>
    <row r="180" customFormat="false" ht="13.5" hidden="false" customHeight="false" outlineLevel="0" collapsed="false">
      <c r="A180" s="0" t="s">
        <v>109</v>
      </c>
      <c r="B180" s="1" t="n">
        <v>44040</v>
      </c>
    </row>
    <row r="181" customFormat="false" ht="13.5" hidden="false" customHeight="false" outlineLevel="0" collapsed="false">
      <c r="A181" s="0" t="s">
        <v>109</v>
      </c>
      <c r="B181" s="1" t="n">
        <v>44041</v>
      </c>
    </row>
    <row r="182" customFormat="false" ht="13.5" hidden="false" customHeight="false" outlineLevel="0" collapsed="false">
      <c r="A182" s="0" t="s">
        <v>109</v>
      </c>
      <c r="B182" s="1" t="n">
        <v>44042</v>
      </c>
    </row>
    <row r="183" customFormat="false" ht="13.5" hidden="false" customHeight="false" outlineLevel="0" collapsed="false">
      <c r="A183" s="0" t="s">
        <v>109</v>
      </c>
      <c r="B183" s="1" t="n">
        <v>44043</v>
      </c>
    </row>
    <row r="184" customFormat="false" ht="13.5" hidden="false" customHeight="false" outlineLevel="0" collapsed="false">
      <c r="A184" s="0" t="s">
        <v>109</v>
      </c>
      <c r="B184" s="1" t="n">
        <v>44044</v>
      </c>
    </row>
    <row r="185" customFormat="false" ht="13.5" hidden="false" customHeight="false" outlineLevel="0" collapsed="false">
      <c r="A185" s="0" t="s">
        <v>109</v>
      </c>
      <c r="B185" s="1" t="n">
        <v>44045</v>
      </c>
    </row>
    <row r="186" customFormat="false" ht="13.5" hidden="false" customHeight="false" outlineLevel="0" collapsed="false">
      <c r="A186" s="0" t="s">
        <v>109</v>
      </c>
      <c r="B186" s="1" t="n">
        <v>44046</v>
      </c>
    </row>
    <row r="187" customFormat="false" ht="13.5" hidden="false" customHeight="false" outlineLevel="0" collapsed="false">
      <c r="A187" s="0" t="s">
        <v>109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3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110</v>
      </c>
      <c r="B2" s="1" t="n">
        <v>43862</v>
      </c>
    </row>
    <row r="3" customFormat="false" ht="13.5" hidden="false" customHeight="false" outlineLevel="0" collapsed="false">
      <c r="A3" s="0" t="s">
        <v>110</v>
      </c>
      <c r="B3" s="1" t="n">
        <v>43863</v>
      </c>
    </row>
    <row r="4" customFormat="false" ht="13.5" hidden="false" customHeight="false" outlineLevel="0" collapsed="false">
      <c r="A4" s="0" t="s">
        <v>110</v>
      </c>
      <c r="B4" s="1" t="n">
        <v>43864</v>
      </c>
    </row>
    <row r="5" customFormat="false" ht="13.5" hidden="false" customHeight="false" outlineLevel="0" collapsed="false">
      <c r="A5" s="0" t="s">
        <v>110</v>
      </c>
      <c r="B5" s="1" t="n">
        <v>43865</v>
      </c>
    </row>
    <row r="6" customFormat="false" ht="13.5" hidden="false" customHeight="false" outlineLevel="0" collapsed="false">
      <c r="A6" s="0" t="s">
        <v>110</v>
      </c>
      <c r="B6" s="1" t="n">
        <v>43866</v>
      </c>
    </row>
    <row r="7" customFormat="false" ht="13.5" hidden="false" customHeight="false" outlineLevel="0" collapsed="false">
      <c r="A7" s="0" t="s">
        <v>110</v>
      </c>
      <c r="B7" s="1" t="n">
        <v>43867</v>
      </c>
    </row>
    <row r="8" customFormat="false" ht="13.5" hidden="false" customHeight="false" outlineLevel="0" collapsed="false">
      <c r="A8" s="0" t="s">
        <v>110</v>
      </c>
      <c r="B8" s="1" t="n">
        <v>43868</v>
      </c>
    </row>
    <row r="9" customFormat="false" ht="13.5" hidden="false" customHeight="false" outlineLevel="0" collapsed="false">
      <c r="A9" s="0" t="s">
        <v>110</v>
      </c>
      <c r="B9" s="1" t="n">
        <v>43869</v>
      </c>
    </row>
    <row r="10" customFormat="false" ht="13.5" hidden="false" customHeight="false" outlineLevel="0" collapsed="false">
      <c r="A10" s="0" t="s">
        <v>110</v>
      </c>
      <c r="B10" s="1" t="n">
        <v>43870</v>
      </c>
    </row>
    <row r="11" customFormat="false" ht="13.5" hidden="false" customHeight="false" outlineLevel="0" collapsed="false">
      <c r="A11" s="0" t="s">
        <v>110</v>
      </c>
      <c r="B11" s="1" t="n">
        <v>43871</v>
      </c>
    </row>
    <row r="12" customFormat="false" ht="13.5" hidden="false" customHeight="false" outlineLevel="0" collapsed="false">
      <c r="A12" s="0" t="s">
        <v>110</v>
      </c>
      <c r="B12" s="1" t="n">
        <v>43872</v>
      </c>
    </row>
    <row r="13" customFormat="false" ht="13.5" hidden="false" customHeight="false" outlineLevel="0" collapsed="false">
      <c r="A13" s="0" t="s">
        <v>110</v>
      </c>
      <c r="B13" s="1" t="n">
        <v>43873</v>
      </c>
    </row>
    <row r="14" customFormat="false" ht="13.5" hidden="false" customHeight="false" outlineLevel="0" collapsed="false">
      <c r="A14" s="0" t="s">
        <v>110</v>
      </c>
      <c r="B14" s="1" t="n">
        <v>43874</v>
      </c>
    </row>
    <row r="15" customFormat="false" ht="13.5" hidden="false" customHeight="false" outlineLevel="0" collapsed="false">
      <c r="A15" s="0" t="s">
        <v>110</v>
      </c>
      <c r="B15" s="1" t="n">
        <v>43875</v>
      </c>
    </row>
    <row r="16" customFormat="false" ht="13.5" hidden="false" customHeight="false" outlineLevel="0" collapsed="false">
      <c r="A16" s="0" t="s">
        <v>110</v>
      </c>
      <c r="B16" s="1" t="n">
        <v>43876</v>
      </c>
    </row>
    <row r="17" customFormat="false" ht="13.5" hidden="false" customHeight="false" outlineLevel="0" collapsed="false">
      <c r="A17" s="0" t="s">
        <v>110</v>
      </c>
      <c r="B17" s="1" t="n">
        <v>43877</v>
      </c>
    </row>
    <row r="18" customFormat="false" ht="13.5" hidden="false" customHeight="false" outlineLevel="0" collapsed="false">
      <c r="A18" s="0" t="s">
        <v>110</v>
      </c>
      <c r="B18" s="1" t="n">
        <v>43878</v>
      </c>
    </row>
    <row r="19" customFormat="false" ht="13.5" hidden="false" customHeight="false" outlineLevel="0" collapsed="false">
      <c r="A19" s="0" t="s">
        <v>110</v>
      </c>
      <c r="B19" s="1" t="n">
        <v>43879</v>
      </c>
    </row>
    <row r="20" customFormat="false" ht="13.5" hidden="false" customHeight="false" outlineLevel="0" collapsed="false">
      <c r="A20" s="0" t="s">
        <v>110</v>
      </c>
      <c r="B20" s="1" t="n">
        <v>43880</v>
      </c>
    </row>
    <row r="21" customFormat="false" ht="13.5" hidden="false" customHeight="false" outlineLevel="0" collapsed="false">
      <c r="A21" s="0" t="s">
        <v>110</v>
      </c>
      <c r="B21" s="1" t="n">
        <v>43881</v>
      </c>
    </row>
    <row r="22" customFormat="false" ht="13.5" hidden="false" customHeight="false" outlineLevel="0" collapsed="false">
      <c r="A22" s="0" t="s">
        <v>110</v>
      </c>
      <c r="B22" s="1" t="n">
        <v>43882</v>
      </c>
    </row>
    <row r="23" customFormat="false" ht="13.5" hidden="false" customHeight="false" outlineLevel="0" collapsed="false">
      <c r="A23" s="0" t="s">
        <v>110</v>
      </c>
      <c r="B23" s="1" t="n">
        <v>43883</v>
      </c>
    </row>
    <row r="24" customFormat="false" ht="13.5" hidden="false" customHeight="false" outlineLevel="0" collapsed="false">
      <c r="A24" s="0" t="s">
        <v>110</v>
      </c>
      <c r="B24" s="1" t="n">
        <v>43884</v>
      </c>
    </row>
    <row r="25" customFormat="false" ht="13.5" hidden="false" customHeight="false" outlineLevel="0" collapsed="false">
      <c r="A25" s="0" t="s">
        <v>110</v>
      </c>
      <c r="B25" s="1" t="n">
        <v>43885</v>
      </c>
    </row>
    <row r="26" customFormat="false" ht="13.5" hidden="false" customHeight="false" outlineLevel="0" collapsed="false">
      <c r="A26" s="0" t="s">
        <v>110</v>
      </c>
      <c r="B26" s="1" t="n">
        <v>43886</v>
      </c>
    </row>
    <row r="27" customFormat="false" ht="13.5" hidden="false" customHeight="false" outlineLevel="0" collapsed="false">
      <c r="A27" s="0" t="s">
        <v>110</v>
      </c>
      <c r="B27" s="1" t="n">
        <v>43887</v>
      </c>
    </row>
    <row r="28" customFormat="false" ht="13.5" hidden="false" customHeight="false" outlineLevel="0" collapsed="false">
      <c r="A28" s="0" t="s">
        <v>110</v>
      </c>
      <c r="B28" s="1" t="n">
        <v>43888</v>
      </c>
    </row>
    <row r="29" customFormat="false" ht="13.5" hidden="false" customHeight="false" outlineLevel="0" collapsed="false">
      <c r="A29" s="0" t="s">
        <v>110</v>
      </c>
      <c r="B29" s="1" t="n">
        <v>43889</v>
      </c>
    </row>
    <row r="30" customFormat="false" ht="13.5" hidden="false" customHeight="false" outlineLevel="0" collapsed="false">
      <c r="A30" s="0" t="s">
        <v>110</v>
      </c>
      <c r="B30" s="1" t="n">
        <v>43890</v>
      </c>
    </row>
    <row r="31" customFormat="false" ht="13.5" hidden="false" customHeight="false" outlineLevel="0" collapsed="false">
      <c r="A31" s="0" t="s">
        <v>110</v>
      </c>
      <c r="B31" s="1" t="n">
        <v>43891</v>
      </c>
    </row>
    <row r="32" customFormat="false" ht="13.5" hidden="false" customHeight="false" outlineLevel="0" collapsed="false">
      <c r="A32" s="0" t="s">
        <v>110</v>
      </c>
      <c r="B32" s="1" t="n">
        <v>43892</v>
      </c>
    </row>
    <row r="33" customFormat="false" ht="13.5" hidden="false" customHeight="false" outlineLevel="0" collapsed="false">
      <c r="A33" s="0" t="s">
        <v>110</v>
      </c>
      <c r="B33" s="1" t="n">
        <v>43893</v>
      </c>
    </row>
    <row r="34" customFormat="false" ht="13.5" hidden="false" customHeight="false" outlineLevel="0" collapsed="false">
      <c r="A34" s="0" t="s">
        <v>110</v>
      </c>
      <c r="B34" s="1" t="n">
        <v>43894</v>
      </c>
    </row>
    <row r="35" customFormat="false" ht="13.5" hidden="false" customHeight="false" outlineLevel="0" collapsed="false">
      <c r="A35" s="0" t="s">
        <v>110</v>
      </c>
      <c r="B35" s="1" t="n">
        <v>43895</v>
      </c>
    </row>
    <row r="36" customFormat="false" ht="13.5" hidden="false" customHeight="false" outlineLevel="0" collapsed="false">
      <c r="A36" s="0" t="s">
        <v>110</v>
      </c>
      <c r="B36" s="1" t="n">
        <v>43896</v>
      </c>
    </row>
    <row r="37" customFormat="false" ht="13.5" hidden="false" customHeight="false" outlineLevel="0" collapsed="false">
      <c r="A37" s="0" t="s">
        <v>110</v>
      </c>
      <c r="B37" s="1" t="n">
        <v>43897</v>
      </c>
    </row>
    <row r="38" customFormat="false" ht="13.5" hidden="false" customHeight="false" outlineLevel="0" collapsed="false">
      <c r="A38" s="0" t="s">
        <v>110</v>
      </c>
      <c r="B38" s="1" t="n">
        <v>43898</v>
      </c>
    </row>
    <row r="39" customFormat="false" ht="13.5" hidden="false" customHeight="false" outlineLevel="0" collapsed="false">
      <c r="A39" s="0" t="s">
        <v>110</v>
      </c>
      <c r="B39" s="1" t="n">
        <v>43899</v>
      </c>
    </row>
    <row r="40" customFormat="false" ht="13.5" hidden="false" customHeight="false" outlineLevel="0" collapsed="false">
      <c r="A40" s="0" t="s">
        <v>110</v>
      </c>
      <c r="B40" s="1" t="n">
        <v>43900</v>
      </c>
    </row>
    <row r="41" customFormat="false" ht="13.5" hidden="false" customHeight="false" outlineLevel="0" collapsed="false">
      <c r="A41" s="0" t="s">
        <v>110</v>
      </c>
      <c r="B41" s="1" t="n">
        <v>43901</v>
      </c>
    </row>
    <row r="42" customFormat="false" ht="13.5" hidden="false" customHeight="false" outlineLevel="0" collapsed="false">
      <c r="A42" s="0" t="s">
        <v>110</v>
      </c>
      <c r="B42" s="1" t="n">
        <v>43902</v>
      </c>
    </row>
    <row r="43" customFormat="false" ht="13.5" hidden="false" customHeight="false" outlineLevel="0" collapsed="false">
      <c r="A43" s="0" t="s">
        <v>110</v>
      </c>
      <c r="B43" s="1" t="n">
        <v>43903</v>
      </c>
    </row>
    <row r="44" customFormat="false" ht="13.5" hidden="false" customHeight="false" outlineLevel="0" collapsed="false">
      <c r="A44" s="0" t="s">
        <v>110</v>
      </c>
      <c r="B44" s="1" t="n">
        <v>43904</v>
      </c>
      <c r="C44" s="0" t="n">
        <v>1</v>
      </c>
      <c r="D44" s="0" t="n">
        <f aca="false">C44-C43</f>
        <v>1</v>
      </c>
      <c r="H44" s="0" t="n">
        <v>1</v>
      </c>
    </row>
    <row r="45" customFormat="false" ht="13.5" hidden="false" customHeight="false" outlineLevel="0" collapsed="false">
      <c r="A45" s="0" t="s">
        <v>110</v>
      </c>
      <c r="B45" s="1" t="n">
        <v>43905</v>
      </c>
      <c r="C45" s="0" t="n">
        <v>1</v>
      </c>
      <c r="D45" s="0" t="n">
        <f aca="false">C45-C44</f>
        <v>0</v>
      </c>
      <c r="H45" s="0" t="n">
        <v>1</v>
      </c>
    </row>
    <row r="46" customFormat="false" ht="13.5" hidden="false" customHeight="false" outlineLevel="0" collapsed="false">
      <c r="A46" s="0" t="s">
        <v>110</v>
      </c>
      <c r="B46" s="1" t="n">
        <v>43906</v>
      </c>
      <c r="C46" s="0" t="n">
        <v>4</v>
      </c>
      <c r="D46" s="0" t="n">
        <f aca="false">C46-C45</f>
        <v>3</v>
      </c>
      <c r="H46" s="0" t="n">
        <v>4</v>
      </c>
    </row>
    <row r="47" customFormat="false" ht="13.5" hidden="false" customHeight="false" outlineLevel="0" collapsed="false">
      <c r="A47" s="0" t="s">
        <v>110</v>
      </c>
      <c r="B47" s="1" t="n">
        <v>43907</v>
      </c>
      <c r="C47" s="0" t="n">
        <v>5</v>
      </c>
      <c r="D47" s="0" t="n">
        <f aca="false">C47-C46</f>
        <v>1</v>
      </c>
      <c r="H47" s="0" t="n">
        <v>5</v>
      </c>
    </row>
    <row r="48" customFormat="false" ht="13.5" hidden="false" customHeight="false" outlineLevel="0" collapsed="false">
      <c r="A48" s="0" t="s">
        <v>110</v>
      </c>
      <c r="B48" s="1" t="n">
        <v>43908</v>
      </c>
      <c r="C48" s="0" t="n">
        <v>6</v>
      </c>
      <c r="D48" s="0" t="n">
        <f aca="false">C48-C47</f>
        <v>1</v>
      </c>
      <c r="H48" s="0" t="n">
        <v>6</v>
      </c>
      <c r="J48" s="0" t="n">
        <v>0.1</v>
      </c>
    </row>
    <row r="49" customFormat="false" ht="13.5" hidden="false" customHeight="false" outlineLevel="0" collapsed="false">
      <c r="A49" s="0" t="s">
        <v>110</v>
      </c>
      <c r="B49" s="1" t="n">
        <v>43909</v>
      </c>
      <c r="C49" s="0" t="n">
        <v>6</v>
      </c>
      <c r="D49" s="0" t="n">
        <f aca="false">C49-C48</f>
        <v>0</v>
      </c>
      <c r="H49" s="0" t="n">
        <v>6</v>
      </c>
      <c r="J49" s="0" t="n">
        <v>0.05</v>
      </c>
    </row>
    <row r="50" customFormat="false" ht="13.5" hidden="false" customHeight="false" outlineLevel="0" collapsed="false">
      <c r="A50" s="0" t="s">
        <v>110</v>
      </c>
      <c r="B50" s="1" t="n">
        <v>43910</v>
      </c>
      <c r="C50" s="0" t="n">
        <v>7</v>
      </c>
      <c r="D50" s="0" t="n">
        <f aca="false">C50-C49</f>
        <v>1</v>
      </c>
      <c r="H50" s="0" t="n">
        <v>7</v>
      </c>
      <c r="J50" s="0" t="n">
        <v>0.06</v>
      </c>
    </row>
    <row r="51" customFormat="false" ht="13.5" hidden="false" customHeight="false" outlineLevel="0" collapsed="false">
      <c r="A51" s="0" t="s">
        <v>110</v>
      </c>
      <c r="B51" s="1" t="n">
        <v>43911</v>
      </c>
      <c r="C51" s="0" t="n">
        <v>9</v>
      </c>
      <c r="D51" s="0" t="n">
        <f aca="false">C51-C50</f>
        <v>2</v>
      </c>
      <c r="H51" s="0" t="n">
        <v>9</v>
      </c>
      <c r="J51" s="0" t="n">
        <v>0.08</v>
      </c>
    </row>
    <row r="52" customFormat="false" ht="13.5" hidden="false" customHeight="false" outlineLevel="0" collapsed="false">
      <c r="A52" s="0" t="s">
        <v>110</v>
      </c>
      <c r="B52" s="1" t="n">
        <v>43912</v>
      </c>
      <c r="C52" s="0" t="n">
        <v>9</v>
      </c>
      <c r="D52" s="0" t="n">
        <f aca="false">C52-C51</f>
        <v>0</v>
      </c>
      <c r="H52" s="0" t="n">
        <v>9</v>
      </c>
      <c r="J52" s="0" t="n">
        <v>0.08</v>
      </c>
    </row>
    <row r="53" customFormat="false" ht="13.5" hidden="false" customHeight="false" outlineLevel="0" collapsed="false">
      <c r="A53" s="0" t="s">
        <v>110</v>
      </c>
      <c r="B53" s="1" t="n">
        <v>43913</v>
      </c>
      <c r="C53" s="0" t="n">
        <v>11</v>
      </c>
      <c r="D53" s="0" t="n">
        <f aca="false">C53-C52</f>
        <v>2</v>
      </c>
      <c r="H53" s="0" t="n">
        <v>11</v>
      </c>
      <c r="J53" s="0" t="n">
        <v>0.1</v>
      </c>
    </row>
    <row r="54" customFormat="false" ht="13.5" hidden="false" customHeight="false" outlineLevel="0" collapsed="false">
      <c r="A54" s="0" t="s">
        <v>110</v>
      </c>
      <c r="B54" s="1" t="n">
        <v>43914</v>
      </c>
      <c r="C54" s="0" t="n">
        <v>11</v>
      </c>
      <c r="D54" s="0" t="n">
        <f aca="false">C54-C53</f>
        <v>0</v>
      </c>
      <c r="H54" s="0" t="n">
        <v>11</v>
      </c>
      <c r="J54" s="0" t="n">
        <v>0.1</v>
      </c>
    </row>
    <row r="55" customFormat="false" ht="13.5" hidden="false" customHeight="false" outlineLevel="0" collapsed="false">
      <c r="A55" s="0" t="s">
        <v>110</v>
      </c>
      <c r="B55" s="1" t="n">
        <v>43915</v>
      </c>
      <c r="C55" s="0" t="n">
        <v>12</v>
      </c>
      <c r="D55" s="0" t="n">
        <f aca="false">C55-C54</f>
        <v>1</v>
      </c>
      <c r="H55" s="0" t="n">
        <v>12</v>
      </c>
      <c r="J55" s="0" t="n">
        <v>0.1</v>
      </c>
    </row>
    <row r="56" customFormat="false" ht="13.5" hidden="false" customHeight="false" outlineLevel="0" collapsed="false">
      <c r="A56" s="0" t="s">
        <v>110</v>
      </c>
      <c r="B56" s="1" t="n">
        <v>43916</v>
      </c>
      <c r="C56" s="0" t="n">
        <v>12</v>
      </c>
      <c r="D56" s="0" t="n">
        <f aca="false">C56-C55</f>
        <v>0</v>
      </c>
      <c r="H56" s="0" t="n">
        <v>12</v>
      </c>
      <c r="J56" s="0" t="n">
        <v>0.1</v>
      </c>
    </row>
    <row r="57" customFormat="false" ht="13.5" hidden="false" customHeight="false" outlineLevel="0" collapsed="false">
      <c r="A57" s="0" t="s">
        <v>110</v>
      </c>
      <c r="B57" s="1" t="n">
        <v>43917</v>
      </c>
      <c r="C57" s="0" t="n">
        <v>12</v>
      </c>
      <c r="D57" s="0" t="n">
        <f aca="false">C57-C56</f>
        <v>0</v>
      </c>
      <c r="H57" s="0" t="n">
        <v>12</v>
      </c>
      <c r="J57" s="0" t="n">
        <v>0.1</v>
      </c>
    </row>
    <row r="58" customFormat="false" ht="13.5" hidden="false" customHeight="false" outlineLevel="0" collapsed="false">
      <c r="A58" s="0" t="s">
        <v>110</v>
      </c>
      <c r="B58" s="1" t="n">
        <v>43918</v>
      </c>
      <c r="C58" s="0" t="n">
        <v>16</v>
      </c>
      <c r="D58" s="0" t="n">
        <f aca="false">C58-C57</f>
        <v>4</v>
      </c>
      <c r="H58" s="0" t="n">
        <v>16</v>
      </c>
      <c r="J58" s="0" t="n">
        <v>0.1</v>
      </c>
    </row>
    <row r="59" customFormat="false" ht="13.5" hidden="false" customHeight="false" outlineLevel="0" collapsed="false">
      <c r="A59" s="0" t="s">
        <v>110</v>
      </c>
      <c r="B59" s="1" t="n">
        <v>43919</v>
      </c>
      <c r="C59" s="0" t="n">
        <v>16</v>
      </c>
      <c r="D59" s="0" t="n">
        <f aca="false">C59-C58</f>
        <v>0</v>
      </c>
      <c r="G59" s="0" t="n">
        <v>1</v>
      </c>
      <c r="H59" s="0" t="n">
        <v>15</v>
      </c>
      <c r="J59" s="0" t="n">
        <v>0.1</v>
      </c>
    </row>
    <row r="60" customFormat="false" ht="13.5" hidden="false" customHeight="false" outlineLevel="0" collapsed="false">
      <c r="A60" s="0" t="s">
        <v>110</v>
      </c>
      <c r="B60" s="1" t="n">
        <v>43920</v>
      </c>
      <c r="C60" s="0" t="n">
        <v>19</v>
      </c>
      <c r="D60" s="0" t="n">
        <f aca="false">C60-C59</f>
        <v>3</v>
      </c>
      <c r="G60" s="0" t="n">
        <v>1</v>
      </c>
      <c r="H60" s="0" t="n">
        <v>18</v>
      </c>
      <c r="J60" s="0" t="n">
        <v>0.2</v>
      </c>
    </row>
    <row r="61" customFormat="false" ht="13.5" hidden="false" customHeight="false" outlineLevel="0" collapsed="false">
      <c r="A61" s="0" t="s">
        <v>110</v>
      </c>
      <c r="B61" s="1" t="n">
        <v>43921</v>
      </c>
      <c r="C61" s="0" t="n">
        <v>23</v>
      </c>
      <c r="D61" s="0" t="n">
        <f aca="false">C61-C60</f>
        <v>4</v>
      </c>
      <c r="G61" s="0" t="n">
        <v>4</v>
      </c>
      <c r="H61" s="0" t="n">
        <v>19</v>
      </c>
      <c r="I61" s="0" t="n">
        <v>1</v>
      </c>
      <c r="J61" s="0" t="n">
        <v>0.2</v>
      </c>
    </row>
    <row r="62" customFormat="false" ht="13.5" hidden="false" customHeight="false" outlineLevel="0" collapsed="false">
      <c r="A62" s="0" t="s">
        <v>110</v>
      </c>
      <c r="B62" s="1" t="n">
        <v>43922</v>
      </c>
      <c r="C62" s="0" t="n">
        <v>26</v>
      </c>
      <c r="D62" s="0" t="n">
        <f aca="false">C62-C61</f>
        <v>3</v>
      </c>
      <c r="G62" s="0" t="n">
        <v>2</v>
      </c>
      <c r="H62" s="0" t="n">
        <v>24</v>
      </c>
      <c r="I62" s="0" t="n">
        <v>2</v>
      </c>
      <c r="J62" s="0" t="n">
        <v>0.2</v>
      </c>
    </row>
    <row r="63" customFormat="false" ht="13.5" hidden="false" customHeight="false" outlineLevel="0" collapsed="false">
      <c r="A63" s="0" t="s">
        <v>110</v>
      </c>
      <c r="B63" s="1" t="n">
        <v>43923</v>
      </c>
      <c r="C63" s="0" t="n">
        <v>29</v>
      </c>
      <c r="D63" s="0" t="n">
        <f aca="false">C63-C62</f>
        <v>3</v>
      </c>
      <c r="G63" s="0" t="n">
        <v>2</v>
      </c>
      <c r="H63" s="0" t="n">
        <v>27</v>
      </c>
      <c r="I63" s="0" t="n">
        <v>2</v>
      </c>
      <c r="J63" s="0" t="n">
        <v>0.3</v>
      </c>
    </row>
    <row r="64" customFormat="false" ht="13.5" hidden="false" customHeight="false" outlineLevel="0" collapsed="false">
      <c r="A64" s="0" t="s">
        <v>110</v>
      </c>
      <c r="B64" s="1" t="n">
        <v>43924</v>
      </c>
      <c r="C64" s="0" t="n">
        <v>29</v>
      </c>
      <c r="D64" s="0" t="n">
        <f aca="false">C64-C63</f>
        <v>0</v>
      </c>
      <c r="G64" s="0" t="n">
        <v>3</v>
      </c>
      <c r="H64" s="0" t="n">
        <v>26</v>
      </c>
      <c r="I64" s="0" t="n">
        <v>2</v>
      </c>
      <c r="J64" s="0" t="n">
        <v>0.3</v>
      </c>
    </row>
    <row r="65" customFormat="false" ht="13.5" hidden="false" customHeight="false" outlineLevel="0" collapsed="false">
      <c r="A65" s="0" t="s">
        <v>110</v>
      </c>
      <c r="B65" s="1" t="n">
        <v>43925</v>
      </c>
      <c r="C65" s="0" t="n">
        <v>35</v>
      </c>
      <c r="D65" s="0" t="n">
        <f aca="false">C65-C64</f>
        <v>6</v>
      </c>
      <c r="G65" s="0" t="n">
        <v>3</v>
      </c>
      <c r="H65" s="0" t="n">
        <v>32</v>
      </c>
      <c r="I65" s="0" t="n">
        <v>2</v>
      </c>
      <c r="J65" s="0" t="n">
        <v>0.3</v>
      </c>
    </row>
    <row r="66" customFormat="false" ht="13.5" hidden="false" customHeight="false" outlineLevel="0" collapsed="false">
      <c r="A66" s="0" t="s">
        <v>110</v>
      </c>
      <c r="B66" s="1" t="n">
        <v>43926</v>
      </c>
      <c r="C66" s="0" t="n">
        <v>38</v>
      </c>
      <c r="D66" s="0" t="n">
        <f aca="false">C66-C65</f>
        <v>3</v>
      </c>
      <c r="G66" s="0" t="n">
        <v>4</v>
      </c>
      <c r="H66" s="0" t="n">
        <v>34</v>
      </c>
      <c r="I66" s="0" t="n">
        <v>1</v>
      </c>
      <c r="J66" s="0" t="n">
        <v>0.3</v>
      </c>
      <c r="L66" s="0" t="n">
        <v>1222</v>
      </c>
      <c r="M66" s="0" t="n">
        <v>11</v>
      </c>
    </row>
    <row r="67" customFormat="false" ht="13.5" hidden="false" customHeight="false" outlineLevel="0" collapsed="false">
      <c r="A67" s="0" t="s">
        <v>110</v>
      </c>
      <c r="B67" s="1" t="n">
        <v>43927</v>
      </c>
      <c r="C67" s="0" t="n">
        <v>43</v>
      </c>
      <c r="D67" s="0" t="n">
        <f aca="false">C67-C66</f>
        <v>5</v>
      </c>
      <c r="E67" s="0" t="n">
        <v>2</v>
      </c>
      <c r="F67" s="0" t="n">
        <v>2</v>
      </c>
      <c r="G67" s="0" t="n">
        <v>4</v>
      </c>
      <c r="H67" s="0" t="n">
        <v>37</v>
      </c>
      <c r="I67" s="0" t="n">
        <v>1</v>
      </c>
      <c r="J67" s="0" t="n">
        <v>0.4</v>
      </c>
      <c r="K67" s="0" t="n">
        <v>0.02</v>
      </c>
      <c r="L67" s="0" t="n">
        <v>1843</v>
      </c>
      <c r="M67" s="0" t="n">
        <v>16</v>
      </c>
    </row>
    <row r="68" customFormat="false" ht="13.5" hidden="false" customHeight="false" outlineLevel="0" collapsed="false">
      <c r="A68" s="0" t="s">
        <v>110</v>
      </c>
      <c r="B68" s="1" t="n">
        <v>43928</v>
      </c>
      <c r="C68" s="0" t="n">
        <v>44</v>
      </c>
      <c r="D68" s="0" t="n">
        <f aca="false">C68-C67</f>
        <v>1</v>
      </c>
      <c r="E68" s="0" t="n">
        <v>2</v>
      </c>
      <c r="G68" s="0" t="n">
        <v>4</v>
      </c>
      <c r="H68" s="0" t="n">
        <v>38</v>
      </c>
      <c r="I68" s="0" t="n">
        <v>1</v>
      </c>
      <c r="J68" s="0" t="n">
        <v>0.4</v>
      </c>
      <c r="K68" s="0" t="n">
        <v>0.02</v>
      </c>
      <c r="L68" s="0" t="n">
        <v>1843</v>
      </c>
      <c r="M68" s="0" t="n">
        <v>16</v>
      </c>
    </row>
    <row r="69" customFormat="false" ht="13.5" hidden="false" customHeight="false" outlineLevel="0" collapsed="false">
      <c r="A69" s="0" t="s">
        <v>110</v>
      </c>
      <c r="B69" s="1" t="n">
        <v>43929</v>
      </c>
      <c r="C69" s="0" t="n">
        <v>52</v>
      </c>
      <c r="D69" s="0" t="n">
        <f aca="false">C69-C68</f>
        <v>8</v>
      </c>
      <c r="E69" s="0" t="n">
        <v>2</v>
      </c>
      <c r="G69" s="0" t="n">
        <v>4</v>
      </c>
      <c r="H69" s="0" t="n">
        <v>46</v>
      </c>
      <c r="I69" s="0" t="n">
        <v>1</v>
      </c>
      <c r="J69" s="0" t="n">
        <v>0.5</v>
      </c>
      <c r="K69" s="0" t="n">
        <v>0.02</v>
      </c>
      <c r="L69" s="0" t="n">
        <v>2271</v>
      </c>
      <c r="M69" s="0" t="n">
        <v>20</v>
      </c>
    </row>
    <row r="70" customFormat="false" ht="13.5" hidden="false" customHeight="false" outlineLevel="0" collapsed="false">
      <c r="A70" s="0" t="s">
        <v>110</v>
      </c>
      <c r="B70" s="1" t="n">
        <v>43930</v>
      </c>
      <c r="C70" s="0" t="n">
        <v>55</v>
      </c>
      <c r="D70" s="0" t="n">
        <f aca="false">C70-C69</f>
        <v>3</v>
      </c>
      <c r="E70" s="0" t="n">
        <v>2</v>
      </c>
      <c r="G70" s="0" t="n">
        <v>4</v>
      </c>
      <c r="H70" s="0" t="n">
        <v>49</v>
      </c>
      <c r="I70" s="0" t="n">
        <v>1</v>
      </c>
      <c r="J70" s="0" t="n">
        <v>0.5</v>
      </c>
      <c r="K70" s="0" t="n">
        <v>0.02</v>
      </c>
      <c r="L70" s="0" t="n">
        <v>2496</v>
      </c>
      <c r="M70" s="0" t="n">
        <v>22</v>
      </c>
    </row>
    <row r="71" customFormat="false" ht="13.5" hidden="false" customHeight="false" outlineLevel="0" collapsed="false">
      <c r="A71" s="0" t="s">
        <v>110</v>
      </c>
      <c r="B71" s="1" t="n">
        <v>43931</v>
      </c>
      <c r="C71" s="0" t="n">
        <v>56</v>
      </c>
      <c r="D71" s="0" t="n">
        <f aca="false">C71-C70</f>
        <v>1</v>
      </c>
      <c r="E71" s="0" t="n">
        <v>2</v>
      </c>
      <c r="G71" s="0" t="n">
        <v>4</v>
      </c>
      <c r="H71" s="0" t="n">
        <v>50</v>
      </c>
      <c r="I71" s="0" t="n">
        <v>2</v>
      </c>
      <c r="J71" s="0" t="n">
        <v>0.5</v>
      </c>
      <c r="K71" s="0" t="n">
        <v>0.02</v>
      </c>
      <c r="L71" s="0" t="n">
        <v>2790</v>
      </c>
      <c r="M71" s="0" t="n">
        <v>24</v>
      </c>
    </row>
    <row r="72" customFormat="false" ht="13.5" hidden="false" customHeight="false" outlineLevel="0" collapsed="false">
      <c r="A72" s="0" t="s">
        <v>110</v>
      </c>
      <c r="B72" s="1" t="n">
        <v>43932</v>
      </c>
      <c r="C72" s="0" t="n">
        <v>65</v>
      </c>
      <c r="D72" s="0" t="n">
        <f aca="false">C72-C71</f>
        <v>9</v>
      </c>
      <c r="E72" s="0" t="n">
        <v>3</v>
      </c>
      <c r="F72" s="0" t="n">
        <v>1</v>
      </c>
      <c r="G72" s="0" t="n">
        <v>4</v>
      </c>
      <c r="H72" s="0" t="n">
        <v>58</v>
      </c>
      <c r="I72" s="0" t="n">
        <v>1</v>
      </c>
      <c r="J72" s="0" t="n">
        <v>0.6</v>
      </c>
      <c r="K72" s="0" t="n">
        <v>0.03</v>
      </c>
      <c r="L72" s="0" t="n">
        <v>3232</v>
      </c>
      <c r="M72" s="0" t="n">
        <v>28</v>
      </c>
    </row>
    <row r="73" customFormat="false" ht="13.5" hidden="false" customHeight="false" outlineLevel="0" collapsed="false">
      <c r="A73" s="0" t="s">
        <v>110</v>
      </c>
      <c r="B73" s="1" t="n">
        <v>43933</v>
      </c>
      <c r="C73" s="0" t="n">
        <v>69</v>
      </c>
      <c r="D73" s="0" t="n">
        <f aca="false">C73-C72</f>
        <v>4</v>
      </c>
      <c r="E73" s="0" t="n">
        <v>3</v>
      </c>
      <c r="G73" s="0" t="n">
        <v>10</v>
      </c>
      <c r="H73" s="0" t="n">
        <v>56</v>
      </c>
      <c r="J73" s="0" t="n">
        <v>0.6</v>
      </c>
      <c r="K73" s="0" t="n">
        <v>0.03</v>
      </c>
      <c r="L73" s="0" t="n">
        <v>3577</v>
      </c>
      <c r="M73" s="0" t="n">
        <v>31</v>
      </c>
    </row>
    <row r="74" customFormat="false" ht="13.5" hidden="false" customHeight="false" outlineLevel="0" collapsed="false">
      <c r="A74" s="0" t="s">
        <v>110</v>
      </c>
      <c r="B74" s="1" t="n">
        <v>43934</v>
      </c>
      <c r="C74" s="0" t="n">
        <v>71</v>
      </c>
      <c r="D74" s="0" t="n">
        <f aca="false">C74-C73</f>
        <v>2</v>
      </c>
      <c r="E74" s="0" t="n">
        <v>3</v>
      </c>
      <c r="G74" s="0" t="n">
        <v>10</v>
      </c>
      <c r="H74" s="0" t="n">
        <v>58</v>
      </c>
      <c r="J74" s="0" t="n">
        <v>0.6</v>
      </c>
      <c r="K74" s="0" t="n">
        <v>0.03</v>
      </c>
      <c r="L74" s="0" t="n">
        <v>3863</v>
      </c>
      <c r="M74" s="0" t="n">
        <v>34</v>
      </c>
    </row>
    <row r="75" customFormat="false" ht="13.5" hidden="false" customHeight="false" outlineLevel="0" collapsed="false">
      <c r="A75" s="0" t="s">
        <v>110</v>
      </c>
      <c r="B75" s="1" t="n">
        <v>43935</v>
      </c>
      <c r="C75" s="0" t="n">
        <v>74</v>
      </c>
      <c r="D75" s="0" t="n">
        <f aca="false">C75-C74</f>
        <v>3</v>
      </c>
      <c r="E75" s="0" t="n">
        <v>3</v>
      </c>
      <c r="F75" s="0" t="n">
        <v>0</v>
      </c>
      <c r="G75" s="0" t="n">
        <v>14</v>
      </c>
      <c r="H75" s="0" t="n">
        <v>57</v>
      </c>
      <c r="I75" s="0" t="n">
        <v>0</v>
      </c>
      <c r="J75" s="0" t="n">
        <v>0.6</v>
      </c>
      <c r="K75" s="0" t="n">
        <v>0.03</v>
      </c>
      <c r="L75" s="0" t="n">
        <v>4110</v>
      </c>
      <c r="M75" s="0" t="n">
        <v>36</v>
      </c>
    </row>
    <row r="76" customFormat="false" ht="13.5" hidden="false" customHeight="false" outlineLevel="0" collapsed="false">
      <c r="A76" s="0" t="s">
        <v>110</v>
      </c>
      <c r="B76" s="1" t="n">
        <v>43936</v>
      </c>
      <c r="C76" s="0" t="n">
        <v>82</v>
      </c>
      <c r="D76" s="0" t="n">
        <f aca="false">C76-C75</f>
        <v>8</v>
      </c>
      <c r="E76" s="0" t="n">
        <v>3</v>
      </c>
      <c r="F76" s="0" t="n">
        <v>0</v>
      </c>
      <c r="G76" s="0" t="n">
        <v>14</v>
      </c>
      <c r="H76" s="0" t="n">
        <v>65</v>
      </c>
      <c r="I76" s="0" t="n">
        <v>0</v>
      </c>
      <c r="J76" s="0" t="n">
        <v>0.7</v>
      </c>
      <c r="K76" s="0" t="n">
        <v>0.03</v>
      </c>
      <c r="L76" s="0" t="n">
        <v>4557</v>
      </c>
      <c r="M76" s="0" t="n">
        <v>40</v>
      </c>
    </row>
    <row r="77" customFormat="false" ht="13.5" hidden="false" customHeight="false" outlineLevel="0" collapsed="false">
      <c r="A77" s="0" t="s">
        <v>110</v>
      </c>
      <c r="B77" s="1" t="n">
        <v>43937</v>
      </c>
      <c r="C77" s="0" t="n">
        <v>85</v>
      </c>
      <c r="D77" s="0" t="n">
        <f aca="false">C77-C76</f>
        <v>3</v>
      </c>
      <c r="E77" s="0" t="n">
        <v>3</v>
      </c>
      <c r="F77" s="0" t="n">
        <v>0</v>
      </c>
      <c r="G77" s="0" t="n">
        <v>15</v>
      </c>
      <c r="H77" s="0" t="n">
        <v>67</v>
      </c>
      <c r="I77" s="0" t="n">
        <v>0</v>
      </c>
      <c r="J77" s="0" t="n">
        <v>0.7</v>
      </c>
      <c r="K77" s="0" t="n">
        <v>0.03</v>
      </c>
      <c r="L77" s="0" t="n">
        <v>4988</v>
      </c>
      <c r="M77" s="0" t="n">
        <v>43</v>
      </c>
    </row>
    <row r="78" customFormat="false" ht="13.5" hidden="false" customHeight="false" outlineLevel="0" collapsed="false">
      <c r="A78" s="0" t="s">
        <v>110</v>
      </c>
      <c r="B78" s="1" t="n">
        <v>43938</v>
      </c>
      <c r="C78" s="0" t="n">
        <v>92</v>
      </c>
      <c r="D78" s="0" t="n">
        <f aca="false">C78-C77</f>
        <v>7</v>
      </c>
      <c r="E78" s="0" t="n">
        <v>3</v>
      </c>
      <c r="F78" s="0" t="n">
        <v>0</v>
      </c>
      <c r="G78" s="0" t="n">
        <v>15</v>
      </c>
      <c r="H78" s="0" t="n">
        <v>74</v>
      </c>
      <c r="I78" s="0" t="n">
        <v>1</v>
      </c>
      <c r="J78" s="0" t="n">
        <v>0.8</v>
      </c>
      <c r="K78" s="0" t="n">
        <v>0.03</v>
      </c>
      <c r="L78" s="0" t="n">
        <v>5389</v>
      </c>
      <c r="M78" s="0" t="n">
        <v>47</v>
      </c>
    </row>
    <row r="79" customFormat="false" ht="13.5" hidden="false" customHeight="false" outlineLevel="0" collapsed="false">
      <c r="A79" s="0" t="s">
        <v>110</v>
      </c>
      <c r="B79" s="1" t="n">
        <v>43939</v>
      </c>
      <c r="C79" s="0" t="n">
        <v>96</v>
      </c>
      <c r="D79" s="0" t="n">
        <f aca="false">C79-C78</f>
        <v>4</v>
      </c>
      <c r="E79" s="0" t="n">
        <v>3</v>
      </c>
      <c r="F79" s="0" t="n">
        <v>0</v>
      </c>
      <c r="G79" s="0" t="n">
        <v>15</v>
      </c>
      <c r="H79" s="0" t="n">
        <v>78</v>
      </c>
      <c r="I79" s="0" t="n">
        <v>1</v>
      </c>
      <c r="J79" s="0" t="n">
        <v>0.8</v>
      </c>
      <c r="K79" s="0" t="n">
        <v>0.03</v>
      </c>
      <c r="L79" s="0" t="n">
        <v>6231</v>
      </c>
      <c r="M79" s="0" t="n">
        <v>54</v>
      </c>
    </row>
    <row r="80" customFormat="false" ht="13.5" hidden="false" customHeight="false" outlineLevel="0" collapsed="false">
      <c r="A80" s="0" t="s">
        <v>110</v>
      </c>
      <c r="B80" s="1" t="n">
        <v>43940</v>
      </c>
      <c r="C80" s="0" t="n">
        <v>105</v>
      </c>
      <c r="D80" s="0" t="n">
        <f aca="false">C80-C79</f>
        <v>9</v>
      </c>
      <c r="E80" s="0" t="n">
        <v>3</v>
      </c>
      <c r="F80" s="0" t="n">
        <v>0</v>
      </c>
      <c r="G80" s="0" t="n">
        <v>16</v>
      </c>
      <c r="H80" s="0" t="n">
        <v>86</v>
      </c>
      <c r="I80" s="0" t="n">
        <v>1</v>
      </c>
      <c r="J80" s="0" t="n">
        <v>0.9</v>
      </c>
      <c r="K80" s="0" t="n">
        <v>0.03</v>
      </c>
      <c r="L80" s="0" t="n">
        <v>6890</v>
      </c>
      <c r="M80" s="0" t="n">
        <v>60</v>
      </c>
    </row>
    <row r="81" customFormat="false" ht="13.5" hidden="false" customHeight="false" outlineLevel="0" collapsed="false">
      <c r="A81" s="0" t="s">
        <v>110</v>
      </c>
      <c r="B81" s="1" t="n">
        <v>43941</v>
      </c>
      <c r="C81" s="0" t="n">
        <v>108</v>
      </c>
      <c r="D81" s="0" t="n">
        <f aca="false">C81-C80</f>
        <v>3</v>
      </c>
      <c r="E81" s="0" t="n">
        <v>3</v>
      </c>
      <c r="F81" s="0" t="n">
        <v>0</v>
      </c>
      <c r="G81" s="0" t="n">
        <v>16</v>
      </c>
      <c r="H81" s="0" t="n">
        <v>89</v>
      </c>
      <c r="I81" s="0" t="n">
        <v>1</v>
      </c>
      <c r="J81" s="0" t="n">
        <v>0.9</v>
      </c>
      <c r="K81" s="0" t="n">
        <v>0.03</v>
      </c>
      <c r="L81" s="0" t="n">
        <v>7557</v>
      </c>
      <c r="M81" s="0" t="n">
        <v>66</v>
      </c>
    </row>
    <row r="82" customFormat="false" ht="13.5" hidden="false" customHeight="false" outlineLevel="0" collapsed="false">
      <c r="A82" s="0" t="s">
        <v>110</v>
      </c>
      <c r="B82" s="1" t="n">
        <v>43942</v>
      </c>
      <c r="C82" s="0" t="n">
        <v>111</v>
      </c>
      <c r="D82" s="0" t="n">
        <f aca="false">C82-C81</f>
        <v>3</v>
      </c>
      <c r="E82" s="0" t="n">
        <v>3</v>
      </c>
      <c r="F82" s="0" t="n">
        <v>0</v>
      </c>
      <c r="G82" s="0" t="n">
        <v>16</v>
      </c>
      <c r="H82" s="0" t="n">
        <v>92</v>
      </c>
      <c r="I82" s="0" t="n">
        <v>1</v>
      </c>
      <c r="J82" s="0" t="n">
        <v>1</v>
      </c>
      <c r="K82" s="0" t="n">
        <v>0.03</v>
      </c>
      <c r="L82" s="0" t="n">
        <v>7953</v>
      </c>
      <c r="M82" s="0" t="n">
        <v>69</v>
      </c>
    </row>
    <row r="83" customFormat="false" ht="13.5" hidden="false" customHeight="false" outlineLevel="0" collapsed="false">
      <c r="A83" s="0" t="s">
        <v>110</v>
      </c>
      <c r="B83" s="1" t="n">
        <v>43943</v>
      </c>
      <c r="C83" s="0" t="n">
        <v>114</v>
      </c>
      <c r="D83" s="0" t="n">
        <f aca="false">C83-C82</f>
        <v>3</v>
      </c>
      <c r="E83" s="0" t="n">
        <v>3</v>
      </c>
      <c r="F83" s="0" t="n">
        <v>0</v>
      </c>
      <c r="G83" s="0" t="n">
        <v>16</v>
      </c>
      <c r="H83" s="0" t="n">
        <v>95</v>
      </c>
      <c r="I83" s="0" t="n">
        <v>0</v>
      </c>
      <c r="J83" s="0" t="n">
        <v>1</v>
      </c>
      <c r="K83" s="0" t="n">
        <v>0.03</v>
      </c>
      <c r="L83" s="0" t="n">
        <v>8698</v>
      </c>
      <c r="M83" s="0" t="n">
        <v>76</v>
      </c>
    </row>
    <row r="84" customFormat="false" ht="13.5" hidden="false" customHeight="false" outlineLevel="0" collapsed="false">
      <c r="A84" s="0" t="s">
        <v>110</v>
      </c>
      <c r="B84" s="1" t="n">
        <v>43944</v>
      </c>
      <c r="C84" s="0" t="n">
        <v>116</v>
      </c>
      <c r="D84" s="0" t="n">
        <f aca="false">C84-C83</f>
        <v>2</v>
      </c>
      <c r="E84" s="0" t="n">
        <v>3</v>
      </c>
      <c r="F84" s="0" t="n">
        <v>0</v>
      </c>
      <c r="G84" s="0" t="n">
        <v>21</v>
      </c>
      <c r="H84" s="0" t="n">
        <v>92</v>
      </c>
      <c r="I84" s="0" t="n">
        <v>0</v>
      </c>
      <c r="J84" s="0" t="n">
        <v>1</v>
      </c>
      <c r="K84" s="0" t="n">
        <v>0.03</v>
      </c>
      <c r="L84" s="0" t="n">
        <v>9771</v>
      </c>
      <c r="M84" s="0" t="n">
        <v>85</v>
      </c>
    </row>
    <row r="85" customFormat="false" ht="13.5" hidden="false" customHeight="false" outlineLevel="0" collapsed="false">
      <c r="A85" s="0" t="s">
        <v>110</v>
      </c>
      <c r="B85" s="1" t="n">
        <v>43945</v>
      </c>
      <c r="C85" s="0" t="n">
        <v>116</v>
      </c>
      <c r="D85" s="0" t="n">
        <f aca="false">C85-C84</f>
        <v>0</v>
      </c>
      <c r="E85" s="0" t="n">
        <v>3</v>
      </c>
      <c r="F85" s="0" t="n">
        <v>0</v>
      </c>
      <c r="G85" s="0" t="n">
        <v>21</v>
      </c>
      <c r="H85" s="0" t="n">
        <v>92</v>
      </c>
      <c r="I85" s="0" t="n">
        <v>0</v>
      </c>
      <c r="J85" s="0" t="n">
        <v>1</v>
      </c>
      <c r="K85" s="0" t="n">
        <v>0.03</v>
      </c>
      <c r="L85" s="0" t="n">
        <v>10736</v>
      </c>
      <c r="M85" s="0" t="n">
        <v>93</v>
      </c>
    </row>
    <row r="86" customFormat="false" ht="13.5" hidden="false" customHeight="false" outlineLevel="0" collapsed="false">
      <c r="A86" s="0" t="s">
        <v>110</v>
      </c>
      <c r="B86" s="1" t="n">
        <v>43946</v>
      </c>
      <c r="C86" s="0" t="n">
        <v>117</v>
      </c>
      <c r="D86" s="0" t="n">
        <f aca="false">C86-C85</f>
        <v>1</v>
      </c>
      <c r="E86" s="0" t="n">
        <v>3</v>
      </c>
      <c r="F86" s="0" t="n">
        <v>0</v>
      </c>
      <c r="G86" s="0" t="n">
        <v>25</v>
      </c>
      <c r="H86" s="0" t="n">
        <v>89</v>
      </c>
      <c r="I86" s="0" t="n">
        <v>0</v>
      </c>
      <c r="J86" s="0" t="n">
        <v>1</v>
      </c>
      <c r="K86" s="0" t="n">
        <v>0.03</v>
      </c>
      <c r="L86" s="0" t="n">
        <v>11669</v>
      </c>
      <c r="M86" s="0" t="n">
        <v>102</v>
      </c>
    </row>
    <row r="87" customFormat="false" ht="13.5" hidden="false" customHeight="false" outlineLevel="0" collapsed="false">
      <c r="A87" s="0" t="s">
        <v>110</v>
      </c>
      <c r="B87" s="1" t="n">
        <v>43947</v>
      </c>
      <c r="C87" s="0" t="n">
        <v>122</v>
      </c>
      <c r="D87" s="0" t="n">
        <f aca="false">C87-C86</f>
        <v>5</v>
      </c>
      <c r="E87" s="0" t="n">
        <v>3</v>
      </c>
      <c r="F87" s="0" t="n">
        <v>0</v>
      </c>
      <c r="G87" s="0" t="n">
        <v>29</v>
      </c>
      <c r="H87" s="0" t="n">
        <v>90</v>
      </c>
      <c r="I87" s="0" t="n">
        <v>0</v>
      </c>
      <c r="J87" s="0" t="n">
        <v>1</v>
      </c>
      <c r="K87" s="0" t="n">
        <v>0.03</v>
      </c>
      <c r="L87" s="0" t="n">
        <v>12688</v>
      </c>
      <c r="M87" s="0" t="n">
        <v>110</v>
      </c>
    </row>
    <row r="88" customFormat="false" ht="13.5" hidden="false" customHeight="false" outlineLevel="0" collapsed="false">
      <c r="A88" s="0" t="s">
        <v>110</v>
      </c>
      <c r="B88" s="1" t="n">
        <v>43948</v>
      </c>
      <c r="C88" s="0" t="n">
        <v>123</v>
      </c>
      <c r="D88" s="0" t="n">
        <f aca="false">C88-C87</f>
        <v>1</v>
      </c>
      <c r="E88" s="0" t="n">
        <v>3</v>
      </c>
      <c r="F88" s="0" t="n">
        <v>0</v>
      </c>
      <c r="G88" s="0" t="n">
        <v>41</v>
      </c>
      <c r="H88" s="0" t="n">
        <v>79</v>
      </c>
      <c r="I88" s="0" t="e">
        <f aca="false">#REF!</f>
        <v>#REF!</v>
      </c>
      <c r="J88" s="0" t="n">
        <v>1</v>
      </c>
      <c r="K88" s="0" t="n">
        <v>0.03</v>
      </c>
      <c r="L88" s="0" t="n">
        <v>13645</v>
      </c>
      <c r="M88" s="0" t="n">
        <v>119</v>
      </c>
    </row>
    <row r="89" customFormat="false" ht="13.5" hidden="false" customHeight="false" outlineLevel="0" collapsed="false">
      <c r="A89" s="0" t="s">
        <v>110</v>
      </c>
      <c r="B89" s="1" t="n">
        <v>43949</v>
      </c>
      <c r="C89" s="0" t="n">
        <v>124</v>
      </c>
      <c r="D89" s="0" t="n">
        <f aca="false">C89-C88</f>
        <v>1</v>
      </c>
      <c r="E89" s="0" t="n">
        <v>3</v>
      </c>
      <c r="F89" s="0" t="n">
        <v>0</v>
      </c>
      <c r="G89" s="0" t="n">
        <v>50</v>
      </c>
      <c r="H89" s="0" t="n">
        <v>71</v>
      </c>
      <c r="I89" s="0" t="n">
        <v>0</v>
      </c>
      <c r="J89" s="0" t="n">
        <v>1</v>
      </c>
      <c r="K89" s="0" t="n">
        <v>0.03</v>
      </c>
      <c r="L89" s="0" t="n">
        <v>14588</v>
      </c>
      <c r="M89" s="0" t="n">
        <v>127</v>
      </c>
    </row>
    <row r="90" customFormat="false" ht="13.5" hidden="false" customHeight="false" outlineLevel="0" collapsed="false">
      <c r="A90" s="0" t="s">
        <v>110</v>
      </c>
      <c r="B90" s="1" t="n">
        <v>43950</v>
      </c>
      <c r="C90" s="0" t="n">
        <v>126</v>
      </c>
      <c r="D90" s="0" t="n">
        <f aca="false">C90-C89</f>
        <v>2</v>
      </c>
      <c r="E90" s="0" t="n">
        <v>3</v>
      </c>
      <c r="F90" s="0" t="n">
        <v>0</v>
      </c>
      <c r="G90" s="0" t="n">
        <v>50</v>
      </c>
      <c r="H90" s="0" t="n">
        <v>73</v>
      </c>
      <c r="I90" s="0" t="n">
        <v>0</v>
      </c>
      <c r="J90" s="0" t="n">
        <v>1</v>
      </c>
      <c r="K90" s="0" t="n">
        <v>0.03</v>
      </c>
      <c r="L90" s="0" t="n">
        <v>15668</v>
      </c>
      <c r="M90" s="0" t="n">
        <v>136</v>
      </c>
    </row>
    <row r="91" customFormat="false" ht="13.5" hidden="false" customHeight="false" outlineLevel="0" collapsed="false">
      <c r="A91" s="0" t="s">
        <v>110</v>
      </c>
      <c r="B91" s="1" t="n">
        <v>43951</v>
      </c>
      <c r="C91" s="0" t="n">
        <v>130</v>
      </c>
      <c r="D91" s="0" t="n">
        <f aca="false">C91-C90</f>
        <v>4</v>
      </c>
      <c r="E91" s="0" t="n">
        <v>3</v>
      </c>
      <c r="F91" s="0" t="n">
        <v>0</v>
      </c>
      <c r="G91" s="0" t="n">
        <v>58</v>
      </c>
      <c r="H91" s="0" t="n">
        <v>69</v>
      </c>
      <c r="I91" s="0" t="n">
        <v>0</v>
      </c>
      <c r="J91" s="0" t="n">
        <v>1</v>
      </c>
      <c r="K91" s="0" t="n">
        <v>0.03</v>
      </c>
      <c r="L91" s="0" t="n">
        <v>16434</v>
      </c>
      <c r="M91" s="0" t="n">
        <v>143</v>
      </c>
    </row>
    <row r="92" customFormat="false" ht="13.5" hidden="false" customHeight="false" outlineLevel="0" collapsed="false">
      <c r="A92" s="0" t="s">
        <v>110</v>
      </c>
      <c r="B92" s="1" t="n">
        <v>43952</v>
      </c>
      <c r="C92" s="0" t="n">
        <v>131</v>
      </c>
      <c r="D92" s="0" t="n">
        <f aca="false">C92-C91</f>
        <v>1</v>
      </c>
      <c r="E92" s="0" t="n">
        <v>3</v>
      </c>
      <c r="F92" s="0" t="n">
        <v>0</v>
      </c>
      <c r="G92" s="0" t="n">
        <v>59</v>
      </c>
      <c r="H92" s="0" t="n">
        <v>69</v>
      </c>
      <c r="I92" s="0" t="n">
        <v>0</v>
      </c>
      <c r="J92" s="0" t="n">
        <v>1</v>
      </c>
      <c r="K92" s="0" t="n">
        <v>0.03</v>
      </c>
      <c r="L92" s="0" t="n">
        <v>17842</v>
      </c>
      <c r="M92" s="0" t="n">
        <v>155</v>
      </c>
    </row>
    <row r="93" customFormat="false" ht="13.5" hidden="false" customHeight="false" outlineLevel="0" collapsed="false">
      <c r="A93" s="0" t="s">
        <v>110</v>
      </c>
      <c r="B93" s="1" t="n">
        <v>43953</v>
      </c>
      <c r="C93" s="0" t="n">
        <v>133</v>
      </c>
      <c r="D93" s="0" t="n">
        <f aca="false">C93-C92</f>
        <v>2</v>
      </c>
      <c r="E93" s="0" t="n">
        <v>3</v>
      </c>
      <c r="F93" s="0" t="n">
        <v>0</v>
      </c>
      <c r="G93" s="0" t="n">
        <v>66</v>
      </c>
      <c r="H93" s="0" t="n">
        <v>64</v>
      </c>
      <c r="I93" s="0" t="n">
        <v>0</v>
      </c>
      <c r="J93" s="0" t="n">
        <v>1</v>
      </c>
      <c r="K93" s="0" t="n">
        <v>0.03</v>
      </c>
      <c r="L93" s="0" t="n">
        <v>18754</v>
      </c>
      <c r="M93" s="0" t="n">
        <v>163</v>
      </c>
    </row>
    <row r="94" customFormat="false" ht="13.5" hidden="false" customHeight="false" outlineLevel="0" collapsed="false">
      <c r="A94" s="0" t="s">
        <v>110</v>
      </c>
      <c r="B94" s="1" t="n">
        <v>43954</v>
      </c>
      <c r="C94" s="0" t="n">
        <v>133</v>
      </c>
      <c r="D94" s="0" t="n">
        <f aca="false">C94-C93</f>
        <v>0</v>
      </c>
      <c r="E94" s="0" t="n">
        <v>3</v>
      </c>
      <c r="F94" s="0" t="n">
        <v>0</v>
      </c>
      <c r="G94" s="0" t="n">
        <v>69</v>
      </c>
      <c r="H94" s="0" t="n">
        <v>61</v>
      </c>
      <c r="I94" s="0" t="n">
        <v>0</v>
      </c>
      <c r="J94" s="0" t="n">
        <v>1</v>
      </c>
      <c r="K94" s="0" t="n">
        <v>0.03</v>
      </c>
      <c r="L94" s="0" t="n">
        <v>20770</v>
      </c>
      <c r="M94" s="0" t="n">
        <v>181</v>
      </c>
    </row>
    <row r="95" customFormat="false" ht="13.5" hidden="false" customHeight="false" outlineLevel="0" collapsed="false">
      <c r="A95" s="0" t="s">
        <v>110</v>
      </c>
      <c r="B95" s="1" t="n">
        <v>43955</v>
      </c>
      <c r="C95" s="0" t="n">
        <v>135</v>
      </c>
      <c r="D95" s="0" t="n">
        <f aca="false">C95-C94</f>
        <v>2</v>
      </c>
      <c r="E95" s="0" t="n">
        <v>3</v>
      </c>
      <c r="F95" s="0" t="n">
        <v>0</v>
      </c>
      <c r="G95" s="0" t="n">
        <v>75</v>
      </c>
      <c r="H95" s="0" t="n">
        <v>57</v>
      </c>
      <c r="I95" s="0" t="n">
        <v>0</v>
      </c>
      <c r="J95" s="0" t="n">
        <v>1</v>
      </c>
      <c r="K95" s="0" t="n">
        <v>0.03</v>
      </c>
      <c r="L95" s="0" t="n">
        <v>22330</v>
      </c>
      <c r="M95" s="0" t="n">
        <v>194</v>
      </c>
    </row>
    <row r="96" customFormat="false" ht="13.5" hidden="false" customHeight="false" outlineLevel="0" collapsed="false">
      <c r="A96" s="0" t="s">
        <v>110</v>
      </c>
      <c r="B96" s="1" t="n">
        <v>43956</v>
      </c>
      <c r="C96" s="0" t="n">
        <v>140</v>
      </c>
      <c r="D96" s="0" t="n">
        <f aca="false">C96-C95</f>
        <v>5</v>
      </c>
      <c r="E96" s="0" t="n">
        <v>3</v>
      </c>
      <c r="F96" s="0" t="n">
        <v>0</v>
      </c>
      <c r="G96" s="0" t="n">
        <v>75</v>
      </c>
      <c r="H96" s="0" t="n">
        <v>62</v>
      </c>
      <c r="I96" s="0" t="n">
        <v>0</v>
      </c>
      <c r="J96" s="0" t="n">
        <v>1</v>
      </c>
      <c r="K96" s="0" t="n">
        <v>0.03</v>
      </c>
      <c r="L96" s="0" t="n">
        <v>24088</v>
      </c>
      <c r="M96" s="0" t="n">
        <v>210</v>
      </c>
    </row>
    <row r="97" customFormat="false" ht="13.5" hidden="false" customHeight="false" outlineLevel="0" collapsed="false">
      <c r="A97" s="0" t="s">
        <v>110</v>
      </c>
      <c r="B97" s="1" t="n">
        <v>43957</v>
      </c>
      <c r="C97" s="0" t="n">
        <v>145</v>
      </c>
      <c r="D97" s="0" t="n">
        <f aca="false">C97-C96</f>
        <v>5</v>
      </c>
      <c r="E97" s="0" t="n">
        <v>4</v>
      </c>
      <c r="F97" s="0" t="n">
        <v>1</v>
      </c>
      <c r="G97" s="0" t="n">
        <v>91</v>
      </c>
      <c r="H97" s="0" t="n">
        <v>50</v>
      </c>
      <c r="I97" s="0" t="n">
        <v>0</v>
      </c>
      <c r="J97" s="0" t="n">
        <v>1</v>
      </c>
      <c r="K97" s="0" t="n">
        <v>0.03</v>
      </c>
      <c r="L97" s="0" t="n">
        <v>25135</v>
      </c>
      <c r="M97" s="0" t="n">
        <v>219</v>
      </c>
    </row>
    <row r="98" customFormat="false" ht="13.5" hidden="false" customHeight="false" outlineLevel="0" collapsed="false">
      <c r="A98" s="0" t="s">
        <v>110</v>
      </c>
      <c r="B98" s="1" t="n">
        <v>43958</v>
      </c>
      <c r="C98" s="0" t="n">
        <v>162</v>
      </c>
      <c r="D98" s="0" t="n">
        <f aca="false">C98-C97</f>
        <v>17</v>
      </c>
      <c r="E98" s="0" t="n">
        <v>4</v>
      </c>
      <c r="F98" s="0" t="n">
        <v>0</v>
      </c>
      <c r="G98" s="0" t="n">
        <v>93</v>
      </c>
      <c r="H98" s="0" t="n">
        <v>65</v>
      </c>
      <c r="I98" s="0" t="n">
        <v>0</v>
      </c>
      <c r="J98" s="0" t="n">
        <v>1</v>
      </c>
      <c r="K98" s="0" t="n">
        <v>0.03</v>
      </c>
      <c r="L98" s="0" t="n">
        <v>26517</v>
      </c>
      <c r="M98" s="0" t="n">
        <v>231</v>
      </c>
    </row>
    <row r="99" customFormat="false" ht="13.5" hidden="false" customHeight="false" outlineLevel="0" collapsed="false">
      <c r="A99" s="0" t="s">
        <v>110</v>
      </c>
      <c r="B99" s="1" t="n">
        <v>43959</v>
      </c>
      <c r="C99" s="0" t="n">
        <v>191</v>
      </c>
      <c r="D99" s="0" t="n">
        <f aca="false">C99-C98</f>
        <v>29</v>
      </c>
      <c r="E99" s="0" t="n">
        <v>4</v>
      </c>
      <c r="F99" s="0" t="n">
        <v>0</v>
      </c>
      <c r="G99" s="0" t="n">
        <v>93</v>
      </c>
      <c r="H99" s="0" t="n">
        <v>94</v>
      </c>
      <c r="I99" s="0" t="n">
        <v>1</v>
      </c>
      <c r="J99" s="0" t="n">
        <v>2</v>
      </c>
      <c r="K99" s="0" t="n">
        <v>0.03</v>
      </c>
      <c r="L99" s="0" t="n">
        <v>28445</v>
      </c>
      <c r="M99" s="0" t="n">
        <v>247</v>
      </c>
    </row>
    <row r="100" customFormat="false" ht="13.5" hidden="false" customHeight="false" outlineLevel="0" collapsed="false">
      <c r="A100" s="0" t="s">
        <v>110</v>
      </c>
      <c r="B100" s="1" t="n">
        <v>43960</v>
      </c>
      <c r="C100" s="0" t="n">
        <v>194</v>
      </c>
      <c r="D100" s="0" t="n">
        <f aca="false">C100-C99</f>
        <v>3</v>
      </c>
      <c r="E100" s="0" t="n">
        <v>4</v>
      </c>
      <c r="F100" s="0" t="n">
        <v>0</v>
      </c>
      <c r="G100" s="0" t="n">
        <v>95</v>
      </c>
      <c r="H100" s="0" t="n">
        <v>95</v>
      </c>
      <c r="I100" s="0" t="n">
        <v>1</v>
      </c>
      <c r="J100" s="0" t="n">
        <v>2</v>
      </c>
      <c r="K100" s="0" t="n">
        <v>0.03</v>
      </c>
      <c r="L100" s="0" t="n">
        <v>30306</v>
      </c>
      <c r="M100" s="0" t="n">
        <v>264</v>
      </c>
    </row>
    <row r="101" customFormat="false" ht="13.5" hidden="false" customHeight="false" outlineLevel="0" collapsed="false">
      <c r="A101" s="0" t="s">
        <v>110</v>
      </c>
      <c r="B101" s="1" t="n">
        <v>43961</v>
      </c>
      <c r="C101" s="0" t="n">
        <v>210</v>
      </c>
      <c r="D101" s="0" t="n">
        <f aca="false">C101-C100</f>
        <v>16</v>
      </c>
      <c r="E101" s="0" t="n">
        <v>5</v>
      </c>
      <c r="F101" s="0" t="n">
        <v>1</v>
      </c>
      <c r="G101" s="0" t="n">
        <v>97</v>
      </c>
      <c r="H101" s="0" t="n">
        <v>108</v>
      </c>
      <c r="I101" s="0" t="n">
        <v>1</v>
      </c>
      <c r="J101" s="0" t="n">
        <v>2</v>
      </c>
      <c r="K101" s="0" t="n">
        <v>0.04</v>
      </c>
      <c r="L101" s="0" t="n">
        <v>32689</v>
      </c>
      <c r="M101" s="0" t="n">
        <v>284</v>
      </c>
    </row>
    <row r="102" customFormat="false" ht="13.5" hidden="false" customHeight="false" outlineLevel="0" collapsed="false">
      <c r="A102" s="0" t="s">
        <v>110</v>
      </c>
      <c r="B102" s="1" t="n">
        <v>43962</v>
      </c>
      <c r="C102" s="0" t="n">
        <v>239</v>
      </c>
      <c r="D102" s="0" t="n">
        <f aca="false">C102-C101</f>
        <v>29</v>
      </c>
      <c r="E102" s="0" t="n">
        <v>5</v>
      </c>
      <c r="F102" s="0" t="n">
        <v>0</v>
      </c>
      <c r="G102" s="0" t="n">
        <v>99</v>
      </c>
      <c r="H102" s="0" t="n">
        <v>135</v>
      </c>
      <c r="I102" s="0" t="n">
        <v>1</v>
      </c>
      <c r="J102" s="0" t="n">
        <v>2</v>
      </c>
      <c r="K102" s="0" t="n">
        <v>0.04</v>
      </c>
      <c r="L102" s="0" t="n">
        <v>34860</v>
      </c>
      <c r="M102" s="0" t="n">
        <v>303</v>
      </c>
    </row>
    <row r="103" customFormat="false" ht="13.5" hidden="false" customHeight="false" outlineLevel="0" collapsed="false">
      <c r="A103" s="0" t="s">
        <v>110</v>
      </c>
      <c r="B103" s="1" t="n">
        <v>43963</v>
      </c>
      <c r="C103" s="0" t="n">
        <v>250</v>
      </c>
      <c r="D103" s="0" t="n">
        <f aca="false">C103-C102</f>
        <v>11</v>
      </c>
      <c r="E103" s="0" t="n">
        <v>5</v>
      </c>
      <c r="F103" s="0" t="n">
        <v>0</v>
      </c>
      <c r="G103" s="0" t="n">
        <v>105</v>
      </c>
      <c r="H103" s="0" t="n">
        <v>140</v>
      </c>
      <c r="I103" s="0" t="n">
        <v>1</v>
      </c>
      <c r="J103" s="0" t="n">
        <v>2</v>
      </c>
      <c r="K103" s="0" t="n">
        <v>0.04</v>
      </c>
      <c r="L103" s="0" t="n">
        <v>36624</v>
      </c>
      <c r="M103" s="0" t="n">
        <v>319</v>
      </c>
    </row>
    <row r="104" customFormat="false" ht="13.5" hidden="false" customHeight="false" outlineLevel="0" collapsed="false">
      <c r="A104" s="0" t="s">
        <v>110</v>
      </c>
      <c r="B104" s="1" t="n">
        <v>43964</v>
      </c>
      <c r="C104" s="0" t="n">
        <v>261</v>
      </c>
      <c r="D104" s="0" t="n">
        <f aca="false">C104-C103</f>
        <v>11</v>
      </c>
      <c r="E104" s="0" t="n">
        <v>5</v>
      </c>
      <c r="F104" s="0" t="n">
        <v>0</v>
      </c>
      <c r="G104" s="0" t="n">
        <v>106</v>
      </c>
      <c r="H104" s="0" t="n">
        <v>150</v>
      </c>
      <c r="I104" s="0" t="n">
        <v>0</v>
      </c>
      <c r="J104" s="0" t="n">
        <v>2</v>
      </c>
      <c r="K104" s="0" t="n">
        <v>0.04</v>
      </c>
      <c r="L104" s="0" t="n">
        <v>39048</v>
      </c>
      <c r="M104" s="0" t="n">
        <v>340</v>
      </c>
    </row>
    <row r="105" customFormat="false" ht="13.5" hidden="false" customHeight="false" outlineLevel="0" collapsed="false">
      <c r="A105" s="0" t="s">
        <v>110</v>
      </c>
      <c r="B105" s="1" t="n">
        <v>43965</v>
      </c>
      <c r="C105" s="0" t="n">
        <v>263</v>
      </c>
      <c r="D105" s="0" t="n">
        <f aca="false">C105-C104</f>
        <v>2</v>
      </c>
      <c r="E105" s="0" t="n">
        <v>5</v>
      </c>
      <c r="F105" s="0" t="n">
        <v>0</v>
      </c>
      <c r="G105" s="0" t="n">
        <v>108</v>
      </c>
      <c r="H105" s="0" t="n">
        <v>150</v>
      </c>
      <c r="I105" s="0" t="n">
        <v>0</v>
      </c>
      <c r="J105" s="0" t="n">
        <v>2</v>
      </c>
      <c r="K105" s="0" t="n">
        <v>0.04</v>
      </c>
      <c r="L105" s="0" t="n">
        <v>41689</v>
      </c>
      <c r="M105" s="0" t="n">
        <v>363</v>
      </c>
    </row>
    <row r="106" customFormat="false" ht="13.5" hidden="false" customHeight="false" outlineLevel="0" collapsed="false">
      <c r="A106" s="0" t="s">
        <v>110</v>
      </c>
      <c r="B106" s="1" t="n">
        <v>43966</v>
      </c>
      <c r="C106" s="0" t="n">
        <v>272</v>
      </c>
      <c r="D106" s="0" t="n">
        <f aca="false">C106-C105</f>
        <v>9</v>
      </c>
      <c r="E106" s="0" t="n">
        <v>5</v>
      </c>
      <c r="F106" s="0" t="n">
        <v>0</v>
      </c>
      <c r="G106" s="0" t="n">
        <v>108</v>
      </c>
      <c r="H106" s="0" t="n">
        <v>159</v>
      </c>
      <c r="I106" s="0" t="n">
        <v>0</v>
      </c>
      <c r="J106" s="0" t="n">
        <v>2</v>
      </c>
      <c r="K106" s="0" t="n">
        <v>0.04</v>
      </c>
      <c r="L106" s="0" t="n">
        <v>45278</v>
      </c>
      <c r="M106" s="0" t="n">
        <v>394</v>
      </c>
    </row>
    <row r="107" customFormat="false" ht="13.5" hidden="false" customHeight="false" outlineLevel="0" collapsed="false">
      <c r="A107" s="0" t="s">
        <v>110</v>
      </c>
      <c r="B107" s="1" t="n">
        <v>43967</v>
      </c>
      <c r="C107" s="0" t="n">
        <v>287</v>
      </c>
      <c r="D107" s="0" t="n">
        <f aca="false">C107-C106</f>
        <v>15</v>
      </c>
      <c r="E107" s="0" t="n">
        <v>5</v>
      </c>
      <c r="F107" s="0" t="n">
        <v>0</v>
      </c>
      <c r="G107" s="0" t="n">
        <v>112</v>
      </c>
      <c r="H107" s="0" t="n">
        <v>170</v>
      </c>
      <c r="I107" s="0" t="n">
        <v>0</v>
      </c>
      <c r="J107" s="0" t="n">
        <v>3</v>
      </c>
      <c r="K107" s="0" t="n">
        <v>0.04</v>
      </c>
      <c r="L107" s="0" t="n">
        <v>48985</v>
      </c>
      <c r="M107" s="0" t="n">
        <v>428</v>
      </c>
    </row>
    <row r="108" customFormat="false" ht="13.5" hidden="false" customHeight="false" outlineLevel="0" collapsed="false">
      <c r="A108" s="0" t="s">
        <v>110</v>
      </c>
      <c r="B108" s="1" t="n">
        <v>43968</v>
      </c>
      <c r="C108" s="0" t="n">
        <v>306</v>
      </c>
      <c r="D108" s="0" t="n">
        <f aca="false">C108-C107</f>
        <v>19</v>
      </c>
      <c r="E108" s="0" t="n">
        <v>5</v>
      </c>
      <c r="F108" s="0" t="n">
        <v>0</v>
      </c>
      <c r="G108" s="0" t="n">
        <v>113</v>
      </c>
      <c r="H108" s="0" t="n">
        <v>188</v>
      </c>
      <c r="I108" s="0" t="n">
        <v>0</v>
      </c>
      <c r="J108" s="0" t="n">
        <v>3</v>
      </c>
      <c r="K108" s="0" t="n">
        <v>0.04</v>
      </c>
      <c r="L108" s="0" t="n">
        <v>53029</v>
      </c>
      <c r="M108" s="0" t="n">
        <v>463</v>
      </c>
    </row>
    <row r="109" customFormat="false" ht="13.5" hidden="false" customHeight="false" outlineLevel="0" collapsed="false">
      <c r="A109" s="0" t="s">
        <v>110</v>
      </c>
      <c r="B109" s="1" t="n">
        <v>43969</v>
      </c>
      <c r="C109" s="0" t="n">
        <v>317</v>
      </c>
      <c r="D109" s="0" t="n">
        <f aca="false">C109-C108</f>
        <v>11</v>
      </c>
      <c r="E109" s="0" t="n">
        <v>5</v>
      </c>
      <c r="F109" s="0" t="n">
        <v>0</v>
      </c>
      <c r="G109" s="0" t="n">
        <v>113</v>
      </c>
      <c r="H109" s="0" t="n">
        <v>199</v>
      </c>
      <c r="I109" s="0" t="n">
        <v>0</v>
      </c>
      <c r="J109" s="0" t="n">
        <v>3</v>
      </c>
      <c r="K109" s="0" t="n">
        <v>0.04</v>
      </c>
      <c r="L109" s="0" t="n">
        <v>57254</v>
      </c>
      <c r="M109" s="0" t="n">
        <v>500</v>
      </c>
    </row>
    <row r="110" customFormat="false" ht="13.5" hidden="false" customHeight="false" outlineLevel="0" collapsed="false">
      <c r="A110" s="0" t="s">
        <v>110</v>
      </c>
      <c r="B110" s="1" t="n">
        <v>43970</v>
      </c>
      <c r="C110" s="0" t="n">
        <v>352</v>
      </c>
      <c r="D110" s="0" t="n">
        <f aca="false">C110-C109</f>
        <v>35</v>
      </c>
      <c r="E110" s="0" t="n">
        <v>5</v>
      </c>
      <c r="F110" s="0" t="n">
        <v>0</v>
      </c>
      <c r="G110" s="0" t="n">
        <v>116</v>
      </c>
      <c r="H110" s="0" t="n">
        <v>231</v>
      </c>
      <c r="I110" s="0" t="n">
        <v>0</v>
      </c>
      <c r="J110" s="0" t="n">
        <v>3</v>
      </c>
      <c r="K110" s="0" t="n">
        <v>0.04</v>
      </c>
      <c r="L110" s="0" t="n">
        <v>59029</v>
      </c>
      <c r="M110" s="0" t="n">
        <v>515</v>
      </c>
    </row>
    <row r="111" customFormat="false" ht="13.5" hidden="false" customHeight="false" outlineLevel="0" collapsed="false">
      <c r="A111" s="0" t="s">
        <v>110</v>
      </c>
      <c r="B111" s="1" t="n">
        <v>43971</v>
      </c>
      <c r="C111" s="0" t="n">
        <v>365</v>
      </c>
      <c r="D111" s="0" t="n">
        <f aca="false">C111-C110</f>
        <v>13</v>
      </c>
      <c r="E111" s="0" t="n">
        <v>5</v>
      </c>
      <c r="F111" s="0" t="n">
        <v>0</v>
      </c>
      <c r="G111" s="0" t="n">
        <v>120</v>
      </c>
      <c r="H111" s="0" t="n">
        <v>240</v>
      </c>
      <c r="I111" s="0" t="n">
        <v>0</v>
      </c>
      <c r="J111" s="0" t="n">
        <v>3</v>
      </c>
      <c r="K111" s="0" t="n">
        <v>0.04</v>
      </c>
      <c r="L111" s="0" t="n">
        <v>62300</v>
      </c>
      <c r="M111" s="0" t="n">
        <v>544</v>
      </c>
    </row>
    <row r="112" customFormat="false" ht="13.5" hidden="false" customHeight="false" outlineLevel="0" collapsed="false">
      <c r="A112" s="0" t="s">
        <v>110</v>
      </c>
      <c r="B112" s="1" t="n">
        <v>43972</v>
      </c>
      <c r="C112" s="0" t="n">
        <v>389</v>
      </c>
      <c r="D112" s="0" t="n">
        <f aca="false">C112-C111</f>
        <v>24</v>
      </c>
      <c r="E112" s="0" t="n">
        <v>5</v>
      </c>
      <c r="F112" s="0" t="n">
        <v>0</v>
      </c>
      <c r="G112" s="0" t="n">
        <v>122</v>
      </c>
      <c r="H112" s="0" t="n">
        <v>262</v>
      </c>
      <c r="I112" s="0" t="n">
        <v>0</v>
      </c>
      <c r="J112" s="0" t="n">
        <v>3</v>
      </c>
      <c r="K112" s="0" t="n">
        <v>0.04</v>
      </c>
      <c r="L112" s="0" t="n">
        <v>65760</v>
      </c>
      <c r="M112" s="0" t="n">
        <v>574</v>
      </c>
    </row>
    <row r="113" customFormat="false" ht="13.5" hidden="false" customHeight="false" outlineLevel="0" collapsed="false">
      <c r="A113" s="0" t="s">
        <v>110</v>
      </c>
      <c r="B113" s="1" t="n">
        <v>43973</v>
      </c>
      <c r="C113" s="0" t="n">
        <v>399</v>
      </c>
      <c r="D113" s="0" t="n">
        <f aca="false">C113-C112</f>
        <v>10</v>
      </c>
      <c r="E113" s="0" t="n">
        <v>5</v>
      </c>
      <c r="F113" s="0" t="n">
        <v>0</v>
      </c>
      <c r="G113" s="0" t="n">
        <v>123</v>
      </c>
      <c r="H113" s="0" t="n">
        <v>271</v>
      </c>
      <c r="I113" s="0" t="n">
        <v>0</v>
      </c>
      <c r="J113" s="0" t="n">
        <v>3</v>
      </c>
      <c r="K113" s="0" t="n">
        <v>0.04</v>
      </c>
      <c r="L113" s="0" t="n">
        <v>69519</v>
      </c>
      <c r="M113" s="0" t="n">
        <v>607</v>
      </c>
    </row>
    <row r="114" customFormat="false" ht="13.5" hidden="false" customHeight="false" outlineLevel="0" collapsed="false">
      <c r="A114" s="0" t="s">
        <v>110</v>
      </c>
      <c r="B114" s="1" t="n">
        <v>43974</v>
      </c>
      <c r="C114" s="0" t="n">
        <v>433</v>
      </c>
      <c r="D114" s="0" t="n">
        <f aca="false">C114-C113</f>
        <v>34</v>
      </c>
      <c r="E114" s="0" t="n">
        <v>5</v>
      </c>
      <c r="F114" s="0" t="n">
        <v>0</v>
      </c>
      <c r="G114" s="0" t="n">
        <v>128</v>
      </c>
      <c r="H114" s="0" t="n">
        <v>300</v>
      </c>
      <c r="I114" s="0" t="n">
        <v>0</v>
      </c>
      <c r="J114" s="0" t="n">
        <v>4</v>
      </c>
      <c r="K114" s="0" t="n">
        <v>0.04</v>
      </c>
      <c r="L114" s="0" t="n">
        <v>73205</v>
      </c>
      <c r="M114" s="0" t="n">
        <v>639</v>
      </c>
    </row>
    <row r="115" customFormat="false" ht="13.5" hidden="false" customHeight="false" outlineLevel="0" collapsed="false">
      <c r="A115" s="0" t="s">
        <v>110</v>
      </c>
      <c r="B115" s="1" t="n">
        <v>43975</v>
      </c>
      <c r="C115" s="0" t="n">
        <v>494</v>
      </c>
      <c r="D115" s="0" t="n">
        <f aca="false">C115-C114</f>
        <v>61</v>
      </c>
      <c r="E115" s="0" t="n">
        <v>5</v>
      </c>
      <c r="F115" s="0" t="n">
        <v>0</v>
      </c>
      <c r="G115" s="0" t="n">
        <v>151</v>
      </c>
      <c r="H115" s="0" t="n">
        <v>338</v>
      </c>
      <c r="I115" s="0" t="n">
        <v>0</v>
      </c>
      <c r="J115" s="0" t="n">
        <v>4</v>
      </c>
      <c r="K115" s="0" t="n">
        <v>0.04</v>
      </c>
      <c r="L115" s="0" t="n">
        <v>76962</v>
      </c>
      <c r="M115" s="0" t="n">
        <v>671</v>
      </c>
    </row>
    <row r="116" customFormat="false" ht="13.5" hidden="false" customHeight="false" outlineLevel="0" collapsed="false">
      <c r="A116" s="0" t="s">
        <v>110</v>
      </c>
      <c r="B116" s="1" t="n">
        <v>43976</v>
      </c>
      <c r="C116" s="0" t="n">
        <v>582</v>
      </c>
      <c r="D116" s="0" t="n">
        <f aca="false">C116-C115</f>
        <v>88</v>
      </c>
      <c r="E116" s="0" t="n">
        <v>5</v>
      </c>
      <c r="F116" s="0" t="n">
        <v>0</v>
      </c>
      <c r="G116" s="0" t="n">
        <v>152</v>
      </c>
      <c r="H116" s="0" t="n">
        <v>425</v>
      </c>
      <c r="I116" s="0" t="n">
        <v>0</v>
      </c>
      <c r="J116" s="0" t="n">
        <v>5</v>
      </c>
      <c r="K116" s="0" t="n">
        <v>0.04</v>
      </c>
      <c r="L116" s="0" t="n">
        <v>81010</v>
      </c>
      <c r="M116" s="0" t="n">
        <v>707</v>
      </c>
    </row>
    <row r="117" customFormat="false" ht="13.5" hidden="false" customHeight="false" outlineLevel="0" collapsed="false">
      <c r="A117" s="0" t="s">
        <v>110</v>
      </c>
      <c r="B117" s="1" t="n">
        <v>43977</v>
      </c>
      <c r="C117" s="0" t="n">
        <v>655</v>
      </c>
      <c r="D117" s="0" t="n">
        <f aca="false">C117-C116</f>
        <v>73</v>
      </c>
      <c r="E117" s="0" t="n">
        <v>5</v>
      </c>
      <c r="F117" s="0" t="n">
        <v>0</v>
      </c>
      <c r="G117" s="0" t="n">
        <v>159</v>
      </c>
      <c r="H117" s="0" t="n">
        <v>491</v>
      </c>
      <c r="I117" s="0" t="n">
        <v>0</v>
      </c>
      <c r="J117" s="0" t="n">
        <v>6</v>
      </c>
      <c r="K117" s="0" t="n">
        <v>0.04</v>
      </c>
      <c r="L117" s="0" t="n">
        <v>83854</v>
      </c>
      <c r="M117" s="0" t="n">
        <v>731</v>
      </c>
    </row>
    <row r="118" customFormat="false" ht="13.5" hidden="false" customHeight="false" outlineLevel="0" collapsed="false">
      <c r="A118" s="0" t="s">
        <v>110</v>
      </c>
      <c r="B118" s="1" t="n">
        <v>43978</v>
      </c>
      <c r="C118" s="0" t="n">
        <v>701</v>
      </c>
      <c r="D118" s="0" t="n">
        <f aca="false">C118-C117</f>
        <v>46</v>
      </c>
      <c r="E118" s="0" t="n">
        <v>6</v>
      </c>
      <c r="F118" s="0" t="n">
        <v>1</v>
      </c>
      <c r="G118" s="0" t="n">
        <v>167</v>
      </c>
      <c r="H118" s="0" t="n">
        <v>528</v>
      </c>
      <c r="I118" s="0" t="n">
        <v>0</v>
      </c>
      <c r="J118" s="0" t="n">
        <v>6</v>
      </c>
      <c r="K118" s="0" t="n">
        <v>0.05</v>
      </c>
      <c r="L118" s="0" t="n">
        <v>87264</v>
      </c>
      <c r="M118" s="0" t="n">
        <v>761</v>
      </c>
    </row>
    <row r="119" customFormat="false" ht="13.5" hidden="false" customHeight="false" outlineLevel="0" collapsed="false">
      <c r="A119" s="0" t="s">
        <v>110</v>
      </c>
      <c r="B119" s="1" t="n">
        <v>43979</v>
      </c>
      <c r="C119" s="0" t="n">
        <v>731</v>
      </c>
      <c r="D119" s="0" t="n">
        <f aca="false">C119-C118</f>
        <v>30</v>
      </c>
      <c r="E119" s="0" t="n">
        <v>6</v>
      </c>
      <c r="F119" s="0" t="n">
        <v>0</v>
      </c>
      <c r="G119" s="0" t="n">
        <v>181</v>
      </c>
      <c r="H119" s="0" t="n">
        <v>544</v>
      </c>
      <c r="I119" s="0" t="n">
        <v>1</v>
      </c>
      <c r="J119" s="0" t="n">
        <v>6</v>
      </c>
      <c r="K119" s="0" t="n">
        <v>0.05</v>
      </c>
      <c r="L119" s="0" t="n">
        <v>91616</v>
      </c>
      <c r="M119" s="0" t="n">
        <v>799</v>
      </c>
    </row>
    <row r="120" customFormat="false" ht="13.5" hidden="false" customHeight="false" outlineLevel="0" collapsed="false">
      <c r="A120" s="0" t="s">
        <v>110</v>
      </c>
      <c r="B120" s="1" t="n">
        <v>43980</v>
      </c>
      <c r="C120" s="0" t="n">
        <v>831</v>
      </c>
      <c r="D120" s="0" t="n">
        <f aca="false">C120-C119</f>
        <v>100</v>
      </c>
      <c r="E120" s="0" t="n">
        <v>7</v>
      </c>
      <c r="F120" s="0" t="n">
        <v>1</v>
      </c>
      <c r="G120" s="0" t="n">
        <v>191</v>
      </c>
      <c r="H120" s="0" t="n">
        <v>633</v>
      </c>
      <c r="I120" s="0" t="n">
        <v>1</v>
      </c>
      <c r="J120" s="0" t="n">
        <v>7</v>
      </c>
      <c r="K120" s="0" t="n">
        <v>0.06</v>
      </c>
      <c r="L120" s="0" t="n">
        <v>96566</v>
      </c>
      <c r="M120" s="0" t="n">
        <v>842</v>
      </c>
    </row>
    <row r="121" customFormat="false" ht="13.5" hidden="false" customHeight="false" outlineLevel="0" collapsed="false">
      <c r="A121" s="0" t="s">
        <v>110</v>
      </c>
      <c r="B121" s="1" t="n">
        <v>43981</v>
      </c>
      <c r="C121" s="0" t="n">
        <v>968</v>
      </c>
      <c r="D121" s="0" t="n">
        <f aca="false">C121-C120</f>
        <v>137</v>
      </c>
      <c r="E121" s="0" t="n">
        <v>8</v>
      </c>
      <c r="F121" s="0" t="n">
        <v>1</v>
      </c>
      <c r="G121" s="0" t="n">
        <v>197</v>
      </c>
      <c r="H121" s="0" t="n">
        <v>763</v>
      </c>
      <c r="I121" s="0" t="n">
        <v>4</v>
      </c>
      <c r="J121" s="0" t="n">
        <v>8</v>
      </c>
      <c r="K121" s="0" t="n">
        <v>0.07</v>
      </c>
      <c r="L121" s="0" t="n">
        <v>101581</v>
      </c>
      <c r="M121" s="0" t="n">
        <v>886</v>
      </c>
    </row>
    <row r="122" customFormat="false" ht="13.5" hidden="false" customHeight="false" outlineLevel="0" collapsed="false">
      <c r="A122" s="0" t="s">
        <v>110</v>
      </c>
      <c r="B122" s="1" t="n">
        <v>43982</v>
      </c>
      <c r="C122" s="0" t="n">
        <v>1063</v>
      </c>
      <c r="D122" s="0" t="n">
        <f aca="false">C122-C121</f>
        <v>95</v>
      </c>
      <c r="E122" s="0" t="n">
        <v>8</v>
      </c>
      <c r="F122" s="0" t="n">
        <v>0</v>
      </c>
      <c r="G122" s="0" t="n">
        <v>208</v>
      </c>
      <c r="H122" s="0" t="n">
        <v>847</v>
      </c>
      <c r="I122" s="0" t="n">
        <v>5</v>
      </c>
      <c r="J122" s="0" t="n">
        <v>9</v>
      </c>
      <c r="K122" s="0" t="n">
        <v>0.07</v>
      </c>
      <c r="L122" s="0" t="n">
        <v>106615</v>
      </c>
      <c r="M122" s="0" t="n">
        <v>930</v>
      </c>
    </row>
    <row r="123" customFormat="false" ht="13.5" hidden="false" customHeight="false" outlineLevel="0" collapsed="false">
      <c r="A123" s="0" t="s">
        <v>110</v>
      </c>
      <c r="B123" s="1" t="n">
        <v>43983</v>
      </c>
      <c r="C123" s="0" t="n">
        <v>1172</v>
      </c>
      <c r="D123" s="0" t="n">
        <f aca="false">C123-C122</f>
        <v>109</v>
      </c>
      <c r="E123" s="0" t="n">
        <v>11</v>
      </c>
      <c r="F123" s="0" t="n">
        <v>3</v>
      </c>
      <c r="G123" s="0" t="n">
        <v>209</v>
      </c>
      <c r="H123" s="0" t="n">
        <v>952</v>
      </c>
      <c r="I123" s="0" t="n">
        <v>4</v>
      </c>
      <c r="J123" s="0" t="n">
        <v>10</v>
      </c>
      <c r="K123" s="0" t="n">
        <v>0.1</v>
      </c>
      <c r="L123" s="0" t="n">
        <v>109451</v>
      </c>
      <c r="M123" s="0" t="n">
        <v>954</v>
      </c>
    </row>
    <row r="124" customFormat="false" ht="13.5" hidden="false" customHeight="false" outlineLevel="0" collapsed="false">
      <c r="A124" s="0" t="s">
        <v>110</v>
      </c>
      <c r="B124" s="1" t="n">
        <v>43984</v>
      </c>
      <c r="C124" s="0" t="n">
        <v>1257</v>
      </c>
      <c r="D124" s="0" t="n">
        <f aca="false">C124-C123</f>
        <v>85</v>
      </c>
      <c r="E124" s="0" t="n">
        <v>12</v>
      </c>
      <c r="F124" s="0" t="n">
        <v>1</v>
      </c>
      <c r="G124" s="0" t="n">
        <v>217</v>
      </c>
      <c r="H124" s="0" t="n">
        <v>1028</v>
      </c>
      <c r="I124" s="0" t="n">
        <v>4</v>
      </c>
      <c r="J124" s="0" t="n">
        <v>11</v>
      </c>
      <c r="K124" s="0" t="n">
        <v>0.1</v>
      </c>
      <c r="L124" s="0" t="n">
        <v>112377</v>
      </c>
      <c r="M124" s="0" t="n">
        <v>980</v>
      </c>
    </row>
    <row r="125" customFormat="false" ht="13.5" hidden="false" customHeight="false" outlineLevel="0" collapsed="false">
      <c r="A125" s="0" t="s">
        <v>110</v>
      </c>
      <c r="B125" s="1" t="n">
        <v>43985</v>
      </c>
      <c r="C125" s="0" t="n">
        <v>1344</v>
      </c>
      <c r="D125" s="0" t="n">
        <f aca="false">C125-C124</f>
        <v>87</v>
      </c>
      <c r="E125" s="0" t="n">
        <v>14</v>
      </c>
      <c r="F125" s="0" t="n">
        <v>2</v>
      </c>
      <c r="G125" s="0" t="n">
        <v>231</v>
      </c>
      <c r="H125" s="0" t="n">
        <v>1099</v>
      </c>
      <c r="I125" s="0" t="n">
        <v>8</v>
      </c>
      <c r="J125" s="0" t="n">
        <v>12</v>
      </c>
      <c r="K125" s="0" t="n">
        <v>0.1</v>
      </c>
      <c r="L125" s="0" t="n">
        <v>116309</v>
      </c>
      <c r="M125" s="0" t="n">
        <v>1014</v>
      </c>
    </row>
    <row r="126" customFormat="false" ht="13.5" hidden="false" customHeight="false" outlineLevel="0" collapsed="false">
      <c r="A126" s="0" t="s">
        <v>110</v>
      </c>
      <c r="B126" s="1" t="n">
        <v>43986</v>
      </c>
      <c r="C126" s="0" t="n">
        <v>1486</v>
      </c>
      <c r="D126" s="0" t="n">
        <f aca="false">C126-C125</f>
        <v>142</v>
      </c>
      <c r="E126" s="0" t="n">
        <v>17</v>
      </c>
      <c r="F126" s="0" t="n">
        <v>3</v>
      </c>
      <c r="G126" s="0" t="n">
        <v>246</v>
      </c>
      <c r="H126" s="0" t="n">
        <v>1223</v>
      </c>
      <c r="I126" s="0" t="n">
        <v>6</v>
      </c>
      <c r="J126" s="0" t="n">
        <v>13</v>
      </c>
      <c r="K126" s="0" t="n">
        <v>0.1</v>
      </c>
      <c r="L126" s="0" t="n">
        <v>120429</v>
      </c>
      <c r="M126" s="0" t="n">
        <v>1050</v>
      </c>
    </row>
    <row r="127" customFormat="false" ht="13.5" hidden="false" customHeight="false" outlineLevel="0" collapsed="false">
      <c r="A127" s="0" t="s">
        <v>110</v>
      </c>
      <c r="B127" s="1" t="n">
        <v>43987</v>
      </c>
      <c r="C127" s="0" t="n">
        <v>1636</v>
      </c>
      <c r="D127" s="0" t="n">
        <f aca="false">C127-C126</f>
        <v>150</v>
      </c>
      <c r="E127" s="0" t="n">
        <v>18</v>
      </c>
      <c r="F127" s="0" t="n">
        <v>1</v>
      </c>
      <c r="G127" s="0" t="n">
        <v>250</v>
      </c>
      <c r="H127" s="0" t="n">
        <v>1368</v>
      </c>
      <c r="I127" s="0" t="n">
        <v>16</v>
      </c>
      <c r="J127" s="0" t="n">
        <v>14</v>
      </c>
      <c r="K127" s="0" t="n">
        <v>0.2</v>
      </c>
      <c r="L127" s="0" t="n">
        <v>125570</v>
      </c>
      <c r="M127" s="0" t="n">
        <v>1095</v>
      </c>
    </row>
    <row r="128" customFormat="false" ht="13.5" hidden="false" customHeight="false" outlineLevel="0" collapsed="false">
      <c r="A128" s="0" t="s">
        <v>110</v>
      </c>
      <c r="B128" s="1" t="n">
        <v>43988</v>
      </c>
      <c r="C128" s="0" t="n">
        <v>1805</v>
      </c>
      <c r="D128" s="0" t="n">
        <f aca="false">C128-C127</f>
        <v>169</v>
      </c>
      <c r="E128" s="0" t="n">
        <v>19</v>
      </c>
      <c r="F128" s="0" t="n">
        <v>1</v>
      </c>
      <c r="G128" s="0" t="n">
        <v>262</v>
      </c>
      <c r="H128" s="0" t="n">
        <v>1524</v>
      </c>
      <c r="I128" s="0" t="n">
        <v>18</v>
      </c>
      <c r="J128" s="0" t="n">
        <v>16</v>
      </c>
      <c r="K128" s="0" t="n">
        <v>0.2</v>
      </c>
      <c r="L128" s="0" t="n">
        <v>131368</v>
      </c>
      <c r="M128" s="0" t="n">
        <v>1145</v>
      </c>
    </row>
    <row r="129" customFormat="false" ht="13.5" hidden="false" customHeight="false" outlineLevel="0" collapsed="false">
      <c r="A129" s="0" t="s">
        <v>110</v>
      </c>
      <c r="B129" s="1" t="n">
        <v>43989</v>
      </c>
      <c r="C129" s="0" t="n">
        <v>1934</v>
      </c>
      <c r="D129" s="0" t="n">
        <f aca="false">C129-C128</f>
        <v>129</v>
      </c>
      <c r="E129" s="0" t="n">
        <v>20</v>
      </c>
      <c r="F129" s="0" t="n">
        <v>1</v>
      </c>
      <c r="G129" s="0" t="n">
        <v>281</v>
      </c>
      <c r="H129" s="0" t="n">
        <v>1633</v>
      </c>
      <c r="I129" s="0" t="n">
        <v>27</v>
      </c>
      <c r="J129" s="0" t="n">
        <v>17</v>
      </c>
      <c r="K129" s="0" t="n">
        <v>0.2</v>
      </c>
      <c r="L129" s="0" t="n">
        <v>136868</v>
      </c>
      <c r="M129" s="0" t="n">
        <v>1193</v>
      </c>
    </row>
    <row r="130" customFormat="false" ht="13.5" hidden="false" customHeight="false" outlineLevel="0" collapsed="false">
      <c r="A130" s="0" t="s">
        <v>110</v>
      </c>
      <c r="B130" s="1" t="n">
        <v>43990</v>
      </c>
      <c r="C130" s="0" t="n">
        <v>2020</v>
      </c>
      <c r="D130" s="0" t="n">
        <f aca="false">C130-C129</f>
        <v>86</v>
      </c>
      <c r="E130" s="0" t="n">
        <v>27</v>
      </c>
      <c r="F130" s="0" t="n">
        <v>7</v>
      </c>
      <c r="G130" s="0" t="n">
        <v>344</v>
      </c>
      <c r="H130" s="0" t="n">
        <v>1649</v>
      </c>
      <c r="I130" s="0" t="n">
        <v>32</v>
      </c>
      <c r="J130" s="0" t="n">
        <v>18</v>
      </c>
      <c r="K130" s="0" t="n">
        <v>0.2</v>
      </c>
      <c r="L130" s="0" t="n">
        <v>142960</v>
      </c>
      <c r="M130" s="0" t="n">
        <v>1246</v>
      </c>
    </row>
    <row r="131" customFormat="false" ht="13.5" hidden="false" customHeight="false" outlineLevel="0" collapsed="false">
      <c r="A131" s="0" t="s">
        <v>110</v>
      </c>
      <c r="B131" s="1" t="n">
        <v>43991</v>
      </c>
      <c r="C131" s="0" t="n">
        <v>2156</v>
      </c>
      <c r="D131" s="0" t="n">
        <f aca="false">C131-C130</f>
        <v>136</v>
      </c>
      <c r="E131" s="0" t="n">
        <v>27</v>
      </c>
      <c r="F131" s="0" t="n">
        <v>0</v>
      </c>
      <c r="G131" s="0" t="n">
        <v>361</v>
      </c>
      <c r="H131" s="0" t="n">
        <v>1768</v>
      </c>
      <c r="I131" s="0" t="n">
        <v>32</v>
      </c>
      <c r="J131" s="0" t="n">
        <v>19</v>
      </c>
      <c r="K131" s="0" t="n">
        <v>0.2</v>
      </c>
      <c r="L131" s="0" t="n">
        <v>147735</v>
      </c>
      <c r="M131" s="0" t="n">
        <v>1287</v>
      </c>
    </row>
    <row r="132" customFormat="false" ht="13.5" hidden="false" customHeight="false" outlineLevel="0" collapsed="false">
      <c r="A132" s="0" t="s">
        <v>110</v>
      </c>
      <c r="B132" s="1" t="n">
        <v>43992</v>
      </c>
      <c r="C132" s="0" t="n">
        <v>2336</v>
      </c>
      <c r="D132" s="0" t="n">
        <f aca="false">C132-C131</f>
        <v>180</v>
      </c>
      <c r="E132" s="0" t="n">
        <v>32</v>
      </c>
      <c r="F132" s="0" t="n">
        <v>5</v>
      </c>
      <c r="G132" s="0" t="n">
        <v>379</v>
      </c>
      <c r="H132" s="0" t="n">
        <v>1925</v>
      </c>
      <c r="I132" s="0" t="n">
        <v>32</v>
      </c>
      <c r="J132" s="0" t="n">
        <v>20</v>
      </c>
      <c r="K132" s="0" t="n">
        <v>0.3</v>
      </c>
      <c r="L132" s="0" t="n">
        <v>152334</v>
      </c>
      <c r="M132" s="0" t="n">
        <v>1327</v>
      </c>
    </row>
    <row r="133" customFormat="false" ht="13.5" hidden="false" customHeight="false" outlineLevel="0" collapsed="false">
      <c r="A133" s="0" t="s">
        <v>110</v>
      </c>
      <c r="B133" s="1" t="n">
        <v>43993</v>
      </c>
      <c r="C133" s="0" t="n">
        <v>2506</v>
      </c>
      <c r="D133" s="0" t="n">
        <f aca="false">C133-C132</f>
        <v>170</v>
      </c>
      <c r="E133" s="0" t="n">
        <v>35</v>
      </c>
      <c r="F133" s="0" t="n">
        <v>3</v>
      </c>
      <c r="G133" s="0" t="n">
        <v>401</v>
      </c>
      <c r="H133" s="0" t="n">
        <v>2070</v>
      </c>
      <c r="I133" s="0" t="n">
        <v>32</v>
      </c>
      <c r="J133" s="0" t="n">
        <v>22</v>
      </c>
      <c r="K133" s="0" t="n">
        <v>0.3</v>
      </c>
      <c r="L133" s="0" t="n">
        <v>158521</v>
      </c>
      <c r="M133" s="0" t="n">
        <v>1381</v>
      </c>
    </row>
    <row r="134" customFormat="false" ht="13.5" hidden="false" customHeight="false" outlineLevel="0" collapsed="false">
      <c r="A134" s="0" t="s">
        <v>110</v>
      </c>
      <c r="B134" s="1" t="n">
        <v>43994</v>
      </c>
      <c r="C134" s="0" t="n">
        <v>2670</v>
      </c>
      <c r="D134" s="0" t="n">
        <f aca="false">C134-C133</f>
        <v>164</v>
      </c>
      <c r="E134" s="0" t="n">
        <v>40</v>
      </c>
      <c r="F134" s="0" t="n">
        <v>5</v>
      </c>
      <c r="G134" s="0" t="n">
        <v>434</v>
      </c>
      <c r="H134" s="0" t="n">
        <v>2196</v>
      </c>
      <c r="I134" s="0" t="n">
        <v>32</v>
      </c>
      <c r="J134" s="0" t="n">
        <v>23</v>
      </c>
      <c r="K134" s="0" t="n">
        <v>0.3</v>
      </c>
      <c r="L134" s="0" t="n">
        <v>165151</v>
      </c>
      <c r="M134" s="0" t="n">
        <v>1439</v>
      </c>
    </row>
    <row r="135" customFormat="false" ht="13.5" hidden="false" customHeight="false" outlineLevel="0" collapsed="false">
      <c r="A135" s="0" t="s">
        <v>110</v>
      </c>
      <c r="B135" s="1" t="n">
        <v>43995</v>
      </c>
      <c r="C135" s="0" t="n">
        <v>2915</v>
      </c>
      <c r="D135" s="0" t="n">
        <f aca="false">C135-C134</f>
        <v>245</v>
      </c>
      <c r="E135" s="0" t="n">
        <v>47</v>
      </c>
      <c r="F135" s="0" t="n">
        <v>7</v>
      </c>
      <c r="G135" s="0" t="n">
        <v>451</v>
      </c>
      <c r="H135" s="0" t="n">
        <v>2417</v>
      </c>
      <c r="I135" s="0" t="n">
        <v>38</v>
      </c>
      <c r="J135" s="0" t="n">
        <v>25</v>
      </c>
      <c r="K135" s="0" t="n">
        <v>0.4</v>
      </c>
      <c r="L135" s="0" t="n">
        <v>170860</v>
      </c>
      <c r="M135" s="0" t="n">
        <v>1488</v>
      </c>
    </row>
    <row r="136" customFormat="false" ht="13.5" hidden="false" customHeight="false" outlineLevel="0" collapsed="false">
      <c r="A136" s="0" t="s">
        <v>110</v>
      </c>
      <c r="B136" s="1" t="n">
        <v>43996</v>
      </c>
      <c r="C136" s="0" t="n">
        <v>3166</v>
      </c>
      <c r="D136" s="0" t="n">
        <f aca="false">C136-C135</f>
        <v>251</v>
      </c>
      <c r="E136" s="0" t="n">
        <v>55</v>
      </c>
      <c r="F136" s="0" t="n">
        <v>8</v>
      </c>
      <c r="G136" s="0" t="n">
        <v>495</v>
      </c>
      <c r="H136" s="0" t="n">
        <v>2616</v>
      </c>
      <c r="I136" s="0" t="n">
        <v>39</v>
      </c>
      <c r="J136" s="0" t="n">
        <v>28</v>
      </c>
      <c r="K136" s="0" t="n">
        <v>0.5</v>
      </c>
      <c r="L136" s="0" t="n">
        <v>176504</v>
      </c>
      <c r="M136" s="0" t="n">
        <v>1538</v>
      </c>
    </row>
    <row r="137" customFormat="false" ht="13.5" hidden="false" customHeight="false" outlineLevel="0" collapsed="false">
      <c r="A137" s="0" t="s">
        <v>110</v>
      </c>
      <c r="B137" s="1" t="n">
        <v>43997</v>
      </c>
      <c r="C137" s="0" t="n">
        <v>3345</v>
      </c>
      <c r="D137" s="0" t="n">
        <f aca="false">C137-C136</f>
        <v>179</v>
      </c>
      <c r="E137" s="0" t="n">
        <v>57</v>
      </c>
      <c r="F137" s="0" t="n">
        <v>2</v>
      </c>
      <c r="G137" s="0" t="n">
        <v>545</v>
      </c>
      <c r="H137" s="0" t="n">
        <v>2743</v>
      </c>
      <c r="I137" s="0" t="n">
        <v>30</v>
      </c>
      <c r="J137" s="0" t="n">
        <v>29</v>
      </c>
      <c r="K137" s="0" t="n">
        <v>0.5</v>
      </c>
      <c r="L137" s="0" t="n">
        <v>181349</v>
      </c>
      <c r="M137" s="0" t="n">
        <v>1580</v>
      </c>
    </row>
    <row r="138" customFormat="false" ht="13.5" hidden="false" customHeight="false" outlineLevel="0" collapsed="false">
      <c r="A138" s="0" t="s">
        <v>110</v>
      </c>
      <c r="B138" s="1" t="n">
        <v>43998</v>
      </c>
      <c r="C138" s="0" t="n">
        <v>3521</v>
      </c>
      <c r="D138" s="0" t="n">
        <f aca="false">C138-C137</f>
        <v>176</v>
      </c>
      <c r="E138" s="0" t="n">
        <v>60</v>
      </c>
      <c r="F138" s="0" t="n">
        <v>3</v>
      </c>
      <c r="G138" s="0" t="n">
        <v>620</v>
      </c>
      <c r="H138" s="0" t="n">
        <v>2841</v>
      </c>
      <c r="I138" s="0" t="n">
        <v>29</v>
      </c>
      <c r="J138" s="0" t="n">
        <v>31</v>
      </c>
      <c r="K138" s="0" t="n">
        <v>0.5</v>
      </c>
      <c r="L138" s="0" t="n">
        <v>186985</v>
      </c>
      <c r="M138" s="0" t="n">
        <v>1629</v>
      </c>
    </row>
    <row r="139" customFormat="false" ht="13.5" hidden="false" customHeight="false" outlineLevel="0" collapsed="false">
      <c r="A139" s="0" t="s">
        <v>110</v>
      </c>
      <c r="B139" s="1" t="n">
        <v>43999</v>
      </c>
      <c r="C139" s="0" t="n">
        <v>3630</v>
      </c>
      <c r="D139" s="0" t="n">
        <f aca="false">C139-C138</f>
        <v>109</v>
      </c>
      <c r="E139" s="0" t="n">
        <v>61</v>
      </c>
      <c r="F139" s="0" t="n">
        <v>1</v>
      </c>
      <c r="G139" s="0" t="n">
        <v>738</v>
      </c>
      <c r="H139" s="0" t="n">
        <v>2831</v>
      </c>
      <c r="I139" s="0" t="n">
        <v>32</v>
      </c>
      <c r="J139" s="0" t="n">
        <v>32</v>
      </c>
      <c r="K139" s="0" t="n">
        <v>0.5</v>
      </c>
      <c r="L139" s="0" t="n">
        <v>192087</v>
      </c>
      <c r="M139" s="0" t="n">
        <v>1673</v>
      </c>
    </row>
    <row r="140" customFormat="false" ht="13.5" hidden="false" customHeight="false" outlineLevel="0" collapsed="false">
      <c r="A140" s="0" t="s">
        <v>110</v>
      </c>
      <c r="B140" s="1" t="n">
        <v>44000</v>
      </c>
      <c r="C140" s="0" t="n">
        <v>3759</v>
      </c>
      <c r="D140" s="0" t="n">
        <f aca="false">C140-C139</f>
        <v>129</v>
      </c>
      <c r="E140" s="0" t="n">
        <v>63</v>
      </c>
      <c r="F140" s="0" t="n">
        <v>2</v>
      </c>
      <c r="G140" s="0" t="n">
        <v>849</v>
      </c>
      <c r="H140" s="0" t="n">
        <v>2847</v>
      </c>
      <c r="I140" s="0" t="n">
        <v>30</v>
      </c>
      <c r="J140" s="0" t="n">
        <v>33</v>
      </c>
      <c r="K140" s="0" t="n">
        <v>0.5</v>
      </c>
      <c r="L140" s="0" t="n">
        <v>197361</v>
      </c>
      <c r="M140" s="0" t="n">
        <v>1719</v>
      </c>
    </row>
    <row r="141" customFormat="false" ht="13.5" hidden="false" customHeight="false" outlineLevel="0" collapsed="false">
      <c r="A141" s="0" t="s">
        <v>110</v>
      </c>
      <c r="B141" s="1" t="n">
        <v>44001</v>
      </c>
      <c r="C141" s="0" t="n">
        <v>3954</v>
      </c>
      <c r="D141" s="0" t="n">
        <f aca="false">C141-C140</f>
        <v>195</v>
      </c>
      <c r="E141" s="0" t="n">
        <v>65</v>
      </c>
      <c r="F141" s="0" t="n">
        <v>2</v>
      </c>
      <c r="G141" s="0" t="n">
        <v>934</v>
      </c>
      <c r="H141" s="0" t="n">
        <v>2955</v>
      </c>
      <c r="I141" s="0" t="n">
        <v>30</v>
      </c>
      <c r="J141" s="0" t="n">
        <v>34</v>
      </c>
      <c r="K141" s="0" t="n">
        <v>0.6</v>
      </c>
      <c r="L141" s="0" t="n">
        <v>202214</v>
      </c>
      <c r="M141" s="0" t="n">
        <v>1761</v>
      </c>
    </row>
    <row r="142" customFormat="false" ht="13.5" hidden="false" customHeight="false" outlineLevel="0" collapsed="false">
      <c r="A142" s="0" t="s">
        <v>110</v>
      </c>
      <c r="B142" s="1" t="n">
        <v>44002</v>
      </c>
      <c r="C142" s="0" t="n">
        <v>4070</v>
      </c>
      <c r="D142" s="0" t="n">
        <v>116</v>
      </c>
      <c r="E142" s="0" t="n">
        <v>72</v>
      </c>
      <c r="F142" s="0" t="n">
        <v>7</v>
      </c>
      <c r="G142" s="0" t="n">
        <v>1029</v>
      </c>
      <c r="H142" s="0" t="n">
        <v>2969</v>
      </c>
      <c r="I142" s="0" t="n">
        <v>30</v>
      </c>
      <c r="J142" s="0" t="n">
        <v>35</v>
      </c>
      <c r="K142" s="0" t="n">
        <v>0.6</v>
      </c>
      <c r="L142" s="0" t="n">
        <v>207023</v>
      </c>
      <c r="M142" s="0" t="n">
        <v>1803</v>
      </c>
    </row>
    <row r="143" customFormat="false" ht="13.5" hidden="false" customHeight="false" outlineLevel="0" collapsed="false">
      <c r="A143" s="0" t="s">
        <v>110</v>
      </c>
      <c r="B143" s="1" t="n">
        <v>44003</v>
      </c>
      <c r="C143" s="0" t="n">
        <v>4469</v>
      </c>
      <c r="D143" s="0" t="n">
        <v>399</v>
      </c>
      <c r="E143" s="0" t="n">
        <v>72</v>
      </c>
      <c r="F143" s="0" t="n">
        <v>0</v>
      </c>
      <c r="G143" s="0" t="n">
        <v>1122</v>
      </c>
      <c r="H143" s="0" t="n">
        <v>3275</v>
      </c>
      <c r="I143" s="0" t="n">
        <v>30</v>
      </c>
      <c r="J143" s="0" t="n">
        <v>39</v>
      </c>
      <c r="K143" s="0" t="n">
        <v>0.6</v>
      </c>
      <c r="L143" s="0" t="n">
        <v>211871</v>
      </c>
      <c r="M143" s="0" t="n">
        <v>1845</v>
      </c>
    </row>
    <row r="144" customFormat="false" ht="13.5" hidden="false" customHeight="false" outlineLevel="0" collapsed="false">
      <c r="A144" s="0" t="s">
        <v>110</v>
      </c>
      <c r="B144" s="1" t="n">
        <v>44004</v>
      </c>
      <c r="C144" s="0" t="n">
        <v>4532</v>
      </c>
      <c r="D144" s="0" t="n">
        <v>63</v>
      </c>
      <c r="E144" s="0" t="n">
        <v>74</v>
      </c>
      <c r="F144" s="0" t="n">
        <v>2</v>
      </c>
      <c r="G144" s="0" t="n">
        <v>1213</v>
      </c>
      <c r="H144" s="0" t="n">
        <v>3245</v>
      </c>
      <c r="I144" s="0" t="n">
        <v>32</v>
      </c>
      <c r="J144" s="0" t="n">
        <v>39</v>
      </c>
      <c r="K144" s="0" t="n">
        <v>0.6</v>
      </c>
      <c r="L144" s="0" t="n">
        <v>216328</v>
      </c>
      <c r="M144" s="0" t="n">
        <v>1883</v>
      </c>
    </row>
    <row r="145" customFormat="false" ht="13.5" hidden="false" customHeight="false" outlineLevel="0" collapsed="false">
      <c r="A145" s="0" t="s">
        <v>110</v>
      </c>
      <c r="B145" s="1" t="n">
        <v>44005</v>
      </c>
      <c r="C145" s="0" t="n">
        <v>4663</v>
      </c>
      <c r="D145" s="0" t="n">
        <v>131</v>
      </c>
      <c r="E145" s="0" t="n">
        <v>75</v>
      </c>
      <c r="F145" s="0" t="n">
        <v>1</v>
      </c>
      <c r="G145" s="0" t="n">
        <v>1297</v>
      </c>
      <c r="H145" s="0" t="n">
        <v>3291</v>
      </c>
      <c r="I145" s="0" t="n">
        <v>38</v>
      </c>
      <c r="J145" s="0" t="n">
        <v>41</v>
      </c>
      <c r="K145" s="0" t="n">
        <v>0.7</v>
      </c>
      <c r="L145" s="0" t="n">
        <v>219566</v>
      </c>
      <c r="M145" s="0" t="n">
        <v>1912</v>
      </c>
    </row>
    <row r="146" customFormat="false" ht="13.5" hidden="false" customHeight="false" outlineLevel="0" collapsed="false">
      <c r="A146" s="0" t="s">
        <v>110</v>
      </c>
      <c r="B146" s="1" t="n">
        <v>44006</v>
      </c>
      <c r="C146" s="0" t="n">
        <v>4848</v>
      </c>
      <c r="D146" s="0" t="n">
        <v>185</v>
      </c>
      <c r="E146" s="0" t="n">
        <v>75</v>
      </c>
      <c r="F146" s="0" t="n">
        <v>0</v>
      </c>
      <c r="G146" s="0" t="n">
        <v>1412</v>
      </c>
      <c r="H146" s="0" t="n">
        <v>3361</v>
      </c>
      <c r="I146" s="0" t="n">
        <v>38</v>
      </c>
      <c r="J146" s="0" t="n">
        <v>42</v>
      </c>
      <c r="K146" s="0" t="n">
        <v>0.7</v>
      </c>
      <c r="L146" s="0" t="n">
        <v>223341</v>
      </c>
      <c r="M146" s="0" t="n">
        <v>1944</v>
      </c>
    </row>
    <row r="147" customFormat="false" ht="13.5" hidden="false" customHeight="false" outlineLevel="0" collapsed="false">
      <c r="A147" s="0" t="s">
        <v>110</v>
      </c>
      <c r="B147" s="1" t="n">
        <v>44007</v>
      </c>
      <c r="C147" s="0" t="n">
        <v>5034</v>
      </c>
      <c r="D147" s="0" t="n">
        <v>186</v>
      </c>
      <c r="E147" s="0" t="n">
        <v>78</v>
      </c>
      <c r="F147" s="0" t="n">
        <v>3</v>
      </c>
      <c r="G147" s="0" t="n">
        <v>1486</v>
      </c>
      <c r="H147" s="0" t="n">
        <v>3470</v>
      </c>
      <c r="I147" s="0" t="n">
        <v>38</v>
      </c>
      <c r="J147" s="0" t="n">
        <v>44</v>
      </c>
      <c r="K147" s="0" t="n">
        <v>0.7</v>
      </c>
      <c r="L147" s="0" t="n">
        <v>227375</v>
      </c>
      <c r="M147" s="0" t="n">
        <v>1979</v>
      </c>
    </row>
    <row r="148" customFormat="false" ht="13.5" hidden="false" customHeight="false" outlineLevel="0" collapsed="false">
      <c r="A148" s="0" t="s">
        <v>110</v>
      </c>
      <c r="B148" s="1" t="n">
        <v>44008</v>
      </c>
      <c r="C148" s="0" t="n">
        <v>5175</v>
      </c>
      <c r="D148" s="0" t="n">
        <v>141</v>
      </c>
      <c r="E148" s="0" t="n">
        <v>81</v>
      </c>
      <c r="F148" s="0" t="n">
        <v>3</v>
      </c>
      <c r="G148" s="0" t="n">
        <v>1544</v>
      </c>
      <c r="H148" s="0" t="n">
        <v>3550</v>
      </c>
      <c r="I148" s="0" t="n">
        <v>30</v>
      </c>
      <c r="J148" s="0" t="n">
        <v>45</v>
      </c>
      <c r="K148" s="0" t="n">
        <v>0.7</v>
      </c>
      <c r="L148" s="0" t="n">
        <v>232050</v>
      </c>
      <c r="M148" s="0" t="n">
        <v>2020</v>
      </c>
    </row>
    <row r="149" customFormat="false" ht="13.5" hidden="false" customHeight="false" outlineLevel="0" collapsed="false">
      <c r="A149" s="0" t="s">
        <v>110</v>
      </c>
      <c r="B149" s="1" t="n">
        <v>44009</v>
      </c>
      <c r="C149" s="0" t="n">
        <v>5425</v>
      </c>
      <c r="D149" s="0" t="n">
        <v>250</v>
      </c>
      <c r="E149" s="0" t="n">
        <v>89</v>
      </c>
      <c r="F149" s="0" t="n">
        <v>8</v>
      </c>
      <c r="G149" s="0" t="n">
        <v>1688</v>
      </c>
      <c r="H149" s="0" t="n">
        <v>3648</v>
      </c>
      <c r="I149" s="0" t="n">
        <v>27</v>
      </c>
      <c r="J149" s="0" t="n">
        <v>47</v>
      </c>
      <c r="K149" s="0" t="n">
        <v>0.8</v>
      </c>
      <c r="L149" s="0" t="n">
        <v>237464</v>
      </c>
      <c r="M149" s="0" t="n">
        <v>2067</v>
      </c>
    </row>
    <row r="150" customFormat="false" ht="13.5" hidden="false" customHeight="false" outlineLevel="0" collapsed="false">
      <c r="A150" s="0" t="s">
        <v>110</v>
      </c>
      <c r="B150" s="1" t="n">
        <v>44010</v>
      </c>
      <c r="C150" s="0" t="n">
        <v>5570</v>
      </c>
      <c r="D150" s="0" t="n">
        <v>145</v>
      </c>
      <c r="E150" s="0" t="n">
        <v>94</v>
      </c>
      <c r="F150" s="0" t="n">
        <v>5</v>
      </c>
      <c r="G150" s="0" t="n">
        <v>2015</v>
      </c>
      <c r="H150" s="0" t="n">
        <v>3461</v>
      </c>
      <c r="I150" s="0" t="n">
        <v>34</v>
      </c>
      <c r="J150" s="0" t="n">
        <v>48</v>
      </c>
      <c r="K150" s="0" t="n">
        <v>0.8</v>
      </c>
      <c r="L150" s="0" t="n">
        <v>243016</v>
      </c>
      <c r="M150" s="0" t="n">
        <v>2115</v>
      </c>
    </row>
    <row r="151" customFormat="false" ht="13.5" hidden="false" customHeight="false" outlineLevel="0" collapsed="false">
      <c r="A151" s="0" t="s">
        <v>110</v>
      </c>
      <c r="B151" s="1" t="n">
        <v>44011</v>
      </c>
      <c r="C151" s="0" t="n">
        <v>5689</v>
      </c>
      <c r="D151" s="0" t="n">
        <v>119</v>
      </c>
      <c r="E151" s="0" t="n">
        <v>98</v>
      </c>
      <c r="F151" s="0" t="n">
        <v>4</v>
      </c>
      <c r="G151" s="0" t="n">
        <v>2132</v>
      </c>
      <c r="H151" s="0" t="n">
        <v>3459</v>
      </c>
      <c r="I151" s="0" t="n">
        <v>33</v>
      </c>
      <c r="J151" s="0" t="n">
        <v>50</v>
      </c>
      <c r="K151" s="0" t="n">
        <v>0.9</v>
      </c>
      <c r="L151" s="0" t="n">
        <v>246911</v>
      </c>
      <c r="M151" s="0" t="n">
        <v>2149</v>
      </c>
    </row>
    <row r="152" customFormat="false" ht="13.5" hidden="false" customHeight="false" outlineLevel="0" collapsed="false">
      <c r="A152" s="0" t="s">
        <v>110</v>
      </c>
      <c r="B152" s="1" t="n">
        <v>44012</v>
      </c>
    </row>
    <row r="153" customFormat="false" ht="13.5" hidden="false" customHeight="false" outlineLevel="0" collapsed="false">
      <c r="A153" s="0" t="s">
        <v>110</v>
      </c>
      <c r="B153" s="1" t="n">
        <v>44013</v>
      </c>
    </row>
    <row r="154" customFormat="false" ht="13.5" hidden="false" customHeight="false" outlineLevel="0" collapsed="false">
      <c r="A154" s="0" t="s">
        <v>110</v>
      </c>
      <c r="B154" s="1" t="n">
        <v>44014</v>
      </c>
    </row>
    <row r="155" customFormat="false" ht="13.5" hidden="false" customHeight="false" outlineLevel="0" collapsed="false">
      <c r="A155" s="0" t="s">
        <v>110</v>
      </c>
      <c r="B155" s="1" t="n">
        <v>44015</v>
      </c>
    </row>
    <row r="156" customFormat="false" ht="13.5" hidden="false" customHeight="false" outlineLevel="0" collapsed="false">
      <c r="A156" s="0" t="s">
        <v>110</v>
      </c>
      <c r="B156" s="1" t="n">
        <v>44016</v>
      </c>
    </row>
    <row r="157" customFormat="false" ht="13.5" hidden="false" customHeight="false" outlineLevel="0" collapsed="false">
      <c r="A157" s="0" t="s">
        <v>110</v>
      </c>
      <c r="B157" s="1" t="n">
        <v>44017</v>
      </c>
    </row>
    <row r="158" customFormat="false" ht="13.5" hidden="false" customHeight="false" outlineLevel="0" collapsed="false">
      <c r="A158" s="0" t="s">
        <v>110</v>
      </c>
      <c r="B158" s="1" t="n">
        <v>44018</v>
      </c>
    </row>
    <row r="159" customFormat="false" ht="13.5" hidden="false" customHeight="false" outlineLevel="0" collapsed="false">
      <c r="A159" s="0" t="s">
        <v>110</v>
      </c>
      <c r="B159" s="1" t="n">
        <v>44019</v>
      </c>
    </row>
    <row r="160" customFormat="false" ht="13.5" hidden="false" customHeight="false" outlineLevel="0" collapsed="false">
      <c r="A160" s="0" t="s">
        <v>110</v>
      </c>
      <c r="B160" s="1" t="n">
        <v>44020</v>
      </c>
    </row>
    <row r="161" customFormat="false" ht="13.5" hidden="false" customHeight="false" outlineLevel="0" collapsed="false">
      <c r="A161" s="0" t="s">
        <v>110</v>
      </c>
      <c r="B161" s="1" t="n">
        <v>44021</v>
      </c>
    </row>
    <row r="162" customFormat="false" ht="13.5" hidden="false" customHeight="false" outlineLevel="0" collapsed="false">
      <c r="A162" s="0" t="s">
        <v>110</v>
      </c>
      <c r="B162" s="1" t="n">
        <v>44022</v>
      </c>
    </row>
    <row r="163" customFormat="false" ht="13.5" hidden="false" customHeight="false" outlineLevel="0" collapsed="false">
      <c r="A163" s="0" t="s">
        <v>110</v>
      </c>
      <c r="B163" s="1" t="n">
        <v>44023</v>
      </c>
    </row>
    <row r="164" customFormat="false" ht="13.5" hidden="false" customHeight="false" outlineLevel="0" collapsed="false">
      <c r="A164" s="0" t="s">
        <v>110</v>
      </c>
      <c r="B164" s="1" t="n">
        <v>44024</v>
      </c>
    </row>
    <row r="165" customFormat="false" ht="13.5" hidden="false" customHeight="false" outlineLevel="0" collapsed="false">
      <c r="A165" s="0" t="s">
        <v>110</v>
      </c>
      <c r="B165" s="1" t="n">
        <v>44025</v>
      </c>
    </row>
    <row r="166" customFormat="false" ht="13.5" hidden="false" customHeight="false" outlineLevel="0" collapsed="false">
      <c r="A166" s="0" t="s">
        <v>110</v>
      </c>
      <c r="B166" s="1" t="n">
        <v>44026</v>
      </c>
    </row>
    <row r="167" customFormat="false" ht="13.5" hidden="false" customHeight="false" outlineLevel="0" collapsed="false">
      <c r="A167" s="0" t="s">
        <v>110</v>
      </c>
      <c r="B167" s="1" t="n">
        <v>44027</v>
      </c>
    </row>
    <row r="168" customFormat="false" ht="13.5" hidden="false" customHeight="false" outlineLevel="0" collapsed="false">
      <c r="A168" s="0" t="s">
        <v>110</v>
      </c>
      <c r="B168" s="1" t="n">
        <v>44028</v>
      </c>
    </row>
    <row r="169" customFormat="false" ht="13.5" hidden="false" customHeight="false" outlineLevel="0" collapsed="false">
      <c r="A169" s="0" t="s">
        <v>110</v>
      </c>
      <c r="B169" s="1" t="n">
        <v>44029</v>
      </c>
    </row>
    <row r="170" customFormat="false" ht="13.5" hidden="false" customHeight="false" outlineLevel="0" collapsed="false">
      <c r="A170" s="0" t="s">
        <v>110</v>
      </c>
      <c r="B170" s="1" t="n">
        <v>44030</v>
      </c>
    </row>
    <row r="171" customFormat="false" ht="13.5" hidden="false" customHeight="false" outlineLevel="0" collapsed="false">
      <c r="A171" s="0" t="s">
        <v>110</v>
      </c>
      <c r="B171" s="1" t="n">
        <v>44031</v>
      </c>
    </row>
    <row r="172" customFormat="false" ht="13.5" hidden="false" customHeight="false" outlineLevel="0" collapsed="false">
      <c r="A172" s="0" t="s">
        <v>110</v>
      </c>
      <c r="B172" s="1" t="n">
        <v>44032</v>
      </c>
    </row>
    <row r="173" customFormat="false" ht="13.5" hidden="false" customHeight="false" outlineLevel="0" collapsed="false">
      <c r="A173" s="0" t="s">
        <v>110</v>
      </c>
      <c r="B173" s="1" t="n">
        <v>44033</v>
      </c>
    </row>
    <row r="174" customFormat="false" ht="13.5" hidden="false" customHeight="false" outlineLevel="0" collapsed="false">
      <c r="A174" s="0" t="s">
        <v>110</v>
      </c>
      <c r="B174" s="1" t="n">
        <v>44034</v>
      </c>
    </row>
    <row r="175" customFormat="false" ht="13.5" hidden="false" customHeight="false" outlineLevel="0" collapsed="false">
      <c r="A175" s="0" t="s">
        <v>110</v>
      </c>
      <c r="B175" s="1" t="n">
        <v>44035</v>
      </c>
    </row>
    <row r="176" customFormat="false" ht="13.5" hidden="false" customHeight="false" outlineLevel="0" collapsed="false">
      <c r="A176" s="0" t="s">
        <v>110</v>
      </c>
      <c r="B176" s="1" t="n">
        <v>44036</v>
      </c>
    </row>
    <row r="177" customFormat="false" ht="13.5" hidden="false" customHeight="false" outlineLevel="0" collapsed="false">
      <c r="A177" s="0" t="s">
        <v>110</v>
      </c>
      <c r="B177" s="1" t="n">
        <v>44037</v>
      </c>
    </row>
    <row r="178" customFormat="false" ht="13.5" hidden="false" customHeight="false" outlineLevel="0" collapsed="false">
      <c r="A178" s="0" t="s">
        <v>110</v>
      </c>
      <c r="B178" s="1" t="n">
        <v>44038</v>
      </c>
    </row>
    <row r="179" customFormat="false" ht="13.5" hidden="false" customHeight="false" outlineLevel="0" collapsed="false">
      <c r="A179" s="0" t="s">
        <v>110</v>
      </c>
      <c r="B179" s="1" t="n">
        <v>44039</v>
      </c>
    </row>
    <row r="180" customFormat="false" ht="13.5" hidden="false" customHeight="false" outlineLevel="0" collapsed="false">
      <c r="A180" s="0" t="s">
        <v>110</v>
      </c>
      <c r="B180" s="1" t="n">
        <v>44040</v>
      </c>
    </row>
    <row r="181" customFormat="false" ht="13.5" hidden="false" customHeight="false" outlineLevel="0" collapsed="false">
      <c r="A181" s="0" t="s">
        <v>110</v>
      </c>
      <c r="B181" s="1" t="n">
        <v>44041</v>
      </c>
    </row>
    <row r="182" customFormat="false" ht="13.5" hidden="false" customHeight="false" outlineLevel="0" collapsed="false">
      <c r="A182" s="0" t="s">
        <v>110</v>
      </c>
      <c r="B182" s="1" t="n">
        <v>44042</v>
      </c>
    </row>
    <row r="183" customFormat="false" ht="13.5" hidden="false" customHeight="false" outlineLevel="0" collapsed="false">
      <c r="A183" s="0" t="s">
        <v>110</v>
      </c>
      <c r="B183" s="1" t="n">
        <v>44043</v>
      </c>
    </row>
    <row r="184" customFormat="false" ht="13.5" hidden="false" customHeight="false" outlineLevel="0" collapsed="false">
      <c r="A184" s="0" t="s">
        <v>110</v>
      </c>
      <c r="B184" s="1" t="n">
        <v>44044</v>
      </c>
    </row>
    <row r="185" customFormat="false" ht="13.5" hidden="false" customHeight="false" outlineLevel="0" collapsed="false">
      <c r="A185" s="0" t="s">
        <v>110</v>
      </c>
      <c r="B185" s="1" t="n">
        <v>44045</v>
      </c>
    </row>
    <row r="186" customFormat="false" ht="13.5" hidden="false" customHeight="false" outlineLevel="0" collapsed="false">
      <c r="A186" s="0" t="s">
        <v>110</v>
      </c>
      <c r="B186" s="1" t="n">
        <v>44046</v>
      </c>
    </row>
    <row r="187" customFormat="false" ht="13.5" hidden="false" customHeight="false" outlineLevel="0" collapsed="false">
      <c r="A187" s="0" t="s">
        <v>110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0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111</v>
      </c>
      <c r="B2" s="1" t="n">
        <v>43862</v>
      </c>
    </row>
    <row r="3" customFormat="false" ht="13.5" hidden="false" customHeight="false" outlineLevel="0" collapsed="false">
      <c r="A3" s="0" t="s">
        <v>111</v>
      </c>
      <c r="B3" s="1" t="n">
        <v>43863</v>
      </c>
    </row>
    <row r="4" customFormat="false" ht="13.5" hidden="false" customHeight="false" outlineLevel="0" collapsed="false">
      <c r="A4" s="0" t="s">
        <v>111</v>
      </c>
      <c r="B4" s="1" t="n">
        <v>43864</v>
      </c>
    </row>
    <row r="5" customFormat="false" ht="13.5" hidden="false" customHeight="false" outlineLevel="0" collapsed="false">
      <c r="A5" s="0" t="s">
        <v>111</v>
      </c>
      <c r="B5" s="1" t="n">
        <v>43865</v>
      </c>
    </row>
    <row r="6" customFormat="false" ht="13.5" hidden="false" customHeight="false" outlineLevel="0" collapsed="false">
      <c r="A6" s="0" t="s">
        <v>111</v>
      </c>
      <c r="B6" s="1" t="n">
        <v>43866</v>
      </c>
    </row>
    <row r="7" customFormat="false" ht="13.5" hidden="false" customHeight="false" outlineLevel="0" collapsed="false">
      <c r="A7" s="0" t="s">
        <v>111</v>
      </c>
      <c r="B7" s="1" t="n">
        <v>43867</v>
      </c>
    </row>
    <row r="8" customFormat="false" ht="13.5" hidden="false" customHeight="false" outlineLevel="0" collapsed="false">
      <c r="A8" s="0" t="s">
        <v>111</v>
      </c>
      <c r="B8" s="1" t="n">
        <v>43868</v>
      </c>
    </row>
    <row r="9" customFormat="false" ht="13.5" hidden="false" customHeight="false" outlineLevel="0" collapsed="false">
      <c r="A9" s="0" t="s">
        <v>111</v>
      </c>
      <c r="B9" s="1" t="n">
        <v>43869</v>
      </c>
    </row>
    <row r="10" customFormat="false" ht="13.5" hidden="false" customHeight="false" outlineLevel="0" collapsed="false">
      <c r="A10" s="0" t="s">
        <v>111</v>
      </c>
      <c r="B10" s="1" t="n">
        <v>43870</v>
      </c>
    </row>
    <row r="11" customFormat="false" ht="13.5" hidden="false" customHeight="false" outlineLevel="0" collapsed="false">
      <c r="A11" s="0" t="s">
        <v>111</v>
      </c>
      <c r="B11" s="1" t="n">
        <v>43871</v>
      </c>
    </row>
    <row r="12" customFormat="false" ht="13.5" hidden="false" customHeight="false" outlineLevel="0" collapsed="false">
      <c r="A12" s="0" t="s">
        <v>111</v>
      </c>
      <c r="B12" s="1" t="n">
        <v>43872</v>
      </c>
    </row>
    <row r="13" customFormat="false" ht="13.5" hidden="false" customHeight="false" outlineLevel="0" collapsed="false">
      <c r="A13" s="0" t="s">
        <v>111</v>
      </c>
      <c r="B13" s="1" t="n">
        <v>43873</v>
      </c>
    </row>
    <row r="14" customFormat="false" ht="13.5" hidden="false" customHeight="false" outlineLevel="0" collapsed="false">
      <c r="A14" s="0" t="s">
        <v>111</v>
      </c>
      <c r="B14" s="1" t="n">
        <v>43874</v>
      </c>
    </row>
    <row r="15" customFormat="false" ht="13.5" hidden="false" customHeight="false" outlineLevel="0" collapsed="false">
      <c r="A15" s="0" t="s">
        <v>111</v>
      </c>
      <c r="B15" s="1" t="n">
        <v>43875</v>
      </c>
    </row>
    <row r="16" customFormat="false" ht="13.5" hidden="false" customHeight="false" outlineLevel="0" collapsed="false">
      <c r="A16" s="0" t="s">
        <v>111</v>
      </c>
      <c r="B16" s="1" t="n">
        <v>43876</v>
      </c>
    </row>
    <row r="17" customFormat="false" ht="13.5" hidden="false" customHeight="false" outlineLevel="0" collapsed="false">
      <c r="A17" s="0" t="s">
        <v>111</v>
      </c>
      <c r="B17" s="1" t="n">
        <v>43877</v>
      </c>
    </row>
    <row r="18" customFormat="false" ht="13.5" hidden="false" customHeight="false" outlineLevel="0" collapsed="false">
      <c r="A18" s="0" t="s">
        <v>111</v>
      </c>
      <c r="B18" s="1" t="n">
        <v>43878</v>
      </c>
    </row>
    <row r="19" customFormat="false" ht="13.5" hidden="false" customHeight="false" outlineLevel="0" collapsed="false">
      <c r="A19" s="0" t="s">
        <v>111</v>
      </c>
      <c r="B19" s="1" t="n">
        <v>43879</v>
      </c>
    </row>
    <row r="20" customFormat="false" ht="13.5" hidden="false" customHeight="false" outlineLevel="0" collapsed="false">
      <c r="A20" s="0" t="s">
        <v>111</v>
      </c>
      <c r="B20" s="1" t="n">
        <v>43880</v>
      </c>
    </row>
    <row r="21" customFormat="false" ht="13.5" hidden="false" customHeight="false" outlineLevel="0" collapsed="false">
      <c r="A21" s="0" t="s">
        <v>111</v>
      </c>
      <c r="B21" s="1" t="n">
        <v>43881</v>
      </c>
    </row>
    <row r="22" customFormat="false" ht="13.5" hidden="false" customHeight="false" outlineLevel="0" collapsed="false">
      <c r="A22" s="0" t="s">
        <v>111</v>
      </c>
      <c r="B22" s="1" t="n">
        <v>43882</v>
      </c>
    </row>
    <row r="23" customFormat="false" ht="13.5" hidden="false" customHeight="false" outlineLevel="0" collapsed="false">
      <c r="A23" s="0" t="s">
        <v>111</v>
      </c>
      <c r="B23" s="1" t="n">
        <v>43883</v>
      </c>
    </row>
    <row r="24" customFormat="false" ht="13.5" hidden="false" customHeight="false" outlineLevel="0" collapsed="false">
      <c r="A24" s="0" t="s">
        <v>111</v>
      </c>
      <c r="B24" s="1" t="n">
        <v>43884</v>
      </c>
    </row>
    <row r="25" customFormat="false" ht="13.5" hidden="false" customHeight="false" outlineLevel="0" collapsed="false">
      <c r="A25" s="0" t="s">
        <v>111</v>
      </c>
      <c r="B25" s="1" t="n">
        <v>43885</v>
      </c>
    </row>
    <row r="26" customFormat="false" ht="13.5" hidden="false" customHeight="false" outlineLevel="0" collapsed="false">
      <c r="A26" s="0" t="s">
        <v>111</v>
      </c>
      <c r="B26" s="1" t="n">
        <v>43886</v>
      </c>
    </row>
    <row r="27" customFormat="false" ht="13.5" hidden="false" customHeight="false" outlineLevel="0" collapsed="false">
      <c r="A27" s="0" t="s">
        <v>111</v>
      </c>
      <c r="B27" s="1" t="n">
        <v>43887</v>
      </c>
    </row>
    <row r="28" customFormat="false" ht="13.5" hidden="false" customHeight="false" outlineLevel="0" collapsed="false">
      <c r="A28" s="0" t="s">
        <v>111</v>
      </c>
      <c r="B28" s="1" t="n">
        <v>43888</v>
      </c>
    </row>
    <row r="29" customFormat="false" ht="13.5" hidden="false" customHeight="false" outlineLevel="0" collapsed="false">
      <c r="A29" s="0" t="s">
        <v>111</v>
      </c>
      <c r="B29" s="1" t="n">
        <v>43889</v>
      </c>
    </row>
    <row r="30" customFormat="false" ht="13.5" hidden="false" customHeight="false" outlineLevel="0" collapsed="false">
      <c r="A30" s="0" t="s">
        <v>111</v>
      </c>
      <c r="B30" s="1" t="n">
        <v>43890</v>
      </c>
    </row>
    <row r="31" customFormat="false" ht="13.5" hidden="false" customHeight="false" outlineLevel="0" collapsed="false">
      <c r="A31" s="0" t="s">
        <v>111</v>
      </c>
      <c r="B31" s="1" t="n">
        <v>43891</v>
      </c>
    </row>
    <row r="32" customFormat="false" ht="13.5" hidden="false" customHeight="false" outlineLevel="0" collapsed="false">
      <c r="A32" s="0" t="s">
        <v>111</v>
      </c>
      <c r="B32" s="1" t="n">
        <v>43892</v>
      </c>
    </row>
    <row r="33" customFormat="false" ht="13.5" hidden="false" customHeight="false" outlineLevel="0" collapsed="false">
      <c r="A33" s="0" t="s">
        <v>111</v>
      </c>
      <c r="B33" s="1" t="n">
        <v>43893</v>
      </c>
    </row>
    <row r="34" customFormat="false" ht="13.5" hidden="false" customHeight="false" outlineLevel="0" collapsed="false">
      <c r="A34" s="0" t="s">
        <v>111</v>
      </c>
      <c r="B34" s="1" t="n">
        <v>43894</v>
      </c>
    </row>
    <row r="35" customFormat="false" ht="13.5" hidden="false" customHeight="false" outlineLevel="0" collapsed="false">
      <c r="A35" s="0" t="s">
        <v>111</v>
      </c>
      <c r="B35" s="1" t="n">
        <v>43895</v>
      </c>
    </row>
    <row r="36" customFormat="false" ht="13.5" hidden="false" customHeight="false" outlineLevel="0" collapsed="false">
      <c r="A36" s="0" t="s">
        <v>111</v>
      </c>
      <c r="B36" s="1" t="n">
        <v>43896</v>
      </c>
    </row>
    <row r="37" customFormat="false" ht="13.5" hidden="false" customHeight="false" outlineLevel="0" collapsed="false">
      <c r="A37" s="0" t="s">
        <v>111</v>
      </c>
      <c r="B37" s="1" t="n">
        <v>43897</v>
      </c>
    </row>
    <row r="38" customFormat="false" ht="13.5" hidden="false" customHeight="false" outlineLevel="0" collapsed="false">
      <c r="A38" s="0" t="s">
        <v>111</v>
      </c>
      <c r="B38" s="1" t="n">
        <v>43898</v>
      </c>
    </row>
    <row r="39" customFormat="false" ht="13.5" hidden="false" customHeight="false" outlineLevel="0" collapsed="false">
      <c r="A39" s="0" t="s">
        <v>111</v>
      </c>
      <c r="B39" s="1" t="n">
        <v>43899</v>
      </c>
    </row>
    <row r="40" customFormat="false" ht="13.5" hidden="false" customHeight="false" outlineLevel="0" collapsed="false">
      <c r="A40" s="0" t="s">
        <v>111</v>
      </c>
      <c r="B40" s="1" t="n">
        <v>43900</v>
      </c>
    </row>
    <row r="41" customFormat="false" ht="13.5" hidden="false" customHeight="false" outlineLevel="0" collapsed="false">
      <c r="A41" s="0" t="s">
        <v>111</v>
      </c>
      <c r="B41" s="1" t="n">
        <v>43901</v>
      </c>
    </row>
    <row r="42" customFormat="false" ht="13.5" hidden="false" customHeight="false" outlineLevel="0" collapsed="false">
      <c r="A42" s="0" t="s">
        <v>111</v>
      </c>
      <c r="B42" s="1" t="n">
        <v>43902</v>
      </c>
    </row>
    <row r="43" customFormat="false" ht="13.5" hidden="false" customHeight="false" outlineLevel="0" collapsed="false">
      <c r="A43" s="0" t="s">
        <v>111</v>
      </c>
      <c r="B43" s="1" t="n">
        <v>43903</v>
      </c>
    </row>
    <row r="44" customFormat="false" ht="13.5" hidden="false" customHeight="false" outlineLevel="0" collapsed="false">
      <c r="A44" s="0" t="s">
        <v>111</v>
      </c>
      <c r="B44" s="1" t="n">
        <v>43904</v>
      </c>
    </row>
    <row r="45" customFormat="false" ht="13.5" hidden="false" customHeight="false" outlineLevel="0" collapsed="false">
      <c r="A45" s="0" t="s">
        <v>111</v>
      </c>
      <c r="B45" s="1" t="n">
        <v>43905</v>
      </c>
    </row>
    <row r="46" customFormat="false" ht="13.5" hidden="false" customHeight="false" outlineLevel="0" collapsed="false">
      <c r="A46" s="0" t="s">
        <v>111</v>
      </c>
      <c r="B46" s="1" t="n">
        <v>43906</v>
      </c>
      <c r="C46" s="0" t="n">
        <v>1</v>
      </c>
      <c r="D46" s="0" t="n">
        <f aca="false">C46-C45</f>
        <v>1</v>
      </c>
      <c r="H46" s="0" t="n">
        <v>1</v>
      </c>
      <c r="J46" s="0" t="n">
        <v>0.2</v>
      </c>
    </row>
    <row r="47" customFormat="false" ht="13.5" hidden="false" customHeight="false" outlineLevel="0" collapsed="false">
      <c r="A47" s="0" t="s">
        <v>111</v>
      </c>
      <c r="B47" s="1" t="n">
        <v>43907</v>
      </c>
      <c r="C47" s="0" t="n">
        <v>1</v>
      </c>
      <c r="D47" s="0" t="n">
        <f aca="false">C47-C46</f>
        <v>0</v>
      </c>
      <c r="H47" s="0" t="n">
        <v>1</v>
      </c>
      <c r="J47" s="0" t="n">
        <v>0.2</v>
      </c>
    </row>
    <row r="48" customFormat="false" ht="13.5" hidden="false" customHeight="false" outlineLevel="0" collapsed="false">
      <c r="A48" s="0" t="s">
        <v>111</v>
      </c>
      <c r="B48" s="1" t="n">
        <v>43908</v>
      </c>
      <c r="C48" s="0" t="n">
        <v>1</v>
      </c>
      <c r="D48" s="0" t="n">
        <f aca="false">C48-C47</f>
        <v>0</v>
      </c>
      <c r="H48" s="0" t="n">
        <v>1</v>
      </c>
      <c r="J48" s="0" t="n">
        <v>0.2</v>
      </c>
    </row>
    <row r="49" customFormat="false" ht="13.5" hidden="false" customHeight="false" outlineLevel="0" collapsed="false">
      <c r="A49" s="0" t="s">
        <v>111</v>
      </c>
      <c r="B49" s="1" t="n">
        <v>43909</v>
      </c>
      <c r="C49" s="0" t="n">
        <v>1</v>
      </c>
      <c r="D49" s="0" t="n">
        <f aca="false">C49-C48</f>
        <v>0</v>
      </c>
      <c r="H49" s="0" t="n">
        <v>1</v>
      </c>
      <c r="J49" s="0" t="n">
        <v>0.2</v>
      </c>
    </row>
    <row r="50" customFormat="false" ht="13.5" hidden="false" customHeight="false" outlineLevel="0" collapsed="false">
      <c r="A50" s="0" t="s">
        <v>111</v>
      </c>
      <c r="B50" s="1" t="n">
        <v>43910</v>
      </c>
      <c r="C50" s="0" t="n">
        <v>1</v>
      </c>
      <c r="D50" s="0" t="n">
        <f aca="false">C50-C49</f>
        <v>0</v>
      </c>
      <c r="H50" s="0" t="n">
        <v>1</v>
      </c>
      <c r="J50" s="0" t="n">
        <v>0.2</v>
      </c>
    </row>
    <row r="51" customFormat="false" ht="13.5" hidden="false" customHeight="false" outlineLevel="0" collapsed="false">
      <c r="A51" s="0" t="s">
        <v>111</v>
      </c>
      <c r="B51" s="1" t="n">
        <v>43911</v>
      </c>
      <c r="C51" s="0" t="n">
        <v>3</v>
      </c>
      <c r="D51" s="0" t="n">
        <f aca="false">C51-C50</f>
        <v>2</v>
      </c>
      <c r="H51" s="0" t="n">
        <v>3</v>
      </c>
      <c r="J51" s="0" t="n">
        <v>0.6</v>
      </c>
    </row>
    <row r="52" customFormat="false" ht="13.5" hidden="false" customHeight="false" outlineLevel="0" collapsed="false">
      <c r="A52" s="0" t="s">
        <v>111</v>
      </c>
      <c r="B52" s="1" t="n">
        <v>43912</v>
      </c>
      <c r="C52" s="0" t="n">
        <v>3</v>
      </c>
      <c r="D52" s="0" t="n">
        <f aca="false">C52-C51</f>
        <v>0</v>
      </c>
      <c r="H52" s="0" t="n">
        <v>3</v>
      </c>
      <c r="J52" s="0" t="n">
        <v>0.6</v>
      </c>
    </row>
    <row r="53" customFormat="false" ht="13.5" hidden="false" customHeight="false" outlineLevel="0" collapsed="false">
      <c r="A53" s="0" t="s">
        <v>111</v>
      </c>
      <c r="B53" s="1" t="n">
        <v>43913</v>
      </c>
      <c r="C53" s="0" t="n">
        <v>3</v>
      </c>
      <c r="D53" s="0" t="n">
        <f aca="false">C53-C52</f>
        <v>0</v>
      </c>
      <c r="H53" s="0" t="n">
        <v>3</v>
      </c>
      <c r="J53" s="0" t="n">
        <v>0.6</v>
      </c>
    </row>
    <row r="54" customFormat="false" ht="13.5" hidden="false" customHeight="false" outlineLevel="0" collapsed="false">
      <c r="A54" s="0" t="s">
        <v>111</v>
      </c>
      <c r="B54" s="1" t="n">
        <v>43914</v>
      </c>
      <c r="C54" s="0" t="n">
        <v>3</v>
      </c>
      <c r="D54" s="0" t="n">
        <f aca="false">C54-C53</f>
        <v>0</v>
      </c>
      <c r="H54" s="0" t="n">
        <v>3</v>
      </c>
      <c r="J54" s="0" t="n">
        <v>0.6</v>
      </c>
    </row>
    <row r="55" customFormat="false" ht="13.5" hidden="false" customHeight="false" outlineLevel="0" collapsed="false">
      <c r="A55" s="0" t="s">
        <v>111</v>
      </c>
      <c r="B55" s="1" t="n">
        <v>43915</v>
      </c>
      <c r="C55" s="0" t="n">
        <v>3</v>
      </c>
      <c r="D55" s="0" t="n">
        <f aca="false">C55-C54</f>
        <v>0</v>
      </c>
      <c r="H55" s="0" t="n">
        <v>3</v>
      </c>
      <c r="J55" s="0" t="n">
        <v>0.6</v>
      </c>
    </row>
    <row r="56" customFormat="false" ht="13.5" hidden="false" customHeight="false" outlineLevel="0" collapsed="false">
      <c r="A56" s="0" t="s">
        <v>111</v>
      </c>
      <c r="B56" s="1" t="n">
        <v>43916</v>
      </c>
      <c r="C56" s="0" t="n">
        <v>3</v>
      </c>
      <c r="D56" s="0" t="n">
        <f aca="false">C56-C55</f>
        <v>0</v>
      </c>
      <c r="H56" s="0" t="n">
        <v>3</v>
      </c>
      <c r="J56" s="0" t="n">
        <v>0.6</v>
      </c>
    </row>
    <row r="57" customFormat="false" ht="13.5" hidden="false" customHeight="false" outlineLevel="0" collapsed="false">
      <c r="A57" s="0" t="s">
        <v>111</v>
      </c>
      <c r="B57" s="1" t="n">
        <v>43917</v>
      </c>
      <c r="C57" s="0" t="n">
        <v>3</v>
      </c>
      <c r="D57" s="0" t="n">
        <f aca="false">C57-C56</f>
        <v>0</v>
      </c>
      <c r="H57" s="0" t="n">
        <v>3</v>
      </c>
      <c r="J57" s="0" t="n">
        <v>0.6</v>
      </c>
    </row>
    <row r="58" customFormat="false" ht="13.5" hidden="false" customHeight="false" outlineLevel="0" collapsed="false">
      <c r="A58" s="0" t="s">
        <v>111</v>
      </c>
      <c r="B58" s="1" t="n">
        <v>43918</v>
      </c>
      <c r="C58" s="0" t="n">
        <v>3</v>
      </c>
      <c r="D58" s="0" t="n">
        <f aca="false">C58-C57</f>
        <v>0</v>
      </c>
      <c r="H58" s="0" t="n">
        <v>3</v>
      </c>
      <c r="J58" s="0" t="n">
        <v>0.6</v>
      </c>
    </row>
    <row r="59" customFormat="false" ht="13.5" hidden="false" customHeight="false" outlineLevel="0" collapsed="false">
      <c r="A59" s="0" t="s">
        <v>111</v>
      </c>
      <c r="B59" s="1" t="n">
        <v>43919</v>
      </c>
      <c r="C59" s="0" t="n">
        <v>3</v>
      </c>
      <c r="D59" s="0" t="n">
        <f aca="false">C59-C58</f>
        <v>0</v>
      </c>
      <c r="H59" s="0" t="n">
        <v>3</v>
      </c>
      <c r="J59" s="0" t="n">
        <v>0.6</v>
      </c>
    </row>
    <row r="60" customFormat="false" ht="13.5" hidden="false" customHeight="false" outlineLevel="0" collapsed="false">
      <c r="A60" s="0" t="s">
        <v>111</v>
      </c>
      <c r="B60" s="1" t="n">
        <v>43920</v>
      </c>
      <c r="C60" s="0" t="n">
        <v>3</v>
      </c>
      <c r="D60" s="0" t="n">
        <f aca="false">C60-C59</f>
        <v>0</v>
      </c>
      <c r="H60" s="0" t="n">
        <v>3</v>
      </c>
      <c r="J60" s="0" t="n">
        <v>0.6</v>
      </c>
    </row>
    <row r="61" customFormat="false" ht="13.5" hidden="false" customHeight="false" outlineLevel="0" collapsed="false">
      <c r="A61" s="0" t="s">
        <v>111</v>
      </c>
      <c r="B61" s="1" t="n">
        <v>43921</v>
      </c>
      <c r="C61" s="0" t="n">
        <v>3</v>
      </c>
      <c r="D61" s="0" t="n">
        <f aca="false">C61-C60</f>
        <v>0</v>
      </c>
      <c r="H61" s="0" t="n">
        <v>3</v>
      </c>
      <c r="J61" s="0" t="n">
        <v>0.6</v>
      </c>
    </row>
    <row r="62" customFormat="false" ht="13.5" hidden="false" customHeight="false" outlineLevel="0" collapsed="false">
      <c r="A62" s="0" t="s">
        <v>111</v>
      </c>
      <c r="B62" s="1" t="n">
        <v>43922</v>
      </c>
      <c r="C62" s="0" t="n">
        <v>3</v>
      </c>
      <c r="D62" s="0" t="n">
        <f aca="false">C62-C61</f>
        <v>0</v>
      </c>
      <c r="H62" s="0" t="n">
        <v>3</v>
      </c>
      <c r="J62" s="0" t="n">
        <v>0.6</v>
      </c>
    </row>
    <row r="63" customFormat="false" ht="13.5" hidden="false" customHeight="false" outlineLevel="0" collapsed="false">
      <c r="A63" s="0" t="s">
        <v>111</v>
      </c>
      <c r="B63" s="1" t="n">
        <v>43923</v>
      </c>
      <c r="C63" s="0" t="n">
        <v>3</v>
      </c>
      <c r="D63" s="0" t="n">
        <f aca="false">C63-C62</f>
        <v>0</v>
      </c>
      <c r="H63" s="0" t="n">
        <v>3</v>
      </c>
      <c r="J63" s="0" t="n">
        <v>0.6</v>
      </c>
    </row>
    <row r="64" customFormat="false" ht="13.5" hidden="false" customHeight="false" outlineLevel="0" collapsed="false">
      <c r="A64" s="0" t="s">
        <v>111</v>
      </c>
      <c r="B64" s="1" t="n">
        <v>43924</v>
      </c>
      <c r="C64" s="0" t="n">
        <v>3</v>
      </c>
      <c r="D64" s="0" t="n">
        <f aca="false">C64-C63</f>
        <v>0</v>
      </c>
      <c r="H64" s="0" t="n">
        <v>3</v>
      </c>
      <c r="J64" s="0" t="n">
        <v>0.6</v>
      </c>
    </row>
    <row r="65" customFormat="false" ht="13.5" hidden="false" customHeight="false" outlineLevel="0" collapsed="false">
      <c r="A65" s="0" t="s">
        <v>111</v>
      </c>
      <c r="B65" s="1" t="n">
        <v>43925</v>
      </c>
      <c r="C65" s="0" t="n">
        <v>8</v>
      </c>
      <c r="D65" s="0" t="n">
        <f aca="false">C65-C64</f>
        <v>5</v>
      </c>
      <c r="H65" s="0" t="n">
        <v>8</v>
      </c>
      <c r="J65" s="0" t="n">
        <v>2</v>
      </c>
    </row>
    <row r="66" customFormat="false" ht="13.5" hidden="false" customHeight="false" outlineLevel="0" collapsed="false">
      <c r="A66" s="0" t="s">
        <v>111</v>
      </c>
      <c r="B66" s="1" t="n">
        <v>43926</v>
      </c>
      <c r="C66" s="0" t="n">
        <v>8</v>
      </c>
      <c r="D66" s="0" t="n">
        <f aca="false">C66-C65</f>
        <v>0</v>
      </c>
      <c r="H66" s="0" t="n">
        <v>8</v>
      </c>
      <c r="J66" s="0" t="n">
        <v>2</v>
      </c>
    </row>
    <row r="67" customFormat="false" ht="13.5" hidden="false" customHeight="false" outlineLevel="0" collapsed="false">
      <c r="A67" s="0" t="s">
        <v>111</v>
      </c>
      <c r="B67" s="1" t="n">
        <v>43927</v>
      </c>
      <c r="C67" s="0" t="n">
        <v>8</v>
      </c>
      <c r="D67" s="0" t="n">
        <f aca="false">C67-C66</f>
        <v>0</v>
      </c>
      <c r="H67" s="0" t="n">
        <v>8</v>
      </c>
      <c r="J67" s="0" t="n">
        <v>2</v>
      </c>
    </row>
    <row r="68" customFormat="false" ht="13.5" hidden="false" customHeight="false" outlineLevel="0" collapsed="false">
      <c r="A68" s="0" t="s">
        <v>111</v>
      </c>
      <c r="B68" s="1" t="n">
        <v>43928</v>
      </c>
      <c r="C68" s="0" t="n">
        <v>8</v>
      </c>
      <c r="D68" s="0" t="n">
        <f aca="false">C68-C67</f>
        <v>0</v>
      </c>
      <c r="H68" s="0" t="n">
        <v>8</v>
      </c>
      <c r="J68" s="0" t="n">
        <v>2</v>
      </c>
    </row>
    <row r="69" customFormat="false" ht="13.5" hidden="false" customHeight="false" outlineLevel="0" collapsed="false">
      <c r="A69" s="0" t="s">
        <v>111</v>
      </c>
      <c r="B69" s="1" t="n">
        <v>43929</v>
      </c>
      <c r="C69" s="0" t="n">
        <v>8</v>
      </c>
      <c r="D69" s="0" t="n">
        <f aca="false">C69-C68</f>
        <v>0</v>
      </c>
      <c r="H69" s="0" t="n">
        <v>8</v>
      </c>
      <c r="J69" s="0" t="n">
        <v>2</v>
      </c>
    </row>
    <row r="70" customFormat="false" ht="13.5" hidden="false" customHeight="false" outlineLevel="0" collapsed="false">
      <c r="A70" s="0" t="s">
        <v>111</v>
      </c>
      <c r="B70" s="1" t="n">
        <v>43930</v>
      </c>
      <c r="C70" s="0" t="n">
        <v>8</v>
      </c>
      <c r="D70" s="0" t="n">
        <f aca="false">C70-C69</f>
        <v>0</v>
      </c>
      <c r="H70" s="0" t="n">
        <v>8</v>
      </c>
      <c r="J70" s="0" t="n">
        <v>2</v>
      </c>
    </row>
    <row r="71" customFormat="false" ht="13.5" hidden="false" customHeight="false" outlineLevel="0" collapsed="false">
      <c r="A71" s="0" t="s">
        <v>111</v>
      </c>
      <c r="B71" s="1" t="n">
        <v>43931</v>
      </c>
      <c r="C71" s="0" t="n">
        <v>8</v>
      </c>
      <c r="D71" s="0" t="n">
        <f aca="false">C71-C70</f>
        <v>0</v>
      </c>
      <c r="H71" s="0" t="n">
        <v>8</v>
      </c>
      <c r="J71" s="0" t="n">
        <v>2</v>
      </c>
    </row>
    <row r="72" customFormat="false" ht="13.5" hidden="false" customHeight="false" outlineLevel="0" collapsed="false">
      <c r="A72" s="0" t="s">
        <v>111</v>
      </c>
      <c r="B72" s="1" t="n">
        <v>43932</v>
      </c>
      <c r="C72" s="0" t="n">
        <v>8</v>
      </c>
      <c r="D72" s="0" t="n">
        <f aca="false">C72-C71</f>
        <v>0</v>
      </c>
      <c r="H72" s="0" t="n">
        <v>8</v>
      </c>
      <c r="J72" s="0" t="n">
        <v>2</v>
      </c>
    </row>
    <row r="73" customFormat="false" ht="13.5" hidden="false" customHeight="false" outlineLevel="0" collapsed="false">
      <c r="A73" s="0" t="s">
        <v>111</v>
      </c>
      <c r="B73" s="1" t="n">
        <v>43933</v>
      </c>
      <c r="C73" s="0" t="n">
        <v>8</v>
      </c>
      <c r="D73" s="0" t="n">
        <f aca="false">C73-C72</f>
        <v>0</v>
      </c>
      <c r="H73" s="0" t="n">
        <v>8</v>
      </c>
      <c r="J73" s="0" t="n">
        <v>2</v>
      </c>
    </row>
    <row r="74" customFormat="false" ht="13.5" hidden="false" customHeight="false" outlineLevel="0" collapsed="false">
      <c r="A74" s="0" t="s">
        <v>111</v>
      </c>
      <c r="B74" s="1" t="n">
        <v>43934</v>
      </c>
      <c r="C74" s="0" t="n">
        <v>8</v>
      </c>
      <c r="D74" s="0" t="n">
        <f aca="false">C74-C73</f>
        <v>0</v>
      </c>
      <c r="H74" s="0" t="n">
        <v>8</v>
      </c>
      <c r="J74" s="0" t="n">
        <v>2</v>
      </c>
    </row>
    <row r="75" customFormat="false" ht="13.5" hidden="false" customHeight="false" outlineLevel="0" collapsed="false">
      <c r="A75" s="0" t="s">
        <v>111</v>
      </c>
      <c r="B75" s="1" t="n">
        <v>43935</v>
      </c>
      <c r="C75" s="0" t="n">
        <v>11</v>
      </c>
      <c r="D75" s="0" t="n">
        <f aca="false">C75-C74</f>
        <v>3</v>
      </c>
      <c r="E75" s="0" t="n">
        <v>0</v>
      </c>
      <c r="F75" s="0" t="n">
        <v>0</v>
      </c>
      <c r="G75" s="0" t="n">
        <v>3</v>
      </c>
      <c r="H75" s="0" t="n">
        <v>8</v>
      </c>
      <c r="I75" s="0" t="n">
        <v>0</v>
      </c>
      <c r="J75" s="0" t="n">
        <v>2</v>
      </c>
    </row>
    <row r="76" customFormat="false" ht="13.5" hidden="false" customHeight="false" outlineLevel="0" collapsed="false">
      <c r="A76" s="0" t="s">
        <v>111</v>
      </c>
      <c r="B76" s="1" t="n">
        <v>43936</v>
      </c>
      <c r="C76" s="0" t="n">
        <v>11</v>
      </c>
      <c r="D76" s="0" t="n">
        <f aca="false">C76-C75</f>
        <v>0</v>
      </c>
      <c r="E76" s="0" t="n">
        <v>0</v>
      </c>
      <c r="F76" s="0" t="n">
        <v>0</v>
      </c>
      <c r="G76" s="0" t="n">
        <v>4</v>
      </c>
      <c r="H76" s="0" t="n">
        <v>7</v>
      </c>
      <c r="I76" s="0" t="n">
        <v>0</v>
      </c>
      <c r="J76" s="0" t="n">
        <v>2</v>
      </c>
      <c r="K76" s="0" t="n">
        <v>0</v>
      </c>
      <c r="L76" s="0" t="n">
        <v>0</v>
      </c>
      <c r="M76" s="0" t="n">
        <v>0</v>
      </c>
    </row>
    <row r="77" customFormat="false" ht="13.5" hidden="false" customHeight="false" outlineLevel="0" collapsed="false">
      <c r="A77" s="0" t="s">
        <v>111</v>
      </c>
      <c r="B77" s="1" t="n">
        <v>43937</v>
      </c>
      <c r="C77" s="0" t="n">
        <v>12</v>
      </c>
      <c r="D77" s="0" t="n">
        <f aca="false">C77-C76</f>
        <v>1</v>
      </c>
      <c r="E77" s="0" t="n">
        <v>0</v>
      </c>
      <c r="F77" s="0" t="n">
        <v>0</v>
      </c>
      <c r="G77" s="0" t="n">
        <v>4</v>
      </c>
      <c r="H77" s="0" t="n">
        <v>8</v>
      </c>
      <c r="I77" s="0" t="n">
        <v>0</v>
      </c>
      <c r="J77" s="0" t="n">
        <v>2</v>
      </c>
      <c r="K77" s="0" t="n">
        <v>0</v>
      </c>
      <c r="L77" s="0" t="n">
        <v>0</v>
      </c>
      <c r="M77" s="0" t="n">
        <v>0</v>
      </c>
    </row>
    <row r="78" customFormat="false" ht="13.5" hidden="false" customHeight="false" outlineLevel="0" collapsed="false">
      <c r="A78" s="0" t="s">
        <v>111</v>
      </c>
      <c r="B78" s="1" t="n">
        <v>43938</v>
      </c>
      <c r="C78" s="0" t="n">
        <v>12</v>
      </c>
      <c r="D78" s="0" t="n">
        <f aca="false">C78-C77</f>
        <v>0</v>
      </c>
      <c r="E78" s="0" t="n">
        <v>0</v>
      </c>
      <c r="F78" s="0" t="n">
        <v>0</v>
      </c>
      <c r="G78" s="0" t="n">
        <v>4</v>
      </c>
      <c r="H78" s="0" t="n">
        <v>8</v>
      </c>
      <c r="I78" s="0" t="n">
        <v>0</v>
      </c>
      <c r="J78" s="0" t="n">
        <v>2</v>
      </c>
      <c r="K78" s="0" t="n">
        <v>0</v>
      </c>
      <c r="L78" s="0" t="n">
        <v>0</v>
      </c>
      <c r="M78" s="0" t="n">
        <v>0</v>
      </c>
    </row>
    <row r="79" customFormat="false" ht="13.5" hidden="false" customHeight="false" outlineLevel="0" collapsed="false">
      <c r="A79" s="0" t="s">
        <v>111</v>
      </c>
      <c r="B79" s="1" t="n">
        <v>43939</v>
      </c>
      <c r="C79" s="0" t="n">
        <v>12</v>
      </c>
      <c r="D79" s="0" t="n">
        <f aca="false">C79-C78</f>
        <v>0</v>
      </c>
      <c r="E79" s="0" t="n">
        <v>0</v>
      </c>
      <c r="F79" s="0" t="n">
        <v>0</v>
      </c>
      <c r="G79" s="0" t="n">
        <v>4</v>
      </c>
      <c r="H79" s="0" t="n">
        <v>8</v>
      </c>
      <c r="I79" s="0" t="n">
        <v>0</v>
      </c>
      <c r="J79" s="0" t="n">
        <v>2</v>
      </c>
      <c r="K79" s="0" t="n">
        <v>0</v>
      </c>
      <c r="L79" s="0" t="n">
        <v>0</v>
      </c>
      <c r="M79" s="0" t="n">
        <v>0</v>
      </c>
    </row>
    <row r="80" customFormat="false" ht="13.5" hidden="false" customHeight="false" outlineLevel="0" collapsed="false">
      <c r="A80" s="0" t="s">
        <v>111</v>
      </c>
      <c r="B80" s="1" t="n">
        <v>43940</v>
      </c>
      <c r="C80" s="0" t="n">
        <v>12</v>
      </c>
      <c r="D80" s="0" t="n">
        <f aca="false">C80-C79</f>
        <v>0</v>
      </c>
      <c r="E80" s="0" t="n">
        <v>0</v>
      </c>
      <c r="F80" s="0" t="n">
        <v>0</v>
      </c>
      <c r="G80" s="0" t="n">
        <v>4</v>
      </c>
      <c r="H80" s="0" t="n">
        <v>8</v>
      </c>
      <c r="I80" s="0" t="n">
        <v>0</v>
      </c>
      <c r="J80" s="0" t="n">
        <v>2</v>
      </c>
      <c r="K80" s="0" t="n">
        <v>0</v>
      </c>
      <c r="L80" s="0" t="n">
        <v>0</v>
      </c>
      <c r="M80" s="0" t="n">
        <v>0</v>
      </c>
    </row>
    <row r="81" customFormat="false" ht="13.5" hidden="false" customHeight="false" outlineLevel="0" collapsed="false">
      <c r="A81" s="0" t="s">
        <v>111</v>
      </c>
      <c r="B81" s="1" t="n">
        <v>43941</v>
      </c>
      <c r="C81" s="0" t="n">
        <v>12</v>
      </c>
      <c r="D81" s="0" t="n">
        <f aca="false">C81-C80</f>
        <v>0</v>
      </c>
      <c r="E81" s="0" t="n">
        <v>0</v>
      </c>
      <c r="F81" s="0" t="n">
        <v>0</v>
      </c>
      <c r="G81" s="0" t="n">
        <v>4</v>
      </c>
      <c r="H81" s="0" t="n">
        <v>8</v>
      </c>
      <c r="I81" s="0" t="n">
        <v>0</v>
      </c>
      <c r="J81" s="0" t="n">
        <v>2</v>
      </c>
      <c r="K81" s="0" t="n">
        <v>0</v>
      </c>
      <c r="L81" s="0" t="n">
        <v>0</v>
      </c>
      <c r="M81" s="0" t="n">
        <v>0</v>
      </c>
    </row>
    <row r="82" customFormat="false" ht="13.5" hidden="false" customHeight="false" outlineLevel="0" collapsed="false">
      <c r="A82" s="0" t="s">
        <v>111</v>
      </c>
      <c r="B82" s="1" t="n">
        <v>43942</v>
      </c>
      <c r="C82" s="0" t="n">
        <v>12</v>
      </c>
      <c r="D82" s="0" t="n">
        <f aca="false">C82-C81</f>
        <v>0</v>
      </c>
      <c r="E82" s="0" t="n">
        <v>0</v>
      </c>
      <c r="F82" s="0" t="n">
        <v>0</v>
      </c>
      <c r="G82" s="0" t="n">
        <v>4</v>
      </c>
      <c r="H82" s="0" t="n">
        <v>8</v>
      </c>
      <c r="I82" s="0" t="n">
        <v>0</v>
      </c>
      <c r="J82" s="0" t="n">
        <v>2</v>
      </c>
      <c r="K82" s="0" t="n">
        <v>0</v>
      </c>
      <c r="L82" s="0" t="n">
        <v>0</v>
      </c>
      <c r="M82" s="0" t="n">
        <v>0</v>
      </c>
    </row>
    <row r="83" customFormat="false" ht="13.5" hidden="false" customHeight="false" outlineLevel="0" collapsed="false">
      <c r="A83" s="0" t="s">
        <v>111</v>
      </c>
      <c r="B83" s="1" t="n">
        <v>43943</v>
      </c>
      <c r="C83" s="0" t="n">
        <v>14</v>
      </c>
      <c r="D83" s="0" t="n">
        <f aca="false">C83-C82</f>
        <v>2</v>
      </c>
      <c r="E83" s="0" t="n">
        <v>0</v>
      </c>
      <c r="F83" s="0" t="n">
        <v>0</v>
      </c>
      <c r="G83" s="0" t="n">
        <v>10</v>
      </c>
      <c r="H83" s="0" t="n">
        <v>4</v>
      </c>
      <c r="I83" s="0" t="n">
        <v>0</v>
      </c>
      <c r="J83" s="0" t="n">
        <v>3</v>
      </c>
      <c r="K83" s="0" t="n">
        <v>0</v>
      </c>
      <c r="L83" s="0" t="n">
        <v>0</v>
      </c>
      <c r="M83" s="0" t="n">
        <v>0</v>
      </c>
    </row>
    <row r="84" customFormat="false" ht="13.5" hidden="false" customHeight="false" outlineLevel="0" collapsed="false">
      <c r="A84" s="0" t="s">
        <v>111</v>
      </c>
      <c r="B84" s="1" t="n">
        <v>43944</v>
      </c>
      <c r="C84" s="0" t="n">
        <v>14</v>
      </c>
      <c r="D84" s="0" t="n">
        <f aca="false">C84-C83</f>
        <v>0</v>
      </c>
      <c r="E84" s="0" t="n">
        <v>0</v>
      </c>
      <c r="F84" s="0" t="n">
        <v>0</v>
      </c>
      <c r="G84" s="0" t="n">
        <v>10</v>
      </c>
      <c r="H84" s="0" t="n">
        <v>4</v>
      </c>
      <c r="I84" s="0" t="n">
        <v>0</v>
      </c>
      <c r="J84" s="0" t="n">
        <v>3</v>
      </c>
      <c r="K84" s="0" t="n">
        <v>0</v>
      </c>
      <c r="L84" s="0" t="n">
        <v>0</v>
      </c>
      <c r="M84" s="0" t="n">
        <v>0</v>
      </c>
    </row>
    <row r="85" customFormat="false" ht="13.5" hidden="false" customHeight="false" outlineLevel="0" collapsed="false">
      <c r="A85" s="0" t="s">
        <v>111</v>
      </c>
      <c r="B85" s="1" t="n">
        <v>43945</v>
      </c>
      <c r="C85" s="0" t="n">
        <v>16</v>
      </c>
      <c r="D85" s="0" t="n">
        <f aca="false">C85-C84</f>
        <v>2</v>
      </c>
      <c r="E85" s="0" t="n">
        <v>0</v>
      </c>
      <c r="F85" s="0" t="n">
        <v>0</v>
      </c>
      <c r="G85" s="0" t="n">
        <v>10</v>
      </c>
      <c r="H85" s="0" t="n">
        <v>6</v>
      </c>
      <c r="I85" s="0" t="n">
        <v>0</v>
      </c>
      <c r="J85" s="0" t="n">
        <v>3</v>
      </c>
      <c r="K85" s="0" t="n">
        <v>0</v>
      </c>
      <c r="L85" s="0" t="n">
        <v>0</v>
      </c>
      <c r="M85" s="0" t="n">
        <v>0</v>
      </c>
    </row>
    <row r="86" customFormat="false" ht="13.5" hidden="false" customHeight="false" outlineLevel="0" collapsed="false">
      <c r="A86" s="0" t="s">
        <v>111</v>
      </c>
      <c r="B86" s="1" t="n">
        <v>43946</v>
      </c>
      <c r="C86" s="0" t="n">
        <v>16</v>
      </c>
      <c r="D86" s="0" t="n">
        <f aca="false">C86-C85</f>
        <v>0</v>
      </c>
      <c r="E86" s="0" t="n">
        <v>0</v>
      </c>
      <c r="F86" s="0" t="n">
        <v>0</v>
      </c>
      <c r="G86" s="0" t="n">
        <v>10</v>
      </c>
      <c r="H86" s="0" t="n">
        <v>6</v>
      </c>
      <c r="I86" s="0" t="n">
        <v>0</v>
      </c>
      <c r="J86" s="0" t="n">
        <v>3</v>
      </c>
      <c r="K86" s="0" t="n">
        <v>0</v>
      </c>
      <c r="L86" s="0" t="n">
        <v>0</v>
      </c>
      <c r="M86" s="0" t="n">
        <v>0</v>
      </c>
    </row>
    <row r="87" customFormat="false" ht="13.5" hidden="false" customHeight="false" outlineLevel="0" collapsed="false">
      <c r="A87" s="0" t="s">
        <v>111</v>
      </c>
      <c r="B87" s="1" t="n">
        <v>43947</v>
      </c>
      <c r="C87" s="0" t="n">
        <v>16</v>
      </c>
      <c r="D87" s="0" t="n">
        <f aca="false">C87-C86</f>
        <v>0</v>
      </c>
      <c r="E87" s="0" t="n">
        <v>0</v>
      </c>
      <c r="F87" s="0" t="n">
        <v>0</v>
      </c>
      <c r="G87" s="0" t="n">
        <v>10</v>
      </c>
      <c r="H87" s="0" t="n">
        <v>6</v>
      </c>
      <c r="I87" s="0" t="n">
        <v>0</v>
      </c>
      <c r="J87" s="0" t="n">
        <v>3</v>
      </c>
      <c r="K87" s="0" t="n">
        <v>0</v>
      </c>
      <c r="L87" s="0" t="n">
        <v>0</v>
      </c>
      <c r="M87" s="0" t="n">
        <v>0</v>
      </c>
    </row>
    <row r="88" customFormat="false" ht="13.5" hidden="false" customHeight="false" outlineLevel="0" collapsed="false">
      <c r="A88" s="0" t="s">
        <v>111</v>
      </c>
      <c r="B88" s="1" t="n">
        <v>43948</v>
      </c>
      <c r="C88" s="0" t="n">
        <v>19</v>
      </c>
      <c r="D88" s="0" t="n">
        <f aca="false">C88-C87</f>
        <v>3</v>
      </c>
      <c r="E88" s="0" t="n">
        <v>0</v>
      </c>
      <c r="F88" s="0" t="n">
        <v>0</v>
      </c>
      <c r="G88" s="0" t="n">
        <v>10</v>
      </c>
      <c r="H88" s="0" t="n">
        <v>9</v>
      </c>
      <c r="I88" s="0" t="n">
        <v>0</v>
      </c>
      <c r="J88" s="0" t="n">
        <v>4</v>
      </c>
      <c r="K88" s="0" t="n">
        <v>0</v>
      </c>
      <c r="L88" s="0" t="n">
        <v>0</v>
      </c>
      <c r="M88" s="0" t="n">
        <v>0</v>
      </c>
    </row>
    <row r="89" customFormat="false" ht="13.5" hidden="false" customHeight="false" outlineLevel="0" collapsed="false">
      <c r="A89" s="0" t="s">
        <v>111</v>
      </c>
      <c r="B89" s="1" t="n">
        <v>43949</v>
      </c>
      <c r="C89" s="0" t="n">
        <v>19</v>
      </c>
      <c r="D89" s="0" t="n">
        <f aca="false">C89-C88</f>
        <v>0</v>
      </c>
      <c r="E89" s="0" t="n">
        <v>0</v>
      </c>
      <c r="F89" s="0" t="n">
        <v>0</v>
      </c>
      <c r="G89" s="0" t="n">
        <v>10</v>
      </c>
      <c r="H89" s="0" t="n">
        <v>9</v>
      </c>
      <c r="I89" s="0" t="n">
        <v>0</v>
      </c>
      <c r="J89" s="0" t="n">
        <v>4</v>
      </c>
      <c r="K89" s="0" t="n">
        <v>0</v>
      </c>
      <c r="L89" s="0" t="n">
        <v>0</v>
      </c>
      <c r="M89" s="0" t="n">
        <v>0</v>
      </c>
    </row>
    <row r="90" customFormat="false" ht="13.5" hidden="false" customHeight="false" outlineLevel="0" collapsed="false">
      <c r="A90" s="0" t="s">
        <v>111</v>
      </c>
      <c r="B90" s="1" t="n">
        <v>43950</v>
      </c>
      <c r="C90" s="0" t="n">
        <v>50</v>
      </c>
      <c r="D90" s="0" t="n">
        <f aca="false">C90-C89</f>
        <v>31</v>
      </c>
      <c r="E90" s="0" t="n">
        <v>0</v>
      </c>
      <c r="F90" s="0" t="n">
        <v>0</v>
      </c>
      <c r="G90" s="0" t="n">
        <v>10</v>
      </c>
      <c r="H90" s="0" t="n">
        <v>40</v>
      </c>
      <c r="I90" s="0" t="n">
        <v>0</v>
      </c>
      <c r="J90" s="0" t="n">
        <v>10</v>
      </c>
      <c r="K90" s="0" t="n">
        <v>0</v>
      </c>
      <c r="L90" s="0" t="n">
        <v>0</v>
      </c>
      <c r="M90" s="0" t="n">
        <v>0</v>
      </c>
    </row>
    <row r="91" customFormat="false" ht="13.5" hidden="false" customHeight="false" outlineLevel="0" collapsed="false">
      <c r="A91" s="0" t="s">
        <v>111</v>
      </c>
      <c r="B91" s="1" t="n">
        <v>43951</v>
      </c>
      <c r="C91" s="0" t="n">
        <v>50</v>
      </c>
      <c r="D91" s="0" t="n">
        <f aca="false">C91-C90</f>
        <v>0</v>
      </c>
      <c r="E91" s="0" t="n">
        <v>0</v>
      </c>
      <c r="F91" s="0" t="n">
        <v>0</v>
      </c>
      <c r="G91" s="0" t="n">
        <v>10</v>
      </c>
      <c r="H91" s="0" t="n">
        <v>40</v>
      </c>
      <c r="I91" s="0" t="n">
        <v>0</v>
      </c>
      <c r="J91" s="0" t="n">
        <v>10</v>
      </c>
      <c r="K91" s="0" t="n">
        <v>0</v>
      </c>
      <c r="L91" s="0" t="n">
        <v>0</v>
      </c>
      <c r="M91" s="0" t="n">
        <v>0</v>
      </c>
    </row>
    <row r="92" customFormat="false" ht="13.5" hidden="false" customHeight="false" outlineLevel="0" collapsed="false">
      <c r="A92" s="0" t="s">
        <v>111</v>
      </c>
      <c r="B92" s="1" t="n">
        <v>43952</v>
      </c>
      <c r="C92" s="0" t="n">
        <v>50</v>
      </c>
      <c r="D92" s="0" t="n">
        <f aca="false">C92-C91</f>
        <v>0</v>
      </c>
      <c r="E92" s="0" t="n">
        <v>0</v>
      </c>
      <c r="F92" s="0" t="n">
        <v>0</v>
      </c>
      <c r="G92" s="0" t="n">
        <v>10</v>
      </c>
      <c r="H92" s="0" t="n">
        <v>40</v>
      </c>
      <c r="I92" s="0" t="n">
        <v>0</v>
      </c>
      <c r="J92" s="0" t="n">
        <v>10</v>
      </c>
      <c r="K92" s="0" t="n">
        <v>0</v>
      </c>
      <c r="L92" s="0" t="n">
        <v>0</v>
      </c>
      <c r="M92" s="0" t="n">
        <v>0</v>
      </c>
    </row>
    <row r="93" customFormat="false" ht="13.5" hidden="false" customHeight="false" outlineLevel="0" collapsed="false">
      <c r="A93" s="0" t="s">
        <v>111</v>
      </c>
      <c r="B93" s="1" t="n">
        <v>43953</v>
      </c>
      <c r="C93" s="0" t="n">
        <v>64</v>
      </c>
      <c r="D93" s="0" t="n">
        <f aca="false">C93-C92</f>
        <v>14</v>
      </c>
      <c r="E93" s="0" t="n">
        <v>0</v>
      </c>
      <c r="F93" s="0" t="n">
        <v>0</v>
      </c>
      <c r="G93" s="0" t="n">
        <v>10</v>
      </c>
      <c r="H93" s="0" t="n">
        <v>54</v>
      </c>
      <c r="I93" s="0" t="n">
        <v>0</v>
      </c>
      <c r="J93" s="0" t="n">
        <v>13</v>
      </c>
      <c r="K93" s="0" t="n">
        <v>0</v>
      </c>
      <c r="L93" s="0" t="n">
        <v>0</v>
      </c>
      <c r="M93" s="0" t="n">
        <v>0</v>
      </c>
    </row>
    <row r="94" customFormat="false" ht="13.5" hidden="false" customHeight="false" outlineLevel="0" collapsed="false">
      <c r="A94" s="0" t="s">
        <v>111</v>
      </c>
      <c r="B94" s="1" t="n">
        <v>43954</v>
      </c>
      <c r="C94" s="0" t="n">
        <v>72</v>
      </c>
      <c r="D94" s="0" t="n">
        <f aca="false">C94-C93</f>
        <v>8</v>
      </c>
      <c r="E94" s="0" t="n">
        <v>0</v>
      </c>
      <c r="F94" s="0" t="n">
        <v>0</v>
      </c>
      <c r="G94" s="0" t="n">
        <v>10</v>
      </c>
      <c r="H94" s="0" t="n">
        <v>62</v>
      </c>
      <c r="I94" s="0" t="n">
        <v>0</v>
      </c>
      <c r="J94" s="0" t="n">
        <v>15</v>
      </c>
      <c r="K94" s="0" t="n">
        <v>0</v>
      </c>
      <c r="L94" s="0" t="n">
        <v>0</v>
      </c>
      <c r="M94" s="0" t="n">
        <v>0</v>
      </c>
    </row>
    <row r="95" customFormat="false" ht="13.5" hidden="false" customHeight="false" outlineLevel="0" collapsed="false">
      <c r="A95" s="0" t="s">
        <v>111</v>
      </c>
      <c r="B95" s="1" t="n">
        <v>43955</v>
      </c>
      <c r="C95" s="0" t="n">
        <v>72</v>
      </c>
      <c r="D95" s="0" t="n">
        <f aca="false">C95-C94</f>
        <v>0</v>
      </c>
      <c r="E95" s="0" t="n">
        <v>0</v>
      </c>
      <c r="F95" s="0" t="n">
        <v>0</v>
      </c>
      <c r="G95" s="0" t="n">
        <v>10</v>
      </c>
      <c r="H95" s="0" t="n">
        <v>62</v>
      </c>
      <c r="I95" s="0" t="n">
        <v>0</v>
      </c>
      <c r="J95" s="0" t="n">
        <v>15</v>
      </c>
      <c r="K95" s="0" t="n">
        <v>0</v>
      </c>
      <c r="L95" s="0" t="n">
        <v>0</v>
      </c>
      <c r="M95" s="0" t="n">
        <v>0</v>
      </c>
    </row>
    <row r="96" customFormat="false" ht="13.5" hidden="false" customHeight="false" outlineLevel="0" collapsed="false">
      <c r="A96" s="0" t="s">
        <v>111</v>
      </c>
      <c r="B96" s="1" t="n">
        <v>43956</v>
      </c>
      <c r="C96" s="0" t="n">
        <v>85</v>
      </c>
      <c r="D96" s="0" t="n">
        <f aca="false">C96-C95</f>
        <v>13</v>
      </c>
      <c r="E96" s="0" t="n">
        <v>0</v>
      </c>
      <c r="F96" s="0" t="n">
        <v>0</v>
      </c>
      <c r="G96" s="0" t="n">
        <v>10</v>
      </c>
      <c r="H96" s="0" t="n">
        <v>75</v>
      </c>
      <c r="I96" s="0" t="n">
        <v>0</v>
      </c>
      <c r="J96" s="0" t="n">
        <v>18</v>
      </c>
      <c r="K96" s="0" t="n">
        <v>0</v>
      </c>
      <c r="L96" s="0" t="n">
        <v>3498</v>
      </c>
      <c r="M96" s="0" t="n">
        <v>724</v>
      </c>
    </row>
    <row r="97" customFormat="false" ht="13.5" hidden="false" customHeight="false" outlineLevel="0" collapsed="false">
      <c r="A97" s="0" t="s">
        <v>111</v>
      </c>
      <c r="B97" s="1" t="n">
        <v>43957</v>
      </c>
      <c r="C97" s="0" t="n">
        <v>85</v>
      </c>
      <c r="D97" s="0" t="n">
        <f aca="false">C97-C96</f>
        <v>0</v>
      </c>
      <c r="E97" s="0" t="n">
        <v>0</v>
      </c>
      <c r="F97" s="0" t="n">
        <v>0</v>
      </c>
      <c r="G97" s="0" t="n">
        <v>10</v>
      </c>
      <c r="H97" s="0" t="n">
        <v>75</v>
      </c>
      <c r="I97" s="0" t="n">
        <v>0</v>
      </c>
      <c r="J97" s="0" t="n">
        <v>18</v>
      </c>
      <c r="K97" s="0" t="n">
        <v>0</v>
      </c>
      <c r="L97" s="0" t="n">
        <v>3498</v>
      </c>
      <c r="M97" s="0" t="n">
        <v>724</v>
      </c>
    </row>
    <row r="98" customFormat="false" ht="13.5" hidden="false" customHeight="false" outlineLevel="0" collapsed="false">
      <c r="A98" s="0" t="s">
        <v>111</v>
      </c>
      <c r="B98" s="1" t="n">
        <v>43958</v>
      </c>
      <c r="C98" s="0" t="n">
        <v>94</v>
      </c>
      <c r="D98" s="0" t="n">
        <f aca="false">C98-C97</f>
        <v>9</v>
      </c>
      <c r="E98" s="0" t="n">
        <v>0</v>
      </c>
      <c r="F98" s="0" t="n">
        <v>0</v>
      </c>
      <c r="G98" s="0" t="n">
        <v>10</v>
      </c>
      <c r="H98" s="0" t="n">
        <v>84</v>
      </c>
      <c r="I98" s="0" t="n">
        <v>0</v>
      </c>
      <c r="J98" s="0" t="n">
        <v>19</v>
      </c>
      <c r="K98" s="0" t="n">
        <v>0</v>
      </c>
      <c r="L98" s="0" t="n">
        <v>3498</v>
      </c>
      <c r="M98" s="0" t="n">
        <v>724</v>
      </c>
    </row>
    <row r="99" customFormat="false" ht="13.5" hidden="false" customHeight="false" outlineLevel="0" collapsed="false">
      <c r="A99" s="0" t="s">
        <v>111</v>
      </c>
      <c r="B99" s="1" t="n">
        <v>43959</v>
      </c>
      <c r="C99" s="0" t="n">
        <v>94</v>
      </c>
      <c r="D99" s="0" t="n">
        <f aca="false">C99-C98</f>
        <v>0</v>
      </c>
      <c r="E99" s="0" t="n">
        <v>0</v>
      </c>
      <c r="F99" s="0" t="n">
        <v>0</v>
      </c>
      <c r="G99" s="0" t="n">
        <v>10</v>
      </c>
      <c r="H99" s="0" t="n">
        <v>84</v>
      </c>
      <c r="I99" s="0" t="n">
        <v>0</v>
      </c>
      <c r="J99" s="0" t="n">
        <v>19</v>
      </c>
      <c r="K99" s="0" t="n">
        <v>0</v>
      </c>
      <c r="L99" s="0" t="n">
        <v>3498</v>
      </c>
      <c r="M99" s="0" t="n">
        <v>724</v>
      </c>
    </row>
    <row r="100" customFormat="false" ht="13.5" hidden="false" customHeight="false" outlineLevel="0" collapsed="false">
      <c r="A100" s="0" t="s">
        <v>111</v>
      </c>
      <c r="B100" s="1" t="n">
        <v>43960</v>
      </c>
      <c r="C100" s="0" t="n">
        <v>94</v>
      </c>
      <c r="D100" s="0" t="n">
        <f aca="false">C100-C99</f>
        <v>0</v>
      </c>
      <c r="E100" s="0" t="n">
        <v>0</v>
      </c>
      <c r="F100" s="0" t="n">
        <v>0</v>
      </c>
      <c r="G100" s="0" t="n">
        <v>10</v>
      </c>
      <c r="H100" s="0" t="n">
        <v>84</v>
      </c>
      <c r="I100" s="0" t="n">
        <v>0</v>
      </c>
      <c r="J100" s="0" t="n">
        <v>19</v>
      </c>
      <c r="K100" s="0" t="n">
        <v>0</v>
      </c>
      <c r="L100" s="0" t="n">
        <v>3498</v>
      </c>
      <c r="M100" s="0" t="n">
        <v>724</v>
      </c>
    </row>
    <row r="101" customFormat="false" ht="13.5" hidden="false" customHeight="false" outlineLevel="0" collapsed="false">
      <c r="A101" s="0" t="s">
        <v>111</v>
      </c>
      <c r="B101" s="1" t="n">
        <v>43961</v>
      </c>
      <c r="C101" s="0" t="n">
        <v>143</v>
      </c>
      <c r="D101" s="0" t="n">
        <f aca="false">C101-C100</f>
        <v>49</v>
      </c>
      <c r="E101" s="0" t="n">
        <v>0</v>
      </c>
      <c r="F101" s="0" t="n">
        <v>0</v>
      </c>
      <c r="G101" s="0" t="n">
        <v>10</v>
      </c>
      <c r="H101" s="0" t="n">
        <v>133</v>
      </c>
      <c r="I101" s="0" t="n">
        <v>0</v>
      </c>
      <c r="J101" s="0" t="n">
        <v>30</v>
      </c>
      <c r="K101" s="0" t="n">
        <v>0</v>
      </c>
      <c r="L101" s="0" t="n">
        <v>3498</v>
      </c>
      <c r="M101" s="0" t="n">
        <v>724</v>
      </c>
    </row>
    <row r="102" customFormat="false" ht="13.5" hidden="false" customHeight="false" outlineLevel="0" collapsed="false">
      <c r="A102" s="0" t="s">
        <v>111</v>
      </c>
      <c r="B102" s="1" t="n">
        <v>43962</v>
      </c>
      <c r="C102" s="0" t="n">
        <v>143</v>
      </c>
      <c r="D102" s="0" t="n">
        <f aca="false">C102-C101</f>
        <v>0</v>
      </c>
      <c r="E102" s="0" t="n">
        <v>0</v>
      </c>
      <c r="F102" s="0" t="n">
        <v>0</v>
      </c>
      <c r="G102" s="0" t="n">
        <v>10</v>
      </c>
      <c r="H102" s="0" t="n">
        <v>133</v>
      </c>
      <c r="I102" s="0" t="n">
        <v>0</v>
      </c>
      <c r="J102" s="0" t="n">
        <v>30</v>
      </c>
      <c r="K102" s="0" t="n">
        <v>0</v>
      </c>
      <c r="L102" s="0" t="n">
        <v>3498</v>
      </c>
      <c r="M102" s="0" t="n">
        <v>724</v>
      </c>
    </row>
    <row r="103" customFormat="false" ht="13.5" hidden="false" customHeight="false" outlineLevel="0" collapsed="false">
      <c r="A103" s="0" t="s">
        <v>111</v>
      </c>
      <c r="B103" s="1" t="n">
        <v>43963</v>
      </c>
      <c r="C103" s="0" t="n">
        <v>143</v>
      </c>
      <c r="D103" s="0" t="n">
        <f aca="false">C103-C102</f>
        <v>0</v>
      </c>
      <c r="E103" s="0" t="n">
        <v>0</v>
      </c>
      <c r="F103" s="0" t="n">
        <v>0</v>
      </c>
      <c r="G103" s="0" t="n">
        <v>10</v>
      </c>
      <c r="H103" s="0" t="n">
        <v>133</v>
      </c>
      <c r="I103" s="0" t="n">
        <v>0</v>
      </c>
      <c r="J103" s="0" t="n">
        <v>30</v>
      </c>
      <c r="K103" s="0" t="n">
        <v>0</v>
      </c>
      <c r="L103" s="0" t="n">
        <v>3498</v>
      </c>
      <c r="M103" s="0" t="n">
        <v>724</v>
      </c>
    </row>
    <row r="104" customFormat="false" ht="13.5" hidden="false" customHeight="false" outlineLevel="0" collapsed="false">
      <c r="A104" s="0" t="s">
        <v>111</v>
      </c>
      <c r="B104" s="1" t="n">
        <v>43964</v>
      </c>
      <c r="C104" s="0" t="n">
        <v>143</v>
      </c>
      <c r="D104" s="0" t="n">
        <f aca="false">C104-C103</f>
        <v>0</v>
      </c>
      <c r="E104" s="0" t="n">
        <v>0</v>
      </c>
      <c r="F104" s="0" t="n">
        <v>0</v>
      </c>
      <c r="G104" s="0" t="n">
        <v>10</v>
      </c>
      <c r="H104" s="0" t="n">
        <v>133</v>
      </c>
      <c r="I104" s="0" t="n">
        <v>0</v>
      </c>
      <c r="J104" s="0" t="n">
        <v>30</v>
      </c>
      <c r="K104" s="0" t="n">
        <v>0</v>
      </c>
      <c r="L104" s="0" t="n">
        <v>3498</v>
      </c>
      <c r="M104" s="0" t="n">
        <v>724</v>
      </c>
    </row>
    <row r="105" customFormat="false" ht="13.5" hidden="false" customHeight="false" outlineLevel="0" collapsed="false">
      <c r="A105" s="0" t="s">
        <v>111</v>
      </c>
      <c r="B105" s="1" t="n">
        <v>43965</v>
      </c>
      <c r="C105" s="0" t="n">
        <v>143</v>
      </c>
      <c r="D105" s="0" t="n">
        <f aca="false">C105-C104</f>
        <v>0</v>
      </c>
      <c r="E105" s="0" t="n">
        <v>0</v>
      </c>
      <c r="F105" s="0" t="n">
        <v>0</v>
      </c>
      <c r="G105" s="0" t="n">
        <v>10</v>
      </c>
      <c r="H105" s="0" t="n">
        <v>133</v>
      </c>
      <c r="I105" s="0" t="n">
        <v>0</v>
      </c>
      <c r="J105" s="0" t="n">
        <v>30</v>
      </c>
      <c r="K105" s="0" t="n">
        <v>0</v>
      </c>
      <c r="L105" s="0" t="n">
        <v>3498</v>
      </c>
      <c r="M105" s="0" t="n">
        <v>724</v>
      </c>
    </row>
    <row r="106" customFormat="false" ht="13.5" hidden="false" customHeight="false" outlineLevel="0" collapsed="false">
      <c r="A106" s="0" t="s">
        <v>111</v>
      </c>
      <c r="B106" s="1" t="n">
        <v>43966</v>
      </c>
      <c r="C106" s="0" t="n">
        <v>143</v>
      </c>
      <c r="D106" s="0" t="n">
        <f aca="false">C106-C105</f>
        <v>0</v>
      </c>
      <c r="E106" s="0" t="n">
        <v>0</v>
      </c>
      <c r="F106" s="0" t="n">
        <v>0</v>
      </c>
      <c r="G106" s="0" t="n">
        <v>10</v>
      </c>
      <c r="H106" s="0" t="n">
        <v>133</v>
      </c>
      <c r="I106" s="0" t="n">
        <v>0</v>
      </c>
      <c r="J106" s="0" t="n">
        <v>30</v>
      </c>
      <c r="K106" s="0" t="n">
        <v>0</v>
      </c>
      <c r="L106" s="0" t="n">
        <v>3498</v>
      </c>
      <c r="M106" s="0" t="n">
        <v>724</v>
      </c>
    </row>
    <row r="107" customFormat="false" ht="13.5" hidden="false" customHeight="false" outlineLevel="0" collapsed="false">
      <c r="A107" s="0" t="s">
        <v>111</v>
      </c>
      <c r="B107" s="1" t="n">
        <v>43967</v>
      </c>
      <c r="C107" s="0" t="n">
        <v>143</v>
      </c>
      <c r="D107" s="0" t="n">
        <f aca="false">C107-C106</f>
        <v>0</v>
      </c>
      <c r="E107" s="0" t="n">
        <v>0</v>
      </c>
      <c r="F107" s="0" t="n">
        <v>0</v>
      </c>
      <c r="G107" s="0" t="n">
        <v>10</v>
      </c>
      <c r="H107" s="0" t="n">
        <v>133</v>
      </c>
      <c r="I107" s="0" t="n">
        <v>0</v>
      </c>
      <c r="J107" s="0" t="n">
        <v>30</v>
      </c>
      <c r="K107" s="0" t="n">
        <v>0</v>
      </c>
      <c r="L107" s="0" t="n">
        <v>3498</v>
      </c>
      <c r="M107" s="0" t="n">
        <v>726</v>
      </c>
    </row>
    <row r="108" customFormat="false" ht="13.5" hidden="false" customHeight="false" outlineLevel="0" collapsed="false">
      <c r="A108" s="0" t="s">
        <v>111</v>
      </c>
      <c r="B108" s="1" t="n">
        <v>43968</v>
      </c>
      <c r="C108" s="0" t="n">
        <v>301</v>
      </c>
      <c r="D108" s="0" t="n">
        <f aca="false">C108-C107</f>
        <v>158</v>
      </c>
      <c r="E108" s="0" t="n">
        <v>0</v>
      </c>
      <c r="F108" s="0" t="n">
        <v>0</v>
      </c>
      <c r="G108" s="0" t="n">
        <v>13</v>
      </c>
      <c r="H108" s="0" t="n">
        <v>288</v>
      </c>
      <c r="I108" s="0" t="n">
        <v>0</v>
      </c>
      <c r="J108" s="0" t="n">
        <v>62</v>
      </c>
      <c r="K108" s="0" t="n">
        <v>0</v>
      </c>
      <c r="L108" s="0" t="n">
        <v>3498</v>
      </c>
      <c r="M108" s="0" t="n">
        <v>726</v>
      </c>
    </row>
    <row r="109" customFormat="false" ht="13.5" hidden="false" customHeight="false" outlineLevel="0" collapsed="false">
      <c r="A109" s="0" t="s">
        <v>111</v>
      </c>
      <c r="B109" s="1" t="n">
        <v>43969</v>
      </c>
      <c r="C109" s="0" t="n">
        <v>327</v>
      </c>
      <c r="D109" s="0" t="n">
        <f aca="false">C109-C108</f>
        <v>26</v>
      </c>
      <c r="E109" s="0" t="n">
        <v>0</v>
      </c>
      <c r="F109" s="0" t="n">
        <v>0</v>
      </c>
      <c r="G109" s="0" t="n">
        <v>13</v>
      </c>
      <c r="H109" s="0" t="n">
        <v>314</v>
      </c>
      <c r="I109" s="0" t="n">
        <v>0</v>
      </c>
      <c r="J109" s="0" t="n">
        <v>68</v>
      </c>
      <c r="K109" s="0" t="n">
        <v>0</v>
      </c>
      <c r="L109" s="0" t="n">
        <v>3498</v>
      </c>
      <c r="M109" s="0" t="n">
        <v>726</v>
      </c>
    </row>
    <row r="110" customFormat="false" ht="13.5" hidden="false" customHeight="false" outlineLevel="0" collapsed="false">
      <c r="A110" s="0" t="s">
        <v>111</v>
      </c>
      <c r="B110" s="1" t="n">
        <v>43970</v>
      </c>
      <c r="C110" s="0" t="n">
        <v>327</v>
      </c>
      <c r="D110" s="0" t="n">
        <f aca="false">C110-C109</f>
        <v>0</v>
      </c>
      <c r="E110" s="0" t="n">
        <v>0</v>
      </c>
      <c r="F110" s="0" t="n">
        <v>0</v>
      </c>
      <c r="G110" s="0" t="n">
        <v>13</v>
      </c>
      <c r="H110" s="0" t="n">
        <v>314</v>
      </c>
      <c r="I110" s="0" t="n">
        <v>0</v>
      </c>
      <c r="J110" s="0" t="n">
        <v>68</v>
      </c>
      <c r="K110" s="0" t="n">
        <v>0</v>
      </c>
      <c r="L110" s="0" t="n">
        <v>3498</v>
      </c>
      <c r="M110" s="0" t="n">
        <v>726</v>
      </c>
    </row>
    <row r="111" customFormat="false" ht="13.5" hidden="false" customHeight="false" outlineLevel="0" collapsed="false">
      <c r="A111" s="0" t="s">
        <v>111</v>
      </c>
      <c r="B111" s="1" t="n">
        <v>43971</v>
      </c>
      <c r="C111" s="0" t="n">
        <v>366</v>
      </c>
      <c r="D111" s="0" t="n">
        <f aca="false">C111-C110</f>
        <v>39</v>
      </c>
      <c r="E111" s="0" t="n">
        <v>0</v>
      </c>
      <c r="F111" s="0" t="n">
        <v>0</v>
      </c>
      <c r="G111" s="0" t="n">
        <v>18</v>
      </c>
      <c r="H111" s="0" t="n">
        <v>348</v>
      </c>
      <c r="I111" s="0" t="n">
        <v>0</v>
      </c>
      <c r="J111" s="0" t="n">
        <v>76</v>
      </c>
      <c r="K111" s="0" t="n">
        <v>0</v>
      </c>
      <c r="L111" s="0" t="n">
        <v>3498</v>
      </c>
      <c r="M111" s="0" t="n">
        <v>726</v>
      </c>
    </row>
    <row r="112" customFormat="false" ht="13.5" hidden="false" customHeight="false" outlineLevel="0" collapsed="false">
      <c r="A112" s="0" t="s">
        <v>111</v>
      </c>
      <c r="B112" s="1" t="n">
        <v>43972</v>
      </c>
      <c r="C112" s="0" t="n">
        <v>366</v>
      </c>
      <c r="D112" s="0" t="n">
        <f aca="false">C112-C111</f>
        <v>0</v>
      </c>
      <c r="E112" s="0" t="n">
        <v>0</v>
      </c>
      <c r="F112" s="0" t="n">
        <v>0</v>
      </c>
      <c r="G112" s="0" t="n">
        <v>18</v>
      </c>
      <c r="H112" s="0" t="n">
        <v>348</v>
      </c>
      <c r="I112" s="0" t="n">
        <v>0</v>
      </c>
      <c r="J112" s="0" t="n">
        <v>76</v>
      </c>
      <c r="K112" s="0" t="n">
        <v>0</v>
      </c>
      <c r="L112" s="0" t="n">
        <v>3498</v>
      </c>
      <c r="M112" s="0" t="n">
        <v>726</v>
      </c>
    </row>
    <row r="113" customFormat="false" ht="13.5" hidden="false" customHeight="false" outlineLevel="0" collapsed="false">
      <c r="A113" s="0" t="s">
        <v>111</v>
      </c>
      <c r="B113" s="1" t="n">
        <v>43973</v>
      </c>
      <c r="C113" s="0" t="n">
        <v>436</v>
      </c>
      <c r="D113" s="0" t="n">
        <f aca="false">C113-C112</f>
        <v>70</v>
      </c>
      <c r="E113" s="0" t="n">
        <v>0</v>
      </c>
      <c r="F113" s="0" t="n">
        <v>0</v>
      </c>
      <c r="G113" s="0" t="n">
        <v>18</v>
      </c>
      <c r="H113" s="0" t="n">
        <v>418</v>
      </c>
      <c r="I113" s="0" t="n">
        <v>0</v>
      </c>
      <c r="J113" s="0" t="n">
        <v>90</v>
      </c>
      <c r="K113" s="0" t="n">
        <v>0</v>
      </c>
      <c r="L113" s="0" t="n">
        <v>11294</v>
      </c>
      <c r="M113" s="0" t="n">
        <v>2343</v>
      </c>
    </row>
    <row r="114" customFormat="false" ht="13.5" hidden="false" customHeight="false" outlineLevel="0" collapsed="false">
      <c r="A114" s="0" t="s">
        <v>111</v>
      </c>
      <c r="B114" s="1" t="n">
        <v>43974</v>
      </c>
      <c r="C114" s="0" t="n">
        <v>479</v>
      </c>
      <c r="D114" s="0" t="n">
        <f aca="false">C114-C113</f>
        <v>43</v>
      </c>
      <c r="E114" s="0" t="n">
        <v>0</v>
      </c>
      <c r="F114" s="0" t="n">
        <v>0</v>
      </c>
      <c r="G114" s="0" t="n">
        <v>18</v>
      </c>
      <c r="H114" s="0" t="n">
        <v>461</v>
      </c>
      <c r="I114" s="0" t="n">
        <v>0</v>
      </c>
      <c r="J114" s="0" t="n">
        <v>99</v>
      </c>
      <c r="K114" s="0" t="n">
        <v>0</v>
      </c>
      <c r="L114" s="0" t="n">
        <v>11570</v>
      </c>
      <c r="M114" s="0" t="n">
        <v>2400</v>
      </c>
    </row>
    <row r="115" customFormat="false" ht="13.5" hidden="false" customHeight="false" outlineLevel="0" collapsed="false">
      <c r="A115" s="0" t="s">
        <v>111</v>
      </c>
      <c r="B115" s="1" t="n">
        <v>43975</v>
      </c>
      <c r="C115" s="0" t="n">
        <v>552</v>
      </c>
      <c r="D115" s="0" t="n">
        <f aca="false">C115-C114</f>
        <v>73</v>
      </c>
      <c r="E115" s="0" t="n">
        <v>1</v>
      </c>
      <c r="F115" s="0" t="n">
        <v>1</v>
      </c>
      <c r="G115" s="0" t="n">
        <v>18</v>
      </c>
      <c r="H115" s="0" t="n">
        <v>533</v>
      </c>
      <c r="I115" s="0" t="n">
        <v>0</v>
      </c>
      <c r="J115" s="0" t="n">
        <v>115</v>
      </c>
      <c r="K115" s="0" t="n">
        <v>0.2</v>
      </c>
      <c r="L115" s="0" t="n">
        <v>11570</v>
      </c>
      <c r="M115" s="0" t="n">
        <v>2400</v>
      </c>
    </row>
    <row r="116" customFormat="false" ht="13.5" hidden="false" customHeight="false" outlineLevel="0" collapsed="false">
      <c r="A116" s="0" t="s">
        <v>111</v>
      </c>
      <c r="B116" s="1" t="n">
        <v>43976</v>
      </c>
      <c r="C116" s="0" t="n">
        <v>604</v>
      </c>
      <c r="D116" s="0" t="n">
        <f aca="false">C116-C115</f>
        <v>52</v>
      </c>
      <c r="E116" s="0" t="n">
        <v>1</v>
      </c>
      <c r="F116" s="0" t="n">
        <v>0</v>
      </c>
      <c r="G116" s="0" t="n">
        <v>22</v>
      </c>
      <c r="H116" s="0" t="n">
        <v>581</v>
      </c>
      <c r="I116" s="0" t="n">
        <v>0</v>
      </c>
      <c r="J116" s="0" t="n">
        <v>125</v>
      </c>
      <c r="K116" s="0" t="n">
        <v>0.2</v>
      </c>
      <c r="L116" s="0" t="n">
        <v>11570</v>
      </c>
      <c r="M116" s="0" t="n">
        <v>2400</v>
      </c>
    </row>
    <row r="117" customFormat="false" ht="13.5" hidden="false" customHeight="false" outlineLevel="0" collapsed="false">
      <c r="A117" s="0" t="s">
        <v>111</v>
      </c>
      <c r="B117" s="1" t="n">
        <v>43977</v>
      </c>
      <c r="C117" s="0" t="n">
        <v>652</v>
      </c>
      <c r="D117" s="0" t="n">
        <f aca="false">C117-C116</f>
        <v>48</v>
      </c>
      <c r="E117" s="0" t="n">
        <v>1</v>
      </c>
      <c r="F117" s="0" t="n">
        <v>0</v>
      </c>
      <c r="G117" s="0" t="n">
        <v>22</v>
      </c>
      <c r="H117" s="0" t="n">
        <v>629</v>
      </c>
      <c r="I117" s="0" t="n">
        <v>0</v>
      </c>
      <c r="J117" s="0" t="n">
        <v>135</v>
      </c>
      <c r="K117" s="0" t="n">
        <v>0.2</v>
      </c>
      <c r="L117" s="0" t="n">
        <v>11570</v>
      </c>
      <c r="M117" s="0" t="n">
        <v>2400</v>
      </c>
    </row>
    <row r="118" customFormat="false" ht="13.5" hidden="false" customHeight="false" outlineLevel="0" collapsed="false">
      <c r="A118" s="0" t="s">
        <v>111</v>
      </c>
      <c r="B118" s="1" t="n">
        <v>43978</v>
      </c>
      <c r="C118" s="0" t="n">
        <v>671</v>
      </c>
      <c r="D118" s="0" t="n">
        <f aca="false">C118-C117</f>
        <v>19</v>
      </c>
      <c r="E118" s="0" t="n">
        <v>1</v>
      </c>
      <c r="F118" s="0" t="n">
        <v>0</v>
      </c>
      <c r="G118" s="0" t="n">
        <v>22</v>
      </c>
      <c r="H118" s="0" t="n">
        <v>648</v>
      </c>
      <c r="I118" s="0" t="n">
        <v>0</v>
      </c>
      <c r="J118" s="0" t="n">
        <v>139</v>
      </c>
      <c r="K118" s="0" t="n">
        <v>0.2</v>
      </c>
      <c r="L118" s="0" t="n">
        <v>11570</v>
      </c>
      <c r="M118" s="0" t="n">
        <v>2400</v>
      </c>
    </row>
    <row r="119" customFormat="false" ht="13.5" hidden="false" customHeight="false" outlineLevel="0" collapsed="false">
      <c r="A119" s="0" t="s">
        <v>111</v>
      </c>
      <c r="B119" s="1" t="n">
        <v>43979</v>
      </c>
      <c r="C119" s="0" t="n">
        <v>702</v>
      </c>
      <c r="D119" s="0" t="n">
        <f aca="false">C119-C118</f>
        <v>31</v>
      </c>
      <c r="E119" s="0" t="n">
        <v>1</v>
      </c>
      <c r="F119" s="0" t="n">
        <v>0</v>
      </c>
      <c r="G119" s="0" t="n">
        <v>23</v>
      </c>
      <c r="H119" s="0" t="n">
        <v>678</v>
      </c>
      <c r="I119" s="0" t="n">
        <v>0</v>
      </c>
      <c r="J119" s="0" t="n">
        <v>146</v>
      </c>
      <c r="K119" s="0" t="n">
        <v>0.2</v>
      </c>
      <c r="L119" s="0" t="n">
        <v>11570</v>
      </c>
      <c r="M119" s="0" t="n">
        <v>2400</v>
      </c>
    </row>
    <row r="120" customFormat="false" ht="13.5" hidden="false" customHeight="false" outlineLevel="0" collapsed="false">
      <c r="A120" s="0" t="s">
        <v>111</v>
      </c>
      <c r="B120" s="1" t="n">
        <v>43980</v>
      </c>
      <c r="C120" s="0" t="n">
        <v>702</v>
      </c>
      <c r="D120" s="0" t="n">
        <f aca="false">C120-C119</f>
        <v>0</v>
      </c>
      <c r="E120" s="0" t="n">
        <v>1</v>
      </c>
      <c r="F120" s="0" t="n">
        <v>0</v>
      </c>
      <c r="G120" s="0" t="n">
        <v>23</v>
      </c>
      <c r="H120" s="0" t="n">
        <v>678</v>
      </c>
      <c r="I120" s="0" t="n">
        <v>0</v>
      </c>
      <c r="J120" s="0" t="n">
        <v>146</v>
      </c>
      <c r="K120" s="0" t="n">
        <v>0.2</v>
      </c>
      <c r="L120" s="0" t="n">
        <v>11570</v>
      </c>
      <c r="M120" s="0" t="n">
        <v>2400</v>
      </c>
    </row>
    <row r="121" customFormat="false" ht="13.5" hidden="false" customHeight="false" outlineLevel="0" collapsed="false">
      <c r="A121" s="0" t="s">
        <v>111</v>
      </c>
      <c r="B121" s="1" t="n">
        <v>43981</v>
      </c>
      <c r="C121" s="0" t="n">
        <v>755</v>
      </c>
      <c r="D121" s="0" t="n">
        <f aca="false">C121-C120</f>
        <v>53</v>
      </c>
      <c r="E121" s="0" t="n">
        <v>1</v>
      </c>
      <c r="F121" s="0" t="n">
        <v>0</v>
      </c>
      <c r="G121" s="0" t="n">
        <v>23</v>
      </c>
      <c r="H121" s="0" t="n">
        <v>731</v>
      </c>
      <c r="I121" s="0" t="n">
        <v>0</v>
      </c>
      <c r="J121" s="0" t="n">
        <v>157</v>
      </c>
      <c r="K121" s="0" t="n">
        <v>0.2</v>
      </c>
      <c r="L121" s="0" t="n">
        <v>11570</v>
      </c>
      <c r="M121" s="0" t="n">
        <v>2400</v>
      </c>
    </row>
    <row r="122" customFormat="false" ht="13.5" hidden="false" customHeight="false" outlineLevel="0" collapsed="false">
      <c r="A122" s="0" t="s">
        <v>111</v>
      </c>
      <c r="B122" s="1" t="n">
        <v>43982</v>
      </c>
      <c r="C122" s="0" t="n">
        <v>962</v>
      </c>
      <c r="D122" s="0" t="n">
        <f aca="false">C122-C121</f>
        <v>207</v>
      </c>
      <c r="E122" s="0" t="n">
        <v>1</v>
      </c>
      <c r="F122" s="0" t="n">
        <v>0</v>
      </c>
      <c r="G122" s="0" t="n">
        <v>23</v>
      </c>
      <c r="H122" s="0" t="n">
        <v>938</v>
      </c>
      <c r="I122" s="0" t="n">
        <v>0</v>
      </c>
      <c r="J122" s="0" t="n">
        <v>200</v>
      </c>
      <c r="K122" s="0" t="n">
        <v>0.2</v>
      </c>
      <c r="L122" s="0" t="n">
        <v>15021</v>
      </c>
      <c r="M122" s="0" t="n">
        <v>3115</v>
      </c>
    </row>
    <row r="123" customFormat="false" ht="13.5" hidden="false" customHeight="false" outlineLevel="0" collapsed="false">
      <c r="A123" s="0" t="s">
        <v>111</v>
      </c>
      <c r="B123" s="1" t="n">
        <v>43983</v>
      </c>
      <c r="C123" s="0" t="n">
        <v>1011</v>
      </c>
      <c r="D123" s="0" t="n">
        <f aca="false">C123-C122</f>
        <v>49</v>
      </c>
      <c r="E123" s="0" t="n">
        <v>2</v>
      </c>
      <c r="F123" s="0" t="n">
        <v>1</v>
      </c>
      <c r="G123" s="0" t="n">
        <v>23</v>
      </c>
      <c r="H123" s="0" t="n">
        <v>986</v>
      </c>
      <c r="I123" s="0" t="n">
        <v>0</v>
      </c>
      <c r="J123" s="0" t="n">
        <v>210</v>
      </c>
      <c r="K123" s="0" t="n">
        <v>0.4</v>
      </c>
      <c r="L123" s="0" t="n">
        <v>15021</v>
      </c>
      <c r="M123" s="0" t="n">
        <v>3115</v>
      </c>
    </row>
    <row r="124" customFormat="false" ht="13.5" hidden="false" customHeight="false" outlineLevel="0" collapsed="false">
      <c r="A124" s="0" t="s">
        <v>111</v>
      </c>
      <c r="B124" s="1" t="n">
        <v>43984</v>
      </c>
      <c r="C124" s="0" t="n">
        <v>1069</v>
      </c>
      <c r="D124" s="0" t="n">
        <f aca="false">C124-C123</f>
        <v>58</v>
      </c>
      <c r="E124" s="0" t="n">
        <v>4</v>
      </c>
      <c r="F124" s="0" t="n">
        <v>2</v>
      </c>
      <c r="G124" s="0" t="n">
        <v>23</v>
      </c>
      <c r="H124" s="0" t="n">
        <v>1042</v>
      </c>
      <c r="I124" s="0" t="n">
        <v>0</v>
      </c>
      <c r="J124" s="0" t="n">
        <v>222</v>
      </c>
      <c r="K124" s="0" t="n">
        <v>0.8</v>
      </c>
      <c r="L124" s="0" t="n">
        <v>15021</v>
      </c>
      <c r="M124" s="0" t="n">
        <v>3115</v>
      </c>
    </row>
    <row r="125" customFormat="false" ht="13.5" hidden="false" customHeight="false" outlineLevel="0" collapsed="false">
      <c r="A125" s="0" t="s">
        <v>111</v>
      </c>
      <c r="B125" s="1" t="n">
        <v>43985</v>
      </c>
      <c r="C125" s="0" t="n">
        <v>1069</v>
      </c>
      <c r="D125" s="0" t="n">
        <f aca="false">C125-C124</f>
        <v>0</v>
      </c>
      <c r="E125" s="0" t="n">
        <v>4</v>
      </c>
      <c r="F125" s="0" t="n">
        <v>0</v>
      </c>
      <c r="G125" s="0" t="n">
        <v>23</v>
      </c>
      <c r="H125" s="0" t="n">
        <v>1042</v>
      </c>
      <c r="I125" s="0" t="n">
        <v>0</v>
      </c>
      <c r="J125" s="0" t="n">
        <v>222</v>
      </c>
      <c r="K125" s="0" t="n">
        <v>0.8</v>
      </c>
      <c r="L125" s="0" t="n">
        <v>15021</v>
      </c>
      <c r="M125" s="0" t="n">
        <v>3115</v>
      </c>
    </row>
    <row r="126" customFormat="false" ht="13.5" hidden="false" customHeight="false" outlineLevel="0" collapsed="false">
      <c r="A126" s="0" t="s">
        <v>111</v>
      </c>
      <c r="B126" s="1" t="n">
        <v>43986</v>
      </c>
      <c r="C126" s="0" t="n">
        <v>1173</v>
      </c>
      <c r="D126" s="0" t="n">
        <f aca="false">C126-C125</f>
        <v>104</v>
      </c>
      <c r="E126" s="0" t="n">
        <v>4</v>
      </c>
      <c r="F126" s="0" t="n">
        <v>0</v>
      </c>
      <c r="G126" s="0" t="n">
        <v>23</v>
      </c>
      <c r="H126" s="0" t="n">
        <v>1146</v>
      </c>
      <c r="I126" s="0" t="n">
        <v>0</v>
      </c>
      <c r="J126" s="0" t="n">
        <v>243</v>
      </c>
      <c r="K126" s="0" t="n">
        <v>0.8</v>
      </c>
      <c r="L126" s="0" t="n">
        <v>15881</v>
      </c>
      <c r="M126" s="0" t="n">
        <v>3293</v>
      </c>
    </row>
    <row r="127" customFormat="false" ht="13.5" hidden="false" customHeight="false" outlineLevel="0" collapsed="false">
      <c r="A127" s="0" t="s">
        <v>111</v>
      </c>
      <c r="B127" s="1" t="n">
        <v>43987</v>
      </c>
      <c r="C127" s="0" t="n">
        <v>1288</v>
      </c>
      <c r="D127" s="0" t="n">
        <f aca="false">C127-C126</f>
        <v>115</v>
      </c>
      <c r="E127" s="0" t="n">
        <v>4</v>
      </c>
      <c r="F127" s="0" t="n">
        <v>0</v>
      </c>
      <c r="G127" s="0" t="n">
        <v>23</v>
      </c>
      <c r="H127" s="0" t="n">
        <v>1261</v>
      </c>
      <c r="I127" s="0" t="n">
        <v>0</v>
      </c>
      <c r="J127" s="0" t="n">
        <v>267</v>
      </c>
      <c r="K127" s="0" t="n">
        <v>0.8</v>
      </c>
      <c r="L127" s="0" t="n">
        <v>15881</v>
      </c>
      <c r="M127" s="0" t="n">
        <v>3293</v>
      </c>
    </row>
    <row r="128" customFormat="false" ht="13.5" hidden="false" customHeight="false" outlineLevel="0" collapsed="false">
      <c r="A128" s="0" t="s">
        <v>111</v>
      </c>
      <c r="B128" s="1" t="n">
        <v>43988</v>
      </c>
      <c r="C128" s="0" t="n">
        <v>1451</v>
      </c>
      <c r="D128" s="0" t="n">
        <f aca="false">C128-C127</f>
        <v>163</v>
      </c>
      <c r="E128" s="0" t="n">
        <v>4</v>
      </c>
      <c r="F128" s="0" t="n">
        <v>0</v>
      </c>
      <c r="G128" s="0" t="n">
        <v>29</v>
      </c>
      <c r="H128" s="0" t="n">
        <v>1418</v>
      </c>
      <c r="I128" s="0" t="n">
        <v>0</v>
      </c>
      <c r="J128" s="0" t="n">
        <v>301</v>
      </c>
      <c r="K128" s="0" t="n">
        <v>0.8</v>
      </c>
      <c r="L128" s="0" t="n">
        <v>15881</v>
      </c>
      <c r="M128" s="0" t="n">
        <v>3293</v>
      </c>
    </row>
    <row r="129" customFormat="false" ht="13.5" hidden="false" customHeight="false" outlineLevel="0" collapsed="false">
      <c r="A129" s="0" t="s">
        <v>111</v>
      </c>
      <c r="B129" s="1" t="n">
        <v>43989</v>
      </c>
      <c r="C129" s="0" t="n">
        <v>1570</v>
      </c>
      <c r="D129" s="0" t="n">
        <f aca="false">C129-C128</f>
        <v>119</v>
      </c>
      <c r="E129" s="0" t="n">
        <v>5</v>
      </c>
      <c r="F129" s="0" t="n">
        <v>1</v>
      </c>
      <c r="G129" s="0" t="n">
        <v>37</v>
      </c>
      <c r="H129" s="0" t="n">
        <v>1528</v>
      </c>
      <c r="I129" s="0" t="n">
        <v>0</v>
      </c>
      <c r="J129" s="0" t="n">
        <v>325</v>
      </c>
      <c r="K129" s="0" t="n">
        <v>1</v>
      </c>
      <c r="L129" s="0" t="n">
        <v>15881</v>
      </c>
      <c r="M129" s="0" t="n">
        <v>3292</v>
      </c>
    </row>
    <row r="130" customFormat="false" ht="13.5" hidden="false" customHeight="false" outlineLevel="0" collapsed="false">
      <c r="A130" s="0" t="s">
        <v>111</v>
      </c>
      <c r="B130" s="1" t="n">
        <v>43990</v>
      </c>
      <c r="C130" s="0" t="n">
        <v>1634</v>
      </c>
      <c r="D130" s="0" t="n">
        <f aca="false">C130-C129</f>
        <v>64</v>
      </c>
      <c r="E130" s="0" t="n">
        <v>5</v>
      </c>
      <c r="F130" s="0" t="n">
        <v>0</v>
      </c>
      <c r="G130" s="0" t="n">
        <v>38</v>
      </c>
      <c r="H130" s="0" t="n">
        <v>1591</v>
      </c>
      <c r="I130" s="0" t="n">
        <v>0</v>
      </c>
      <c r="J130" s="0" t="n">
        <v>339</v>
      </c>
      <c r="K130" s="0" t="n">
        <v>1</v>
      </c>
      <c r="L130" s="0" t="n">
        <v>15881</v>
      </c>
      <c r="M130" s="0" t="n">
        <v>3292</v>
      </c>
    </row>
    <row r="131" customFormat="false" ht="13.5" hidden="false" customHeight="false" outlineLevel="0" collapsed="false">
      <c r="A131" s="0" t="s">
        <v>111</v>
      </c>
      <c r="B131" s="1" t="n">
        <v>43991</v>
      </c>
      <c r="C131" s="0" t="n">
        <v>1850</v>
      </c>
      <c r="D131" s="0" t="n">
        <f aca="false">C131-C130</f>
        <v>216</v>
      </c>
      <c r="E131" s="0" t="n">
        <v>5</v>
      </c>
      <c r="F131" s="0" t="n">
        <v>0</v>
      </c>
      <c r="G131" s="0" t="n">
        <v>38</v>
      </c>
      <c r="H131" s="0" t="n">
        <v>1807</v>
      </c>
      <c r="I131" s="0" t="n">
        <v>0</v>
      </c>
      <c r="J131" s="0" t="n">
        <v>384</v>
      </c>
      <c r="K131" s="0" t="n">
        <v>1</v>
      </c>
      <c r="L131" s="0" t="n">
        <v>15881</v>
      </c>
      <c r="M131" s="0" t="n">
        <v>3292</v>
      </c>
    </row>
    <row r="132" customFormat="false" ht="13.5" hidden="false" customHeight="false" outlineLevel="0" collapsed="false">
      <c r="A132" s="0" t="s">
        <v>111</v>
      </c>
      <c r="B132" s="1" t="n">
        <v>43992</v>
      </c>
      <c r="C132" s="0" t="n">
        <v>1850</v>
      </c>
      <c r="D132" s="0" t="n">
        <f aca="false">C132-C131</f>
        <v>0</v>
      </c>
      <c r="E132" s="0" t="n">
        <v>5</v>
      </c>
      <c r="F132" s="0" t="n">
        <v>0</v>
      </c>
      <c r="G132" s="0" t="n">
        <v>38</v>
      </c>
      <c r="H132" s="0" t="n">
        <v>1807</v>
      </c>
      <c r="I132" s="0" t="n">
        <v>0</v>
      </c>
      <c r="J132" s="0" t="n">
        <v>383</v>
      </c>
      <c r="K132" s="0" t="n">
        <v>1</v>
      </c>
      <c r="L132" s="0" t="n">
        <v>15881</v>
      </c>
      <c r="M132" s="0" t="n">
        <v>3292</v>
      </c>
    </row>
    <row r="133" customFormat="false" ht="13.5" hidden="false" customHeight="false" outlineLevel="0" collapsed="false">
      <c r="A133" s="0" t="s">
        <v>111</v>
      </c>
      <c r="B133" s="1" t="n">
        <v>43993</v>
      </c>
      <c r="C133" s="0" t="n">
        <v>1888</v>
      </c>
      <c r="D133" s="0" t="n">
        <f aca="false">C133-C132</f>
        <v>38</v>
      </c>
      <c r="E133" s="0" t="n">
        <v>5</v>
      </c>
      <c r="F133" s="0" t="n">
        <v>0</v>
      </c>
      <c r="G133" s="0" t="n">
        <v>38</v>
      </c>
      <c r="H133" s="0" t="n">
        <v>1845</v>
      </c>
      <c r="I133" s="0" t="n">
        <v>0</v>
      </c>
      <c r="J133" s="0" t="n">
        <v>391</v>
      </c>
      <c r="K133" s="0" t="n">
        <v>1</v>
      </c>
      <c r="L133" s="0" t="n">
        <v>18161</v>
      </c>
      <c r="M133" s="0" t="n">
        <v>3764</v>
      </c>
    </row>
    <row r="134" customFormat="false" ht="13.5" hidden="false" customHeight="false" outlineLevel="0" collapsed="false">
      <c r="A134" s="0" t="s">
        <v>111</v>
      </c>
      <c r="B134" s="1" t="n">
        <v>43994</v>
      </c>
      <c r="C134" s="0" t="n">
        <v>1952</v>
      </c>
      <c r="D134" s="0" t="n">
        <f aca="false">C134-C133</f>
        <v>64</v>
      </c>
      <c r="E134" s="0" t="n">
        <v>5</v>
      </c>
      <c r="F134" s="0" t="n">
        <v>0</v>
      </c>
      <c r="G134" s="0" t="n">
        <v>38</v>
      </c>
      <c r="H134" s="0" t="n">
        <v>1909</v>
      </c>
      <c r="I134" s="0" t="n">
        <v>0</v>
      </c>
      <c r="J134" s="0" t="n">
        <v>405</v>
      </c>
      <c r="K134" s="0" t="n">
        <v>1</v>
      </c>
      <c r="L134" s="0" t="n">
        <v>18161</v>
      </c>
      <c r="M134" s="0" t="n">
        <v>3764</v>
      </c>
    </row>
    <row r="135" customFormat="false" ht="13.5" hidden="false" customHeight="false" outlineLevel="0" collapsed="false">
      <c r="A135" s="0" t="s">
        <v>111</v>
      </c>
      <c r="B135" s="1" t="n">
        <v>43995</v>
      </c>
      <c r="C135" s="0" t="n">
        <v>2044</v>
      </c>
      <c r="D135" s="0" t="n">
        <f aca="false">C135-C134</f>
        <v>92</v>
      </c>
      <c r="E135" s="0" t="n">
        <v>7</v>
      </c>
      <c r="F135" s="0" t="n">
        <v>2</v>
      </c>
      <c r="G135" s="0" t="n">
        <v>360</v>
      </c>
      <c r="H135" s="0" t="n">
        <v>1677</v>
      </c>
      <c r="I135" s="0" t="n">
        <v>2</v>
      </c>
      <c r="J135" s="0" t="n">
        <v>424</v>
      </c>
      <c r="K135" s="0" t="n">
        <v>1</v>
      </c>
      <c r="L135" s="0" t="n">
        <v>18921</v>
      </c>
      <c r="M135" s="0" t="n">
        <v>3922</v>
      </c>
    </row>
    <row r="136" customFormat="false" ht="13.5" hidden="false" customHeight="false" outlineLevel="0" collapsed="false">
      <c r="A136" s="0" t="s">
        <v>111</v>
      </c>
      <c r="B136" s="1" t="n">
        <v>43996</v>
      </c>
      <c r="C136" s="0" t="n">
        <v>2057</v>
      </c>
      <c r="D136" s="0" t="n">
        <f aca="false">C136-C135</f>
        <v>13</v>
      </c>
      <c r="E136" s="0" t="n">
        <v>7</v>
      </c>
      <c r="F136" s="0" t="n">
        <v>0</v>
      </c>
      <c r="G136" s="0" t="n">
        <v>363</v>
      </c>
      <c r="H136" s="0" t="n">
        <v>1687</v>
      </c>
      <c r="I136" s="0" t="n">
        <v>2</v>
      </c>
      <c r="J136" s="0" t="n">
        <v>426</v>
      </c>
      <c r="K136" s="0" t="n">
        <v>1</v>
      </c>
      <c r="L136" s="0" t="n">
        <v>18921</v>
      </c>
      <c r="M136" s="0" t="n">
        <v>3921</v>
      </c>
    </row>
    <row r="137" customFormat="false" ht="13.5" hidden="false" customHeight="false" outlineLevel="0" collapsed="false">
      <c r="A137" s="0" t="s">
        <v>111</v>
      </c>
      <c r="B137" s="1" t="n">
        <v>43997</v>
      </c>
      <c r="C137" s="0" t="n">
        <v>2057</v>
      </c>
      <c r="D137" s="0" t="n">
        <f aca="false">C137-C136</f>
        <v>0</v>
      </c>
      <c r="E137" s="0" t="n">
        <v>7</v>
      </c>
      <c r="F137" s="0" t="n">
        <v>0</v>
      </c>
      <c r="G137" s="0" t="n">
        <v>363</v>
      </c>
      <c r="H137" s="0" t="n">
        <v>1687</v>
      </c>
      <c r="I137" s="0" t="n">
        <v>2</v>
      </c>
      <c r="J137" s="0" t="n">
        <v>426</v>
      </c>
      <c r="K137" s="0" t="n">
        <v>1</v>
      </c>
      <c r="L137" s="0" t="n">
        <v>18921</v>
      </c>
      <c r="M137" s="0" t="n">
        <v>3921</v>
      </c>
    </row>
    <row r="138" customFormat="false" ht="13.5" hidden="false" customHeight="false" outlineLevel="0" collapsed="false">
      <c r="A138" s="0" t="s">
        <v>111</v>
      </c>
      <c r="B138" s="1" t="n">
        <v>43998</v>
      </c>
      <c r="C138" s="0" t="n">
        <v>2222</v>
      </c>
      <c r="D138" s="0" t="n">
        <f aca="false">C138-C137</f>
        <v>165</v>
      </c>
      <c r="E138" s="0" t="n">
        <v>7</v>
      </c>
      <c r="F138" s="0" t="n">
        <v>0</v>
      </c>
      <c r="G138" s="0" t="n">
        <v>369</v>
      </c>
      <c r="H138" s="0" t="n">
        <v>1846</v>
      </c>
      <c r="I138" s="0" t="n">
        <v>2</v>
      </c>
      <c r="J138" s="0" t="n">
        <v>460</v>
      </c>
      <c r="K138" s="0" t="n">
        <v>1</v>
      </c>
      <c r="L138" s="0" t="n">
        <v>18921</v>
      </c>
      <c r="M138" s="0" t="n">
        <v>3921</v>
      </c>
    </row>
    <row r="139" customFormat="false" ht="13.5" hidden="false" customHeight="false" outlineLevel="0" collapsed="false">
      <c r="A139" s="0" t="s">
        <v>111</v>
      </c>
      <c r="B139" s="1" t="n">
        <v>43999</v>
      </c>
      <c r="C139" s="0" t="n">
        <v>2410</v>
      </c>
      <c r="D139" s="0" t="n">
        <f aca="false">C139-C138</f>
        <v>188</v>
      </c>
      <c r="E139" s="0" t="n">
        <v>14</v>
      </c>
      <c r="F139" s="0" t="n">
        <v>7</v>
      </c>
      <c r="G139" s="0" t="n">
        <v>396</v>
      </c>
      <c r="H139" s="0" t="n">
        <v>2000</v>
      </c>
      <c r="I139" s="0" t="n">
        <v>2</v>
      </c>
      <c r="J139" s="0" t="n">
        <v>499</v>
      </c>
      <c r="K139" s="0" t="n">
        <v>3</v>
      </c>
      <c r="L139" s="0" t="n">
        <v>18921</v>
      </c>
      <c r="M139" s="0" t="n">
        <v>3921</v>
      </c>
    </row>
    <row r="140" customFormat="false" ht="13.5" hidden="false" customHeight="false" outlineLevel="0" collapsed="false">
      <c r="A140" s="0" t="s">
        <v>111</v>
      </c>
      <c r="B140" s="1" t="n">
        <v>44000</v>
      </c>
      <c r="C140" s="0" t="n">
        <v>2564</v>
      </c>
      <c r="D140" s="0" t="n">
        <f aca="false">C140-C139</f>
        <v>154</v>
      </c>
      <c r="E140" s="0" t="n">
        <v>18</v>
      </c>
      <c r="F140" s="0" t="n">
        <v>4</v>
      </c>
      <c r="G140" s="0" t="n">
        <v>402</v>
      </c>
      <c r="H140" s="0" t="n">
        <v>2144</v>
      </c>
      <c r="I140" s="0" t="n">
        <v>2</v>
      </c>
      <c r="J140" s="0" t="n">
        <v>531</v>
      </c>
      <c r="K140" s="0" t="n">
        <v>4</v>
      </c>
      <c r="L140" s="0" t="n">
        <v>18921</v>
      </c>
      <c r="M140" s="0" t="n">
        <v>3921</v>
      </c>
    </row>
    <row r="141" customFormat="false" ht="13.5" hidden="false" customHeight="false" outlineLevel="0" collapsed="false">
      <c r="A141" s="0" t="s">
        <v>111</v>
      </c>
      <c r="B141" s="1" t="n">
        <v>44001</v>
      </c>
      <c r="C141" s="0" t="n">
        <v>2605</v>
      </c>
      <c r="D141" s="0" t="n">
        <f aca="false">C141-C140</f>
        <v>41</v>
      </c>
      <c r="E141" s="0" t="n">
        <v>19</v>
      </c>
      <c r="F141" s="0" t="n">
        <v>1</v>
      </c>
      <c r="G141" s="0" t="n">
        <v>417</v>
      </c>
      <c r="H141" s="0" t="n">
        <v>2169</v>
      </c>
      <c r="I141" s="0" t="n">
        <v>2</v>
      </c>
      <c r="J141" s="0" t="n">
        <v>540</v>
      </c>
      <c r="K141" s="0" t="n">
        <v>4</v>
      </c>
      <c r="L141" s="0" t="n">
        <v>18921</v>
      </c>
      <c r="M141" s="0" t="n">
        <v>3920</v>
      </c>
    </row>
    <row r="142" customFormat="false" ht="13.5" hidden="false" customHeight="false" outlineLevel="0" collapsed="false">
      <c r="A142" s="0" t="s">
        <v>111</v>
      </c>
      <c r="B142" s="1" t="n">
        <v>44002</v>
      </c>
      <c r="C142" s="0" t="n">
        <v>2605</v>
      </c>
      <c r="D142" s="0" t="n">
        <f aca="false">C142-C141</f>
        <v>0</v>
      </c>
      <c r="E142" s="0" t="n">
        <v>19</v>
      </c>
      <c r="F142" s="0" t="n">
        <v>0</v>
      </c>
      <c r="G142" s="0" t="n">
        <v>417</v>
      </c>
      <c r="H142" s="0" t="n">
        <v>2169</v>
      </c>
      <c r="I142" s="0" t="n">
        <v>2</v>
      </c>
      <c r="J142" s="0" t="n">
        <v>540</v>
      </c>
      <c r="K142" s="0" t="n">
        <v>4</v>
      </c>
      <c r="L142" s="0" t="n">
        <v>18921</v>
      </c>
      <c r="M142" s="0" t="n">
        <v>3920</v>
      </c>
    </row>
    <row r="143" customFormat="false" ht="13.5" hidden="false" customHeight="false" outlineLevel="0" collapsed="false">
      <c r="A143" s="0" t="s">
        <v>111</v>
      </c>
      <c r="B143" s="1" t="n">
        <v>44003</v>
      </c>
      <c r="C143" s="0" t="n">
        <v>2686</v>
      </c>
      <c r="D143" s="0" t="n">
        <v>81</v>
      </c>
      <c r="E143" s="0" t="n">
        <v>19</v>
      </c>
      <c r="F143" s="0" t="n">
        <v>0</v>
      </c>
      <c r="G143" s="0" t="n">
        <v>420</v>
      </c>
      <c r="H143" s="0" t="n">
        <v>2247</v>
      </c>
      <c r="I143" s="0" t="n">
        <v>2</v>
      </c>
      <c r="J143" s="0" t="n">
        <v>556</v>
      </c>
      <c r="K143" s="0" t="n">
        <v>4</v>
      </c>
      <c r="L143" s="0" t="n">
        <v>20901</v>
      </c>
      <c r="M143" s="0" t="n">
        <v>4330</v>
      </c>
    </row>
    <row r="144" customFormat="false" ht="13.5" hidden="false" customHeight="false" outlineLevel="0" collapsed="false">
      <c r="A144" s="0" t="s">
        <v>111</v>
      </c>
      <c r="B144" s="1" t="n">
        <v>44004</v>
      </c>
      <c r="C144" s="0" t="n">
        <v>2808</v>
      </c>
      <c r="D144" s="0" t="n">
        <v>122</v>
      </c>
      <c r="E144" s="0" t="n">
        <v>23</v>
      </c>
      <c r="F144" s="0" t="n">
        <v>4</v>
      </c>
      <c r="G144" s="0" t="n">
        <v>472</v>
      </c>
      <c r="H144" s="0" t="n">
        <v>2313</v>
      </c>
      <c r="I144" s="0" t="n">
        <v>2</v>
      </c>
      <c r="J144" s="0" t="n">
        <v>582</v>
      </c>
      <c r="K144" s="0" t="n">
        <v>5</v>
      </c>
      <c r="L144" s="0" t="n">
        <v>20901</v>
      </c>
      <c r="M144" s="0" t="n">
        <v>4330</v>
      </c>
    </row>
    <row r="145" customFormat="false" ht="13.5" hidden="false" customHeight="false" outlineLevel="0" collapsed="false">
      <c r="A145" s="0" t="s">
        <v>111</v>
      </c>
      <c r="B145" s="1" t="n">
        <v>44005</v>
      </c>
      <c r="C145" s="0" t="n">
        <v>2963</v>
      </c>
      <c r="D145" s="0" t="n">
        <v>155</v>
      </c>
      <c r="E145" s="0" t="n">
        <v>30</v>
      </c>
      <c r="F145" s="0" t="n">
        <v>7</v>
      </c>
      <c r="G145" s="0" t="n">
        <v>495</v>
      </c>
      <c r="H145" s="0" t="n">
        <v>2438</v>
      </c>
      <c r="I145" s="0" t="n">
        <v>2</v>
      </c>
      <c r="J145" s="0" t="n">
        <v>614</v>
      </c>
      <c r="K145" s="0" t="n">
        <v>6</v>
      </c>
      <c r="L145" s="0" t="n">
        <v>20901</v>
      </c>
      <c r="M145" s="0" t="n">
        <v>4330</v>
      </c>
    </row>
    <row r="146" customFormat="false" ht="13.5" hidden="false" customHeight="false" outlineLevel="0" collapsed="false">
      <c r="A146" s="0" t="s">
        <v>111</v>
      </c>
      <c r="B146" s="1" t="n">
        <v>44006</v>
      </c>
      <c r="C146" s="0" t="n">
        <v>2963</v>
      </c>
      <c r="D146" s="0" t="n">
        <v>0</v>
      </c>
      <c r="E146" s="0" t="n">
        <v>30</v>
      </c>
      <c r="F146" s="0" t="n">
        <v>0</v>
      </c>
      <c r="G146" s="0" t="n">
        <v>495</v>
      </c>
      <c r="H146" s="0" t="n">
        <v>2438</v>
      </c>
      <c r="I146" s="0" t="n">
        <v>2</v>
      </c>
      <c r="J146" s="0" t="n">
        <v>614</v>
      </c>
      <c r="K146" s="0" t="n">
        <v>6</v>
      </c>
      <c r="L146" s="0" t="n">
        <v>20901</v>
      </c>
      <c r="M146" s="0" t="n">
        <v>4330</v>
      </c>
    </row>
    <row r="147" customFormat="false" ht="13.5" hidden="false" customHeight="false" outlineLevel="0" collapsed="false">
      <c r="A147" s="0" t="s">
        <v>111</v>
      </c>
      <c r="B147" s="1" t="n">
        <v>44007</v>
      </c>
      <c r="C147" s="0" t="n">
        <v>3099</v>
      </c>
      <c r="D147" s="0" t="n">
        <v>136</v>
      </c>
      <c r="E147" s="0" t="n">
        <v>38</v>
      </c>
      <c r="F147" s="0" t="n">
        <v>8</v>
      </c>
      <c r="G147" s="0" t="n">
        <v>572</v>
      </c>
      <c r="H147" s="0" t="n">
        <v>2489</v>
      </c>
      <c r="I147" s="0" t="n">
        <v>2</v>
      </c>
      <c r="J147" s="0" t="n">
        <v>642</v>
      </c>
      <c r="K147" s="0" t="n">
        <v>8</v>
      </c>
      <c r="L147" s="0" t="n">
        <v>22267</v>
      </c>
      <c r="M147" s="0" t="n">
        <v>4612</v>
      </c>
    </row>
    <row r="148" customFormat="false" ht="13.5" hidden="false" customHeight="false" outlineLevel="0" collapsed="false">
      <c r="A148" s="0" t="s">
        <v>111</v>
      </c>
      <c r="B148" s="1" t="n">
        <v>44008</v>
      </c>
      <c r="C148" s="0" t="n">
        <v>3244</v>
      </c>
      <c r="D148" s="0" t="n">
        <v>145</v>
      </c>
      <c r="E148" s="0" t="n">
        <v>40</v>
      </c>
      <c r="F148" s="0" t="n">
        <v>2</v>
      </c>
      <c r="G148" s="0" t="n">
        <v>607</v>
      </c>
      <c r="H148" s="0" t="n">
        <v>2597</v>
      </c>
      <c r="I148" s="0" t="n">
        <v>2</v>
      </c>
      <c r="J148" s="0" t="n">
        <v>672</v>
      </c>
      <c r="K148" s="0" t="n">
        <v>8</v>
      </c>
      <c r="L148" s="0" t="n">
        <v>22267</v>
      </c>
      <c r="M148" s="0" t="n">
        <v>4612</v>
      </c>
    </row>
    <row r="149" customFormat="false" ht="13.5" hidden="false" customHeight="false" outlineLevel="0" collapsed="false">
      <c r="A149" s="0" t="s">
        <v>111</v>
      </c>
      <c r="B149" s="1" t="n">
        <v>44009</v>
      </c>
      <c r="C149" s="0" t="n">
        <v>3340</v>
      </c>
      <c r="D149" s="0" t="n">
        <v>96</v>
      </c>
      <c r="E149" s="0" t="n">
        <v>40</v>
      </c>
      <c r="F149" s="0" t="n">
        <v>0</v>
      </c>
      <c r="G149" s="0" t="n">
        <v>661</v>
      </c>
      <c r="H149" s="0" t="n">
        <v>2639</v>
      </c>
      <c r="I149" s="0" t="n">
        <v>2</v>
      </c>
      <c r="J149" s="0" t="n">
        <v>692</v>
      </c>
      <c r="K149" s="0" t="n">
        <v>8</v>
      </c>
      <c r="L149" s="0" t="n">
        <v>22884</v>
      </c>
      <c r="M149" s="0" t="n">
        <v>4740</v>
      </c>
    </row>
    <row r="150" customFormat="false" ht="13.5" hidden="false" customHeight="false" outlineLevel="0" collapsed="false">
      <c r="A150" s="0" t="s">
        <v>111</v>
      </c>
      <c r="B150" s="1" t="n">
        <v>44010</v>
      </c>
      <c r="C150" s="0" t="n">
        <v>3429</v>
      </c>
      <c r="D150" s="0" t="n">
        <v>89</v>
      </c>
      <c r="E150" s="0" t="n">
        <v>45</v>
      </c>
      <c r="F150" s="0" t="n">
        <v>5</v>
      </c>
      <c r="G150" s="0" t="n">
        <v>699</v>
      </c>
      <c r="H150" s="0" t="n">
        <v>2685</v>
      </c>
      <c r="I150" s="0" t="n">
        <v>2</v>
      </c>
      <c r="J150" s="0" t="n">
        <v>710</v>
      </c>
      <c r="K150" s="0" t="n">
        <v>9</v>
      </c>
      <c r="L150" s="0" t="n">
        <v>23208</v>
      </c>
      <c r="M150" s="0" t="n">
        <v>4807</v>
      </c>
    </row>
    <row r="151" customFormat="false" ht="13.5" hidden="false" customHeight="false" outlineLevel="0" collapsed="false">
      <c r="A151" s="0" t="s">
        <v>111</v>
      </c>
      <c r="B151" s="1" t="n">
        <v>44011</v>
      </c>
      <c r="C151" s="0" t="n">
        <v>3429</v>
      </c>
      <c r="D151" s="0" t="n">
        <v>0</v>
      </c>
      <c r="E151" s="0" t="n">
        <v>45</v>
      </c>
      <c r="F151" s="0" t="n">
        <v>0</v>
      </c>
      <c r="G151" s="0" t="n">
        <v>699</v>
      </c>
      <c r="H151" s="0" t="n">
        <v>2685</v>
      </c>
      <c r="I151" s="0" t="n">
        <v>2</v>
      </c>
      <c r="J151" s="0" t="n">
        <v>710</v>
      </c>
      <c r="K151" s="0" t="n">
        <v>9</v>
      </c>
      <c r="L151" s="0" t="n">
        <v>23208</v>
      </c>
      <c r="M151" s="0" t="n">
        <v>4806</v>
      </c>
    </row>
    <row r="152" customFormat="false" ht="13.5" hidden="false" customHeight="false" outlineLevel="0" collapsed="false">
      <c r="A152" s="0" t="s">
        <v>111</v>
      </c>
      <c r="B152" s="1" t="n">
        <v>44012</v>
      </c>
    </row>
    <row r="153" customFormat="false" ht="13.5" hidden="false" customHeight="false" outlineLevel="0" collapsed="false">
      <c r="A153" s="0" t="s">
        <v>111</v>
      </c>
      <c r="B153" s="1" t="n">
        <v>44013</v>
      </c>
    </row>
    <row r="154" customFormat="false" ht="13.5" hidden="false" customHeight="false" outlineLevel="0" collapsed="false">
      <c r="A154" s="0" t="s">
        <v>111</v>
      </c>
      <c r="B154" s="1" t="n">
        <v>44014</v>
      </c>
    </row>
    <row r="155" customFormat="false" ht="13.5" hidden="false" customHeight="false" outlineLevel="0" collapsed="false">
      <c r="A155" s="0" t="s">
        <v>111</v>
      </c>
      <c r="B155" s="1" t="n">
        <v>44015</v>
      </c>
    </row>
    <row r="156" customFormat="false" ht="13.5" hidden="false" customHeight="false" outlineLevel="0" collapsed="false">
      <c r="A156" s="0" t="s">
        <v>111</v>
      </c>
      <c r="B156" s="1" t="n">
        <v>44016</v>
      </c>
    </row>
    <row r="157" customFormat="false" ht="13.5" hidden="false" customHeight="false" outlineLevel="0" collapsed="false">
      <c r="A157" s="0" t="s">
        <v>111</v>
      </c>
      <c r="B157" s="1" t="n">
        <v>44017</v>
      </c>
    </row>
    <row r="158" customFormat="false" ht="13.5" hidden="false" customHeight="false" outlineLevel="0" collapsed="false">
      <c r="A158" s="0" t="s">
        <v>111</v>
      </c>
      <c r="B158" s="1" t="n">
        <v>44018</v>
      </c>
    </row>
    <row r="159" customFormat="false" ht="13.5" hidden="false" customHeight="false" outlineLevel="0" collapsed="false">
      <c r="A159" s="0" t="s">
        <v>111</v>
      </c>
      <c r="B159" s="1" t="n">
        <v>44019</v>
      </c>
    </row>
    <row r="160" customFormat="false" ht="13.5" hidden="false" customHeight="false" outlineLevel="0" collapsed="false">
      <c r="A160" s="0" t="s">
        <v>111</v>
      </c>
      <c r="B160" s="1" t="n">
        <v>44020</v>
      </c>
    </row>
    <row r="161" customFormat="false" ht="13.5" hidden="false" customHeight="false" outlineLevel="0" collapsed="false">
      <c r="A161" s="0" t="s">
        <v>111</v>
      </c>
      <c r="B161" s="1" t="n">
        <v>44021</v>
      </c>
    </row>
    <row r="162" customFormat="false" ht="13.5" hidden="false" customHeight="false" outlineLevel="0" collapsed="false">
      <c r="A162" s="0" t="s">
        <v>111</v>
      </c>
      <c r="B162" s="1" t="n">
        <v>44022</v>
      </c>
    </row>
    <row r="163" customFormat="false" ht="13.5" hidden="false" customHeight="false" outlineLevel="0" collapsed="false">
      <c r="A163" s="0" t="s">
        <v>111</v>
      </c>
      <c r="B163" s="1" t="n">
        <v>44023</v>
      </c>
    </row>
    <row r="164" customFormat="false" ht="13.5" hidden="false" customHeight="false" outlineLevel="0" collapsed="false">
      <c r="A164" s="0" t="s">
        <v>111</v>
      </c>
      <c r="B164" s="1" t="n">
        <v>44024</v>
      </c>
    </row>
    <row r="165" customFormat="false" ht="13.5" hidden="false" customHeight="false" outlineLevel="0" collapsed="false">
      <c r="A165" s="0" t="s">
        <v>111</v>
      </c>
      <c r="B165" s="1" t="n">
        <v>44025</v>
      </c>
    </row>
    <row r="166" customFormat="false" ht="13.5" hidden="false" customHeight="false" outlineLevel="0" collapsed="false">
      <c r="A166" s="0" t="s">
        <v>111</v>
      </c>
      <c r="B166" s="1" t="n">
        <v>44026</v>
      </c>
    </row>
    <row r="167" customFormat="false" ht="13.5" hidden="false" customHeight="false" outlineLevel="0" collapsed="false">
      <c r="A167" s="0" t="s">
        <v>111</v>
      </c>
      <c r="B167" s="1" t="n">
        <v>44027</v>
      </c>
    </row>
    <row r="168" customFormat="false" ht="13.5" hidden="false" customHeight="false" outlineLevel="0" collapsed="false">
      <c r="A168" s="0" t="s">
        <v>111</v>
      </c>
      <c r="B168" s="1" t="n">
        <v>44028</v>
      </c>
    </row>
    <row r="169" customFormat="false" ht="13.5" hidden="false" customHeight="false" outlineLevel="0" collapsed="false">
      <c r="A169" s="0" t="s">
        <v>111</v>
      </c>
      <c r="B169" s="1" t="n">
        <v>44029</v>
      </c>
    </row>
    <row r="170" customFormat="false" ht="13.5" hidden="false" customHeight="false" outlineLevel="0" collapsed="false">
      <c r="A170" s="0" t="s">
        <v>111</v>
      </c>
      <c r="B170" s="1" t="n">
        <v>44030</v>
      </c>
    </row>
    <row r="171" customFormat="false" ht="13.5" hidden="false" customHeight="false" outlineLevel="0" collapsed="false">
      <c r="A171" s="0" t="s">
        <v>111</v>
      </c>
      <c r="B171" s="1" t="n">
        <v>44031</v>
      </c>
    </row>
    <row r="172" customFormat="false" ht="13.5" hidden="false" customHeight="false" outlineLevel="0" collapsed="false">
      <c r="A172" s="0" t="s">
        <v>111</v>
      </c>
      <c r="B172" s="1" t="n">
        <v>44032</v>
      </c>
    </row>
    <row r="173" customFormat="false" ht="13.5" hidden="false" customHeight="false" outlineLevel="0" collapsed="false">
      <c r="A173" s="0" t="s">
        <v>111</v>
      </c>
      <c r="B173" s="1" t="n">
        <v>44033</v>
      </c>
    </row>
    <row r="174" customFormat="false" ht="13.5" hidden="false" customHeight="false" outlineLevel="0" collapsed="false">
      <c r="A174" s="0" t="s">
        <v>111</v>
      </c>
      <c r="B174" s="1" t="n">
        <v>44034</v>
      </c>
    </row>
    <row r="175" customFormat="false" ht="13.5" hidden="false" customHeight="false" outlineLevel="0" collapsed="false">
      <c r="A175" s="0" t="s">
        <v>111</v>
      </c>
      <c r="B175" s="1" t="n">
        <v>44035</v>
      </c>
    </row>
    <row r="176" customFormat="false" ht="13.5" hidden="false" customHeight="false" outlineLevel="0" collapsed="false">
      <c r="A176" s="0" t="s">
        <v>111</v>
      </c>
      <c r="B176" s="1" t="n">
        <v>44036</v>
      </c>
    </row>
    <row r="177" customFormat="false" ht="13.5" hidden="false" customHeight="false" outlineLevel="0" collapsed="false">
      <c r="A177" s="0" t="s">
        <v>111</v>
      </c>
      <c r="B177" s="1" t="n">
        <v>44037</v>
      </c>
    </row>
    <row r="178" customFormat="false" ht="13.5" hidden="false" customHeight="false" outlineLevel="0" collapsed="false">
      <c r="A178" s="0" t="s">
        <v>111</v>
      </c>
      <c r="B178" s="1" t="n">
        <v>44038</v>
      </c>
    </row>
    <row r="179" customFormat="false" ht="13.5" hidden="false" customHeight="false" outlineLevel="0" collapsed="false">
      <c r="A179" s="0" t="s">
        <v>111</v>
      </c>
      <c r="B179" s="1" t="n">
        <v>44039</v>
      </c>
    </row>
    <row r="180" customFormat="false" ht="13.5" hidden="false" customHeight="false" outlineLevel="0" collapsed="false">
      <c r="A180" s="0" t="s">
        <v>111</v>
      </c>
      <c r="B180" s="1" t="n">
        <v>44040</v>
      </c>
    </row>
    <row r="181" customFormat="false" ht="13.5" hidden="false" customHeight="false" outlineLevel="0" collapsed="false">
      <c r="A181" s="0" t="s">
        <v>111</v>
      </c>
      <c r="B181" s="1" t="n">
        <v>44041</v>
      </c>
    </row>
    <row r="182" customFormat="false" ht="13.5" hidden="false" customHeight="false" outlineLevel="0" collapsed="false">
      <c r="A182" s="0" t="s">
        <v>111</v>
      </c>
      <c r="B182" s="1" t="n">
        <v>44042</v>
      </c>
    </row>
    <row r="183" customFormat="false" ht="13.5" hidden="false" customHeight="false" outlineLevel="0" collapsed="false">
      <c r="A183" s="0" t="s">
        <v>111</v>
      </c>
      <c r="B183" s="1" t="n">
        <v>44043</v>
      </c>
    </row>
    <row r="184" customFormat="false" ht="13.5" hidden="false" customHeight="false" outlineLevel="0" collapsed="false">
      <c r="A184" s="0" t="s">
        <v>111</v>
      </c>
      <c r="B184" s="1" t="n">
        <v>44044</v>
      </c>
    </row>
    <row r="185" customFormat="false" ht="13.5" hidden="false" customHeight="false" outlineLevel="0" collapsed="false">
      <c r="A185" s="0" t="s">
        <v>111</v>
      </c>
      <c r="B185" s="1" t="n">
        <v>44045</v>
      </c>
    </row>
    <row r="186" customFormat="false" ht="13.5" hidden="false" customHeight="false" outlineLevel="0" collapsed="false">
      <c r="A186" s="0" t="s">
        <v>111</v>
      </c>
      <c r="B186" s="1" t="n">
        <v>44046</v>
      </c>
    </row>
    <row r="187" customFormat="false" ht="13.5" hidden="false" customHeight="false" outlineLevel="0" collapsed="false">
      <c r="A187" s="0" t="s">
        <v>111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112</v>
      </c>
      <c r="B2" s="1" t="n">
        <v>43862</v>
      </c>
    </row>
    <row r="3" customFormat="false" ht="13.5" hidden="false" customHeight="false" outlineLevel="0" collapsed="false">
      <c r="A3" s="0" t="s">
        <v>112</v>
      </c>
      <c r="B3" s="1" t="n">
        <v>43863</v>
      </c>
    </row>
    <row r="4" customFormat="false" ht="13.5" hidden="false" customHeight="false" outlineLevel="0" collapsed="false">
      <c r="A4" s="0" t="s">
        <v>112</v>
      </c>
      <c r="B4" s="1" t="n">
        <v>43864</v>
      </c>
    </row>
    <row r="5" customFormat="false" ht="13.5" hidden="false" customHeight="false" outlineLevel="0" collapsed="false">
      <c r="A5" s="0" t="s">
        <v>112</v>
      </c>
      <c r="B5" s="1" t="n">
        <v>43865</v>
      </c>
    </row>
    <row r="6" customFormat="false" ht="13.5" hidden="false" customHeight="false" outlineLevel="0" collapsed="false">
      <c r="A6" s="0" t="s">
        <v>112</v>
      </c>
      <c r="B6" s="1" t="n">
        <v>43866</v>
      </c>
    </row>
    <row r="7" customFormat="false" ht="13.5" hidden="false" customHeight="false" outlineLevel="0" collapsed="false">
      <c r="A7" s="0" t="s">
        <v>112</v>
      </c>
      <c r="B7" s="1" t="n">
        <v>43867</v>
      </c>
    </row>
    <row r="8" customFormat="false" ht="13.5" hidden="false" customHeight="false" outlineLevel="0" collapsed="false">
      <c r="A8" s="0" t="s">
        <v>112</v>
      </c>
      <c r="B8" s="1" t="n">
        <v>43868</v>
      </c>
    </row>
    <row r="9" customFormat="false" ht="13.5" hidden="false" customHeight="false" outlineLevel="0" collapsed="false">
      <c r="A9" s="0" t="s">
        <v>112</v>
      </c>
      <c r="B9" s="1" t="n">
        <v>43869</v>
      </c>
    </row>
    <row r="10" customFormat="false" ht="13.5" hidden="false" customHeight="false" outlineLevel="0" collapsed="false">
      <c r="A10" s="0" t="s">
        <v>112</v>
      </c>
      <c r="B10" s="1" t="n">
        <v>43870</v>
      </c>
    </row>
    <row r="11" customFormat="false" ht="13.5" hidden="false" customHeight="false" outlineLevel="0" collapsed="false">
      <c r="A11" s="0" t="s">
        <v>112</v>
      </c>
      <c r="B11" s="1" t="n">
        <v>43871</v>
      </c>
    </row>
    <row r="12" customFormat="false" ht="13.5" hidden="false" customHeight="false" outlineLevel="0" collapsed="false">
      <c r="A12" s="0" t="s">
        <v>112</v>
      </c>
      <c r="B12" s="1" t="n">
        <v>43872</v>
      </c>
    </row>
    <row r="13" customFormat="false" ht="13.5" hidden="false" customHeight="false" outlineLevel="0" collapsed="false">
      <c r="A13" s="0" t="s">
        <v>112</v>
      </c>
      <c r="B13" s="1" t="n">
        <v>43873</v>
      </c>
    </row>
    <row r="14" customFormat="false" ht="13.5" hidden="false" customHeight="false" outlineLevel="0" collapsed="false">
      <c r="A14" s="0" t="s">
        <v>112</v>
      </c>
      <c r="B14" s="1" t="n">
        <v>43874</v>
      </c>
    </row>
    <row r="15" customFormat="false" ht="13.5" hidden="false" customHeight="false" outlineLevel="0" collapsed="false">
      <c r="A15" s="0" t="s">
        <v>112</v>
      </c>
      <c r="B15" s="1" t="n">
        <v>43875</v>
      </c>
    </row>
    <row r="16" customFormat="false" ht="13.5" hidden="false" customHeight="false" outlineLevel="0" collapsed="false">
      <c r="A16" s="0" t="s">
        <v>112</v>
      </c>
      <c r="B16" s="1" t="n">
        <v>43876</v>
      </c>
    </row>
    <row r="17" customFormat="false" ht="13.5" hidden="false" customHeight="false" outlineLevel="0" collapsed="false">
      <c r="A17" s="0" t="s">
        <v>112</v>
      </c>
      <c r="B17" s="1" t="n">
        <v>43877</v>
      </c>
    </row>
    <row r="18" customFormat="false" ht="13.5" hidden="false" customHeight="false" outlineLevel="0" collapsed="false">
      <c r="A18" s="0" t="s">
        <v>112</v>
      </c>
      <c r="B18" s="1" t="n">
        <v>43878</v>
      </c>
    </row>
    <row r="19" customFormat="false" ht="13.5" hidden="false" customHeight="false" outlineLevel="0" collapsed="false">
      <c r="A19" s="0" t="s">
        <v>112</v>
      </c>
      <c r="B19" s="1" t="n">
        <v>43879</v>
      </c>
    </row>
    <row r="20" customFormat="false" ht="13.5" hidden="false" customHeight="false" outlineLevel="0" collapsed="false">
      <c r="A20" s="0" t="s">
        <v>112</v>
      </c>
      <c r="B20" s="1" t="n">
        <v>43880</v>
      </c>
    </row>
    <row r="21" customFormat="false" ht="13.5" hidden="false" customHeight="false" outlineLevel="0" collapsed="false">
      <c r="A21" s="0" t="s">
        <v>112</v>
      </c>
      <c r="B21" s="1" t="n">
        <v>43881</v>
      </c>
    </row>
    <row r="22" customFormat="false" ht="13.5" hidden="false" customHeight="false" outlineLevel="0" collapsed="false">
      <c r="A22" s="0" t="s">
        <v>112</v>
      </c>
      <c r="B22" s="1" t="n">
        <v>43882</v>
      </c>
    </row>
    <row r="23" customFormat="false" ht="13.5" hidden="false" customHeight="false" outlineLevel="0" collapsed="false">
      <c r="A23" s="0" t="s">
        <v>112</v>
      </c>
      <c r="B23" s="1" t="n">
        <v>43883</v>
      </c>
    </row>
    <row r="24" customFormat="false" ht="13.5" hidden="false" customHeight="false" outlineLevel="0" collapsed="false">
      <c r="A24" s="0" t="s">
        <v>112</v>
      </c>
      <c r="B24" s="1" t="n">
        <v>43884</v>
      </c>
    </row>
    <row r="25" customFormat="false" ht="13.5" hidden="false" customHeight="false" outlineLevel="0" collapsed="false">
      <c r="A25" s="0" t="s">
        <v>112</v>
      </c>
      <c r="B25" s="1" t="n">
        <v>43885</v>
      </c>
    </row>
    <row r="26" customFormat="false" ht="13.5" hidden="false" customHeight="false" outlineLevel="0" collapsed="false">
      <c r="A26" s="0" t="s">
        <v>112</v>
      </c>
      <c r="B26" s="1" t="n">
        <v>43886</v>
      </c>
    </row>
    <row r="27" customFormat="false" ht="13.5" hidden="false" customHeight="false" outlineLevel="0" collapsed="false">
      <c r="A27" s="0" t="s">
        <v>112</v>
      </c>
      <c r="B27" s="1" t="n">
        <v>43887</v>
      </c>
    </row>
    <row r="28" customFormat="false" ht="13.5" hidden="false" customHeight="false" outlineLevel="0" collapsed="false">
      <c r="A28" s="0" t="s">
        <v>112</v>
      </c>
      <c r="B28" s="1" t="n">
        <v>43888</v>
      </c>
    </row>
    <row r="29" customFormat="false" ht="13.5" hidden="false" customHeight="false" outlineLevel="0" collapsed="false">
      <c r="A29" s="0" t="s">
        <v>112</v>
      </c>
      <c r="B29" s="1" t="n">
        <v>43889</v>
      </c>
    </row>
    <row r="30" customFormat="false" ht="13.5" hidden="false" customHeight="false" outlineLevel="0" collapsed="false">
      <c r="A30" s="0" t="s">
        <v>112</v>
      </c>
      <c r="B30" s="1" t="n">
        <v>43890</v>
      </c>
    </row>
    <row r="31" customFormat="false" ht="13.5" hidden="false" customHeight="false" outlineLevel="0" collapsed="false">
      <c r="A31" s="0" t="s">
        <v>112</v>
      </c>
      <c r="B31" s="1" t="n">
        <v>43891</v>
      </c>
    </row>
    <row r="32" customFormat="false" ht="13.5" hidden="false" customHeight="false" outlineLevel="0" collapsed="false">
      <c r="A32" s="0" t="s">
        <v>112</v>
      </c>
      <c r="B32" s="1" t="n">
        <v>43892</v>
      </c>
    </row>
    <row r="33" customFormat="false" ht="13.5" hidden="false" customHeight="false" outlineLevel="0" collapsed="false">
      <c r="A33" s="0" t="s">
        <v>112</v>
      </c>
      <c r="B33" s="1" t="n">
        <v>43893</v>
      </c>
    </row>
    <row r="34" customFormat="false" ht="13.5" hidden="false" customHeight="false" outlineLevel="0" collapsed="false">
      <c r="A34" s="0" t="s">
        <v>112</v>
      </c>
      <c r="B34" s="1" t="n">
        <v>43894</v>
      </c>
    </row>
    <row r="35" customFormat="false" ht="13.5" hidden="false" customHeight="false" outlineLevel="0" collapsed="false">
      <c r="A35" s="0" t="s">
        <v>112</v>
      </c>
      <c r="B35" s="1" t="n">
        <v>43895</v>
      </c>
    </row>
    <row r="36" customFormat="false" ht="13.5" hidden="false" customHeight="false" outlineLevel="0" collapsed="false">
      <c r="A36" s="0" t="s">
        <v>112</v>
      </c>
      <c r="B36" s="1" t="n">
        <v>43896</v>
      </c>
    </row>
    <row r="37" customFormat="false" ht="13.5" hidden="false" customHeight="false" outlineLevel="0" collapsed="false">
      <c r="A37" s="0" t="s">
        <v>112</v>
      </c>
      <c r="B37" s="1" t="n">
        <v>43897</v>
      </c>
    </row>
    <row r="38" customFormat="false" ht="13.5" hidden="false" customHeight="false" outlineLevel="0" collapsed="false">
      <c r="A38" s="0" t="s">
        <v>112</v>
      </c>
      <c r="B38" s="1" t="n">
        <v>43898</v>
      </c>
      <c r="C38" s="0" t="n">
        <v>2</v>
      </c>
      <c r="D38" s="0" t="n">
        <f aca="false">C38-C37</f>
        <v>2</v>
      </c>
      <c r="H38" s="0" t="n">
        <v>2</v>
      </c>
    </row>
    <row r="39" customFormat="false" ht="13.5" hidden="false" customHeight="false" outlineLevel="0" collapsed="false">
      <c r="A39" s="0" t="s">
        <v>112</v>
      </c>
      <c r="B39" s="1" t="n">
        <v>43899</v>
      </c>
      <c r="C39" s="0" t="n">
        <v>4</v>
      </c>
      <c r="D39" s="0" t="n">
        <f aca="false">C39-C38</f>
        <v>2</v>
      </c>
      <c r="H39" s="0" t="n">
        <v>4</v>
      </c>
    </row>
    <row r="40" customFormat="false" ht="13.5" hidden="false" customHeight="false" outlineLevel="0" collapsed="false">
      <c r="A40" s="0" t="s">
        <v>112</v>
      </c>
      <c r="B40" s="1" t="n">
        <v>43900</v>
      </c>
      <c r="C40" s="0" t="n">
        <v>6</v>
      </c>
      <c r="D40" s="0" t="n">
        <f aca="false">C40-C39</f>
        <v>2</v>
      </c>
      <c r="H40" s="0" t="n">
        <v>6</v>
      </c>
    </row>
    <row r="41" customFormat="false" ht="13.5" hidden="false" customHeight="false" outlineLevel="0" collapsed="false">
      <c r="A41" s="0" t="s">
        <v>112</v>
      </c>
      <c r="B41" s="1" t="n">
        <v>43901</v>
      </c>
      <c r="C41" s="0" t="n">
        <v>6</v>
      </c>
      <c r="D41" s="0" t="n">
        <f aca="false">C41-C40</f>
        <v>0</v>
      </c>
      <c r="H41" s="0" t="n">
        <v>6</v>
      </c>
    </row>
    <row r="42" customFormat="false" ht="13.5" hidden="false" customHeight="false" outlineLevel="0" collapsed="false">
      <c r="A42" s="0" t="s">
        <v>112</v>
      </c>
      <c r="B42" s="1" t="n">
        <v>43902</v>
      </c>
      <c r="C42" s="0" t="n">
        <v>8</v>
      </c>
      <c r="D42" s="0" t="n">
        <f aca="false">C42-C41</f>
        <v>2</v>
      </c>
      <c r="H42" s="0" t="n">
        <v>8</v>
      </c>
    </row>
    <row r="43" customFormat="false" ht="13.5" hidden="false" customHeight="false" outlineLevel="0" collapsed="false">
      <c r="A43" s="0" t="s">
        <v>112</v>
      </c>
      <c r="B43" s="1" t="n">
        <v>43903</v>
      </c>
      <c r="C43" s="0" t="n">
        <v>8</v>
      </c>
      <c r="D43" s="0" t="n">
        <f aca="false">C43-C42</f>
        <v>0</v>
      </c>
      <c r="H43" s="0" t="n">
        <v>8</v>
      </c>
    </row>
    <row r="44" customFormat="false" ht="13.5" hidden="false" customHeight="false" outlineLevel="0" collapsed="false">
      <c r="A44" s="0" t="s">
        <v>112</v>
      </c>
      <c r="B44" s="1" t="n">
        <v>43904</v>
      </c>
      <c r="C44" s="0" t="n">
        <v>9</v>
      </c>
      <c r="D44" s="0" t="n">
        <f aca="false">C44-C43</f>
        <v>1</v>
      </c>
      <c r="H44" s="0" t="n">
        <v>9</v>
      </c>
    </row>
    <row r="45" customFormat="false" ht="13.5" hidden="false" customHeight="false" outlineLevel="0" collapsed="false">
      <c r="A45" s="0" t="s">
        <v>112</v>
      </c>
      <c r="B45" s="1" t="n">
        <v>43905</v>
      </c>
      <c r="C45" s="0" t="n">
        <v>10</v>
      </c>
      <c r="D45" s="0" t="n">
        <f aca="false">C45-C44</f>
        <v>1</v>
      </c>
      <c r="H45" s="0" t="n">
        <v>10</v>
      </c>
    </row>
    <row r="46" customFormat="false" ht="13.5" hidden="false" customHeight="false" outlineLevel="0" collapsed="false">
      <c r="A46" s="0" t="s">
        <v>112</v>
      </c>
      <c r="B46" s="1" t="n">
        <v>43906</v>
      </c>
      <c r="C46" s="0" t="n">
        <v>13</v>
      </c>
      <c r="D46" s="0" t="n">
        <f aca="false">C46-C45</f>
        <v>3</v>
      </c>
      <c r="H46" s="0" t="n">
        <v>13</v>
      </c>
    </row>
    <row r="47" customFormat="false" ht="13.5" hidden="false" customHeight="false" outlineLevel="0" collapsed="false">
      <c r="A47" s="0" t="s">
        <v>112</v>
      </c>
      <c r="B47" s="1" t="n">
        <v>43907</v>
      </c>
      <c r="C47" s="0" t="n">
        <v>13</v>
      </c>
      <c r="D47" s="0" t="n">
        <f aca="false">C47-C46</f>
        <v>0</v>
      </c>
      <c r="H47" s="0" t="n">
        <v>13</v>
      </c>
    </row>
    <row r="48" customFormat="false" ht="13.5" hidden="false" customHeight="false" outlineLevel="0" collapsed="false">
      <c r="A48" s="0" t="s">
        <v>112</v>
      </c>
      <c r="B48" s="1" t="n">
        <v>43908</v>
      </c>
      <c r="C48" s="0" t="n">
        <v>13</v>
      </c>
      <c r="D48" s="0" t="n">
        <f aca="false">C48-C47</f>
        <v>0</v>
      </c>
      <c r="H48" s="0" t="n">
        <v>13</v>
      </c>
    </row>
    <row r="49" customFormat="false" ht="13.5" hidden="false" customHeight="false" outlineLevel="0" collapsed="false">
      <c r="A49" s="0" t="s">
        <v>112</v>
      </c>
      <c r="B49" s="1" t="n">
        <v>43909</v>
      </c>
      <c r="C49" s="0" t="n">
        <v>13</v>
      </c>
      <c r="D49" s="0" t="n">
        <f aca="false">C49-C48</f>
        <v>0</v>
      </c>
      <c r="H49" s="0" t="n">
        <v>13</v>
      </c>
      <c r="J49" s="0" t="n">
        <v>24</v>
      </c>
    </row>
    <row r="50" customFormat="false" ht="13.5" hidden="false" customHeight="false" outlineLevel="0" collapsed="false">
      <c r="A50" s="0" t="s">
        <v>112</v>
      </c>
      <c r="B50" s="1" t="n">
        <v>43910</v>
      </c>
      <c r="C50" s="0" t="n">
        <v>13</v>
      </c>
      <c r="D50" s="0" t="n">
        <f aca="false">C50-C49</f>
        <v>0</v>
      </c>
      <c r="H50" s="0" t="n">
        <v>13</v>
      </c>
      <c r="J50" s="0" t="n">
        <v>24</v>
      </c>
    </row>
    <row r="51" customFormat="false" ht="13.5" hidden="false" customHeight="false" outlineLevel="0" collapsed="false">
      <c r="A51" s="0" t="s">
        <v>112</v>
      </c>
      <c r="B51" s="1" t="n">
        <v>43911</v>
      </c>
      <c r="C51" s="0" t="n">
        <v>13</v>
      </c>
      <c r="D51" s="0" t="n">
        <f aca="false">C51-C50</f>
        <v>0</v>
      </c>
      <c r="G51" s="0" t="n">
        <v>2</v>
      </c>
      <c r="H51" s="0" t="n">
        <v>11</v>
      </c>
      <c r="J51" s="0" t="n">
        <v>24</v>
      </c>
    </row>
    <row r="52" customFormat="false" ht="13.5" hidden="false" customHeight="false" outlineLevel="0" collapsed="false">
      <c r="A52" s="0" t="s">
        <v>112</v>
      </c>
      <c r="B52" s="1" t="n">
        <v>43912</v>
      </c>
      <c r="C52" s="0" t="n">
        <v>13</v>
      </c>
      <c r="D52" s="0" t="n">
        <f aca="false">C52-C51</f>
        <v>0</v>
      </c>
      <c r="G52" s="0" t="n">
        <v>3</v>
      </c>
      <c r="H52" s="0" t="n">
        <v>10</v>
      </c>
      <c r="J52" s="0" t="n">
        <v>24</v>
      </c>
    </row>
    <row r="53" customFormat="false" ht="13.5" hidden="false" customHeight="false" outlineLevel="0" collapsed="false">
      <c r="A53" s="0" t="s">
        <v>112</v>
      </c>
      <c r="B53" s="1" t="n">
        <v>43913</v>
      </c>
      <c r="C53" s="0" t="n">
        <v>13</v>
      </c>
      <c r="D53" s="0" t="n">
        <f aca="false">C53-C52</f>
        <v>0</v>
      </c>
      <c r="G53" s="0" t="n">
        <v>3</v>
      </c>
      <c r="H53" s="0" t="n">
        <v>10</v>
      </c>
      <c r="J53" s="0" t="n">
        <v>24</v>
      </c>
    </row>
    <row r="54" customFormat="false" ht="13.5" hidden="false" customHeight="false" outlineLevel="0" collapsed="false">
      <c r="A54" s="0" t="s">
        <v>112</v>
      </c>
      <c r="B54" s="1" t="n">
        <v>43914</v>
      </c>
      <c r="C54" s="0" t="n">
        <v>13</v>
      </c>
      <c r="D54" s="0" t="n">
        <f aca="false">C54-C53</f>
        <v>0</v>
      </c>
      <c r="G54" s="0" t="n">
        <v>5</v>
      </c>
      <c r="H54" s="0" t="n">
        <v>8</v>
      </c>
      <c r="J54" s="0" t="n">
        <v>24</v>
      </c>
    </row>
    <row r="55" customFormat="false" ht="13.5" hidden="false" customHeight="false" outlineLevel="0" collapsed="false">
      <c r="A55" s="0" t="s">
        <v>112</v>
      </c>
      <c r="B55" s="1" t="n">
        <v>43915</v>
      </c>
      <c r="C55" s="0" t="n">
        <v>13</v>
      </c>
      <c r="D55" s="0" t="n">
        <f aca="false">C55-C54</f>
        <v>0</v>
      </c>
      <c r="G55" s="0" t="n">
        <v>5</v>
      </c>
      <c r="H55" s="0" t="n">
        <v>8</v>
      </c>
      <c r="J55" s="0" t="n">
        <v>24</v>
      </c>
    </row>
    <row r="56" customFormat="false" ht="13.5" hidden="false" customHeight="false" outlineLevel="0" collapsed="false">
      <c r="A56" s="0" t="s">
        <v>112</v>
      </c>
      <c r="B56" s="1" t="n">
        <v>43916</v>
      </c>
      <c r="C56" s="0" t="n">
        <v>13</v>
      </c>
      <c r="D56" s="0" t="n">
        <f aca="false">C56-C55</f>
        <v>0</v>
      </c>
      <c r="G56" s="0" t="n">
        <v>8</v>
      </c>
      <c r="H56" s="0" t="n">
        <v>5</v>
      </c>
      <c r="J56" s="0" t="n">
        <v>24</v>
      </c>
    </row>
    <row r="57" customFormat="false" ht="13.5" hidden="false" customHeight="false" outlineLevel="0" collapsed="false">
      <c r="A57" s="0" t="s">
        <v>112</v>
      </c>
      <c r="B57" s="1" t="n">
        <v>43917</v>
      </c>
      <c r="C57" s="0" t="n">
        <v>13</v>
      </c>
      <c r="D57" s="0" t="n">
        <f aca="false">C57-C56</f>
        <v>0</v>
      </c>
      <c r="G57" s="0" t="n">
        <v>8</v>
      </c>
      <c r="H57" s="0" t="n">
        <v>5</v>
      </c>
      <c r="J57" s="0" t="n">
        <v>24</v>
      </c>
    </row>
    <row r="58" customFormat="false" ht="13.5" hidden="false" customHeight="false" outlineLevel="0" collapsed="false">
      <c r="A58" s="0" t="s">
        <v>112</v>
      </c>
      <c r="B58" s="1" t="n">
        <v>43918</v>
      </c>
      <c r="C58" s="0" t="n">
        <v>16</v>
      </c>
      <c r="D58" s="0" t="n">
        <f aca="false">C58-C57</f>
        <v>3</v>
      </c>
      <c r="G58" s="0" t="n">
        <v>9</v>
      </c>
      <c r="H58" s="0" t="n">
        <v>7</v>
      </c>
      <c r="J58" s="0" t="n">
        <v>30</v>
      </c>
    </row>
    <row r="59" customFormat="false" ht="13.5" hidden="false" customHeight="false" outlineLevel="0" collapsed="false">
      <c r="A59" s="0" t="s">
        <v>112</v>
      </c>
      <c r="B59" s="1" t="n">
        <v>43919</v>
      </c>
      <c r="C59" s="0" t="n">
        <v>16</v>
      </c>
      <c r="D59" s="0" t="n">
        <f aca="false">C59-C58</f>
        <v>0</v>
      </c>
      <c r="G59" s="0" t="n">
        <v>9</v>
      </c>
      <c r="H59" s="0" t="n">
        <v>7</v>
      </c>
      <c r="J59" s="0" t="n">
        <v>30</v>
      </c>
    </row>
    <row r="60" customFormat="false" ht="13.5" hidden="false" customHeight="false" outlineLevel="0" collapsed="false">
      <c r="A60" s="0" t="s">
        <v>112</v>
      </c>
      <c r="B60" s="1" t="n">
        <v>43920</v>
      </c>
      <c r="C60" s="0" t="n">
        <v>17</v>
      </c>
      <c r="D60" s="0" t="n">
        <f aca="false">C60-C59</f>
        <v>1</v>
      </c>
      <c r="G60" s="0" t="n">
        <v>13</v>
      </c>
      <c r="H60" s="0" t="n">
        <v>4</v>
      </c>
      <c r="J60" s="0" t="n">
        <v>31</v>
      </c>
    </row>
    <row r="61" customFormat="false" ht="13.5" hidden="false" customHeight="false" outlineLevel="0" collapsed="false">
      <c r="A61" s="0" t="s">
        <v>112</v>
      </c>
      <c r="B61" s="1" t="n">
        <v>43921</v>
      </c>
      <c r="C61" s="0" t="n">
        <v>17</v>
      </c>
      <c r="D61" s="0" t="n">
        <f aca="false">C61-C60</f>
        <v>0</v>
      </c>
      <c r="G61" s="0" t="n">
        <v>13</v>
      </c>
      <c r="H61" s="0" t="n">
        <v>4</v>
      </c>
      <c r="J61" s="0" t="n">
        <v>31</v>
      </c>
    </row>
    <row r="62" customFormat="false" ht="13.5" hidden="false" customHeight="false" outlineLevel="0" collapsed="false">
      <c r="A62" s="0" t="s">
        <v>112</v>
      </c>
      <c r="B62" s="1" t="n">
        <v>43922</v>
      </c>
      <c r="C62" s="0" t="n">
        <v>18</v>
      </c>
      <c r="D62" s="0" t="n">
        <f aca="false">C62-C61</f>
        <v>1</v>
      </c>
      <c r="G62" s="0" t="n">
        <v>13</v>
      </c>
      <c r="H62" s="0" t="n">
        <v>5</v>
      </c>
      <c r="J62" s="0" t="n">
        <v>33</v>
      </c>
    </row>
    <row r="63" customFormat="false" ht="13.5" hidden="false" customHeight="false" outlineLevel="0" collapsed="false">
      <c r="A63" s="0" t="s">
        <v>112</v>
      </c>
      <c r="B63" s="1" t="n">
        <v>43923</v>
      </c>
      <c r="C63" s="0" t="n">
        <v>19</v>
      </c>
      <c r="D63" s="0" t="n">
        <f aca="false">C63-C62</f>
        <v>1</v>
      </c>
      <c r="G63" s="0" t="n">
        <v>13</v>
      </c>
      <c r="H63" s="0" t="n">
        <v>6</v>
      </c>
      <c r="J63" s="0" t="n">
        <v>35</v>
      </c>
    </row>
    <row r="64" customFormat="false" ht="13.5" hidden="false" customHeight="false" outlineLevel="0" collapsed="false">
      <c r="A64" s="0" t="s">
        <v>112</v>
      </c>
      <c r="B64" s="1" t="n">
        <v>43924</v>
      </c>
      <c r="C64" s="0" t="n">
        <v>19</v>
      </c>
      <c r="D64" s="0" t="n">
        <f aca="false">C64-C63</f>
        <v>0</v>
      </c>
      <c r="G64" s="0" t="n">
        <v>13</v>
      </c>
      <c r="H64" s="0" t="n">
        <v>6</v>
      </c>
      <c r="J64" s="0" t="n">
        <v>35</v>
      </c>
    </row>
    <row r="65" customFormat="false" ht="13.5" hidden="false" customHeight="false" outlineLevel="0" collapsed="false">
      <c r="A65" s="0" t="s">
        <v>112</v>
      </c>
      <c r="B65" s="1" t="n">
        <v>43925</v>
      </c>
      <c r="C65" s="0" t="n">
        <v>19</v>
      </c>
      <c r="D65" s="0" t="n">
        <f aca="false">C65-C64</f>
        <v>0</v>
      </c>
      <c r="G65" s="0" t="n">
        <v>13</v>
      </c>
      <c r="H65" s="0" t="n">
        <v>6</v>
      </c>
      <c r="J65" s="0" t="n">
        <v>35</v>
      </c>
    </row>
    <row r="66" customFormat="false" ht="13.5" hidden="false" customHeight="false" outlineLevel="0" collapsed="false">
      <c r="A66" s="0" t="s">
        <v>112</v>
      </c>
      <c r="B66" s="1" t="n">
        <v>43926</v>
      </c>
      <c r="C66" s="0" t="n">
        <v>19</v>
      </c>
      <c r="D66" s="0" t="n">
        <f aca="false">C66-C65</f>
        <v>0</v>
      </c>
      <c r="G66" s="0" t="n">
        <v>13</v>
      </c>
      <c r="H66" s="0" t="n">
        <v>6</v>
      </c>
      <c r="J66" s="0" t="n">
        <v>35</v>
      </c>
    </row>
    <row r="67" customFormat="false" ht="13.5" hidden="false" customHeight="false" outlineLevel="0" collapsed="false">
      <c r="A67" s="0" t="s">
        <v>112</v>
      </c>
      <c r="B67" s="1" t="n">
        <v>43927</v>
      </c>
      <c r="C67" s="0" t="n">
        <v>19</v>
      </c>
      <c r="D67" s="0" t="n">
        <f aca="false">C67-C66</f>
        <v>0</v>
      </c>
      <c r="G67" s="0" t="n">
        <v>13</v>
      </c>
      <c r="H67" s="0" t="n">
        <v>6</v>
      </c>
      <c r="J67" s="0" t="n">
        <v>35</v>
      </c>
    </row>
    <row r="68" customFormat="false" ht="13.5" hidden="false" customHeight="false" outlineLevel="0" collapsed="false">
      <c r="A68" s="0" t="s">
        <v>112</v>
      </c>
      <c r="B68" s="1" t="n">
        <v>43928</v>
      </c>
      <c r="C68" s="0" t="n">
        <v>19</v>
      </c>
      <c r="D68" s="0" t="n">
        <f aca="false">C68-C67</f>
        <v>0</v>
      </c>
      <c r="G68" s="0" t="n">
        <v>13</v>
      </c>
      <c r="H68" s="0" t="n">
        <v>6</v>
      </c>
      <c r="J68" s="0" t="n">
        <v>35</v>
      </c>
    </row>
    <row r="69" customFormat="false" ht="13.5" hidden="false" customHeight="false" outlineLevel="0" collapsed="false">
      <c r="A69" s="0" t="s">
        <v>112</v>
      </c>
      <c r="B69" s="1" t="n">
        <v>43929</v>
      </c>
      <c r="C69" s="0" t="n">
        <v>19</v>
      </c>
      <c r="D69" s="0" t="n">
        <f aca="false">C69-C68</f>
        <v>0</v>
      </c>
      <c r="G69" s="0" t="n">
        <v>13</v>
      </c>
      <c r="H69" s="0" t="n">
        <v>6</v>
      </c>
      <c r="J69" s="0" t="n">
        <v>35</v>
      </c>
    </row>
    <row r="70" customFormat="false" ht="13.5" hidden="false" customHeight="false" outlineLevel="0" collapsed="false">
      <c r="A70" s="0" t="s">
        <v>112</v>
      </c>
      <c r="B70" s="1" t="n">
        <v>43930</v>
      </c>
      <c r="C70" s="0" t="n">
        <v>19</v>
      </c>
      <c r="D70" s="0" t="n">
        <f aca="false">C70-C69</f>
        <v>0</v>
      </c>
      <c r="G70" s="0" t="n">
        <v>13</v>
      </c>
      <c r="H70" s="0" t="n">
        <v>6</v>
      </c>
      <c r="J70" s="0" t="n">
        <v>35</v>
      </c>
    </row>
    <row r="71" customFormat="false" ht="13.5" hidden="false" customHeight="false" outlineLevel="0" collapsed="false">
      <c r="A71" s="0" t="s">
        <v>112</v>
      </c>
      <c r="B71" s="1" t="n">
        <v>43931</v>
      </c>
      <c r="C71" s="0" t="n">
        <v>19</v>
      </c>
      <c r="D71" s="0" t="n">
        <f aca="false">C71-C70</f>
        <v>0</v>
      </c>
      <c r="G71" s="0" t="n">
        <v>13</v>
      </c>
      <c r="H71" s="0" t="n">
        <v>6</v>
      </c>
      <c r="J71" s="0" t="n">
        <v>35</v>
      </c>
    </row>
    <row r="72" customFormat="false" ht="13.5" hidden="false" customHeight="false" outlineLevel="0" collapsed="false">
      <c r="A72" s="0" t="s">
        <v>112</v>
      </c>
      <c r="B72" s="1" t="n">
        <v>43932</v>
      </c>
      <c r="C72" s="0" t="n">
        <v>19</v>
      </c>
      <c r="D72" s="0" t="n">
        <f aca="false">C72-C71</f>
        <v>0</v>
      </c>
      <c r="G72" s="0" t="n">
        <v>13</v>
      </c>
      <c r="H72" s="0" t="n">
        <v>6</v>
      </c>
      <c r="J72" s="0" t="n">
        <v>35</v>
      </c>
    </row>
    <row r="73" customFormat="false" ht="13.5" hidden="false" customHeight="false" outlineLevel="0" collapsed="false">
      <c r="A73" s="0" t="s">
        <v>112</v>
      </c>
      <c r="B73" s="1" t="n">
        <v>43933</v>
      </c>
      <c r="C73" s="0" t="n">
        <v>19</v>
      </c>
      <c r="D73" s="0" t="n">
        <f aca="false">C73-C72</f>
        <v>0</v>
      </c>
      <c r="G73" s="0" t="n">
        <v>13</v>
      </c>
      <c r="H73" s="0" t="n">
        <v>6</v>
      </c>
      <c r="J73" s="0" t="n">
        <v>35</v>
      </c>
    </row>
    <row r="74" customFormat="false" ht="13.5" hidden="false" customHeight="false" outlineLevel="0" collapsed="false">
      <c r="A74" s="0" t="s">
        <v>112</v>
      </c>
      <c r="B74" s="1" t="n">
        <v>43934</v>
      </c>
      <c r="C74" s="0" t="n">
        <v>20</v>
      </c>
      <c r="D74" s="0" t="n">
        <f aca="false">C74-C73</f>
        <v>1</v>
      </c>
      <c r="G74" s="0" t="n">
        <v>13</v>
      </c>
      <c r="H74" s="0" t="n">
        <v>7</v>
      </c>
      <c r="J74" s="0" t="n">
        <v>37</v>
      </c>
    </row>
    <row r="75" customFormat="false" ht="13.5" hidden="false" customHeight="false" outlineLevel="0" collapsed="false">
      <c r="A75" s="0" t="s">
        <v>112</v>
      </c>
      <c r="B75" s="1" t="n">
        <v>43935</v>
      </c>
      <c r="C75" s="0" t="n">
        <v>20</v>
      </c>
      <c r="D75" s="0" t="n">
        <f aca="false">C75-C74</f>
        <v>0</v>
      </c>
      <c r="E75" s="0" t="n">
        <v>0</v>
      </c>
      <c r="F75" s="0" t="n">
        <v>0</v>
      </c>
      <c r="G75" s="0" t="n">
        <v>14</v>
      </c>
      <c r="H75" s="0" t="n">
        <v>6</v>
      </c>
      <c r="I75" s="0" t="n">
        <v>0</v>
      </c>
      <c r="J75" s="0" t="n">
        <v>37</v>
      </c>
      <c r="K75" s="0" t="n">
        <v>0</v>
      </c>
      <c r="L75" s="0" t="n">
        <v>0</v>
      </c>
      <c r="M75" s="0" t="n">
        <v>0</v>
      </c>
    </row>
    <row r="76" customFormat="false" ht="13.5" hidden="false" customHeight="false" outlineLevel="0" collapsed="false">
      <c r="A76" s="0" t="s">
        <v>112</v>
      </c>
      <c r="B76" s="1" t="n">
        <v>43936</v>
      </c>
      <c r="C76" s="0" t="n">
        <v>20</v>
      </c>
      <c r="D76" s="0" t="n">
        <f aca="false">C76-C75</f>
        <v>0</v>
      </c>
      <c r="E76" s="0" t="n">
        <v>0</v>
      </c>
      <c r="F76" s="0" t="n">
        <v>0</v>
      </c>
      <c r="G76" s="0" t="n">
        <v>16</v>
      </c>
      <c r="H76" s="0" t="n">
        <v>4</v>
      </c>
      <c r="I76" s="0" t="n">
        <v>0</v>
      </c>
      <c r="J76" s="0" t="n">
        <v>37</v>
      </c>
      <c r="K76" s="0" t="n">
        <v>0</v>
      </c>
      <c r="L76" s="0" t="n">
        <v>2899</v>
      </c>
      <c r="M76" s="0" t="n">
        <v>5363</v>
      </c>
    </row>
    <row r="77" customFormat="false" ht="13.5" hidden="false" customHeight="false" outlineLevel="0" collapsed="false">
      <c r="A77" s="0" t="s">
        <v>112</v>
      </c>
      <c r="B77" s="1" t="n">
        <v>43937</v>
      </c>
      <c r="C77" s="0" t="n">
        <v>22</v>
      </c>
      <c r="D77" s="0" t="n">
        <f aca="false">C77-C76</f>
        <v>2</v>
      </c>
      <c r="E77" s="0" t="n">
        <v>0</v>
      </c>
      <c r="F77" s="0" t="n">
        <v>0</v>
      </c>
      <c r="G77" s="0" t="n">
        <v>16</v>
      </c>
      <c r="H77" s="0" t="n">
        <v>6</v>
      </c>
      <c r="I77" s="0" t="n">
        <v>0</v>
      </c>
      <c r="J77" s="0" t="n">
        <v>41</v>
      </c>
      <c r="K77" s="0" t="n">
        <v>0</v>
      </c>
      <c r="L77" s="0" t="n">
        <v>2899</v>
      </c>
      <c r="M77" s="0" t="n">
        <v>5363</v>
      </c>
    </row>
    <row r="78" customFormat="false" ht="13.5" hidden="false" customHeight="false" outlineLevel="0" collapsed="false">
      <c r="A78" s="0" t="s">
        <v>112</v>
      </c>
      <c r="B78" s="1" t="n">
        <v>43938</v>
      </c>
      <c r="C78" s="0" t="n">
        <v>25</v>
      </c>
      <c r="D78" s="0" t="n">
        <f aca="false">C78-C77</f>
        <v>3</v>
      </c>
      <c r="E78" s="0" t="n">
        <v>0</v>
      </c>
      <c r="F78" s="0" t="n">
        <v>0</v>
      </c>
      <c r="G78" s="0" t="n">
        <v>16</v>
      </c>
      <c r="H78" s="0" t="n">
        <v>9</v>
      </c>
      <c r="I78" s="0" t="n">
        <v>0</v>
      </c>
      <c r="J78" s="0" t="n">
        <v>46</v>
      </c>
      <c r="K78" s="0" t="n">
        <v>0</v>
      </c>
      <c r="L78" s="0" t="n">
        <v>3432</v>
      </c>
      <c r="M78" s="0" t="n">
        <v>6349</v>
      </c>
    </row>
    <row r="79" customFormat="false" ht="13.5" hidden="false" customHeight="false" outlineLevel="0" collapsed="false">
      <c r="A79" s="0" t="s">
        <v>112</v>
      </c>
      <c r="B79" s="1" t="n">
        <v>43939</v>
      </c>
      <c r="C79" s="0" t="n">
        <v>28</v>
      </c>
      <c r="D79" s="0" t="n">
        <f aca="false">C79-C78</f>
        <v>3</v>
      </c>
      <c r="E79" s="0" t="n">
        <v>0</v>
      </c>
      <c r="F79" s="0" t="n">
        <v>0</v>
      </c>
      <c r="G79" s="0" t="n">
        <v>16</v>
      </c>
      <c r="H79" s="0" t="n">
        <v>12</v>
      </c>
      <c r="I79" s="0" t="n">
        <v>0</v>
      </c>
      <c r="J79" s="0" t="n">
        <v>52</v>
      </c>
      <c r="K79" s="0" t="n">
        <v>0</v>
      </c>
      <c r="L79" s="0" t="n">
        <v>3497</v>
      </c>
      <c r="M79" s="0" t="n">
        <v>6469</v>
      </c>
    </row>
    <row r="80" customFormat="false" ht="13.5" hidden="false" customHeight="false" outlineLevel="0" collapsed="false">
      <c r="A80" s="0" t="s">
        <v>112</v>
      </c>
      <c r="B80" s="1" t="n">
        <v>43940</v>
      </c>
      <c r="C80" s="0" t="n">
        <v>35</v>
      </c>
      <c r="D80" s="0" t="n">
        <f aca="false">C80-C79</f>
        <v>7</v>
      </c>
      <c r="E80" s="0" t="n">
        <v>0</v>
      </c>
      <c r="F80" s="0" t="n">
        <v>0</v>
      </c>
      <c r="G80" s="0" t="n">
        <v>16</v>
      </c>
      <c r="H80" s="0" t="n">
        <v>19</v>
      </c>
      <c r="I80" s="0" t="n">
        <v>0</v>
      </c>
      <c r="J80" s="0" t="n">
        <v>65</v>
      </c>
      <c r="K80" s="0" t="n">
        <v>0</v>
      </c>
      <c r="L80" s="0" t="n">
        <v>3714</v>
      </c>
      <c r="M80" s="0" t="n">
        <v>6871</v>
      </c>
    </row>
    <row r="81" customFormat="false" ht="13.5" hidden="false" customHeight="false" outlineLevel="0" collapsed="false">
      <c r="A81" s="0" t="s">
        <v>112</v>
      </c>
      <c r="B81" s="1" t="n">
        <v>43941</v>
      </c>
      <c r="C81" s="0" t="n">
        <v>52</v>
      </c>
      <c r="D81" s="0" t="n">
        <f aca="false">C81-C80</f>
        <v>17</v>
      </c>
      <c r="E81" s="0" t="n">
        <v>0</v>
      </c>
      <c r="F81" s="0" t="n">
        <v>0</v>
      </c>
      <c r="G81" s="0" t="n">
        <v>16</v>
      </c>
      <c r="H81" s="0" t="n">
        <v>36</v>
      </c>
      <c r="I81" s="0" t="n">
        <v>0</v>
      </c>
      <c r="J81" s="0" t="n">
        <v>96</v>
      </c>
      <c r="K81" s="0" t="n">
        <v>0</v>
      </c>
      <c r="L81" s="0" t="n">
        <v>3714</v>
      </c>
      <c r="M81" s="0" t="n">
        <v>6871</v>
      </c>
    </row>
    <row r="82" customFormat="false" ht="13.5" hidden="false" customHeight="false" outlineLevel="0" collapsed="false">
      <c r="A82" s="0" t="s">
        <v>112</v>
      </c>
      <c r="B82" s="1" t="n">
        <v>43942</v>
      </c>
      <c r="C82" s="0" t="n">
        <v>69</v>
      </c>
      <c r="D82" s="0" t="n">
        <f aca="false">C82-C81</f>
        <v>17</v>
      </c>
      <c r="E82" s="0" t="n">
        <v>0</v>
      </c>
      <c r="F82" s="0" t="n">
        <v>0</v>
      </c>
      <c r="G82" s="0" t="n">
        <v>16</v>
      </c>
      <c r="H82" s="0" t="n">
        <v>53</v>
      </c>
      <c r="I82" s="0" t="n">
        <v>1</v>
      </c>
      <c r="J82" s="0" t="n">
        <v>128</v>
      </c>
      <c r="K82" s="0" t="n">
        <v>0</v>
      </c>
      <c r="L82" s="0" t="n">
        <v>4139</v>
      </c>
      <c r="M82" s="0" t="n">
        <v>7657</v>
      </c>
    </row>
    <row r="83" customFormat="false" ht="13.5" hidden="false" customHeight="false" outlineLevel="0" collapsed="false">
      <c r="A83" s="0" t="s">
        <v>112</v>
      </c>
      <c r="B83" s="1" t="n">
        <v>43943</v>
      </c>
      <c r="C83" s="0" t="n">
        <v>83</v>
      </c>
      <c r="D83" s="0" t="n">
        <f aca="false">C83-C82</f>
        <v>14</v>
      </c>
      <c r="E83" s="0" t="n">
        <v>0</v>
      </c>
      <c r="F83" s="0" t="n">
        <v>0</v>
      </c>
      <c r="G83" s="0" t="n">
        <v>16</v>
      </c>
      <c r="H83" s="0" t="n">
        <v>67</v>
      </c>
      <c r="I83" s="0" t="n">
        <v>2</v>
      </c>
      <c r="J83" s="0" t="n">
        <v>154</v>
      </c>
      <c r="K83" s="0" t="n">
        <v>0</v>
      </c>
      <c r="L83" s="0" t="n">
        <v>4139</v>
      </c>
      <c r="M83" s="0" t="n">
        <v>7657</v>
      </c>
    </row>
    <row r="84" customFormat="false" ht="13.5" hidden="false" customHeight="false" outlineLevel="0" collapsed="false">
      <c r="A84" s="0" t="s">
        <v>112</v>
      </c>
      <c r="B84" s="1" t="n">
        <v>43944</v>
      </c>
      <c r="C84" s="0" t="n">
        <v>86</v>
      </c>
      <c r="D84" s="0" t="n">
        <f aca="false">C84-C83</f>
        <v>3</v>
      </c>
      <c r="E84" s="0" t="n">
        <v>0</v>
      </c>
      <c r="F84" s="0" t="n">
        <v>0</v>
      </c>
      <c r="G84" s="0" t="n">
        <v>16</v>
      </c>
      <c r="H84" s="0" t="n">
        <v>70</v>
      </c>
      <c r="I84" s="0" t="n">
        <v>2</v>
      </c>
      <c r="J84" s="0" t="n">
        <v>159</v>
      </c>
      <c r="K84" s="0" t="n">
        <v>0</v>
      </c>
      <c r="L84" s="0" t="n">
        <v>4139</v>
      </c>
      <c r="M84" s="0" t="n">
        <v>7657</v>
      </c>
    </row>
    <row r="85" customFormat="false" ht="13.5" hidden="false" customHeight="false" outlineLevel="0" collapsed="false">
      <c r="A85" s="0" t="s">
        <v>112</v>
      </c>
      <c r="B85" s="1" t="n">
        <v>43945</v>
      </c>
      <c r="C85" s="0" t="n">
        <v>108</v>
      </c>
      <c r="D85" s="0" t="n">
        <f aca="false">C85-C84</f>
        <v>22</v>
      </c>
      <c r="E85" s="0" t="n">
        <v>0</v>
      </c>
      <c r="F85" s="0" t="n">
        <v>0</v>
      </c>
      <c r="G85" s="0" t="n">
        <v>16</v>
      </c>
      <c r="H85" s="0" t="n">
        <v>92</v>
      </c>
      <c r="I85" s="0" t="n">
        <v>2</v>
      </c>
      <c r="J85" s="0" t="n">
        <v>200</v>
      </c>
      <c r="K85" s="0" t="n">
        <v>0</v>
      </c>
      <c r="L85" s="0" t="n">
        <v>4696</v>
      </c>
      <c r="M85" s="0" t="n">
        <v>8688</v>
      </c>
    </row>
    <row r="86" customFormat="false" ht="13.5" hidden="false" customHeight="false" outlineLevel="0" collapsed="false">
      <c r="A86" s="0" t="s">
        <v>112</v>
      </c>
      <c r="B86" s="1" t="n">
        <v>43946</v>
      </c>
      <c r="C86" s="0" t="n">
        <v>116</v>
      </c>
      <c r="D86" s="0" t="n">
        <f aca="false">C86-C85</f>
        <v>8</v>
      </c>
      <c r="E86" s="0" t="n">
        <v>0</v>
      </c>
      <c r="F86" s="0" t="n">
        <v>0</v>
      </c>
      <c r="G86" s="0" t="n">
        <v>16</v>
      </c>
      <c r="H86" s="0" t="n">
        <v>100</v>
      </c>
      <c r="I86" s="0" t="n">
        <v>2</v>
      </c>
      <c r="J86" s="0" t="n">
        <v>215</v>
      </c>
      <c r="K86" s="0" t="n">
        <v>0</v>
      </c>
      <c r="L86" s="0" t="n">
        <v>5296</v>
      </c>
      <c r="M86" s="0" t="n">
        <v>9798</v>
      </c>
    </row>
    <row r="87" customFormat="false" ht="13.5" hidden="false" customHeight="false" outlineLevel="0" collapsed="false">
      <c r="A87" s="0" t="s">
        <v>112</v>
      </c>
      <c r="B87" s="1" t="n">
        <v>43947</v>
      </c>
      <c r="C87" s="0" t="n">
        <v>141</v>
      </c>
      <c r="D87" s="0" t="n">
        <f aca="false">C87-C86</f>
        <v>25</v>
      </c>
      <c r="E87" s="0" t="n">
        <v>0</v>
      </c>
      <c r="F87" s="0" t="n">
        <v>0</v>
      </c>
      <c r="G87" s="0" t="n">
        <v>17</v>
      </c>
      <c r="H87" s="0" t="n">
        <v>124</v>
      </c>
      <c r="I87" s="0" t="n">
        <v>2</v>
      </c>
      <c r="J87" s="0" t="n">
        <v>261</v>
      </c>
      <c r="K87" s="0" t="n">
        <v>0</v>
      </c>
      <c r="L87" s="0" t="n">
        <v>5296</v>
      </c>
      <c r="M87" s="0" t="n">
        <v>9798</v>
      </c>
    </row>
    <row r="88" customFormat="false" ht="13.5" hidden="false" customHeight="false" outlineLevel="0" collapsed="false">
      <c r="A88" s="0" t="s">
        <v>112</v>
      </c>
      <c r="B88" s="1" t="n">
        <v>43948</v>
      </c>
      <c r="C88" s="0" t="n">
        <v>214</v>
      </c>
      <c r="D88" s="0" t="n">
        <f aca="false">C88-C87</f>
        <v>73</v>
      </c>
      <c r="E88" s="0" t="n">
        <v>0</v>
      </c>
      <c r="F88" s="0" t="n">
        <v>0</v>
      </c>
      <c r="G88" s="0" t="n">
        <v>17</v>
      </c>
      <c r="H88" s="0" t="n">
        <v>197</v>
      </c>
      <c r="I88" s="0" t="n">
        <v>2</v>
      </c>
      <c r="J88" s="0" t="n">
        <v>396</v>
      </c>
      <c r="K88" s="0" t="n">
        <v>0</v>
      </c>
      <c r="L88" s="0" t="n">
        <v>5296</v>
      </c>
      <c r="M88" s="0" t="n">
        <v>9798</v>
      </c>
    </row>
    <row r="89" customFormat="false" ht="13.5" hidden="false" customHeight="false" outlineLevel="0" collapsed="false">
      <c r="A89" s="0" t="s">
        <v>112</v>
      </c>
      <c r="B89" s="1" t="n">
        <v>43949</v>
      </c>
      <c r="C89" s="0" t="n">
        <v>226</v>
      </c>
      <c r="D89" s="0" t="n">
        <f aca="false">C89-C88</f>
        <v>12</v>
      </c>
      <c r="E89" s="0" t="n">
        <v>0</v>
      </c>
      <c r="F89" s="0" t="n">
        <v>0</v>
      </c>
      <c r="G89" s="0" t="n">
        <v>17</v>
      </c>
      <c r="H89" s="0" t="n">
        <v>209</v>
      </c>
      <c r="I89" s="0" t="n">
        <v>2</v>
      </c>
      <c r="J89" s="0" t="n">
        <v>418</v>
      </c>
      <c r="K89" s="0" t="n">
        <v>0</v>
      </c>
      <c r="L89" s="0" t="n">
        <v>5296</v>
      </c>
      <c r="M89" s="0" t="n">
        <v>9798</v>
      </c>
    </row>
    <row r="90" customFormat="false" ht="13.5" hidden="false" customHeight="false" outlineLevel="0" collapsed="false">
      <c r="A90" s="0" t="s">
        <v>112</v>
      </c>
      <c r="B90" s="1" t="n">
        <v>43950</v>
      </c>
      <c r="C90" s="0" t="n">
        <v>250</v>
      </c>
      <c r="D90" s="0" t="n">
        <f aca="false">C90-C89</f>
        <v>24</v>
      </c>
      <c r="E90" s="0" t="n">
        <v>0</v>
      </c>
      <c r="F90" s="0" t="n">
        <v>0</v>
      </c>
      <c r="G90" s="0" t="n">
        <v>17</v>
      </c>
      <c r="H90" s="0" t="n">
        <v>233</v>
      </c>
      <c r="I90" s="0" t="n">
        <v>2</v>
      </c>
      <c r="J90" s="0" t="n">
        <v>462</v>
      </c>
      <c r="K90" s="0" t="n">
        <v>0</v>
      </c>
      <c r="L90" s="0" t="n">
        <v>5296</v>
      </c>
      <c r="M90" s="0" t="n">
        <v>9798</v>
      </c>
    </row>
    <row r="91" customFormat="false" ht="13.5" hidden="false" customHeight="false" outlineLevel="0" collapsed="false">
      <c r="A91" s="0" t="s">
        <v>112</v>
      </c>
      <c r="B91" s="1" t="n">
        <v>43951</v>
      </c>
      <c r="C91" s="0" t="n">
        <v>278</v>
      </c>
      <c r="D91" s="0" t="n">
        <f aca="false">C91-C90</f>
        <v>28</v>
      </c>
      <c r="E91" s="0" t="n">
        <v>0</v>
      </c>
      <c r="F91" s="0" t="n">
        <v>0</v>
      </c>
      <c r="G91" s="0" t="n">
        <v>17</v>
      </c>
      <c r="H91" s="0" t="n">
        <v>261</v>
      </c>
      <c r="I91" s="0" t="n">
        <v>2</v>
      </c>
      <c r="J91" s="0" t="n">
        <v>514</v>
      </c>
      <c r="K91" s="0" t="n">
        <v>0</v>
      </c>
      <c r="L91" s="0" t="n">
        <v>5296</v>
      </c>
      <c r="M91" s="0" t="n">
        <v>9798</v>
      </c>
    </row>
    <row r="92" customFormat="false" ht="13.5" hidden="false" customHeight="false" outlineLevel="0" collapsed="false">
      <c r="A92" s="0" t="s">
        <v>112</v>
      </c>
      <c r="B92" s="1" t="n">
        <v>43952</v>
      </c>
      <c r="C92" s="0" t="n">
        <v>468</v>
      </c>
      <c r="D92" s="0" t="n">
        <f aca="false">C92-C91</f>
        <v>190</v>
      </c>
      <c r="E92" s="0" t="n">
        <v>1</v>
      </c>
      <c r="F92" s="0" t="n">
        <v>1</v>
      </c>
      <c r="G92" s="0" t="n">
        <v>17</v>
      </c>
      <c r="H92" s="0" t="n">
        <v>450</v>
      </c>
      <c r="I92" s="0" t="n">
        <v>2</v>
      </c>
      <c r="J92" s="0" t="n">
        <v>866</v>
      </c>
      <c r="K92" s="0" t="n">
        <v>2</v>
      </c>
      <c r="L92" s="0" t="n">
        <v>5296</v>
      </c>
      <c r="M92" s="0" t="n">
        <v>9798</v>
      </c>
    </row>
    <row r="93" customFormat="false" ht="13.5" hidden="false" customHeight="false" outlineLevel="0" collapsed="false">
      <c r="A93" s="0" t="s">
        <v>112</v>
      </c>
      <c r="B93" s="1" t="n">
        <v>43953</v>
      </c>
      <c r="C93" s="0" t="n">
        <v>491</v>
      </c>
      <c r="D93" s="0" t="n">
        <f aca="false">C93-C92</f>
        <v>23</v>
      </c>
      <c r="E93" s="0" t="n">
        <v>1</v>
      </c>
      <c r="F93" s="0" t="n">
        <v>0</v>
      </c>
      <c r="G93" s="0" t="n">
        <v>17</v>
      </c>
      <c r="H93" s="0" t="n">
        <v>473</v>
      </c>
      <c r="I93" s="0" t="n">
        <v>2</v>
      </c>
      <c r="J93" s="0" t="n">
        <v>908</v>
      </c>
      <c r="K93" s="0" t="n">
        <v>2</v>
      </c>
      <c r="L93" s="0" t="n">
        <v>8008</v>
      </c>
      <c r="M93" s="0" t="n">
        <v>14815</v>
      </c>
    </row>
    <row r="94" customFormat="false" ht="13.5" hidden="false" customHeight="false" outlineLevel="0" collapsed="false">
      <c r="A94" s="0" t="s">
        <v>112</v>
      </c>
      <c r="B94" s="1" t="n">
        <v>43954</v>
      </c>
      <c r="C94" s="0" t="n">
        <v>519</v>
      </c>
      <c r="D94" s="0" t="n">
        <f aca="false">C94-C93</f>
        <v>28</v>
      </c>
      <c r="E94" s="0" t="n">
        <v>1</v>
      </c>
      <c r="F94" s="0" t="n">
        <v>0</v>
      </c>
      <c r="G94" s="0" t="n">
        <v>18</v>
      </c>
      <c r="H94" s="0" t="n">
        <v>500</v>
      </c>
      <c r="I94" s="0" t="n">
        <v>2</v>
      </c>
      <c r="J94" s="0" t="n">
        <v>960</v>
      </c>
      <c r="K94" s="0" t="n">
        <v>2</v>
      </c>
      <c r="L94" s="0" t="n">
        <v>8008</v>
      </c>
      <c r="M94" s="0" t="n">
        <v>14815</v>
      </c>
    </row>
    <row r="95" customFormat="false" ht="13.5" hidden="false" customHeight="false" outlineLevel="0" collapsed="false">
      <c r="A95" s="0" t="s">
        <v>112</v>
      </c>
      <c r="B95" s="1" t="n">
        <v>43955</v>
      </c>
      <c r="C95" s="0" t="n">
        <v>527</v>
      </c>
      <c r="D95" s="0" t="n">
        <f aca="false">C95-C94</f>
        <v>8</v>
      </c>
      <c r="E95" s="0" t="n">
        <v>1</v>
      </c>
      <c r="F95" s="0" t="n">
        <v>0</v>
      </c>
      <c r="G95" s="0" t="n">
        <v>18</v>
      </c>
      <c r="H95" s="0" t="n">
        <v>508</v>
      </c>
      <c r="I95" s="0" t="n">
        <v>2</v>
      </c>
      <c r="J95" s="0" t="n">
        <v>975</v>
      </c>
      <c r="K95" s="0" t="n">
        <v>2</v>
      </c>
      <c r="L95" s="0" t="n">
        <v>8327</v>
      </c>
      <c r="M95" s="0" t="n">
        <v>15405</v>
      </c>
    </row>
    <row r="96" customFormat="false" ht="13.5" hidden="false" customHeight="false" outlineLevel="0" collapsed="false">
      <c r="A96" s="0" t="s">
        <v>112</v>
      </c>
      <c r="B96" s="1" t="n">
        <v>43956</v>
      </c>
      <c r="C96" s="0" t="n">
        <v>541</v>
      </c>
      <c r="D96" s="0" t="n">
        <f aca="false">C96-C95</f>
        <v>14</v>
      </c>
      <c r="E96" s="0" t="n">
        <v>1</v>
      </c>
      <c r="F96" s="0" t="n">
        <v>0</v>
      </c>
      <c r="G96" s="0" t="n">
        <v>18</v>
      </c>
      <c r="H96" s="0" t="n">
        <v>522</v>
      </c>
      <c r="I96" s="0" t="n">
        <v>2</v>
      </c>
      <c r="J96" s="0" t="n">
        <v>1001</v>
      </c>
      <c r="K96" s="0" t="n">
        <v>2</v>
      </c>
      <c r="L96" s="0" t="n">
        <v>8327</v>
      </c>
      <c r="M96" s="0" t="n">
        <v>15405</v>
      </c>
    </row>
    <row r="97" customFormat="false" ht="13.5" hidden="false" customHeight="false" outlineLevel="0" collapsed="false">
      <c r="A97" s="0" t="s">
        <v>112</v>
      </c>
      <c r="B97" s="1" t="n">
        <v>43957</v>
      </c>
      <c r="C97" s="0" t="n">
        <v>573</v>
      </c>
      <c r="D97" s="0" t="n">
        <f aca="false">C97-C96</f>
        <v>32</v>
      </c>
      <c r="E97" s="0" t="n">
        <v>2</v>
      </c>
      <c r="F97" s="0" t="n">
        <v>1</v>
      </c>
      <c r="G97" s="0" t="n">
        <v>20</v>
      </c>
      <c r="H97" s="0" t="n">
        <v>551</v>
      </c>
      <c r="I97" s="0" t="n">
        <v>2</v>
      </c>
      <c r="J97" s="0" t="n">
        <v>1060</v>
      </c>
      <c r="K97" s="0" t="n">
        <v>4</v>
      </c>
      <c r="L97" s="0" t="n">
        <v>9863</v>
      </c>
      <c r="M97" s="0" t="n">
        <v>18246</v>
      </c>
    </row>
    <row r="98" customFormat="false" ht="13.5" hidden="false" customHeight="false" outlineLevel="0" collapsed="false">
      <c r="A98" s="0" t="s">
        <v>112</v>
      </c>
      <c r="B98" s="1" t="n">
        <v>43958</v>
      </c>
      <c r="C98" s="0" t="n">
        <v>617</v>
      </c>
      <c r="D98" s="0" t="n">
        <f aca="false">C98-C97</f>
        <v>44</v>
      </c>
      <c r="E98" s="0" t="n">
        <v>2</v>
      </c>
      <c r="F98" s="0" t="n">
        <v>0</v>
      </c>
      <c r="G98" s="0" t="n">
        <v>20</v>
      </c>
      <c r="H98" s="0" t="n">
        <v>595</v>
      </c>
      <c r="I98" s="0" t="n">
        <v>2</v>
      </c>
      <c r="J98" s="0" t="n">
        <v>1141</v>
      </c>
      <c r="K98" s="0" t="n">
        <v>4</v>
      </c>
      <c r="L98" s="0" t="n">
        <v>9863</v>
      </c>
      <c r="M98" s="0" t="n">
        <v>18246</v>
      </c>
    </row>
    <row r="99" customFormat="false" ht="13.5" hidden="false" customHeight="false" outlineLevel="0" collapsed="false">
      <c r="A99" s="0" t="s">
        <v>112</v>
      </c>
      <c r="B99" s="1" t="n">
        <v>43959</v>
      </c>
      <c r="C99" s="0" t="n">
        <v>648</v>
      </c>
      <c r="D99" s="0" t="n">
        <f aca="false">C99-C98</f>
        <v>31</v>
      </c>
      <c r="E99" s="0" t="n">
        <v>3</v>
      </c>
      <c r="F99" s="0" t="n">
        <v>1</v>
      </c>
      <c r="G99" s="0" t="n">
        <v>20</v>
      </c>
      <c r="H99" s="0" t="n">
        <v>625</v>
      </c>
      <c r="I99" s="0" t="n">
        <v>2</v>
      </c>
      <c r="J99" s="0" t="n">
        <v>1199</v>
      </c>
      <c r="K99" s="0" t="n">
        <v>6</v>
      </c>
      <c r="L99" s="0" t="n">
        <v>9863</v>
      </c>
      <c r="M99" s="0" t="n">
        <v>18246</v>
      </c>
    </row>
    <row r="100" customFormat="false" ht="13.5" hidden="false" customHeight="false" outlineLevel="0" collapsed="false">
      <c r="A100" s="0" t="s">
        <v>112</v>
      </c>
      <c r="B100" s="1" t="n">
        <v>43960</v>
      </c>
      <c r="C100" s="0" t="n">
        <v>744</v>
      </c>
      <c r="D100" s="0" t="n">
        <f aca="false">C100-C99</f>
        <v>96</v>
      </c>
      <c r="E100" s="0" t="n">
        <v>3</v>
      </c>
      <c r="F100" s="0" t="n">
        <v>0</v>
      </c>
      <c r="G100" s="0" t="n">
        <v>20</v>
      </c>
      <c r="H100" s="0" t="n">
        <v>721</v>
      </c>
      <c r="I100" s="0" t="n">
        <v>2</v>
      </c>
      <c r="J100" s="0" t="n">
        <v>1376</v>
      </c>
      <c r="K100" s="0" t="n">
        <v>6</v>
      </c>
      <c r="L100" s="0" t="n">
        <v>9863</v>
      </c>
      <c r="M100" s="0" t="n">
        <v>18246</v>
      </c>
    </row>
    <row r="101" customFormat="false" ht="13.5" hidden="false" customHeight="false" outlineLevel="0" collapsed="false">
      <c r="A101" s="0" t="s">
        <v>112</v>
      </c>
      <c r="B101" s="1" t="n">
        <v>43961</v>
      </c>
      <c r="C101" s="0" t="n">
        <v>785</v>
      </c>
      <c r="D101" s="0" t="n">
        <f aca="false">C101-C100</f>
        <v>41</v>
      </c>
      <c r="E101" s="0" t="n">
        <v>3</v>
      </c>
      <c r="F101" s="0" t="n">
        <v>0</v>
      </c>
      <c r="G101" s="0" t="n">
        <v>29</v>
      </c>
      <c r="H101" s="0" t="n">
        <v>753</v>
      </c>
      <c r="I101" s="0" t="n">
        <v>2</v>
      </c>
      <c r="J101" s="0" t="n">
        <v>1452</v>
      </c>
      <c r="K101" s="0" t="n">
        <v>6</v>
      </c>
      <c r="L101" s="0" t="n">
        <v>11775</v>
      </c>
      <c r="M101" s="0" t="n">
        <v>21784</v>
      </c>
    </row>
    <row r="102" customFormat="false" ht="13.5" hidden="false" customHeight="false" outlineLevel="0" collapsed="false">
      <c r="A102" s="0" t="s">
        <v>112</v>
      </c>
      <c r="B102" s="1" t="n">
        <v>43962</v>
      </c>
      <c r="C102" s="0" t="n">
        <v>835</v>
      </c>
      <c r="D102" s="0" t="n">
        <f aca="false">C102-C101</f>
        <v>50</v>
      </c>
      <c r="E102" s="0" t="n">
        <v>3</v>
      </c>
      <c r="F102" s="0" t="n">
        <v>0</v>
      </c>
      <c r="G102" s="0" t="n">
        <v>29</v>
      </c>
      <c r="H102" s="0" t="n">
        <v>803</v>
      </c>
      <c r="I102" s="0" t="n">
        <v>2</v>
      </c>
      <c r="J102" s="0" t="n">
        <v>1545</v>
      </c>
      <c r="K102" s="0" t="n">
        <v>6</v>
      </c>
      <c r="L102" s="0" t="n">
        <v>11775</v>
      </c>
      <c r="M102" s="0" t="n">
        <v>21784</v>
      </c>
    </row>
    <row r="103" customFormat="false" ht="13.5" hidden="false" customHeight="false" outlineLevel="0" collapsed="false">
      <c r="A103" s="0" t="s">
        <v>112</v>
      </c>
      <c r="B103" s="1" t="n">
        <v>43963</v>
      </c>
      <c r="C103" s="0" t="n">
        <v>862</v>
      </c>
      <c r="D103" s="0" t="n">
        <f aca="false">C103-C102</f>
        <v>27</v>
      </c>
      <c r="E103" s="0" t="n">
        <v>3</v>
      </c>
      <c r="F103" s="0" t="n">
        <v>0</v>
      </c>
      <c r="G103" s="0" t="n">
        <v>29</v>
      </c>
      <c r="H103" s="0" t="n">
        <v>830</v>
      </c>
      <c r="I103" s="0" t="n">
        <v>2</v>
      </c>
      <c r="J103" s="0" t="n">
        <v>1595</v>
      </c>
      <c r="K103" s="0" t="n">
        <v>6</v>
      </c>
      <c r="L103" s="0" t="n">
        <v>11775</v>
      </c>
      <c r="M103" s="0" t="n">
        <v>21784</v>
      </c>
    </row>
    <row r="104" customFormat="false" ht="13.5" hidden="false" customHeight="false" outlineLevel="0" collapsed="false">
      <c r="A104" s="0" t="s">
        <v>112</v>
      </c>
      <c r="B104" s="1" t="n">
        <v>43964</v>
      </c>
      <c r="C104" s="0" t="n">
        <v>904</v>
      </c>
      <c r="D104" s="0" t="n">
        <f aca="false">C104-C103</f>
        <v>42</v>
      </c>
      <c r="E104" s="0" t="n">
        <v>3</v>
      </c>
      <c r="F104" s="0" t="n">
        <v>0</v>
      </c>
      <c r="G104" s="0" t="n">
        <v>29</v>
      </c>
      <c r="H104" s="0" t="n">
        <v>872</v>
      </c>
      <c r="I104" s="0" t="n">
        <v>2</v>
      </c>
      <c r="J104" s="0" t="n">
        <v>1672</v>
      </c>
      <c r="K104" s="0" t="n">
        <v>6</v>
      </c>
      <c r="L104" s="0" t="n">
        <v>11775</v>
      </c>
      <c r="M104" s="0" t="n">
        <v>21784</v>
      </c>
    </row>
    <row r="105" customFormat="false" ht="13.5" hidden="false" customHeight="false" outlineLevel="0" collapsed="false">
      <c r="A105" s="0" t="s">
        <v>112</v>
      </c>
      <c r="B105" s="1" t="n">
        <v>43965</v>
      </c>
      <c r="C105" s="0" t="n">
        <v>955</v>
      </c>
      <c r="D105" s="0" t="n">
        <f aca="false">C105-C104</f>
        <v>51</v>
      </c>
      <c r="E105" s="0" t="n">
        <v>4</v>
      </c>
      <c r="F105" s="0" t="n">
        <v>1</v>
      </c>
      <c r="G105" s="0" t="n">
        <v>40</v>
      </c>
      <c r="H105" s="0" t="n">
        <v>911</v>
      </c>
      <c r="I105" s="0" t="n">
        <v>2</v>
      </c>
      <c r="J105" s="0" t="n">
        <v>1767</v>
      </c>
      <c r="K105" s="0" t="n">
        <v>7</v>
      </c>
      <c r="L105" s="0" t="n">
        <v>11775</v>
      </c>
      <c r="M105" s="0" t="n">
        <v>21784</v>
      </c>
    </row>
    <row r="106" customFormat="false" ht="13.5" hidden="false" customHeight="false" outlineLevel="0" collapsed="false">
      <c r="A106" s="0" t="s">
        <v>112</v>
      </c>
      <c r="B106" s="1" t="n">
        <v>43966</v>
      </c>
      <c r="C106" s="0" t="n">
        <v>968</v>
      </c>
      <c r="D106" s="0" t="n">
        <f aca="false">C106-C105</f>
        <v>13</v>
      </c>
      <c r="E106" s="0" t="n">
        <v>4</v>
      </c>
      <c r="F106" s="0" t="n">
        <v>0</v>
      </c>
      <c r="G106" s="0" t="n">
        <v>40</v>
      </c>
      <c r="H106" s="0" t="n">
        <v>924</v>
      </c>
      <c r="I106" s="0" t="n">
        <v>2</v>
      </c>
      <c r="J106" s="0" t="n">
        <v>1791</v>
      </c>
      <c r="K106" s="0" t="n">
        <v>7</v>
      </c>
      <c r="L106" s="0" t="n">
        <v>11775</v>
      </c>
      <c r="M106" s="0" t="n">
        <v>21784</v>
      </c>
    </row>
    <row r="107" customFormat="false" ht="13.5" hidden="false" customHeight="false" outlineLevel="0" collapsed="false">
      <c r="A107" s="0" t="s">
        <v>112</v>
      </c>
      <c r="B107" s="1" t="n">
        <v>43967</v>
      </c>
      <c r="C107" s="0" t="n">
        <v>1020</v>
      </c>
      <c r="D107" s="0" t="n">
        <f aca="false">C107-C106</f>
        <v>52</v>
      </c>
      <c r="E107" s="0" t="n">
        <v>4</v>
      </c>
      <c r="F107" s="0" t="n">
        <v>0</v>
      </c>
      <c r="G107" s="0" t="n">
        <v>49</v>
      </c>
      <c r="H107" s="0" t="n">
        <v>967</v>
      </c>
      <c r="I107" s="0" t="n">
        <v>2</v>
      </c>
      <c r="J107" s="0" t="n">
        <v>1891</v>
      </c>
      <c r="K107" s="0" t="n">
        <v>7</v>
      </c>
      <c r="L107" s="0" t="n">
        <v>11775</v>
      </c>
      <c r="M107" s="0" t="n">
        <v>21835</v>
      </c>
    </row>
    <row r="108" customFormat="false" ht="13.5" hidden="false" customHeight="false" outlineLevel="0" collapsed="false">
      <c r="A108" s="0" t="s">
        <v>112</v>
      </c>
      <c r="B108" s="1" t="n">
        <v>43968</v>
      </c>
      <c r="C108" s="0" t="n">
        <v>1078</v>
      </c>
      <c r="D108" s="0" t="n">
        <f aca="false">C108-C107</f>
        <v>58</v>
      </c>
      <c r="E108" s="0" t="n">
        <v>4</v>
      </c>
      <c r="F108" s="0" t="n">
        <v>0</v>
      </c>
      <c r="G108" s="0" t="n">
        <v>58</v>
      </c>
      <c r="H108" s="0" t="n">
        <v>1016</v>
      </c>
      <c r="I108" s="0" t="n">
        <v>9</v>
      </c>
      <c r="J108" s="0" t="n">
        <v>1999</v>
      </c>
      <c r="K108" s="0" t="n">
        <v>7</v>
      </c>
      <c r="L108" s="0" t="n">
        <v>11775</v>
      </c>
      <c r="M108" s="0" t="n">
        <v>21834</v>
      </c>
    </row>
    <row r="109" customFormat="false" ht="13.5" hidden="false" customHeight="false" outlineLevel="0" collapsed="false">
      <c r="A109" s="0" t="s">
        <v>112</v>
      </c>
      <c r="B109" s="1" t="n">
        <v>43969</v>
      </c>
      <c r="C109" s="0" t="n">
        <v>1094</v>
      </c>
      <c r="D109" s="0" t="n">
        <f aca="false">C109-C108</f>
        <v>16</v>
      </c>
      <c r="E109" s="0" t="n">
        <v>4</v>
      </c>
      <c r="F109" s="0" t="n">
        <v>0</v>
      </c>
      <c r="G109" s="0" t="n">
        <v>58</v>
      </c>
      <c r="H109" s="0" t="n">
        <v>1032</v>
      </c>
      <c r="I109" s="0" t="n">
        <v>9</v>
      </c>
      <c r="J109" s="0" t="n">
        <v>2029</v>
      </c>
      <c r="K109" s="0" t="n">
        <v>7</v>
      </c>
      <c r="L109" s="0" t="n">
        <v>11775</v>
      </c>
      <c r="M109" s="0" t="n">
        <v>21833</v>
      </c>
    </row>
    <row r="110" customFormat="false" ht="13.5" hidden="false" customHeight="false" outlineLevel="0" collapsed="false">
      <c r="A110" s="0" t="s">
        <v>112</v>
      </c>
      <c r="B110" s="1" t="n">
        <v>43970</v>
      </c>
      <c r="C110" s="0" t="n">
        <v>1106</v>
      </c>
      <c r="D110" s="0" t="n">
        <f aca="false">C110-C109</f>
        <v>12</v>
      </c>
      <c r="E110" s="0" t="n">
        <v>4</v>
      </c>
      <c r="F110" s="0" t="n">
        <v>0</v>
      </c>
      <c r="G110" s="0" t="n">
        <v>58</v>
      </c>
      <c r="H110" s="0" t="n">
        <v>1044</v>
      </c>
      <c r="I110" s="0" t="n">
        <v>9</v>
      </c>
      <c r="J110" s="0" t="n">
        <v>2051</v>
      </c>
      <c r="K110" s="0" t="n">
        <v>7</v>
      </c>
      <c r="L110" s="0" t="n">
        <v>11775</v>
      </c>
      <c r="M110" s="0" t="n">
        <v>21832</v>
      </c>
    </row>
    <row r="111" customFormat="false" ht="13.5" hidden="false" customHeight="false" outlineLevel="0" collapsed="false">
      <c r="A111" s="0" t="s">
        <v>112</v>
      </c>
      <c r="B111" s="1" t="n">
        <v>43971</v>
      </c>
      <c r="C111" s="0" t="n">
        <v>1143</v>
      </c>
      <c r="D111" s="0" t="n">
        <f aca="false">C111-C110</f>
        <v>37</v>
      </c>
      <c r="E111" s="0" t="n">
        <v>4</v>
      </c>
      <c r="F111" s="0" t="n">
        <v>0</v>
      </c>
      <c r="G111" s="0" t="n">
        <v>91</v>
      </c>
      <c r="H111" s="0" t="n">
        <v>1048</v>
      </c>
      <c r="I111" s="0" t="n">
        <v>9</v>
      </c>
      <c r="J111" s="0" t="n">
        <v>2119</v>
      </c>
      <c r="K111" s="0" t="n">
        <v>7</v>
      </c>
      <c r="L111" s="0" t="n">
        <v>11775</v>
      </c>
      <c r="M111" s="0" t="n">
        <v>21831</v>
      </c>
    </row>
    <row r="112" customFormat="false" ht="13.5" hidden="false" customHeight="false" outlineLevel="0" collapsed="false">
      <c r="A112" s="0" t="s">
        <v>112</v>
      </c>
      <c r="B112" s="1" t="n">
        <v>43972</v>
      </c>
      <c r="C112" s="0" t="n">
        <v>1186</v>
      </c>
      <c r="D112" s="0" t="n">
        <f aca="false">C112-C111</f>
        <v>43</v>
      </c>
      <c r="E112" s="0" t="n">
        <v>4</v>
      </c>
      <c r="F112" s="0" t="n">
        <v>0</v>
      </c>
      <c r="G112" s="0" t="n">
        <v>91</v>
      </c>
      <c r="H112" s="0" t="n">
        <v>1091</v>
      </c>
      <c r="I112" s="0" t="n">
        <v>9</v>
      </c>
      <c r="J112" s="0" t="n">
        <v>2199</v>
      </c>
      <c r="K112" s="0" t="n">
        <v>7</v>
      </c>
      <c r="L112" s="0" t="n">
        <v>11775</v>
      </c>
      <c r="M112" s="0" t="n">
        <v>21830</v>
      </c>
    </row>
    <row r="113" customFormat="false" ht="13.5" hidden="false" customHeight="false" outlineLevel="0" collapsed="false">
      <c r="A113" s="0" t="s">
        <v>112</v>
      </c>
      <c r="B113" s="1" t="n">
        <v>43973</v>
      </c>
      <c r="C113" s="0" t="n">
        <v>1216</v>
      </c>
      <c r="D113" s="0" t="n">
        <f aca="false">C113-C112</f>
        <v>30</v>
      </c>
      <c r="E113" s="0" t="n">
        <v>4</v>
      </c>
      <c r="F113" s="0" t="n">
        <v>0</v>
      </c>
      <c r="G113" s="0" t="n">
        <v>91</v>
      </c>
      <c r="H113" s="0" t="n">
        <v>1121</v>
      </c>
      <c r="I113" s="0" t="n">
        <v>9</v>
      </c>
      <c r="J113" s="0" t="n">
        <v>2254</v>
      </c>
      <c r="K113" s="0" t="n">
        <v>7</v>
      </c>
      <c r="L113" s="0" t="n">
        <v>11775</v>
      </c>
      <c r="M113" s="0" t="n">
        <v>21829</v>
      </c>
    </row>
    <row r="114" customFormat="false" ht="13.5" hidden="false" customHeight="false" outlineLevel="0" collapsed="false">
      <c r="A114" s="0" t="s">
        <v>112</v>
      </c>
      <c r="B114" s="1" t="n">
        <v>43974</v>
      </c>
      <c r="C114" s="0" t="n">
        <v>1274</v>
      </c>
      <c r="D114" s="0" t="n">
        <f aca="false">C114-C113</f>
        <v>58</v>
      </c>
      <c r="E114" s="0" t="n">
        <v>4</v>
      </c>
      <c r="F114" s="0" t="n">
        <v>0</v>
      </c>
      <c r="G114" s="0" t="n">
        <v>109</v>
      </c>
      <c r="H114" s="0" t="n">
        <v>1161</v>
      </c>
      <c r="I114" s="0" t="n">
        <v>9</v>
      </c>
      <c r="J114" s="0" t="n">
        <v>2362</v>
      </c>
      <c r="K114" s="0" t="n">
        <v>7</v>
      </c>
      <c r="L114" s="0" t="n">
        <v>11775</v>
      </c>
      <c r="M114" s="0" t="n">
        <v>21828</v>
      </c>
    </row>
    <row r="115" customFormat="false" ht="13.5" hidden="false" customHeight="false" outlineLevel="0" collapsed="false">
      <c r="A115" s="0" t="s">
        <v>112</v>
      </c>
      <c r="B115" s="1" t="n">
        <v>43975</v>
      </c>
      <c r="C115" s="0" t="n">
        <v>1313</v>
      </c>
      <c r="D115" s="0" t="n">
        <f aca="false">C115-C114</f>
        <v>39</v>
      </c>
      <c r="E115" s="0" t="n">
        <v>4</v>
      </c>
      <c r="F115" s="0" t="n">
        <v>0</v>
      </c>
      <c r="G115" s="0" t="n">
        <v>115</v>
      </c>
      <c r="H115" s="0" t="n">
        <v>1194</v>
      </c>
      <c r="I115" s="0" t="n">
        <v>9</v>
      </c>
      <c r="J115" s="0" t="n">
        <v>2434</v>
      </c>
      <c r="K115" s="0" t="n">
        <v>7</v>
      </c>
      <c r="L115" s="0" t="n">
        <v>11775</v>
      </c>
      <c r="M115" s="0" t="n">
        <v>21827</v>
      </c>
    </row>
    <row r="116" customFormat="false" ht="13.5" hidden="false" customHeight="false" outlineLevel="0" collapsed="false">
      <c r="A116" s="0" t="s">
        <v>112</v>
      </c>
      <c r="B116" s="1" t="n">
        <v>43976</v>
      </c>
      <c r="C116" s="0" t="n">
        <v>1371</v>
      </c>
      <c r="D116" s="0" t="n">
        <f aca="false">C116-C115</f>
        <v>58</v>
      </c>
      <c r="E116" s="0" t="n">
        <v>4</v>
      </c>
      <c r="F116" s="0" t="n">
        <v>0</v>
      </c>
      <c r="G116" s="0" t="n">
        <v>144</v>
      </c>
      <c r="H116" s="0" t="n">
        <v>1223</v>
      </c>
      <c r="I116" s="0" t="n">
        <v>9</v>
      </c>
      <c r="J116" s="0" t="n">
        <v>2541</v>
      </c>
      <c r="K116" s="0" t="n">
        <v>7</v>
      </c>
      <c r="L116" s="0" t="n">
        <v>11775</v>
      </c>
      <c r="M116" s="0" t="n">
        <v>21826</v>
      </c>
    </row>
    <row r="117" customFormat="false" ht="13.5" hidden="false" customHeight="false" outlineLevel="0" collapsed="false">
      <c r="A117" s="0" t="s">
        <v>112</v>
      </c>
      <c r="B117" s="1" t="n">
        <v>43977</v>
      </c>
      <c r="C117" s="0" t="n">
        <v>1395</v>
      </c>
      <c r="D117" s="0" t="n">
        <f aca="false">C117-C116</f>
        <v>24</v>
      </c>
      <c r="E117" s="0" t="n">
        <v>4</v>
      </c>
      <c r="F117" s="0" t="n">
        <v>0</v>
      </c>
      <c r="G117" s="0" t="n">
        <v>155</v>
      </c>
      <c r="H117" s="0" t="n">
        <v>1236</v>
      </c>
      <c r="I117" s="0" t="n">
        <v>9</v>
      </c>
      <c r="J117" s="0" t="n">
        <v>2586</v>
      </c>
      <c r="K117" s="0" t="n">
        <v>7</v>
      </c>
      <c r="L117" s="0" t="n">
        <v>11775</v>
      </c>
      <c r="M117" s="0" t="n">
        <v>21825</v>
      </c>
    </row>
    <row r="118" customFormat="false" ht="13.5" hidden="false" customHeight="false" outlineLevel="0" collapsed="false">
      <c r="A118" s="0" t="s">
        <v>112</v>
      </c>
      <c r="B118" s="1" t="n">
        <v>43978</v>
      </c>
      <c r="C118" s="0" t="n">
        <v>1438</v>
      </c>
      <c r="D118" s="0" t="n">
        <f aca="false">C118-C117</f>
        <v>43</v>
      </c>
      <c r="E118" s="0" t="n">
        <v>5</v>
      </c>
      <c r="F118" s="0" t="n">
        <v>1</v>
      </c>
      <c r="G118" s="0" t="n">
        <v>197</v>
      </c>
      <c r="H118" s="0" t="n">
        <v>1236</v>
      </c>
      <c r="I118" s="0" t="n">
        <v>9</v>
      </c>
      <c r="J118" s="0" t="n">
        <v>2665</v>
      </c>
      <c r="K118" s="0" t="n">
        <v>9</v>
      </c>
      <c r="L118" s="0" t="n">
        <v>11775</v>
      </c>
      <c r="M118" s="0" t="n">
        <v>21824</v>
      </c>
    </row>
    <row r="119" customFormat="false" ht="13.5" hidden="false" customHeight="false" outlineLevel="0" collapsed="false">
      <c r="A119" s="0" t="s">
        <v>112</v>
      </c>
      <c r="B119" s="1" t="n">
        <v>43979</v>
      </c>
      <c r="C119" s="0" t="n">
        <v>1457</v>
      </c>
      <c r="D119" s="0" t="n">
        <f aca="false">C119-C118</f>
        <v>19</v>
      </c>
      <c r="E119" s="0" t="n">
        <v>5</v>
      </c>
      <c r="F119" s="0" t="n">
        <v>0</v>
      </c>
      <c r="G119" s="0" t="n">
        <v>197</v>
      </c>
      <c r="H119" s="0" t="n">
        <v>1255</v>
      </c>
      <c r="I119" s="0" t="n">
        <v>9</v>
      </c>
      <c r="J119" s="0" t="n">
        <v>2700</v>
      </c>
      <c r="K119" s="0" t="n">
        <v>9</v>
      </c>
      <c r="L119" s="0" t="n">
        <v>11775</v>
      </c>
      <c r="M119" s="0" t="n">
        <v>21823</v>
      </c>
    </row>
    <row r="120" customFormat="false" ht="13.5" hidden="false" customHeight="false" outlineLevel="0" collapsed="false">
      <c r="A120" s="0" t="s">
        <v>112</v>
      </c>
      <c r="B120" s="1" t="n">
        <v>43980</v>
      </c>
      <c r="C120" s="0" t="n">
        <v>1513</v>
      </c>
      <c r="D120" s="0" t="n">
        <f aca="false">C120-C119</f>
        <v>56</v>
      </c>
      <c r="E120" s="0" t="n">
        <v>5</v>
      </c>
      <c r="F120" s="0" t="n">
        <v>0</v>
      </c>
      <c r="G120" s="0" t="n">
        <v>197</v>
      </c>
      <c r="H120" s="0" t="n">
        <v>1311</v>
      </c>
      <c r="I120" s="0" t="n">
        <v>9</v>
      </c>
      <c r="J120" s="0" t="n">
        <v>2804</v>
      </c>
      <c r="K120" s="0" t="n">
        <v>9</v>
      </c>
      <c r="L120" s="0" t="n">
        <v>11775</v>
      </c>
      <c r="M120" s="0" t="n">
        <v>21822</v>
      </c>
    </row>
    <row r="121" customFormat="false" ht="13.5" hidden="false" customHeight="false" outlineLevel="0" collapsed="false">
      <c r="A121" s="0" t="s">
        <v>112</v>
      </c>
      <c r="B121" s="1" t="n">
        <v>43981</v>
      </c>
      <c r="C121" s="0" t="n">
        <v>1547</v>
      </c>
      <c r="D121" s="0" t="n">
        <f aca="false">C121-C120</f>
        <v>34</v>
      </c>
      <c r="E121" s="0" t="n">
        <v>5</v>
      </c>
      <c r="F121" s="0" t="n">
        <v>0</v>
      </c>
      <c r="G121" s="0" t="n">
        <v>197</v>
      </c>
      <c r="H121" s="0" t="n">
        <v>1345</v>
      </c>
      <c r="I121" s="0" t="n">
        <v>9</v>
      </c>
      <c r="J121" s="0" t="n">
        <v>2867</v>
      </c>
      <c r="K121" s="0" t="n">
        <v>9</v>
      </c>
      <c r="L121" s="0" t="n">
        <v>11775</v>
      </c>
      <c r="M121" s="0" t="n">
        <v>21821</v>
      </c>
    </row>
    <row r="122" customFormat="false" ht="13.5" hidden="false" customHeight="false" outlineLevel="0" collapsed="false">
      <c r="A122" s="0" t="s">
        <v>112</v>
      </c>
      <c r="B122" s="1" t="n">
        <v>43982</v>
      </c>
      <c r="C122" s="0" t="n">
        <v>1672</v>
      </c>
      <c r="D122" s="0" t="n">
        <f aca="false">C122-C121</f>
        <v>125</v>
      </c>
      <c r="E122" s="0" t="n">
        <v>5</v>
      </c>
      <c r="F122" s="0" t="n">
        <v>0</v>
      </c>
      <c r="G122" s="0" t="n">
        <v>406</v>
      </c>
      <c r="H122" s="0" t="n">
        <v>1261</v>
      </c>
      <c r="I122" s="0" t="n">
        <v>9</v>
      </c>
      <c r="J122" s="0" t="n">
        <v>3098</v>
      </c>
      <c r="K122" s="0" t="n">
        <v>9</v>
      </c>
      <c r="L122" s="0" t="n">
        <v>11775</v>
      </c>
      <c r="M122" s="0" t="n">
        <v>21820</v>
      </c>
    </row>
    <row r="123" customFormat="false" ht="13.5" hidden="false" customHeight="false" outlineLevel="0" collapsed="false">
      <c r="A123" s="0" t="s">
        <v>112</v>
      </c>
      <c r="B123" s="1" t="n">
        <v>43983</v>
      </c>
      <c r="C123" s="0" t="n">
        <v>1773</v>
      </c>
      <c r="D123" s="0" t="n">
        <f aca="false">C123-C122</f>
        <v>101</v>
      </c>
      <c r="E123" s="0" t="n">
        <v>5</v>
      </c>
      <c r="F123" s="0" t="n">
        <v>0</v>
      </c>
      <c r="G123" s="0" t="n">
        <v>453</v>
      </c>
      <c r="H123" s="0" t="n">
        <v>1315</v>
      </c>
      <c r="I123" s="0" t="n">
        <v>9</v>
      </c>
      <c r="J123" s="0" t="n">
        <v>3285</v>
      </c>
      <c r="K123" s="0" t="n">
        <v>9</v>
      </c>
      <c r="L123" s="0" t="n">
        <v>11775</v>
      </c>
      <c r="M123" s="0" t="n">
        <v>21819</v>
      </c>
    </row>
    <row r="124" customFormat="false" ht="13.5" hidden="false" customHeight="false" outlineLevel="0" collapsed="false">
      <c r="A124" s="0" t="s">
        <v>112</v>
      </c>
      <c r="B124" s="1" t="n">
        <v>43984</v>
      </c>
      <c r="C124" s="0" t="n">
        <v>1829</v>
      </c>
      <c r="D124" s="0" t="n">
        <f aca="false">C124-C123</f>
        <v>56</v>
      </c>
      <c r="E124" s="0" t="n">
        <v>6</v>
      </c>
      <c r="F124" s="0" t="n">
        <v>1</v>
      </c>
      <c r="G124" s="0" t="n">
        <v>488</v>
      </c>
      <c r="H124" s="0" t="n">
        <v>1335</v>
      </c>
      <c r="I124" s="0" t="n">
        <v>9</v>
      </c>
      <c r="J124" s="0" t="n">
        <v>3389</v>
      </c>
      <c r="K124" s="0" t="n">
        <v>11</v>
      </c>
      <c r="L124" s="0" t="n">
        <v>11775</v>
      </c>
      <c r="M124" s="0" t="n">
        <v>21818</v>
      </c>
    </row>
    <row r="125" customFormat="false" ht="13.5" hidden="false" customHeight="false" outlineLevel="0" collapsed="false">
      <c r="A125" s="0" t="s">
        <v>112</v>
      </c>
      <c r="B125" s="1" t="n">
        <v>43985</v>
      </c>
      <c r="C125" s="0" t="n">
        <v>1841</v>
      </c>
      <c r="D125" s="0" t="n">
        <f aca="false">C125-C124</f>
        <v>12</v>
      </c>
      <c r="E125" s="0" t="n">
        <v>7</v>
      </c>
      <c r="F125" s="0" t="n">
        <v>1</v>
      </c>
      <c r="G125" s="0" t="n">
        <v>608</v>
      </c>
      <c r="H125" s="0" t="n">
        <v>1226</v>
      </c>
      <c r="I125" s="0" t="n">
        <v>9</v>
      </c>
      <c r="J125" s="0" t="n">
        <v>3411</v>
      </c>
      <c r="K125" s="0" t="n">
        <v>13</v>
      </c>
      <c r="L125" s="0" t="n">
        <v>11775</v>
      </c>
      <c r="M125" s="0" t="n">
        <v>21817</v>
      </c>
    </row>
    <row r="126" customFormat="false" ht="13.5" hidden="false" customHeight="false" outlineLevel="0" collapsed="false">
      <c r="A126" s="0" t="s">
        <v>112</v>
      </c>
      <c r="B126" s="1" t="n">
        <v>43986</v>
      </c>
      <c r="C126" s="0" t="n">
        <v>1850</v>
      </c>
      <c r="D126" s="0" t="n">
        <f aca="false">C126-C125</f>
        <v>9</v>
      </c>
      <c r="E126" s="0" t="n">
        <v>7</v>
      </c>
      <c r="F126" s="0" t="n">
        <v>0</v>
      </c>
      <c r="G126" s="0" t="n">
        <v>644</v>
      </c>
      <c r="H126" s="0" t="n">
        <v>1199</v>
      </c>
      <c r="I126" s="0" t="n">
        <v>9</v>
      </c>
      <c r="J126" s="0" t="n">
        <v>3427</v>
      </c>
      <c r="K126" s="0" t="n">
        <v>13</v>
      </c>
      <c r="L126" s="0" t="n">
        <v>11775</v>
      </c>
      <c r="M126" s="0" t="n">
        <v>21815</v>
      </c>
    </row>
    <row r="127" customFormat="false" ht="13.5" hidden="false" customHeight="false" outlineLevel="0" collapsed="false">
      <c r="A127" s="0" t="s">
        <v>112</v>
      </c>
      <c r="B127" s="1" t="n">
        <v>43987</v>
      </c>
      <c r="C127" s="0" t="n">
        <v>1872</v>
      </c>
      <c r="D127" s="0" t="n">
        <f aca="false">C127-C126</f>
        <v>22</v>
      </c>
      <c r="E127" s="0" t="n">
        <v>7</v>
      </c>
      <c r="F127" s="0" t="n">
        <v>0</v>
      </c>
      <c r="G127" s="0" t="n">
        <v>648</v>
      </c>
      <c r="H127" s="0" t="n">
        <v>1217</v>
      </c>
      <c r="I127" s="0" t="n">
        <v>9</v>
      </c>
      <c r="J127" s="0" t="n">
        <v>3468</v>
      </c>
      <c r="K127" s="0" t="n">
        <v>13</v>
      </c>
      <c r="L127" s="0" t="n">
        <v>11775</v>
      </c>
      <c r="M127" s="0" t="n">
        <v>21814</v>
      </c>
    </row>
    <row r="128" customFormat="false" ht="13.5" hidden="false" customHeight="false" outlineLevel="0" collapsed="false">
      <c r="A128" s="0" t="s">
        <v>112</v>
      </c>
      <c r="B128" s="1" t="n">
        <v>43988</v>
      </c>
      <c r="C128" s="0" t="n">
        <v>1883</v>
      </c>
      <c r="D128" s="0" t="n">
        <f aca="false">C128-C127</f>
        <v>11</v>
      </c>
      <c r="E128" s="0" t="n">
        <v>7</v>
      </c>
      <c r="F128" s="0" t="n">
        <v>0</v>
      </c>
      <c r="G128" s="0" t="n">
        <v>717</v>
      </c>
      <c r="H128" s="0" t="n">
        <v>1159</v>
      </c>
      <c r="I128" s="0" t="n">
        <v>9</v>
      </c>
      <c r="J128" s="0" t="n">
        <v>3488</v>
      </c>
      <c r="K128" s="0" t="n">
        <v>13</v>
      </c>
      <c r="L128" s="0" t="n">
        <v>28440</v>
      </c>
      <c r="M128" s="0" t="n">
        <v>52685</v>
      </c>
    </row>
    <row r="129" customFormat="false" ht="13.5" hidden="false" customHeight="false" outlineLevel="0" collapsed="false">
      <c r="A129" s="0" t="s">
        <v>112</v>
      </c>
      <c r="B129" s="1" t="n">
        <v>43989</v>
      </c>
      <c r="C129" s="0" t="n">
        <v>1901</v>
      </c>
      <c r="D129" s="0" t="n">
        <f aca="false">C129-C128</f>
        <v>18</v>
      </c>
      <c r="E129" s="0" t="n">
        <v>8</v>
      </c>
      <c r="F129" s="0" t="n">
        <v>1</v>
      </c>
      <c r="G129" s="0" t="n">
        <v>763</v>
      </c>
      <c r="H129" s="0" t="n">
        <v>1130</v>
      </c>
      <c r="I129" s="0" t="n">
        <v>9</v>
      </c>
      <c r="J129" s="0" t="n">
        <v>3521</v>
      </c>
      <c r="K129" s="0" t="n">
        <v>15</v>
      </c>
      <c r="L129" s="0" t="n">
        <v>28940</v>
      </c>
      <c r="M129" s="0" t="n">
        <v>53609</v>
      </c>
    </row>
    <row r="130" customFormat="false" ht="13.5" hidden="false" customHeight="false" outlineLevel="0" collapsed="false">
      <c r="A130" s="0" t="s">
        <v>112</v>
      </c>
      <c r="B130" s="1" t="n">
        <v>43990</v>
      </c>
      <c r="C130" s="0" t="n">
        <v>1903</v>
      </c>
      <c r="D130" s="0" t="n">
        <f aca="false">C130-C129</f>
        <v>2</v>
      </c>
      <c r="E130" s="0" t="n">
        <v>8</v>
      </c>
      <c r="F130" s="0" t="n">
        <v>0</v>
      </c>
      <c r="G130" s="0" t="n">
        <v>827</v>
      </c>
      <c r="H130" s="0" t="n">
        <v>1068</v>
      </c>
      <c r="I130" s="0" t="n">
        <v>9</v>
      </c>
      <c r="J130" s="0" t="n">
        <v>3525</v>
      </c>
      <c r="K130" s="0" t="n">
        <v>15</v>
      </c>
      <c r="L130" s="0" t="n">
        <v>28940</v>
      </c>
      <c r="M130" s="0" t="n">
        <v>53606</v>
      </c>
    </row>
    <row r="131" customFormat="false" ht="13.5" hidden="false" customHeight="false" outlineLevel="0" collapsed="false">
      <c r="A131" s="0" t="s">
        <v>112</v>
      </c>
      <c r="B131" s="1" t="n">
        <v>43991</v>
      </c>
      <c r="C131" s="0" t="n">
        <v>1916</v>
      </c>
      <c r="D131" s="0" t="n">
        <f aca="false">C131-C130</f>
        <v>13</v>
      </c>
      <c r="E131" s="0" t="n">
        <v>8</v>
      </c>
      <c r="F131" s="0" t="n">
        <v>0</v>
      </c>
      <c r="G131" s="0" t="n">
        <v>925</v>
      </c>
      <c r="H131" s="0" t="n">
        <v>983</v>
      </c>
      <c r="I131" s="0" t="n">
        <v>9</v>
      </c>
      <c r="J131" s="0" t="n">
        <v>3549</v>
      </c>
      <c r="K131" s="0" t="n">
        <v>15</v>
      </c>
      <c r="L131" s="0" t="n">
        <v>28940</v>
      </c>
      <c r="M131" s="0" t="n">
        <v>53604</v>
      </c>
    </row>
    <row r="132" customFormat="false" ht="13.5" hidden="false" customHeight="false" outlineLevel="0" collapsed="false">
      <c r="A132" s="0" t="s">
        <v>112</v>
      </c>
      <c r="B132" s="1" t="n">
        <v>43992</v>
      </c>
      <c r="C132" s="0" t="n">
        <v>1942</v>
      </c>
      <c r="D132" s="0" t="n">
        <f aca="false">C132-C131</f>
        <v>26</v>
      </c>
      <c r="E132" s="0" t="n">
        <v>8</v>
      </c>
      <c r="F132" s="0" t="n">
        <v>0</v>
      </c>
      <c r="G132" s="0" t="n">
        <v>1010</v>
      </c>
      <c r="H132" s="0" t="n">
        <v>924</v>
      </c>
      <c r="I132" s="0" t="n">
        <v>9</v>
      </c>
      <c r="J132" s="0" t="n">
        <v>3597</v>
      </c>
      <c r="K132" s="0" t="n">
        <v>15</v>
      </c>
      <c r="L132" s="0" t="n">
        <v>28940</v>
      </c>
      <c r="M132" s="0" t="n">
        <v>53601</v>
      </c>
    </row>
    <row r="133" customFormat="false" ht="13.5" hidden="false" customHeight="false" outlineLevel="0" collapsed="false">
      <c r="A133" s="0" t="s">
        <v>112</v>
      </c>
      <c r="B133" s="1" t="n">
        <v>43993</v>
      </c>
      <c r="C133" s="0" t="n">
        <v>1962</v>
      </c>
      <c r="D133" s="0" t="n">
        <f aca="false">C133-C132</f>
        <v>20</v>
      </c>
      <c r="E133" s="0" t="n">
        <v>8</v>
      </c>
      <c r="F133" s="0" t="n">
        <v>0</v>
      </c>
      <c r="G133" s="0" t="n">
        <v>1121</v>
      </c>
      <c r="H133" s="0" t="n">
        <v>833</v>
      </c>
      <c r="I133" s="0" t="n">
        <v>9</v>
      </c>
      <c r="J133" s="0" t="n">
        <v>3634</v>
      </c>
      <c r="K133" s="0" t="n">
        <v>15</v>
      </c>
      <c r="L133" s="0" t="n">
        <v>28940</v>
      </c>
      <c r="M133" s="0" t="n">
        <v>53599</v>
      </c>
    </row>
    <row r="134" customFormat="false" ht="13.5" hidden="false" customHeight="false" outlineLevel="0" collapsed="false">
      <c r="A134" s="0" t="s">
        <v>112</v>
      </c>
      <c r="B134" s="1" t="n">
        <v>43994</v>
      </c>
      <c r="C134" s="0" t="n">
        <v>1976</v>
      </c>
      <c r="D134" s="0" t="n">
        <f aca="false">C134-C133</f>
        <v>14</v>
      </c>
      <c r="E134" s="0" t="n">
        <v>8</v>
      </c>
      <c r="F134" s="0" t="n">
        <v>0</v>
      </c>
      <c r="G134" s="0" t="n">
        <v>1153</v>
      </c>
      <c r="H134" s="0" t="n">
        <v>815</v>
      </c>
      <c r="I134" s="0" t="n">
        <v>9</v>
      </c>
      <c r="J134" s="0" t="n">
        <v>3660</v>
      </c>
      <c r="K134" s="0" t="n">
        <v>15</v>
      </c>
      <c r="L134" s="0" t="n">
        <v>28940</v>
      </c>
      <c r="M134" s="0" t="n">
        <v>53596</v>
      </c>
    </row>
    <row r="135" customFormat="false" ht="13.5" hidden="false" customHeight="false" outlineLevel="0" collapsed="false">
      <c r="A135" s="0" t="s">
        <v>112</v>
      </c>
      <c r="B135" s="1" t="n">
        <v>43995</v>
      </c>
      <c r="C135" s="0" t="n">
        <v>2003</v>
      </c>
      <c r="D135" s="0" t="n">
        <f aca="false">C135-C134</f>
        <v>27</v>
      </c>
      <c r="E135" s="0" t="n">
        <v>8</v>
      </c>
      <c r="F135" s="0" t="n">
        <v>0</v>
      </c>
      <c r="G135" s="0" t="n">
        <v>1193</v>
      </c>
      <c r="H135" s="0" t="n">
        <v>802</v>
      </c>
      <c r="I135" s="0" t="n">
        <v>9</v>
      </c>
      <c r="J135" s="0" t="n">
        <v>3709</v>
      </c>
      <c r="K135" s="0" t="n">
        <v>15</v>
      </c>
      <c r="L135" s="0" t="n">
        <v>28940</v>
      </c>
      <c r="M135" s="0" t="n">
        <v>53594</v>
      </c>
    </row>
    <row r="136" customFormat="false" ht="13.5" hidden="false" customHeight="false" outlineLevel="0" collapsed="false">
      <c r="A136" s="0" t="s">
        <v>112</v>
      </c>
      <c r="B136" s="1" t="n">
        <v>43996</v>
      </c>
      <c r="C136" s="0" t="n">
        <v>2013</v>
      </c>
      <c r="D136" s="0" t="n">
        <f aca="false">C136-C135</f>
        <v>10</v>
      </c>
      <c r="E136" s="0" t="n">
        <v>8</v>
      </c>
      <c r="F136" s="0" t="n">
        <v>0</v>
      </c>
      <c r="G136" s="0" t="n">
        <v>1217</v>
      </c>
      <c r="H136" s="0" t="n">
        <v>788</v>
      </c>
      <c r="I136" s="0" t="n">
        <v>9</v>
      </c>
      <c r="J136" s="0" t="n">
        <v>3728</v>
      </c>
      <c r="K136" s="0" t="n">
        <v>15</v>
      </c>
      <c r="L136" s="0" t="n">
        <v>28940</v>
      </c>
      <c r="M136" s="0" t="n">
        <v>53591</v>
      </c>
    </row>
    <row r="137" customFormat="false" ht="13.5" hidden="false" customHeight="false" outlineLevel="0" collapsed="false">
      <c r="A137" s="0" t="s">
        <v>112</v>
      </c>
      <c r="B137" s="1" t="n">
        <v>43997</v>
      </c>
      <c r="C137" s="0" t="n">
        <v>2035</v>
      </c>
      <c r="D137" s="0" t="n">
        <f aca="false">C137-C136</f>
        <v>22</v>
      </c>
      <c r="E137" s="0" t="n">
        <v>8</v>
      </c>
      <c r="F137" s="0" t="n">
        <v>0</v>
      </c>
      <c r="G137" s="0" t="n">
        <v>1311</v>
      </c>
      <c r="H137" s="0" t="n">
        <v>716</v>
      </c>
      <c r="I137" s="0" t="n">
        <v>9</v>
      </c>
      <c r="J137" s="0" t="n">
        <v>3768</v>
      </c>
      <c r="K137" s="0" t="n">
        <v>15</v>
      </c>
      <c r="L137" s="0" t="n">
        <v>28940</v>
      </c>
      <c r="M137" s="0" t="n">
        <v>53588</v>
      </c>
    </row>
    <row r="138" customFormat="false" ht="13.5" hidden="false" customHeight="false" outlineLevel="0" collapsed="false">
      <c r="A138" s="0" t="s">
        <v>112</v>
      </c>
      <c r="B138" s="1" t="n">
        <v>43998</v>
      </c>
      <c r="C138" s="0" t="n">
        <v>2065</v>
      </c>
      <c r="D138" s="0" t="n">
        <f aca="false">C138-C137</f>
        <v>30</v>
      </c>
      <c r="E138" s="0" t="n">
        <v>8</v>
      </c>
      <c r="F138" s="0" t="n">
        <v>0</v>
      </c>
      <c r="G138" s="0" t="n">
        <v>1540</v>
      </c>
      <c r="H138" s="0" t="n">
        <v>517</v>
      </c>
      <c r="I138" s="0" t="n">
        <v>9</v>
      </c>
      <c r="J138" s="0" t="n">
        <v>3823</v>
      </c>
      <c r="K138" s="0" t="n">
        <v>15</v>
      </c>
      <c r="L138" s="0" t="n">
        <v>35533</v>
      </c>
      <c r="M138" s="0" t="n">
        <v>65790</v>
      </c>
    </row>
    <row r="139" customFormat="false" ht="13.5" hidden="false" customHeight="false" outlineLevel="0" collapsed="false">
      <c r="A139" s="0" t="s">
        <v>112</v>
      </c>
      <c r="B139" s="1" t="n">
        <v>43999</v>
      </c>
      <c r="C139" s="0" t="n">
        <v>2094</v>
      </c>
      <c r="D139" s="0" t="n">
        <f aca="false">C139-C138</f>
        <v>29</v>
      </c>
      <c r="E139" s="0" t="n">
        <v>8</v>
      </c>
      <c r="F139" s="0" t="n">
        <v>0</v>
      </c>
      <c r="G139" s="0" t="n">
        <v>1670</v>
      </c>
      <c r="H139" s="0" t="n">
        <v>416</v>
      </c>
      <c r="I139" s="0" t="n">
        <v>9</v>
      </c>
      <c r="J139" s="0" t="n">
        <v>3877</v>
      </c>
      <c r="K139" s="0" t="n">
        <v>15</v>
      </c>
      <c r="L139" s="0" t="n">
        <v>35533</v>
      </c>
      <c r="M139" s="0" t="n">
        <v>65790</v>
      </c>
    </row>
    <row r="140" customFormat="false" ht="13.5" hidden="false" customHeight="false" outlineLevel="0" collapsed="false">
      <c r="A140" s="0" t="s">
        <v>112</v>
      </c>
      <c r="B140" s="1" t="n">
        <v>44000</v>
      </c>
      <c r="C140" s="0" t="n">
        <v>2120</v>
      </c>
      <c r="D140" s="0" t="n">
        <f aca="false">C140-C139</f>
        <v>26</v>
      </c>
      <c r="E140" s="0" t="n">
        <v>8</v>
      </c>
      <c r="F140" s="0" t="n">
        <v>0</v>
      </c>
      <c r="G140" s="0" t="n">
        <v>1677</v>
      </c>
      <c r="H140" s="0" t="n">
        <v>435</v>
      </c>
      <c r="I140" s="0" t="n">
        <v>9</v>
      </c>
      <c r="J140" s="0" t="n">
        <v>3925</v>
      </c>
      <c r="K140" s="0" t="n">
        <v>15</v>
      </c>
      <c r="L140" s="0" t="n">
        <v>35533</v>
      </c>
      <c r="M140" s="0" t="n">
        <v>65787</v>
      </c>
    </row>
    <row r="141" customFormat="false" ht="13.5" hidden="false" customHeight="false" outlineLevel="0" collapsed="false">
      <c r="A141" s="0" t="s">
        <v>112</v>
      </c>
      <c r="B141" s="1" t="n">
        <v>44001</v>
      </c>
      <c r="C141" s="0" t="n">
        <v>2137</v>
      </c>
      <c r="D141" s="0" t="n">
        <f aca="false">C141-C140</f>
        <v>17</v>
      </c>
      <c r="E141" s="0" t="n">
        <v>8</v>
      </c>
      <c r="F141" s="0" t="n">
        <v>0</v>
      </c>
      <c r="G141" s="0" t="n">
        <v>1677</v>
      </c>
      <c r="H141" s="0" t="n">
        <v>452</v>
      </c>
      <c r="I141" s="0" t="n">
        <v>9</v>
      </c>
      <c r="J141" s="0" t="n">
        <v>3956</v>
      </c>
      <c r="K141" s="0" t="n">
        <v>15</v>
      </c>
      <c r="L141" s="0" t="n">
        <v>35533</v>
      </c>
      <c r="M141" s="0" t="n">
        <v>65784</v>
      </c>
    </row>
    <row r="142" customFormat="false" ht="13.5" hidden="false" customHeight="false" outlineLevel="0" collapsed="false">
      <c r="A142" s="0" t="s">
        <v>112</v>
      </c>
      <c r="B142" s="1" t="n">
        <v>44002</v>
      </c>
      <c r="C142" s="0" t="n">
        <v>2150</v>
      </c>
      <c r="D142" s="0" t="n">
        <v>13</v>
      </c>
      <c r="E142" s="0" t="n">
        <v>8</v>
      </c>
      <c r="F142" s="0" t="n">
        <v>0</v>
      </c>
      <c r="G142" s="0" t="n">
        <v>1769</v>
      </c>
      <c r="H142" s="0" t="n">
        <v>373</v>
      </c>
      <c r="I142" s="0" t="n">
        <v>9</v>
      </c>
      <c r="J142" s="0" t="n">
        <v>3980</v>
      </c>
      <c r="K142" s="0" t="n">
        <v>15</v>
      </c>
      <c r="L142" s="0" t="n">
        <v>35533</v>
      </c>
      <c r="M142" s="0" t="n">
        <v>65781</v>
      </c>
    </row>
    <row r="143" customFormat="false" ht="13.5" hidden="false" customHeight="false" outlineLevel="0" collapsed="false">
      <c r="A143" s="0" t="s">
        <v>112</v>
      </c>
      <c r="B143" s="1" t="n">
        <v>44003</v>
      </c>
      <c r="C143" s="0" t="n">
        <v>2187</v>
      </c>
      <c r="D143" s="0" t="n">
        <v>37</v>
      </c>
      <c r="E143" s="0" t="n">
        <v>8</v>
      </c>
      <c r="F143" s="0" t="n">
        <v>0</v>
      </c>
      <c r="G143" s="0" t="n">
        <v>1788</v>
      </c>
      <c r="H143" s="0" t="n">
        <v>391</v>
      </c>
      <c r="I143" s="0" t="n">
        <v>9</v>
      </c>
      <c r="J143" s="0" t="n">
        <v>4049</v>
      </c>
      <c r="K143" s="0" t="n">
        <v>15</v>
      </c>
      <c r="L143" s="0" t="n">
        <v>35533</v>
      </c>
      <c r="M143" s="0" t="n">
        <v>65778</v>
      </c>
    </row>
    <row r="144" customFormat="false" ht="13.5" hidden="false" customHeight="false" outlineLevel="0" collapsed="false">
      <c r="A144" s="0" t="s">
        <v>112</v>
      </c>
      <c r="B144" s="1" t="n">
        <v>44004</v>
      </c>
      <c r="C144" s="0" t="n">
        <v>2203</v>
      </c>
      <c r="D144" s="0" t="n">
        <v>16</v>
      </c>
      <c r="E144" s="0" t="n">
        <v>8</v>
      </c>
      <c r="F144" s="0" t="n">
        <v>0</v>
      </c>
      <c r="G144" s="0" t="n">
        <v>1803</v>
      </c>
      <c r="H144" s="0" t="n">
        <v>392</v>
      </c>
      <c r="I144" s="0" t="n">
        <v>9</v>
      </c>
      <c r="J144" s="0" t="n">
        <v>4078</v>
      </c>
      <c r="K144" s="0" t="n">
        <v>15</v>
      </c>
      <c r="L144" s="0" t="n">
        <v>35533</v>
      </c>
      <c r="M144" s="0" t="n">
        <v>65775</v>
      </c>
    </row>
    <row r="145" customFormat="false" ht="13.5" hidden="false" customHeight="false" outlineLevel="0" collapsed="false">
      <c r="A145" s="0" t="s">
        <v>112</v>
      </c>
      <c r="B145" s="1" t="n">
        <v>44005</v>
      </c>
      <c r="C145" s="0" t="n">
        <v>2217</v>
      </c>
      <c r="D145" s="0" t="n">
        <v>14</v>
      </c>
      <c r="E145" s="0" t="n">
        <v>8</v>
      </c>
      <c r="F145" s="0" t="n">
        <v>0</v>
      </c>
      <c r="G145" s="0" t="n">
        <v>1813</v>
      </c>
      <c r="H145" s="0" t="n">
        <v>396</v>
      </c>
      <c r="I145" s="0" t="n">
        <v>9</v>
      </c>
      <c r="J145" s="0" t="n">
        <v>4104</v>
      </c>
      <c r="K145" s="0" t="n">
        <v>15</v>
      </c>
      <c r="L145" s="0" t="n">
        <v>42830</v>
      </c>
      <c r="M145" s="0" t="n">
        <v>79278</v>
      </c>
    </row>
    <row r="146" customFormat="false" ht="13.5" hidden="false" customHeight="false" outlineLevel="0" collapsed="false">
      <c r="A146" s="0" t="s">
        <v>112</v>
      </c>
      <c r="B146" s="1" t="n">
        <v>44006</v>
      </c>
      <c r="C146" s="0" t="n">
        <v>2238</v>
      </c>
      <c r="D146" s="0" t="n">
        <v>21</v>
      </c>
      <c r="E146" s="0" t="n">
        <v>8</v>
      </c>
      <c r="F146" s="0" t="n">
        <v>0</v>
      </c>
      <c r="G146" s="0" t="n">
        <v>1813</v>
      </c>
      <c r="H146" s="0" t="n">
        <v>417</v>
      </c>
      <c r="I146" s="0" t="n">
        <v>9</v>
      </c>
      <c r="J146" s="0" t="n">
        <v>4142</v>
      </c>
      <c r="K146" s="0" t="n">
        <v>15</v>
      </c>
      <c r="L146" s="0" t="n">
        <v>42830</v>
      </c>
      <c r="M146" s="0" t="n">
        <v>79274</v>
      </c>
    </row>
    <row r="147" customFormat="false" ht="13.5" hidden="false" customHeight="false" outlineLevel="0" collapsed="false">
      <c r="A147" s="0" t="s">
        <v>112</v>
      </c>
      <c r="B147" s="1" t="n">
        <v>44007</v>
      </c>
      <c r="C147" s="0" t="n">
        <v>2261</v>
      </c>
      <c r="D147" s="0" t="n">
        <v>23</v>
      </c>
      <c r="E147" s="0" t="n">
        <v>8</v>
      </c>
      <c r="F147" s="0" t="n">
        <v>0</v>
      </c>
      <c r="G147" s="0" t="n">
        <v>1839</v>
      </c>
      <c r="H147" s="0" t="n">
        <v>414</v>
      </c>
      <c r="I147" s="0" t="n">
        <v>9</v>
      </c>
      <c r="J147" s="0" t="n">
        <v>4185</v>
      </c>
      <c r="K147" s="0" t="n">
        <v>15</v>
      </c>
      <c r="L147" s="0" t="n">
        <v>42830</v>
      </c>
      <c r="M147" s="0" t="n">
        <v>79270</v>
      </c>
    </row>
    <row r="148" customFormat="false" ht="13.5" hidden="false" customHeight="false" outlineLevel="0" collapsed="false">
      <c r="A148" s="0" t="s">
        <v>112</v>
      </c>
      <c r="B148" s="1" t="n">
        <v>44008</v>
      </c>
      <c r="C148" s="0" t="n">
        <v>2277</v>
      </c>
      <c r="D148" s="0" t="n">
        <v>16</v>
      </c>
      <c r="E148" s="0" t="n">
        <v>8</v>
      </c>
      <c r="F148" s="0" t="n">
        <v>0</v>
      </c>
      <c r="G148" s="0" t="n">
        <v>1848</v>
      </c>
      <c r="H148" s="0" t="n">
        <v>421</v>
      </c>
      <c r="I148" s="0" t="n">
        <v>9</v>
      </c>
      <c r="J148" s="0" t="n">
        <v>4214</v>
      </c>
      <c r="K148" s="0" t="n">
        <v>15</v>
      </c>
      <c r="L148" s="0" t="n">
        <v>46182</v>
      </c>
      <c r="M148" s="0" t="n">
        <v>85470</v>
      </c>
    </row>
    <row r="149" customFormat="false" ht="13.5" hidden="false" customHeight="false" outlineLevel="0" collapsed="false">
      <c r="A149" s="0" t="s">
        <v>112</v>
      </c>
      <c r="B149" s="1" t="n">
        <v>44009</v>
      </c>
      <c r="C149" s="0" t="n">
        <v>2277</v>
      </c>
      <c r="D149" s="0" t="n">
        <v>0</v>
      </c>
      <c r="E149" s="0" t="n">
        <v>8</v>
      </c>
      <c r="F149" s="0" t="n">
        <v>0</v>
      </c>
      <c r="G149" s="0" t="n">
        <v>1848</v>
      </c>
      <c r="H149" s="0" t="n">
        <v>421</v>
      </c>
      <c r="I149" s="0" t="n">
        <v>9</v>
      </c>
      <c r="J149" s="0" t="n">
        <v>4214</v>
      </c>
      <c r="K149" s="0" t="n">
        <v>15</v>
      </c>
      <c r="L149" s="0" t="n">
        <v>46182</v>
      </c>
      <c r="M149" s="0" t="n">
        <v>85466</v>
      </c>
    </row>
    <row r="150" customFormat="false" ht="13.5" hidden="false" customHeight="false" outlineLevel="0" collapsed="false">
      <c r="A150" s="0" t="s">
        <v>112</v>
      </c>
      <c r="B150" s="1" t="n">
        <v>44010</v>
      </c>
      <c r="C150" s="0" t="n">
        <v>2305</v>
      </c>
      <c r="D150" s="0" t="n">
        <v>28</v>
      </c>
      <c r="E150" s="0" t="n">
        <v>8</v>
      </c>
      <c r="F150" s="0" t="n">
        <v>0</v>
      </c>
      <c r="G150" s="0" t="n">
        <v>1875</v>
      </c>
      <c r="H150" s="0" t="n">
        <v>422</v>
      </c>
      <c r="I150" s="0" t="n">
        <v>9</v>
      </c>
      <c r="J150" s="0" t="n">
        <v>4266</v>
      </c>
      <c r="K150" s="0" t="n">
        <v>15</v>
      </c>
      <c r="L150" s="0" t="n">
        <v>47741</v>
      </c>
      <c r="M150" s="0" t="n">
        <v>88347</v>
      </c>
    </row>
    <row r="151" customFormat="false" ht="13.5" hidden="false" customHeight="false" outlineLevel="0" collapsed="false">
      <c r="A151" s="0" t="s">
        <v>112</v>
      </c>
      <c r="B151" s="1" t="n">
        <v>44011</v>
      </c>
      <c r="C151" s="0" t="n">
        <v>2324</v>
      </c>
      <c r="D151" s="0" t="n">
        <v>19</v>
      </c>
      <c r="E151" s="0" t="n">
        <v>8</v>
      </c>
      <c r="F151" s="0" t="n">
        <v>0</v>
      </c>
      <c r="G151" s="0" t="n">
        <v>1911</v>
      </c>
      <c r="H151" s="0" t="n">
        <v>405</v>
      </c>
      <c r="I151" s="0" t="n">
        <v>9</v>
      </c>
      <c r="J151" s="0" t="n">
        <v>4300</v>
      </c>
      <c r="K151" s="0" t="n">
        <v>15</v>
      </c>
      <c r="L151" s="0" t="n">
        <v>48603</v>
      </c>
      <c r="M151" s="0" t="n">
        <v>89938</v>
      </c>
    </row>
    <row r="152" customFormat="false" ht="13.5" hidden="false" customHeight="false" outlineLevel="0" collapsed="false">
      <c r="A152" s="0" t="s">
        <v>112</v>
      </c>
      <c r="B152" s="1" t="n">
        <v>44012</v>
      </c>
    </row>
    <row r="153" customFormat="false" ht="13.5" hidden="false" customHeight="false" outlineLevel="0" collapsed="false">
      <c r="A153" s="0" t="s">
        <v>112</v>
      </c>
      <c r="B153" s="1" t="n">
        <v>44013</v>
      </c>
    </row>
    <row r="154" customFormat="false" ht="13.5" hidden="false" customHeight="false" outlineLevel="0" collapsed="false">
      <c r="A154" s="0" t="s">
        <v>112</v>
      </c>
      <c r="B154" s="1" t="n">
        <v>44014</v>
      </c>
    </row>
    <row r="155" customFormat="false" ht="13.5" hidden="false" customHeight="false" outlineLevel="0" collapsed="false">
      <c r="A155" s="0" t="s">
        <v>112</v>
      </c>
      <c r="B155" s="1" t="n">
        <v>44015</v>
      </c>
    </row>
    <row r="156" customFormat="false" ht="13.5" hidden="false" customHeight="false" outlineLevel="0" collapsed="false">
      <c r="A156" s="0" t="s">
        <v>112</v>
      </c>
      <c r="B156" s="1" t="n">
        <v>44016</v>
      </c>
    </row>
    <row r="157" customFormat="false" ht="13.5" hidden="false" customHeight="false" outlineLevel="0" collapsed="false">
      <c r="A157" s="0" t="s">
        <v>112</v>
      </c>
      <c r="B157" s="1" t="n">
        <v>44017</v>
      </c>
    </row>
    <row r="158" customFormat="false" ht="13.5" hidden="false" customHeight="false" outlineLevel="0" collapsed="false">
      <c r="A158" s="0" t="s">
        <v>112</v>
      </c>
      <c r="B158" s="1" t="n">
        <v>44018</v>
      </c>
    </row>
    <row r="159" customFormat="false" ht="13.5" hidden="false" customHeight="false" outlineLevel="0" collapsed="false">
      <c r="A159" s="0" t="s">
        <v>112</v>
      </c>
      <c r="B159" s="1" t="n">
        <v>44019</v>
      </c>
    </row>
    <row r="160" customFormat="false" ht="13.5" hidden="false" customHeight="false" outlineLevel="0" collapsed="false">
      <c r="A160" s="0" t="s">
        <v>112</v>
      </c>
      <c r="B160" s="1" t="n">
        <v>44020</v>
      </c>
    </row>
    <row r="161" customFormat="false" ht="13.5" hidden="false" customHeight="false" outlineLevel="0" collapsed="false">
      <c r="A161" s="0" t="s">
        <v>112</v>
      </c>
      <c r="B161" s="1" t="n">
        <v>44021</v>
      </c>
    </row>
    <row r="162" customFormat="false" ht="13.5" hidden="false" customHeight="false" outlineLevel="0" collapsed="false">
      <c r="A162" s="0" t="s">
        <v>112</v>
      </c>
      <c r="B162" s="1" t="n">
        <v>44022</v>
      </c>
    </row>
    <row r="163" customFormat="false" ht="13.5" hidden="false" customHeight="false" outlineLevel="0" collapsed="false">
      <c r="A163" s="0" t="s">
        <v>112</v>
      </c>
      <c r="B163" s="1" t="n">
        <v>44023</v>
      </c>
    </row>
    <row r="164" customFormat="false" ht="13.5" hidden="false" customHeight="false" outlineLevel="0" collapsed="false">
      <c r="A164" s="0" t="s">
        <v>112</v>
      </c>
      <c r="B164" s="1" t="n">
        <v>44024</v>
      </c>
    </row>
    <row r="165" customFormat="false" ht="13.5" hidden="false" customHeight="false" outlineLevel="0" collapsed="false">
      <c r="A165" s="0" t="s">
        <v>112</v>
      </c>
      <c r="B165" s="1" t="n">
        <v>44025</v>
      </c>
    </row>
    <row r="166" customFormat="false" ht="13.5" hidden="false" customHeight="false" outlineLevel="0" collapsed="false">
      <c r="A166" s="0" t="s">
        <v>112</v>
      </c>
      <c r="B166" s="1" t="n">
        <v>44026</v>
      </c>
    </row>
    <row r="167" customFormat="false" ht="13.5" hidden="false" customHeight="false" outlineLevel="0" collapsed="false">
      <c r="A167" s="0" t="s">
        <v>112</v>
      </c>
      <c r="B167" s="1" t="n">
        <v>44027</v>
      </c>
    </row>
    <row r="168" customFormat="false" ht="13.5" hidden="false" customHeight="false" outlineLevel="0" collapsed="false">
      <c r="A168" s="0" t="s">
        <v>112</v>
      </c>
      <c r="B168" s="1" t="n">
        <v>44028</v>
      </c>
    </row>
    <row r="169" customFormat="false" ht="13.5" hidden="false" customHeight="false" outlineLevel="0" collapsed="false">
      <c r="A169" s="0" t="s">
        <v>112</v>
      </c>
      <c r="B169" s="1" t="n">
        <v>44029</v>
      </c>
    </row>
    <row r="170" customFormat="false" ht="13.5" hidden="false" customHeight="false" outlineLevel="0" collapsed="false">
      <c r="A170" s="0" t="s">
        <v>112</v>
      </c>
      <c r="B170" s="1" t="n">
        <v>44030</v>
      </c>
    </row>
    <row r="171" customFormat="false" ht="13.5" hidden="false" customHeight="false" outlineLevel="0" collapsed="false">
      <c r="A171" s="0" t="s">
        <v>112</v>
      </c>
      <c r="B171" s="1" t="n">
        <v>44031</v>
      </c>
    </row>
    <row r="172" customFormat="false" ht="13.5" hidden="false" customHeight="false" outlineLevel="0" collapsed="false">
      <c r="A172" s="0" t="s">
        <v>112</v>
      </c>
      <c r="B172" s="1" t="n">
        <v>44032</v>
      </c>
    </row>
    <row r="173" customFormat="false" ht="13.5" hidden="false" customHeight="false" outlineLevel="0" collapsed="false">
      <c r="A173" s="0" t="s">
        <v>112</v>
      </c>
      <c r="B173" s="1" t="n">
        <v>44033</v>
      </c>
    </row>
    <row r="174" customFormat="false" ht="13.5" hidden="false" customHeight="false" outlineLevel="0" collapsed="false">
      <c r="A174" s="0" t="s">
        <v>112</v>
      </c>
      <c r="B174" s="1" t="n">
        <v>44034</v>
      </c>
    </row>
    <row r="175" customFormat="false" ht="13.5" hidden="false" customHeight="false" outlineLevel="0" collapsed="false">
      <c r="A175" s="0" t="s">
        <v>112</v>
      </c>
      <c r="B175" s="1" t="n">
        <v>44035</v>
      </c>
    </row>
    <row r="176" customFormat="false" ht="13.5" hidden="false" customHeight="false" outlineLevel="0" collapsed="false">
      <c r="A176" s="0" t="s">
        <v>112</v>
      </c>
      <c r="B176" s="1" t="n">
        <v>44036</v>
      </c>
    </row>
    <row r="177" customFormat="false" ht="13.5" hidden="false" customHeight="false" outlineLevel="0" collapsed="false">
      <c r="A177" s="0" t="s">
        <v>112</v>
      </c>
      <c r="B177" s="1" t="n">
        <v>44037</v>
      </c>
    </row>
    <row r="178" customFormat="false" ht="13.5" hidden="false" customHeight="false" outlineLevel="0" collapsed="false">
      <c r="A178" s="0" t="s">
        <v>112</v>
      </c>
      <c r="B178" s="1" t="n">
        <v>44038</v>
      </c>
    </row>
    <row r="179" customFormat="false" ht="13.5" hidden="false" customHeight="false" outlineLevel="0" collapsed="false">
      <c r="A179" s="0" t="s">
        <v>112</v>
      </c>
      <c r="B179" s="1" t="n">
        <v>44039</v>
      </c>
    </row>
    <row r="180" customFormat="false" ht="13.5" hidden="false" customHeight="false" outlineLevel="0" collapsed="false">
      <c r="A180" s="0" t="s">
        <v>112</v>
      </c>
      <c r="B180" s="1" t="n">
        <v>44040</v>
      </c>
    </row>
    <row r="181" customFormat="false" ht="13.5" hidden="false" customHeight="false" outlineLevel="0" collapsed="false">
      <c r="A181" s="0" t="s">
        <v>112</v>
      </c>
      <c r="B181" s="1" t="n">
        <v>44041</v>
      </c>
    </row>
    <row r="182" customFormat="false" ht="13.5" hidden="false" customHeight="false" outlineLevel="0" collapsed="false">
      <c r="A182" s="0" t="s">
        <v>112</v>
      </c>
      <c r="B182" s="1" t="n">
        <v>44042</v>
      </c>
    </row>
    <row r="183" customFormat="false" ht="13.5" hidden="false" customHeight="false" outlineLevel="0" collapsed="false">
      <c r="A183" s="0" t="s">
        <v>112</v>
      </c>
      <c r="B183" s="1" t="n">
        <v>44043</v>
      </c>
    </row>
    <row r="184" customFormat="false" ht="13.5" hidden="false" customHeight="false" outlineLevel="0" collapsed="false">
      <c r="A184" s="0" t="s">
        <v>112</v>
      </c>
      <c r="B184" s="1" t="n">
        <v>44044</v>
      </c>
    </row>
    <row r="185" customFormat="false" ht="13.5" hidden="false" customHeight="false" outlineLevel="0" collapsed="false">
      <c r="A185" s="0" t="s">
        <v>112</v>
      </c>
      <c r="B185" s="1" t="n">
        <v>44045</v>
      </c>
    </row>
    <row r="186" customFormat="false" ht="13.5" hidden="false" customHeight="false" outlineLevel="0" collapsed="false">
      <c r="A186" s="0" t="s">
        <v>112</v>
      </c>
      <c r="B186" s="1" t="n">
        <v>44046</v>
      </c>
    </row>
    <row r="187" customFormat="false" ht="13.5" hidden="false" customHeight="false" outlineLevel="0" collapsed="false">
      <c r="A187" s="0" t="s">
        <v>112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113</v>
      </c>
      <c r="B2" s="1" t="n">
        <v>43862</v>
      </c>
    </row>
    <row r="3" customFormat="false" ht="13.5" hidden="false" customHeight="false" outlineLevel="0" collapsed="false">
      <c r="A3" s="0" t="s">
        <v>113</v>
      </c>
      <c r="B3" s="1" t="n">
        <v>43863</v>
      </c>
    </row>
    <row r="4" customFormat="false" ht="13.5" hidden="false" customHeight="false" outlineLevel="0" collapsed="false">
      <c r="A4" s="0" t="s">
        <v>113</v>
      </c>
      <c r="B4" s="1" t="n">
        <v>43864</v>
      </c>
    </row>
    <row r="5" customFormat="false" ht="13.5" hidden="false" customHeight="false" outlineLevel="0" collapsed="false">
      <c r="A5" s="0" t="s">
        <v>113</v>
      </c>
      <c r="B5" s="1" t="n">
        <v>43865</v>
      </c>
    </row>
    <row r="6" customFormat="false" ht="13.5" hidden="false" customHeight="false" outlineLevel="0" collapsed="false">
      <c r="A6" s="0" t="s">
        <v>113</v>
      </c>
      <c r="B6" s="1" t="n">
        <v>43866</v>
      </c>
    </row>
    <row r="7" customFormat="false" ht="13.5" hidden="false" customHeight="false" outlineLevel="0" collapsed="false">
      <c r="A7" s="0" t="s">
        <v>113</v>
      </c>
      <c r="B7" s="1" t="n">
        <v>43867</v>
      </c>
    </row>
    <row r="8" customFormat="false" ht="13.5" hidden="false" customHeight="false" outlineLevel="0" collapsed="false">
      <c r="A8" s="0" t="s">
        <v>113</v>
      </c>
      <c r="B8" s="1" t="n">
        <v>43868</v>
      </c>
    </row>
    <row r="9" customFormat="false" ht="13.5" hidden="false" customHeight="false" outlineLevel="0" collapsed="false">
      <c r="A9" s="0" t="s">
        <v>113</v>
      </c>
      <c r="B9" s="1" t="n">
        <v>43869</v>
      </c>
    </row>
    <row r="10" customFormat="false" ht="13.5" hidden="false" customHeight="false" outlineLevel="0" collapsed="false">
      <c r="A10" s="0" t="s">
        <v>113</v>
      </c>
      <c r="B10" s="1" t="n">
        <v>43870</v>
      </c>
    </row>
    <row r="11" customFormat="false" ht="13.5" hidden="false" customHeight="false" outlineLevel="0" collapsed="false">
      <c r="A11" s="0" t="s">
        <v>113</v>
      </c>
      <c r="B11" s="1" t="n">
        <v>43871</v>
      </c>
    </row>
    <row r="12" customFormat="false" ht="13.5" hidden="false" customHeight="false" outlineLevel="0" collapsed="false">
      <c r="A12" s="0" t="s">
        <v>113</v>
      </c>
      <c r="B12" s="1" t="n">
        <v>43872</v>
      </c>
    </row>
    <row r="13" customFormat="false" ht="13.5" hidden="false" customHeight="false" outlineLevel="0" collapsed="false">
      <c r="A13" s="0" t="s">
        <v>113</v>
      </c>
      <c r="B13" s="1" t="n">
        <v>43873</v>
      </c>
    </row>
    <row r="14" customFormat="false" ht="13.5" hidden="false" customHeight="false" outlineLevel="0" collapsed="false">
      <c r="A14" s="0" t="s">
        <v>113</v>
      </c>
      <c r="B14" s="1" t="n">
        <v>43874</v>
      </c>
    </row>
    <row r="15" customFormat="false" ht="13.5" hidden="false" customHeight="false" outlineLevel="0" collapsed="false">
      <c r="A15" s="0" t="s">
        <v>113</v>
      </c>
      <c r="B15" s="1" t="n">
        <v>43875</v>
      </c>
    </row>
    <row r="16" customFormat="false" ht="13.5" hidden="false" customHeight="false" outlineLevel="0" collapsed="false">
      <c r="A16" s="0" t="s">
        <v>113</v>
      </c>
      <c r="B16" s="1" t="n">
        <v>43876</v>
      </c>
    </row>
    <row r="17" customFormat="false" ht="13.5" hidden="false" customHeight="false" outlineLevel="0" collapsed="false">
      <c r="A17" s="0" t="s">
        <v>113</v>
      </c>
      <c r="B17" s="1" t="n">
        <v>43877</v>
      </c>
    </row>
    <row r="18" customFormat="false" ht="13.5" hidden="false" customHeight="false" outlineLevel="0" collapsed="false">
      <c r="A18" s="0" t="s">
        <v>113</v>
      </c>
      <c r="B18" s="1" t="n">
        <v>43878</v>
      </c>
    </row>
    <row r="19" customFormat="false" ht="13.5" hidden="false" customHeight="false" outlineLevel="0" collapsed="false">
      <c r="A19" s="0" t="s">
        <v>113</v>
      </c>
      <c r="B19" s="1" t="n">
        <v>43879</v>
      </c>
    </row>
    <row r="20" customFormat="false" ht="13.5" hidden="false" customHeight="false" outlineLevel="0" collapsed="false">
      <c r="A20" s="0" t="s">
        <v>113</v>
      </c>
      <c r="B20" s="1" t="n">
        <v>43880</v>
      </c>
    </row>
    <row r="21" customFormat="false" ht="13.5" hidden="false" customHeight="false" outlineLevel="0" collapsed="false">
      <c r="A21" s="0" t="s">
        <v>113</v>
      </c>
      <c r="B21" s="1" t="n">
        <v>43881</v>
      </c>
    </row>
    <row r="22" customFormat="false" ht="13.5" hidden="false" customHeight="false" outlineLevel="0" collapsed="false">
      <c r="A22" s="0" t="s">
        <v>113</v>
      </c>
      <c r="B22" s="1" t="n">
        <v>43882</v>
      </c>
    </row>
    <row r="23" customFormat="false" ht="13.5" hidden="false" customHeight="false" outlineLevel="0" collapsed="false">
      <c r="A23" s="0" t="s">
        <v>113</v>
      </c>
      <c r="B23" s="1" t="n">
        <v>43883</v>
      </c>
    </row>
    <row r="24" customFormat="false" ht="13.5" hidden="false" customHeight="false" outlineLevel="0" collapsed="false">
      <c r="A24" s="0" t="s">
        <v>113</v>
      </c>
      <c r="B24" s="1" t="n">
        <v>43884</v>
      </c>
    </row>
    <row r="25" customFormat="false" ht="13.5" hidden="false" customHeight="false" outlineLevel="0" collapsed="false">
      <c r="A25" s="0" t="s">
        <v>113</v>
      </c>
      <c r="B25" s="1" t="n">
        <v>43885</v>
      </c>
    </row>
    <row r="26" customFormat="false" ht="13.5" hidden="false" customHeight="false" outlineLevel="0" collapsed="false">
      <c r="A26" s="0" t="s">
        <v>113</v>
      </c>
      <c r="B26" s="1" t="n">
        <v>43886</v>
      </c>
    </row>
    <row r="27" customFormat="false" ht="13.5" hidden="false" customHeight="false" outlineLevel="0" collapsed="false">
      <c r="A27" s="0" t="s">
        <v>113</v>
      </c>
      <c r="B27" s="1" t="n">
        <v>43887</v>
      </c>
    </row>
    <row r="28" customFormat="false" ht="13.5" hidden="false" customHeight="false" outlineLevel="0" collapsed="false">
      <c r="A28" s="0" t="s">
        <v>113</v>
      </c>
      <c r="B28" s="1" t="n">
        <v>43888</v>
      </c>
    </row>
    <row r="29" customFormat="false" ht="13.5" hidden="false" customHeight="false" outlineLevel="0" collapsed="false">
      <c r="A29" s="0" t="s">
        <v>113</v>
      </c>
      <c r="B29" s="1" t="n">
        <v>43889</v>
      </c>
    </row>
    <row r="30" customFormat="false" ht="13.5" hidden="false" customHeight="false" outlineLevel="0" collapsed="false">
      <c r="A30" s="0" t="s">
        <v>113</v>
      </c>
      <c r="B30" s="1" t="n">
        <v>43890</v>
      </c>
    </row>
    <row r="31" customFormat="false" ht="13.5" hidden="false" customHeight="false" outlineLevel="0" collapsed="false">
      <c r="A31" s="0" t="s">
        <v>113</v>
      </c>
      <c r="B31" s="1" t="n">
        <v>43891</v>
      </c>
    </row>
    <row r="32" customFormat="false" ht="13.5" hidden="false" customHeight="false" outlineLevel="0" collapsed="false">
      <c r="A32" s="0" t="s">
        <v>113</v>
      </c>
      <c r="B32" s="1" t="n">
        <v>43892</v>
      </c>
    </row>
    <row r="33" customFormat="false" ht="13.5" hidden="false" customHeight="false" outlineLevel="0" collapsed="false">
      <c r="A33" s="0" t="s">
        <v>113</v>
      </c>
      <c r="B33" s="1" t="n">
        <v>43893</v>
      </c>
    </row>
    <row r="34" customFormat="false" ht="13.5" hidden="false" customHeight="false" outlineLevel="0" collapsed="false">
      <c r="A34" s="0" t="s">
        <v>113</v>
      </c>
      <c r="B34" s="1" t="n">
        <v>43894</v>
      </c>
    </row>
    <row r="35" customFormat="false" ht="13.5" hidden="false" customHeight="false" outlineLevel="0" collapsed="false">
      <c r="A35" s="0" t="s">
        <v>113</v>
      </c>
      <c r="B35" s="1" t="n">
        <v>43895</v>
      </c>
    </row>
    <row r="36" customFormat="false" ht="13.5" hidden="false" customHeight="false" outlineLevel="0" collapsed="false">
      <c r="A36" s="0" t="s">
        <v>113</v>
      </c>
      <c r="B36" s="1" t="n">
        <v>43896</v>
      </c>
    </row>
    <row r="37" customFormat="false" ht="13.5" hidden="false" customHeight="false" outlineLevel="0" collapsed="false">
      <c r="A37" s="0" t="s">
        <v>113</v>
      </c>
      <c r="B37" s="1" t="n">
        <v>43897</v>
      </c>
    </row>
    <row r="38" customFormat="false" ht="13.5" hidden="false" customHeight="false" outlineLevel="0" collapsed="false">
      <c r="A38" s="0" t="s">
        <v>113</v>
      </c>
      <c r="B38" s="1" t="n">
        <v>43898</v>
      </c>
    </row>
    <row r="39" customFormat="false" ht="13.5" hidden="false" customHeight="false" outlineLevel="0" collapsed="false">
      <c r="A39" s="0" t="s">
        <v>113</v>
      </c>
      <c r="B39" s="1" t="n">
        <v>43899</v>
      </c>
    </row>
    <row r="40" customFormat="false" ht="13.5" hidden="false" customHeight="false" outlineLevel="0" collapsed="false">
      <c r="A40" s="0" t="s">
        <v>113</v>
      </c>
      <c r="B40" s="1" t="n">
        <v>43900</v>
      </c>
    </row>
    <row r="41" customFormat="false" ht="13.5" hidden="false" customHeight="false" outlineLevel="0" collapsed="false">
      <c r="A41" s="0" t="s">
        <v>113</v>
      </c>
      <c r="B41" s="1" t="n">
        <v>43901</v>
      </c>
    </row>
    <row r="42" customFormat="false" ht="13.5" hidden="false" customHeight="false" outlineLevel="0" collapsed="false">
      <c r="A42" s="0" t="s">
        <v>113</v>
      </c>
      <c r="B42" s="1" t="n">
        <v>43902</v>
      </c>
    </row>
    <row r="43" customFormat="false" ht="13.5" hidden="false" customHeight="false" outlineLevel="0" collapsed="false">
      <c r="A43" s="0" t="s">
        <v>113</v>
      </c>
      <c r="B43" s="1" t="n">
        <v>43903</v>
      </c>
    </row>
    <row r="44" customFormat="false" ht="13.5" hidden="false" customHeight="false" outlineLevel="0" collapsed="false">
      <c r="A44" s="0" t="s">
        <v>113</v>
      </c>
      <c r="B44" s="1" t="n">
        <v>43904</v>
      </c>
    </row>
    <row r="45" customFormat="false" ht="13.5" hidden="false" customHeight="false" outlineLevel="0" collapsed="false">
      <c r="A45" s="0" t="s">
        <v>113</v>
      </c>
      <c r="B45" s="1" t="n">
        <v>43905</v>
      </c>
      <c r="C45" s="0" t="n">
        <v>1</v>
      </c>
      <c r="D45" s="0" t="n">
        <f aca="false">C45-C44</f>
        <v>1</v>
      </c>
      <c r="H45" s="0" t="n">
        <v>1</v>
      </c>
      <c r="J45" s="0" t="n">
        <v>0.2</v>
      </c>
    </row>
    <row r="46" customFormat="false" ht="13.5" hidden="false" customHeight="false" outlineLevel="0" collapsed="false">
      <c r="A46" s="0" t="s">
        <v>113</v>
      </c>
      <c r="B46" s="1" t="n">
        <v>43906</v>
      </c>
      <c r="C46" s="0" t="n">
        <v>1</v>
      </c>
      <c r="D46" s="0" t="n">
        <f aca="false">C46-C45</f>
        <v>0</v>
      </c>
      <c r="H46" s="0" t="n">
        <v>1</v>
      </c>
      <c r="J46" s="0" t="n">
        <v>0.2</v>
      </c>
    </row>
    <row r="47" customFormat="false" ht="13.5" hidden="false" customHeight="false" outlineLevel="0" collapsed="false">
      <c r="A47" s="0" t="s">
        <v>113</v>
      </c>
      <c r="B47" s="1" t="n">
        <v>43907</v>
      </c>
      <c r="C47" s="0" t="n">
        <v>1</v>
      </c>
      <c r="D47" s="0" t="n">
        <f aca="false">C47-C46</f>
        <v>0</v>
      </c>
      <c r="H47" s="0" t="n">
        <v>1</v>
      </c>
      <c r="J47" s="0" t="n">
        <v>0.2</v>
      </c>
    </row>
    <row r="48" customFormat="false" ht="13.5" hidden="false" customHeight="false" outlineLevel="0" collapsed="false">
      <c r="A48" s="0" t="s">
        <v>113</v>
      </c>
      <c r="B48" s="1" t="n">
        <v>43908</v>
      </c>
      <c r="C48" s="0" t="n">
        <v>1</v>
      </c>
      <c r="D48" s="0" t="n">
        <f aca="false">C48-C47</f>
        <v>0</v>
      </c>
      <c r="H48" s="0" t="n">
        <v>1</v>
      </c>
      <c r="J48" s="0" t="n">
        <v>0.2</v>
      </c>
    </row>
    <row r="49" customFormat="false" ht="13.5" hidden="false" customHeight="false" outlineLevel="0" collapsed="false">
      <c r="A49" s="0" t="s">
        <v>113</v>
      </c>
      <c r="B49" s="1" t="n">
        <v>43909</v>
      </c>
      <c r="C49" s="0" t="n">
        <v>2</v>
      </c>
      <c r="D49" s="0" t="n">
        <f aca="false">C49-C48</f>
        <v>1</v>
      </c>
      <c r="H49" s="0" t="n">
        <v>2</v>
      </c>
      <c r="J49" s="0" t="n">
        <v>0.4</v>
      </c>
    </row>
    <row r="50" customFormat="false" ht="13.5" hidden="false" customHeight="false" outlineLevel="0" collapsed="false">
      <c r="A50" s="0" t="s">
        <v>113</v>
      </c>
      <c r="B50" s="1" t="n">
        <v>43910</v>
      </c>
      <c r="C50" s="0" t="n">
        <v>2</v>
      </c>
      <c r="D50" s="0" t="n">
        <f aca="false">C50-C49</f>
        <v>0</v>
      </c>
      <c r="H50" s="0" t="n">
        <v>2</v>
      </c>
      <c r="J50" s="0" t="n">
        <v>0.4</v>
      </c>
    </row>
    <row r="51" customFormat="false" ht="13.5" hidden="false" customHeight="false" outlineLevel="0" collapsed="false">
      <c r="A51" s="0" t="s">
        <v>113</v>
      </c>
      <c r="B51" s="1" t="n">
        <v>43911</v>
      </c>
      <c r="C51" s="0" t="n">
        <v>2</v>
      </c>
      <c r="D51" s="0" t="n">
        <f aca="false">C51-C50</f>
        <v>0</v>
      </c>
      <c r="H51" s="0" t="n">
        <v>2</v>
      </c>
      <c r="J51" s="0" t="n">
        <v>0.4</v>
      </c>
    </row>
    <row r="52" customFormat="false" ht="13.5" hidden="false" customHeight="false" outlineLevel="0" collapsed="false">
      <c r="A52" s="0" t="s">
        <v>113</v>
      </c>
      <c r="B52" s="1" t="n">
        <v>43912</v>
      </c>
      <c r="C52" s="0" t="n">
        <v>2</v>
      </c>
      <c r="D52" s="0" t="n">
        <f aca="false">C52-C51</f>
        <v>0</v>
      </c>
      <c r="H52" s="0" t="n">
        <v>2</v>
      </c>
      <c r="J52" s="0" t="n">
        <v>0.4</v>
      </c>
    </row>
    <row r="53" customFormat="false" ht="13.5" hidden="false" customHeight="false" outlineLevel="0" collapsed="false">
      <c r="A53" s="0" t="s">
        <v>113</v>
      </c>
      <c r="B53" s="1" t="n">
        <v>43913</v>
      </c>
      <c r="C53" s="0" t="n">
        <v>2</v>
      </c>
      <c r="D53" s="0" t="n">
        <f aca="false">C53-C52</f>
        <v>0</v>
      </c>
      <c r="H53" s="0" t="n">
        <v>2</v>
      </c>
      <c r="J53" s="0" t="n">
        <v>0.4</v>
      </c>
    </row>
    <row r="54" customFormat="false" ht="13.5" hidden="false" customHeight="false" outlineLevel="0" collapsed="false">
      <c r="A54" s="0" t="s">
        <v>113</v>
      </c>
      <c r="B54" s="1" t="n">
        <v>43914</v>
      </c>
      <c r="C54" s="0" t="n">
        <v>2</v>
      </c>
      <c r="D54" s="0" t="n">
        <f aca="false">C54-C53</f>
        <v>0</v>
      </c>
      <c r="H54" s="0" t="n">
        <v>2</v>
      </c>
      <c r="J54" s="0" t="n">
        <v>0.4</v>
      </c>
    </row>
    <row r="55" customFormat="false" ht="13.5" hidden="false" customHeight="false" outlineLevel="0" collapsed="false">
      <c r="A55" s="0" t="s">
        <v>113</v>
      </c>
      <c r="B55" s="1" t="n">
        <v>43915</v>
      </c>
      <c r="C55" s="0" t="n">
        <v>2</v>
      </c>
      <c r="D55" s="0" t="n">
        <f aca="false">C55-C54</f>
        <v>0</v>
      </c>
      <c r="H55" s="0" t="n">
        <v>2</v>
      </c>
      <c r="J55" s="0" t="n">
        <v>0.4</v>
      </c>
    </row>
    <row r="56" customFormat="false" ht="13.5" hidden="false" customHeight="false" outlineLevel="0" collapsed="false">
      <c r="A56" s="0" t="s">
        <v>113</v>
      </c>
      <c r="B56" s="1" t="n">
        <v>43916</v>
      </c>
      <c r="C56" s="0" t="n">
        <v>2</v>
      </c>
      <c r="D56" s="0" t="n">
        <f aca="false">C56-C55</f>
        <v>0</v>
      </c>
      <c r="H56" s="0" t="n">
        <v>2</v>
      </c>
      <c r="J56" s="0" t="n">
        <v>0.4</v>
      </c>
    </row>
    <row r="57" customFormat="false" ht="13.5" hidden="false" customHeight="false" outlineLevel="0" collapsed="false">
      <c r="A57" s="0" t="s">
        <v>113</v>
      </c>
      <c r="B57" s="1" t="n">
        <v>43917</v>
      </c>
      <c r="C57" s="0" t="n">
        <v>3</v>
      </c>
      <c r="D57" s="0" t="n">
        <f aca="false">C57-C56</f>
        <v>1</v>
      </c>
      <c r="H57" s="0" t="n">
        <v>3</v>
      </c>
      <c r="J57" s="0" t="n">
        <v>0.6</v>
      </c>
    </row>
    <row r="58" customFormat="false" ht="13.5" hidden="false" customHeight="false" outlineLevel="0" collapsed="false">
      <c r="A58" s="0" t="s">
        <v>113</v>
      </c>
      <c r="B58" s="1" t="n">
        <v>43918</v>
      </c>
      <c r="C58" s="0" t="n">
        <v>3</v>
      </c>
      <c r="D58" s="0" t="n">
        <f aca="false">C58-C57</f>
        <v>0</v>
      </c>
      <c r="H58" s="0" t="n">
        <v>3</v>
      </c>
      <c r="J58" s="0" t="n">
        <v>0.6</v>
      </c>
    </row>
    <row r="59" customFormat="false" ht="13.5" hidden="false" customHeight="false" outlineLevel="0" collapsed="false">
      <c r="A59" s="0" t="s">
        <v>113</v>
      </c>
      <c r="B59" s="1" t="n">
        <v>43919</v>
      </c>
      <c r="C59" s="0" t="n">
        <v>5</v>
      </c>
      <c r="D59" s="0" t="n">
        <f aca="false">C59-C58</f>
        <v>2</v>
      </c>
      <c r="H59" s="0" t="n">
        <v>5</v>
      </c>
      <c r="J59" s="0" t="n">
        <v>1</v>
      </c>
    </row>
    <row r="60" customFormat="false" ht="13.5" hidden="false" customHeight="false" outlineLevel="0" collapsed="false">
      <c r="A60" s="0" t="s">
        <v>113</v>
      </c>
      <c r="B60" s="1" t="n">
        <v>43920</v>
      </c>
      <c r="C60" s="0" t="n">
        <v>5</v>
      </c>
      <c r="D60" s="0" t="n">
        <f aca="false">C60-C59</f>
        <v>0</v>
      </c>
      <c r="H60" s="0" t="n">
        <v>5</v>
      </c>
      <c r="J60" s="0" t="n">
        <v>1</v>
      </c>
    </row>
    <row r="61" customFormat="false" ht="13.5" hidden="false" customHeight="false" outlineLevel="0" collapsed="false">
      <c r="A61" s="0" t="s">
        <v>113</v>
      </c>
      <c r="B61" s="1" t="n">
        <v>43921</v>
      </c>
      <c r="C61" s="0" t="n">
        <v>5</v>
      </c>
      <c r="D61" s="0" t="n">
        <f aca="false">C61-C60</f>
        <v>0</v>
      </c>
      <c r="G61" s="0" t="n">
        <v>2</v>
      </c>
      <c r="H61" s="0" t="n">
        <v>3</v>
      </c>
      <c r="J61" s="0" t="n">
        <v>1</v>
      </c>
    </row>
    <row r="62" customFormat="false" ht="13.5" hidden="false" customHeight="false" outlineLevel="0" collapsed="false">
      <c r="A62" s="0" t="s">
        <v>113</v>
      </c>
      <c r="B62" s="1" t="n">
        <v>43922</v>
      </c>
      <c r="C62" s="0" t="n">
        <v>6</v>
      </c>
      <c r="D62" s="0" t="n">
        <f aca="false">C62-C61</f>
        <v>1</v>
      </c>
      <c r="E62" s="0" t="n">
        <v>1</v>
      </c>
      <c r="F62" s="0" t="n">
        <f aca="false">E62-E61</f>
        <v>1</v>
      </c>
      <c r="G62" s="0" t="n">
        <v>2</v>
      </c>
      <c r="H62" s="0" t="n">
        <v>3</v>
      </c>
      <c r="J62" s="0" t="n">
        <v>1</v>
      </c>
      <c r="K62" s="0" t="n">
        <v>0.2</v>
      </c>
    </row>
    <row r="63" customFormat="false" ht="13.5" hidden="false" customHeight="false" outlineLevel="0" collapsed="false">
      <c r="A63" s="0" t="s">
        <v>113</v>
      </c>
      <c r="B63" s="1" t="n">
        <v>43923</v>
      </c>
      <c r="C63" s="0" t="n">
        <v>6</v>
      </c>
      <c r="D63" s="0" t="n">
        <f aca="false">C63-C62</f>
        <v>0</v>
      </c>
      <c r="E63" s="0" t="n">
        <v>1</v>
      </c>
      <c r="F63" s="0" t="n">
        <f aca="false">E63-E62</f>
        <v>0</v>
      </c>
      <c r="G63" s="0" t="n">
        <v>2</v>
      </c>
      <c r="H63" s="0" t="n">
        <v>3</v>
      </c>
      <c r="J63" s="0" t="n">
        <v>1</v>
      </c>
      <c r="K63" s="0" t="n">
        <v>0.2</v>
      </c>
    </row>
    <row r="64" customFormat="false" ht="13.5" hidden="false" customHeight="false" outlineLevel="0" collapsed="false">
      <c r="A64" s="0" t="s">
        <v>113</v>
      </c>
      <c r="B64" s="1" t="n">
        <v>43924</v>
      </c>
      <c r="C64" s="0" t="n">
        <v>6</v>
      </c>
      <c r="D64" s="0" t="n">
        <f aca="false">C64-C63</f>
        <v>0</v>
      </c>
      <c r="E64" s="0" t="n">
        <v>1</v>
      </c>
      <c r="F64" s="0" t="n">
        <f aca="false">E64-E63</f>
        <v>0</v>
      </c>
      <c r="G64" s="0" t="n">
        <v>2</v>
      </c>
      <c r="H64" s="0" t="n">
        <v>3</v>
      </c>
      <c r="J64" s="0" t="n">
        <v>1</v>
      </c>
      <c r="K64" s="0" t="n">
        <v>0.2</v>
      </c>
    </row>
    <row r="65" customFormat="false" ht="13.5" hidden="false" customHeight="false" outlineLevel="0" collapsed="false">
      <c r="A65" s="0" t="s">
        <v>113</v>
      </c>
      <c r="B65" s="1" t="n">
        <v>43925</v>
      </c>
      <c r="C65" s="0" t="n">
        <v>6</v>
      </c>
      <c r="D65" s="0" t="n">
        <f aca="false">C65-C64</f>
        <v>0</v>
      </c>
      <c r="E65" s="0" t="n">
        <v>1</v>
      </c>
      <c r="F65" s="0" t="n">
        <f aca="false">E65-E64</f>
        <v>0</v>
      </c>
      <c r="G65" s="0" t="n">
        <v>2</v>
      </c>
      <c r="H65" s="0" t="n">
        <v>3</v>
      </c>
      <c r="J65" s="0" t="n">
        <v>1</v>
      </c>
      <c r="K65" s="0" t="n">
        <v>0.2</v>
      </c>
    </row>
    <row r="66" customFormat="false" ht="13.5" hidden="false" customHeight="false" outlineLevel="0" collapsed="false">
      <c r="A66" s="0" t="s">
        <v>113</v>
      </c>
      <c r="B66" s="1" t="n">
        <v>43926</v>
      </c>
      <c r="C66" s="0" t="n">
        <v>6</v>
      </c>
      <c r="D66" s="0" t="n">
        <f aca="false">C66-C65</f>
        <v>0</v>
      </c>
      <c r="E66" s="0" t="n">
        <v>1</v>
      </c>
      <c r="F66" s="0" t="n">
        <f aca="false">E66-E65</f>
        <v>0</v>
      </c>
      <c r="G66" s="0" t="n">
        <v>2</v>
      </c>
      <c r="H66" s="0" t="n">
        <v>3</v>
      </c>
      <c r="J66" s="0" t="n">
        <v>1</v>
      </c>
      <c r="K66" s="0" t="n">
        <v>0.2</v>
      </c>
      <c r="L66" s="0" t="n">
        <v>67</v>
      </c>
      <c r="M66" s="0" t="n">
        <v>14</v>
      </c>
    </row>
    <row r="67" customFormat="false" ht="13.5" hidden="false" customHeight="false" outlineLevel="0" collapsed="false">
      <c r="A67" s="0" t="s">
        <v>113</v>
      </c>
      <c r="B67" s="1" t="n">
        <v>43927</v>
      </c>
      <c r="C67" s="0" t="n">
        <v>6</v>
      </c>
      <c r="D67" s="0" t="n">
        <f aca="false">C67-C66</f>
        <v>0</v>
      </c>
      <c r="E67" s="0" t="n">
        <v>1</v>
      </c>
      <c r="F67" s="0" t="n">
        <f aca="false">E67-E66</f>
        <v>0</v>
      </c>
      <c r="G67" s="0" t="n">
        <v>2</v>
      </c>
      <c r="H67" s="0" t="n">
        <v>3</v>
      </c>
      <c r="J67" s="0" t="n">
        <v>1</v>
      </c>
      <c r="K67" s="0" t="n">
        <v>0.2</v>
      </c>
      <c r="L67" s="0" t="n">
        <v>67</v>
      </c>
      <c r="M67" s="0" t="n">
        <v>14</v>
      </c>
    </row>
    <row r="68" customFormat="false" ht="13.5" hidden="false" customHeight="false" outlineLevel="0" collapsed="false">
      <c r="A68" s="0" t="s">
        <v>113</v>
      </c>
      <c r="B68" s="1" t="n">
        <v>43928</v>
      </c>
      <c r="C68" s="0" t="n">
        <v>6</v>
      </c>
      <c r="D68" s="0" t="n">
        <f aca="false">C68-C67</f>
        <v>0</v>
      </c>
      <c r="E68" s="0" t="n">
        <v>1</v>
      </c>
      <c r="F68" s="0" t="n">
        <f aca="false">E68-E67</f>
        <v>0</v>
      </c>
      <c r="G68" s="0" t="n">
        <v>2</v>
      </c>
      <c r="H68" s="0" t="n">
        <v>3</v>
      </c>
      <c r="J68" s="0" t="n">
        <v>1</v>
      </c>
      <c r="K68" s="0" t="n">
        <v>0.2</v>
      </c>
      <c r="L68" s="0" t="n">
        <v>67</v>
      </c>
      <c r="M68" s="0" t="n">
        <v>14</v>
      </c>
    </row>
    <row r="69" customFormat="false" ht="13.5" hidden="false" customHeight="false" outlineLevel="0" collapsed="false">
      <c r="A69" s="0" t="s">
        <v>113</v>
      </c>
      <c r="B69" s="1" t="n">
        <v>43929</v>
      </c>
      <c r="C69" s="0" t="n">
        <v>6</v>
      </c>
      <c r="D69" s="0" t="n">
        <f aca="false">C69-C68</f>
        <v>0</v>
      </c>
      <c r="E69" s="0" t="n">
        <v>1</v>
      </c>
      <c r="F69" s="0" t="n">
        <f aca="false">E69-E68</f>
        <v>0</v>
      </c>
      <c r="G69" s="0" t="n">
        <v>2</v>
      </c>
      <c r="H69" s="0" t="n">
        <v>3</v>
      </c>
      <c r="J69" s="0" t="n">
        <v>1</v>
      </c>
      <c r="K69" s="0" t="n">
        <v>0.2</v>
      </c>
      <c r="L69" s="0" t="n">
        <v>67</v>
      </c>
      <c r="M69" s="0" t="n">
        <v>14</v>
      </c>
    </row>
    <row r="70" customFormat="false" ht="13.5" hidden="false" customHeight="false" outlineLevel="0" collapsed="false">
      <c r="A70" s="0" t="s">
        <v>113</v>
      </c>
      <c r="B70" s="1" t="n">
        <v>43930</v>
      </c>
      <c r="C70" s="0" t="n">
        <v>6</v>
      </c>
      <c r="D70" s="0" t="n">
        <f aca="false">C70-C69</f>
        <v>0</v>
      </c>
      <c r="E70" s="0" t="n">
        <v>1</v>
      </c>
      <c r="F70" s="0" t="n">
        <f aca="false">E70-E69</f>
        <v>0</v>
      </c>
      <c r="G70" s="0" t="n">
        <v>2</v>
      </c>
      <c r="H70" s="0" t="n">
        <v>3</v>
      </c>
      <c r="J70" s="0" t="n">
        <v>1</v>
      </c>
      <c r="K70" s="0" t="n">
        <v>0.2</v>
      </c>
      <c r="L70" s="0" t="n">
        <v>67</v>
      </c>
      <c r="M70" s="0" t="n">
        <v>14</v>
      </c>
    </row>
    <row r="71" customFormat="false" ht="13.5" hidden="false" customHeight="false" outlineLevel="0" collapsed="false">
      <c r="A71" s="0" t="s">
        <v>113</v>
      </c>
      <c r="B71" s="1" t="n">
        <v>43931</v>
      </c>
      <c r="C71" s="0" t="n">
        <v>7</v>
      </c>
      <c r="D71" s="0" t="n">
        <f aca="false">C71-C70</f>
        <v>1</v>
      </c>
      <c r="E71" s="0" t="n">
        <v>1</v>
      </c>
      <c r="F71" s="0" t="n">
        <f aca="false">E71-E70</f>
        <v>0</v>
      </c>
      <c r="G71" s="0" t="n">
        <v>2</v>
      </c>
      <c r="H71" s="0" t="n">
        <v>4</v>
      </c>
      <c r="J71" s="0" t="n">
        <v>2</v>
      </c>
      <c r="K71" s="0" t="n">
        <v>0.2</v>
      </c>
      <c r="L71" s="0" t="n">
        <v>67</v>
      </c>
      <c r="M71" s="0" t="n">
        <v>14</v>
      </c>
    </row>
    <row r="72" customFormat="false" ht="13.5" hidden="false" customHeight="false" outlineLevel="0" collapsed="false">
      <c r="A72" s="0" t="s">
        <v>113</v>
      </c>
      <c r="B72" s="1" t="n">
        <v>43932</v>
      </c>
      <c r="C72" s="0" t="n">
        <v>7</v>
      </c>
      <c r="D72" s="0" t="n">
        <f aca="false">C72-C71</f>
        <v>0</v>
      </c>
      <c r="E72" s="0" t="n">
        <v>1</v>
      </c>
      <c r="F72" s="0" t="n">
        <f aca="false">E72-E71</f>
        <v>0</v>
      </c>
      <c r="G72" s="0" t="n">
        <v>2</v>
      </c>
      <c r="H72" s="0" t="n">
        <v>4</v>
      </c>
      <c r="J72" s="0" t="n">
        <v>2</v>
      </c>
      <c r="K72" s="0" t="n">
        <v>0.2</v>
      </c>
      <c r="L72" s="0" t="n">
        <v>258</v>
      </c>
      <c r="M72" s="0" t="n">
        <v>55</v>
      </c>
    </row>
    <row r="73" customFormat="false" ht="13.5" hidden="false" customHeight="false" outlineLevel="0" collapsed="false">
      <c r="A73" s="0" t="s">
        <v>113</v>
      </c>
      <c r="B73" s="1" t="n">
        <v>43933</v>
      </c>
      <c r="C73" s="0" t="n">
        <v>7</v>
      </c>
      <c r="D73" s="0" t="n">
        <f aca="false">C73-C72</f>
        <v>0</v>
      </c>
      <c r="E73" s="0" t="n">
        <v>1</v>
      </c>
      <c r="F73" s="0" t="n">
        <f aca="false">E73-E72</f>
        <v>0</v>
      </c>
      <c r="G73" s="0" t="n">
        <v>2</v>
      </c>
      <c r="H73" s="0" t="n">
        <v>4</v>
      </c>
      <c r="J73" s="0" t="n">
        <v>2</v>
      </c>
      <c r="K73" s="0" t="n">
        <v>0.2</v>
      </c>
      <c r="L73" s="0" t="n">
        <v>380</v>
      </c>
      <c r="M73" s="0" t="n">
        <v>82</v>
      </c>
    </row>
    <row r="74" customFormat="false" ht="13.5" hidden="false" customHeight="false" outlineLevel="0" collapsed="false">
      <c r="A74" s="0" t="s">
        <v>113</v>
      </c>
      <c r="B74" s="1" t="n">
        <v>43934</v>
      </c>
      <c r="C74" s="0" t="n">
        <v>7</v>
      </c>
      <c r="D74" s="0" t="n">
        <f aca="false">C74-C73</f>
        <v>0</v>
      </c>
      <c r="E74" s="0" t="n">
        <v>1</v>
      </c>
      <c r="F74" s="0" t="n">
        <f aca="false">E74-E73</f>
        <v>0</v>
      </c>
      <c r="G74" s="0" t="n">
        <v>2</v>
      </c>
      <c r="H74" s="0" t="n">
        <v>4</v>
      </c>
      <c r="J74" s="0" t="n">
        <v>2</v>
      </c>
      <c r="K74" s="0" t="n">
        <v>0.2</v>
      </c>
      <c r="L74" s="0" t="n">
        <v>380</v>
      </c>
      <c r="M74" s="0" t="n">
        <v>82</v>
      </c>
    </row>
    <row r="75" customFormat="false" ht="13.5" hidden="false" customHeight="false" outlineLevel="0" collapsed="false">
      <c r="A75" s="0" t="s">
        <v>113</v>
      </c>
      <c r="B75" s="1" t="n">
        <v>43935</v>
      </c>
      <c r="C75" s="0" t="n">
        <v>7</v>
      </c>
      <c r="D75" s="0" t="n">
        <f aca="false">C75-C74</f>
        <v>0</v>
      </c>
      <c r="E75" s="0" t="n">
        <v>1</v>
      </c>
      <c r="F75" s="0" t="n">
        <f aca="false">E75-E74</f>
        <v>0</v>
      </c>
      <c r="G75" s="0" t="n">
        <v>2</v>
      </c>
      <c r="H75" s="0" t="n">
        <v>4</v>
      </c>
      <c r="I75" s="0" t="n">
        <v>0</v>
      </c>
      <c r="J75" s="0" t="n">
        <v>2</v>
      </c>
      <c r="K75" s="0" t="n">
        <v>0.2</v>
      </c>
      <c r="L75" s="0" t="n">
        <v>496</v>
      </c>
      <c r="M75" s="0" t="n">
        <v>107</v>
      </c>
    </row>
    <row r="76" customFormat="false" ht="13.5" hidden="false" customHeight="false" outlineLevel="0" collapsed="false">
      <c r="A76" s="0" t="s">
        <v>113</v>
      </c>
      <c r="B76" s="1" t="n">
        <v>43936</v>
      </c>
      <c r="C76" s="0" t="n">
        <v>7</v>
      </c>
      <c r="D76" s="0" t="n">
        <f aca="false">C76-C75</f>
        <v>0</v>
      </c>
      <c r="E76" s="0" t="n">
        <v>1</v>
      </c>
      <c r="F76" s="0" t="n">
        <f aca="false">E76-E75</f>
        <v>0</v>
      </c>
      <c r="G76" s="0" t="n">
        <v>2</v>
      </c>
      <c r="H76" s="0" t="n">
        <v>4</v>
      </c>
      <c r="I76" s="0" t="n">
        <v>0</v>
      </c>
      <c r="J76" s="0" t="n">
        <v>2</v>
      </c>
      <c r="K76" s="0" t="n">
        <v>0.2</v>
      </c>
      <c r="L76" s="0" t="n">
        <v>527</v>
      </c>
      <c r="M76" s="0" t="n">
        <v>113</v>
      </c>
    </row>
    <row r="77" customFormat="false" ht="13.5" hidden="false" customHeight="false" outlineLevel="0" collapsed="false">
      <c r="A77" s="0" t="s">
        <v>113</v>
      </c>
      <c r="B77" s="1" t="n">
        <v>43937</v>
      </c>
      <c r="C77" s="0" t="n">
        <v>7</v>
      </c>
      <c r="D77" s="0" t="n">
        <f aca="false">C77-C76</f>
        <v>0</v>
      </c>
      <c r="E77" s="0" t="n">
        <v>1</v>
      </c>
      <c r="F77" s="0" t="n">
        <f aca="false">E77-E76</f>
        <v>0</v>
      </c>
      <c r="G77" s="0" t="n">
        <v>2</v>
      </c>
      <c r="H77" s="0" t="n">
        <v>4</v>
      </c>
      <c r="I77" s="0" t="n">
        <v>0</v>
      </c>
      <c r="J77" s="0" t="n">
        <v>2</v>
      </c>
      <c r="K77" s="0" t="n">
        <v>0.2</v>
      </c>
      <c r="L77" s="0" t="n">
        <v>593</v>
      </c>
      <c r="M77" s="0" t="n">
        <v>128</v>
      </c>
    </row>
    <row r="78" customFormat="false" ht="13.5" hidden="false" customHeight="false" outlineLevel="0" collapsed="false">
      <c r="A78" s="0" t="s">
        <v>113</v>
      </c>
      <c r="B78" s="1" t="n">
        <v>43938</v>
      </c>
      <c r="C78" s="0" t="n">
        <v>7</v>
      </c>
      <c r="D78" s="0" t="n">
        <f aca="false">C78-C77</f>
        <v>0</v>
      </c>
      <c r="E78" s="0" t="n">
        <v>1</v>
      </c>
      <c r="F78" s="0" t="n">
        <f aca="false">E78-E77</f>
        <v>0</v>
      </c>
      <c r="G78" s="0" t="n">
        <v>2</v>
      </c>
      <c r="H78" s="0" t="n">
        <v>4</v>
      </c>
      <c r="I78" s="0" t="n">
        <v>0</v>
      </c>
      <c r="J78" s="0" t="n">
        <v>2</v>
      </c>
      <c r="K78" s="0" t="n">
        <v>0.2</v>
      </c>
      <c r="L78" s="0" t="n">
        <v>713</v>
      </c>
      <c r="M78" s="0" t="n">
        <v>153</v>
      </c>
    </row>
    <row r="79" customFormat="false" ht="13.5" hidden="false" customHeight="false" outlineLevel="0" collapsed="false">
      <c r="A79" s="0" t="s">
        <v>113</v>
      </c>
      <c r="B79" s="1" t="n">
        <v>43939</v>
      </c>
      <c r="C79" s="0" t="n">
        <v>7</v>
      </c>
      <c r="D79" s="0" t="n">
        <f aca="false">C79-C78</f>
        <v>0</v>
      </c>
      <c r="E79" s="0" t="n">
        <v>1</v>
      </c>
      <c r="F79" s="0" t="n">
        <f aca="false">E79-E78</f>
        <v>0</v>
      </c>
      <c r="G79" s="0" t="n">
        <v>2</v>
      </c>
      <c r="H79" s="0" t="n">
        <v>4</v>
      </c>
      <c r="I79" s="0" t="n">
        <v>0</v>
      </c>
      <c r="J79" s="0" t="n">
        <v>2</v>
      </c>
      <c r="K79" s="0" t="n">
        <v>0.2</v>
      </c>
      <c r="L79" s="0" t="n">
        <v>713</v>
      </c>
      <c r="M79" s="0" t="n">
        <v>153</v>
      </c>
    </row>
    <row r="80" customFormat="false" ht="13.5" hidden="false" customHeight="false" outlineLevel="0" collapsed="false">
      <c r="A80" s="0" t="s">
        <v>113</v>
      </c>
      <c r="B80" s="1" t="n">
        <v>43940</v>
      </c>
      <c r="C80" s="0" t="n">
        <v>7</v>
      </c>
      <c r="D80" s="0" t="n">
        <f aca="false">C80-C79</f>
        <v>0</v>
      </c>
      <c r="E80" s="0" t="n">
        <v>1</v>
      </c>
      <c r="F80" s="0" t="n">
        <f aca="false">E80-E79</f>
        <v>0</v>
      </c>
      <c r="G80" s="0" t="n">
        <v>2</v>
      </c>
      <c r="H80" s="0" t="n">
        <v>4</v>
      </c>
      <c r="I80" s="0" t="n">
        <v>0</v>
      </c>
      <c r="J80" s="0" t="n">
        <v>2</v>
      </c>
      <c r="K80" s="0" t="n">
        <v>0.2</v>
      </c>
      <c r="L80" s="0" t="n">
        <v>857</v>
      </c>
      <c r="M80" s="0" t="n">
        <v>184</v>
      </c>
    </row>
    <row r="81" customFormat="false" ht="13.5" hidden="false" customHeight="false" outlineLevel="0" collapsed="false">
      <c r="A81" s="0" t="s">
        <v>113</v>
      </c>
      <c r="B81" s="1" t="n">
        <v>43941</v>
      </c>
      <c r="C81" s="0" t="n">
        <v>7</v>
      </c>
      <c r="D81" s="0" t="n">
        <f aca="false">C81-C80</f>
        <v>0</v>
      </c>
      <c r="E81" s="0" t="n">
        <v>1</v>
      </c>
      <c r="F81" s="0" t="n">
        <f aca="false">E81-E80</f>
        <v>0</v>
      </c>
      <c r="G81" s="0" t="n">
        <v>6</v>
      </c>
      <c r="H81" s="0" t="n">
        <v>0</v>
      </c>
      <c r="I81" s="0" t="n">
        <v>0</v>
      </c>
      <c r="J81" s="0" t="n">
        <v>2</v>
      </c>
      <c r="K81" s="0" t="n">
        <v>0.2</v>
      </c>
      <c r="L81" s="0" t="n">
        <v>913</v>
      </c>
      <c r="M81" s="0" t="n">
        <v>196</v>
      </c>
    </row>
    <row r="82" customFormat="false" ht="13.5" hidden="false" customHeight="false" outlineLevel="0" collapsed="false">
      <c r="A82" s="0" t="s">
        <v>113</v>
      </c>
      <c r="B82" s="1" t="n">
        <v>43942</v>
      </c>
      <c r="C82" s="0" t="n">
        <v>7</v>
      </c>
      <c r="D82" s="0" t="n">
        <f aca="false">C82-C81</f>
        <v>0</v>
      </c>
      <c r="E82" s="0" t="n">
        <v>1</v>
      </c>
      <c r="F82" s="0" t="n">
        <f aca="false">E82-E81</f>
        <v>0</v>
      </c>
      <c r="G82" s="0" t="n">
        <v>6</v>
      </c>
      <c r="H82" s="0" t="n">
        <v>0</v>
      </c>
      <c r="I82" s="0" t="n">
        <v>0</v>
      </c>
      <c r="J82" s="0" t="n">
        <v>2</v>
      </c>
      <c r="K82" s="0" t="n">
        <v>0.2</v>
      </c>
      <c r="L82" s="0" t="n">
        <v>913</v>
      </c>
      <c r="M82" s="0" t="n">
        <v>196</v>
      </c>
    </row>
    <row r="83" customFormat="false" ht="13.5" hidden="false" customHeight="false" outlineLevel="0" collapsed="false">
      <c r="A83" s="0" t="s">
        <v>113</v>
      </c>
      <c r="B83" s="1" t="n">
        <v>43943</v>
      </c>
      <c r="C83" s="0" t="n">
        <v>7</v>
      </c>
      <c r="D83" s="0" t="n">
        <f aca="false">C83-C82</f>
        <v>0</v>
      </c>
      <c r="E83" s="0" t="n">
        <v>1</v>
      </c>
      <c r="F83" s="0" t="n">
        <f aca="false">E83-E82</f>
        <v>0</v>
      </c>
      <c r="G83" s="0" t="n">
        <v>6</v>
      </c>
      <c r="H83" s="0" t="n">
        <v>0</v>
      </c>
      <c r="I83" s="0" t="n">
        <v>0</v>
      </c>
      <c r="J83" s="0" t="n">
        <v>2</v>
      </c>
      <c r="K83" s="0" t="n">
        <v>0.2</v>
      </c>
      <c r="L83" s="0" t="n">
        <v>913</v>
      </c>
      <c r="M83" s="0" t="n">
        <v>196</v>
      </c>
    </row>
    <row r="84" customFormat="false" ht="13.5" hidden="false" customHeight="false" outlineLevel="0" collapsed="false">
      <c r="A84" s="0" t="s">
        <v>113</v>
      </c>
      <c r="B84" s="1" t="n">
        <v>43944</v>
      </c>
      <c r="C84" s="0" t="n">
        <v>7</v>
      </c>
      <c r="D84" s="0" t="n">
        <f aca="false">C84-C83</f>
        <v>0</v>
      </c>
      <c r="E84" s="0" t="n">
        <v>1</v>
      </c>
      <c r="F84" s="0" t="n">
        <f aca="false">E84-E83</f>
        <v>0</v>
      </c>
      <c r="G84" s="0" t="n">
        <v>6</v>
      </c>
      <c r="H84" s="0" t="n">
        <v>0</v>
      </c>
      <c r="I84" s="0" t="n">
        <v>0</v>
      </c>
      <c r="J84" s="0" t="n">
        <v>2</v>
      </c>
      <c r="K84" s="0" t="n">
        <v>0.2</v>
      </c>
      <c r="L84" s="0" t="n">
        <v>969</v>
      </c>
      <c r="M84" s="0" t="n">
        <v>208</v>
      </c>
    </row>
    <row r="85" customFormat="false" ht="13.5" hidden="false" customHeight="false" outlineLevel="0" collapsed="false">
      <c r="A85" s="0" t="s">
        <v>113</v>
      </c>
      <c r="B85" s="1" t="n">
        <v>43945</v>
      </c>
      <c r="C85" s="0" t="n">
        <v>7</v>
      </c>
      <c r="D85" s="0" t="n">
        <f aca="false">C85-C84</f>
        <v>0</v>
      </c>
      <c r="E85" s="0" t="n">
        <v>1</v>
      </c>
      <c r="F85" s="0" t="n">
        <f aca="false">E85-E84</f>
        <v>0</v>
      </c>
      <c r="G85" s="0" t="n">
        <v>6</v>
      </c>
      <c r="H85" s="0" t="n">
        <v>0</v>
      </c>
      <c r="I85" s="0" t="n">
        <v>0</v>
      </c>
      <c r="J85" s="0" t="n">
        <v>2</v>
      </c>
      <c r="K85" s="0" t="n">
        <v>0.2</v>
      </c>
      <c r="L85" s="0" t="n">
        <v>969</v>
      </c>
      <c r="M85" s="0" t="n">
        <v>208</v>
      </c>
    </row>
    <row r="86" customFormat="false" ht="13.5" hidden="false" customHeight="false" outlineLevel="0" collapsed="false">
      <c r="A86" s="0" t="s">
        <v>113</v>
      </c>
      <c r="B86" s="1" t="n">
        <v>43946</v>
      </c>
      <c r="C86" s="0" t="n">
        <v>7</v>
      </c>
      <c r="D86" s="0" t="n">
        <f aca="false">C86-C85</f>
        <v>0</v>
      </c>
      <c r="E86" s="0" t="n">
        <v>1</v>
      </c>
      <c r="F86" s="0" t="n">
        <f aca="false">E86-E85</f>
        <v>0</v>
      </c>
      <c r="G86" s="0" t="n">
        <v>6</v>
      </c>
      <c r="H86" s="0" t="n">
        <v>0</v>
      </c>
      <c r="I86" s="0" t="n">
        <v>0</v>
      </c>
      <c r="J86" s="0" t="n">
        <v>2</v>
      </c>
      <c r="K86" s="0" t="n">
        <v>0.2</v>
      </c>
      <c r="L86" s="0" t="n">
        <v>1032</v>
      </c>
      <c r="M86" s="0" t="n">
        <v>222</v>
      </c>
    </row>
    <row r="87" customFormat="false" ht="13.5" hidden="false" customHeight="false" outlineLevel="0" collapsed="false">
      <c r="A87" s="0" t="s">
        <v>113</v>
      </c>
      <c r="B87" s="1" t="n">
        <v>43947</v>
      </c>
      <c r="C87" s="0" t="n">
        <v>7</v>
      </c>
      <c r="D87" s="0" t="n">
        <f aca="false">C87-C86</f>
        <v>0</v>
      </c>
      <c r="E87" s="0" t="n">
        <v>1</v>
      </c>
      <c r="F87" s="0" t="n">
        <f aca="false">E87-E86</f>
        <v>0</v>
      </c>
      <c r="G87" s="0" t="n">
        <v>6</v>
      </c>
      <c r="H87" s="0" t="n">
        <v>0</v>
      </c>
      <c r="I87" s="0" t="n">
        <v>0</v>
      </c>
      <c r="J87" s="0" t="n">
        <v>2</v>
      </c>
      <c r="K87" s="0" t="n">
        <v>0.2</v>
      </c>
      <c r="L87" s="0" t="n">
        <v>1032</v>
      </c>
      <c r="M87" s="0" t="n">
        <v>222</v>
      </c>
    </row>
    <row r="88" customFormat="false" ht="13.5" hidden="false" customHeight="false" outlineLevel="0" collapsed="false">
      <c r="A88" s="0" t="s">
        <v>113</v>
      </c>
      <c r="B88" s="1" t="n">
        <v>43948</v>
      </c>
      <c r="C88" s="0" t="n">
        <v>7</v>
      </c>
      <c r="D88" s="0" t="n">
        <f aca="false">C88-C87</f>
        <v>0</v>
      </c>
      <c r="E88" s="0" t="n">
        <v>1</v>
      </c>
      <c r="F88" s="0" t="n">
        <f aca="false">E88-E87</f>
        <v>0</v>
      </c>
      <c r="G88" s="0" t="n">
        <v>6</v>
      </c>
      <c r="H88" s="0" t="n">
        <v>0</v>
      </c>
      <c r="I88" s="0" t="n">
        <v>0</v>
      </c>
      <c r="J88" s="0" t="n">
        <v>2</v>
      </c>
      <c r="K88" s="0" t="n">
        <v>0.2</v>
      </c>
      <c r="L88" s="0" t="n">
        <v>1032</v>
      </c>
      <c r="M88" s="0" t="n">
        <v>222</v>
      </c>
    </row>
    <row r="89" customFormat="false" ht="13.5" hidden="false" customHeight="false" outlineLevel="0" collapsed="false">
      <c r="A89" s="0" t="s">
        <v>113</v>
      </c>
      <c r="B89" s="1" t="n">
        <v>43949</v>
      </c>
      <c r="C89" s="0" t="n">
        <v>7</v>
      </c>
      <c r="D89" s="0" t="n">
        <f aca="false">C89-C88</f>
        <v>0</v>
      </c>
      <c r="E89" s="0" t="n">
        <v>1</v>
      </c>
      <c r="F89" s="0" t="n">
        <f aca="false">E89-E88</f>
        <v>0</v>
      </c>
      <c r="G89" s="0" t="n">
        <v>6</v>
      </c>
      <c r="H89" s="0" t="n">
        <v>0</v>
      </c>
      <c r="I89" s="0" t="n">
        <v>0</v>
      </c>
      <c r="J89" s="0" t="n">
        <v>2</v>
      </c>
      <c r="K89" s="0" t="n">
        <v>0.2</v>
      </c>
      <c r="L89" s="0" t="n">
        <v>1032</v>
      </c>
      <c r="M89" s="0" t="n">
        <v>222</v>
      </c>
    </row>
    <row r="90" customFormat="false" ht="13.5" hidden="false" customHeight="false" outlineLevel="0" collapsed="false">
      <c r="A90" s="0" t="s">
        <v>113</v>
      </c>
      <c r="B90" s="1" t="n">
        <v>43950</v>
      </c>
      <c r="C90" s="0" t="n">
        <v>7</v>
      </c>
      <c r="D90" s="0" t="n">
        <f aca="false">C90-C89</f>
        <v>0</v>
      </c>
      <c r="E90" s="0" t="n">
        <v>1</v>
      </c>
      <c r="F90" s="0" t="n">
        <f aca="false">E90-E89</f>
        <v>0</v>
      </c>
      <c r="G90" s="0" t="n">
        <v>6</v>
      </c>
      <c r="H90" s="0" t="n">
        <v>0</v>
      </c>
      <c r="I90" s="0" t="n">
        <v>0</v>
      </c>
      <c r="J90" s="0" t="n">
        <v>2</v>
      </c>
      <c r="K90" s="0" t="n">
        <v>0.2</v>
      </c>
      <c r="L90" s="0" t="n">
        <v>1032</v>
      </c>
      <c r="M90" s="0" t="n">
        <v>222</v>
      </c>
    </row>
    <row r="91" customFormat="false" ht="13.5" hidden="false" customHeight="false" outlineLevel="0" collapsed="false">
      <c r="A91" s="0" t="s">
        <v>113</v>
      </c>
      <c r="B91" s="1" t="n">
        <v>43951</v>
      </c>
      <c r="C91" s="0" t="n">
        <v>8</v>
      </c>
      <c r="D91" s="0" t="n">
        <f aca="false">C91-C90</f>
        <v>1</v>
      </c>
      <c r="E91" s="0" t="n">
        <v>1</v>
      </c>
      <c r="F91" s="0" t="n">
        <f aca="false">E91-E90</f>
        <v>0</v>
      </c>
      <c r="G91" s="0" t="n">
        <v>6</v>
      </c>
      <c r="H91" s="0" t="n">
        <v>1</v>
      </c>
      <c r="I91" s="0" t="n">
        <v>0</v>
      </c>
      <c r="J91" s="0" t="n">
        <v>2</v>
      </c>
      <c r="K91" s="0" t="n">
        <v>0.2</v>
      </c>
      <c r="L91" s="0" t="n">
        <v>1032</v>
      </c>
      <c r="M91" s="0" t="n">
        <v>222</v>
      </c>
    </row>
    <row r="92" customFormat="false" ht="13.5" hidden="false" customHeight="false" outlineLevel="0" collapsed="false">
      <c r="A92" s="0" t="s">
        <v>113</v>
      </c>
      <c r="B92" s="1" t="n">
        <v>43952</v>
      </c>
      <c r="C92" s="0" t="n">
        <v>8</v>
      </c>
      <c r="D92" s="0" t="n">
        <f aca="false">C92-C91</f>
        <v>0</v>
      </c>
      <c r="E92" s="0" t="n">
        <v>1</v>
      </c>
      <c r="F92" s="0" t="n">
        <f aca="false">E92-E91</f>
        <v>0</v>
      </c>
      <c r="G92" s="0" t="n">
        <v>6</v>
      </c>
      <c r="H92" s="0" t="n">
        <v>1</v>
      </c>
      <c r="I92" s="0" t="n">
        <v>0</v>
      </c>
      <c r="J92" s="0" t="n">
        <v>2</v>
      </c>
      <c r="K92" s="0" t="n">
        <v>0.2</v>
      </c>
      <c r="L92" s="0" t="n">
        <v>1032</v>
      </c>
      <c r="M92" s="0" t="n">
        <v>222</v>
      </c>
    </row>
    <row r="93" customFormat="false" ht="13.5" hidden="false" customHeight="false" outlineLevel="0" collapsed="false">
      <c r="A93" s="0" t="s">
        <v>113</v>
      </c>
      <c r="B93" s="1" t="n">
        <v>43953</v>
      </c>
      <c r="C93" s="0" t="n">
        <v>8</v>
      </c>
      <c r="D93" s="0" t="n">
        <f aca="false">C93-C92</f>
        <v>0</v>
      </c>
      <c r="E93" s="0" t="n">
        <v>1</v>
      </c>
      <c r="F93" s="0" t="n">
        <f aca="false">E93-E92</f>
        <v>0</v>
      </c>
      <c r="G93" s="0" t="n">
        <v>6</v>
      </c>
      <c r="H93" s="0" t="n">
        <v>1</v>
      </c>
      <c r="I93" s="0" t="n">
        <v>0</v>
      </c>
      <c r="J93" s="0" t="n">
        <v>2</v>
      </c>
      <c r="K93" s="0" t="n">
        <v>0.2</v>
      </c>
      <c r="L93" s="0" t="n">
        <v>1032</v>
      </c>
      <c r="M93" s="0" t="n">
        <v>222</v>
      </c>
    </row>
    <row r="94" customFormat="false" ht="13.5" hidden="false" customHeight="false" outlineLevel="0" collapsed="false">
      <c r="A94" s="0" t="s">
        <v>113</v>
      </c>
      <c r="B94" s="1" t="n">
        <v>43954</v>
      </c>
      <c r="C94" s="0" t="n">
        <v>8</v>
      </c>
      <c r="D94" s="0" t="n">
        <f aca="false">C94-C93</f>
        <v>0</v>
      </c>
      <c r="E94" s="0" t="n">
        <v>1</v>
      </c>
      <c r="F94" s="0" t="n">
        <f aca="false">E94-E93</f>
        <v>0</v>
      </c>
      <c r="G94" s="0" t="n">
        <v>6</v>
      </c>
      <c r="H94" s="0" t="n">
        <v>1</v>
      </c>
      <c r="I94" s="0" t="n">
        <v>0</v>
      </c>
      <c r="J94" s="0" t="n">
        <v>2</v>
      </c>
      <c r="K94" s="0" t="n">
        <v>0.2</v>
      </c>
      <c r="L94" s="0" t="n">
        <v>1032</v>
      </c>
      <c r="M94" s="0" t="n">
        <v>222</v>
      </c>
    </row>
    <row r="95" customFormat="false" ht="13.5" hidden="false" customHeight="false" outlineLevel="0" collapsed="false">
      <c r="A95" s="0" t="s">
        <v>113</v>
      </c>
      <c r="B95" s="1" t="n">
        <v>43955</v>
      </c>
      <c r="C95" s="0" t="n">
        <v>8</v>
      </c>
      <c r="D95" s="0" t="n">
        <f aca="false">C95-C94</f>
        <v>0</v>
      </c>
      <c r="E95" s="0" t="n">
        <v>1</v>
      </c>
      <c r="F95" s="0" t="n">
        <f aca="false">E95-E94</f>
        <v>0</v>
      </c>
      <c r="G95" s="0" t="n">
        <v>6</v>
      </c>
      <c r="H95" s="0" t="n">
        <v>1</v>
      </c>
      <c r="I95" s="0" t="n">
        <v>0</v>
      </c>
      <c r="J95" s="0" t="n">
        <v>2</v>
      </c>
      <c r="K95" s="0" t="n">
        <v>0.2</v>
      </c>
      <c r="L95" s="0" t="n">
        <v>1032</v>
      </c>
      <c r="M95" s="0" t="n">
        <v>222</v>
      </c>
    </row>
    <row r="96" customFormat="false" ht="13.5" hidden="false" customHeight="false" outlineLevel="0" collapsed="false">
      <c r="A96" s="0" t="s">
        <v>113</v>
      </c>
      <c r="B96" s="1" t="n">
        <v>43956</v>
      </c>
      <c r="C96" s="0" t="n">
        <v>8</v>
      </c>
      <c r="D96" s="0" t="n">
        <f aca="false">C96-C95</f>
        <v>0</v>
      </c>
      <c r="E96" s="0" t="n">
        <v>1</v>
      </c>
      <c r="F96" s="0" t="n">
        <f aca="false">E96-E95</f>
        <v>0</v>
      </c>
      <c r="G96" s="0" t="n">
        <v>6</v>
      </c>
      <c r="H96" s="0" t="n">
        <v>1</v>
      </c>
      <c r="I96" s="0" t="n">
        <v>0</v>
      </c>
      <c r="J96" s="0" t="n">
        <v>2</v>
      </c>
      <c r="K96" s="0" t="n">
        <v>0.2</v>
      </c>
      <c r="L96" s="0" t="n">
        <v>1032</v>
      </c>
      <c r="M96" s="0" t="n">
        <v>222</v>
      </c>
    </row>
    <row r="97" customFormat="false" ht="13.5" hidden="false" customHeight="false" outlineLevel="0" collapsed="false">
      <c r="A97" s="0" t="s">
        <v>113</v>
      </c>
      <c r="B97" s="1" t="n">
        <v>43957</v>
      </c>
      <c r="C97" s="0" t="n">
        <v>8</v>
      </c>
      <c r="D97" s="0" t="n">
        <f aca="false">C97-C96</f>
        <v>0</v>
      </c>
      <c r="E97" s="0" t="n">
        <v>1</v>
      </c>
      <c r="F97" s="0" t="n">
        <f aca="false">E97-E96</f>
        <v>0</v>
      </c>
      <c r="G97" s="0" t="n">
        <v>6</v>
      </c>
      <c r="H97" s="0" t="n">
        <v>1</v>
      </c>
      <c r="I97" s="0" t="n">
        <v>0</v>
      </c>
      <c r="J97" s="0" t="n">
        <v>2</v>
      </c>
      <c r="K97" s="0" t="n">
        <v>0.2</v>
      </c>
      <c r="L97" s="0" t="n">
        <v>1032</v>
      </c>
      <c r="M97" s="0" t="n">
        <v>222</v>
      </c>
    </row>
    <row r="98" customFormat="false" ht="13.5" hidden="false" customHeight="false" outlineLevel="0" collapsed="false">
      <c r="A98" s="0" t="s">
        <v>113</v>
      </c>
      <c r="B98" s="1" t="n">
        <v>43958</v>
      </c>
      <c r="C98" s="0" t="n">
        <v>8</v>
      </c>
      <c r="D98" s="0" t="n">
        <f aca="false">C98-C97</f>
        <v>0</v>
      </c>
      <c r="E98" s="0" t="n">
        <v>1</v>
      </c>
      <c r="F98" s="0" t="n">
        <f aca="false">E98-E97</f>
        <v>0</v>
      </c>
      <c r="G98" s="0" t="n">
        <v>6</v>
      </c>
      <c r="H98" s="0" t="n">
        <v>1</v>
      </c>
      <c r="I98" s="0" t="n">
        <v>0</v>
      </c>
      <c r="J98" s="0" t="n">
        <v>2</v>
      </c>
      <c r="K98" s="0" t="n">
        <v>0.2</v>
      </c>
      <c r="L98" s="0" t="n">
        <v>1842</v>
      </c>
      <c r="M98" s="0" t="n">
        <v>396</v>
      </c>
    </row>
    <row r="99" customFormat="false" ht="13.5" hidden="false" customHeight="false" outlineLevel="0" collapsed="false">
      <c r="A99" s="0" t="s">
        <v>113</v>
      </c>
      <c r="B99" s="1" t="n">
        <v>43959</v>
      </c>
      <c r="C99" s="0" t="n">
        <v>8</v>
      </c>
      <c r="D99" s="0" t="n">
        <f aca="false">C99-C98</f>
        <v>0</v>
      </c>
      <c r="E99" s="0" t="n">
        <v>1</v>
      </c>
      <c r="F99" s="0" t="n">
        <f aca="false">E99-E98</f>
        <v>0</v>
      </c>
      <c r="G99" s="0" t="n">
        <v>6</v>
      </c>
      <c r="H99" s="0" t="n">
        <v>1</v>
      </c>
      <c r="I99" s="0" t="n">
        <v>0</v>
      </c>
      <c r="J99" s="0" t="n">
        <v>2</v>
      </c>
      <c r="K99" s="0" t="n">
        <v>0.2</v>
      </c>
      <c r="L99" s="0" t="n">
        <v>1842</v>
      </c>
      <c r="M99" s="0" t="n">
        <v>396</v>
      </c>
    </row>
    <row r="100" customFormat="false" ht="13.5" hidden="false" customHeight="false" outlineLevel="0" collapsed="false">
      <c r="A100" s="0" t="s">
        <v>113</v>
      </c>
      <c r="B100" s="1" t="n">
        <v>43960</v>
      </c>
      <c r="C100" s="0" t="n">
        <v>8</v>
      </c>
      <c r="D100" s="0" t="n">
        <f aca="false">C100-C99</f>
        <v>0</v>
      </c>
      <c r="E100" s="0" t="n">
        <v>1</v>
      </c>
      <c r="F100" s="0" t="n">
        <f aca="false">E100-E99</f>
        <v>0</v>
      </c>
      <c r="G100" s="0" t="n">
        <v>6</v>
      </c>
      <c r="H100" s="0" t="n">
        <v>1</v>
      </c>
      <c r="I100" s="0" t="n">
        <v>0</v>
      </c>
      <c r="J100" s="0" t="n">
        <v>2</v>
      </c>
      <c r="K100" s="0" t="n">
        <v>0.2</v>
      </c>
      <c r="L100" s="0" t="n">
        <v>1842</v>
      </c>
      <c r="M100" s="0" t="n">
        <v>396</v>
      </c>
    </row>
    <row r="101" customFormat="false" ht="13.5" hidden="false" customHeight="false" outlineLevel="0" collapsed="false">
      <c r="A101" s="0" t="s">
        <v>113</v>
      </c>
      <c r="B101" s="1" t="n">
        <v>43961</v>
      </c>
      <c r="C101" s="0" t="n">
        <v>8</v>
      </c>
      <c r="D101" s="0" t="n">
        <f aca="false">C101-C100</f>
        <v>0</v>
      </c>
      <c r="E101" s="0" t="n">
        <v>1</v>
      </c>
      <c r="F101" s="0" t="n">
        <f aca="false">E101-E100</f>
        <v>0</v>
      </c>
      <c r="G101" s="0" t="n">
        <v>6</v>
      </c>
      <c r="H101" s="0" t="n">
        <v>1</v>
      </c>
      <c r="I101" s="0" t="n">
        <v>0</v>
      </c>
      <c r="J101" s="0" t="n">
        <v>2</v>
      </c>
      <c r="K101" s="0" t="n">
        <v>0.2</v>
      </c>
      <c r="L101" s="0" t="n">
        <v>1842</v>
      </c>
      <c r="M101" s="0" t="n">
        <v>396</v>
      </c>
    </row>
    <row r="102" customFormat="false" ht="13.5" hidden="false" customHeight="false" outlineLevel="0" collapsed="false">
      <c r="A102" s="0" t="s">
        <v>113</v>
      </c>
      <c r="B102" s="1" t="n">
        <v>43962</v>
      </c>
      <c r="C102" s="0" t="n">
        <v>8</v>
      </c>
      <c r="D102" s="0" t="n">
        <f aca="false">C102-C101</f>
        <v>0</v>
      </c>
      <c r="E102" s="0" t="n">
        <v>1</v>
      </c>
      <c r="F102" s="0" t="n">
        <f aca="false">E102-E101</f>
        <v>0</v>
      </c>
      <c r="G102" s="0" t="n">
        <v>6</v>
      </c>
      <c r="H102" s="0" t="n">
        <v>1</v>
      </c>
      <c r="I102" s="0" t="n">
        <v>0</v>
      </c>
      <c r="J102" s="0" t="n">
        <v>2</v>
      </c>
      <c r="K102" s="0" t="n">
        <v>0.2</v>
      </c>
      <c r="L102" s="0" t="n">
        <v>1842</v>
      </c>
      <c r="M102" s="0" t="n">
        <v>396</v>
      </c>
    </row>
    <row r="103" customFormat="false" ht="13.5" hidden="false" customHeight="false" outlineLevel="0" collapsed="false">
      <c r="A103" s="0" t="s">
        <v>113</v>
      </c>
      <c r="B103" s="1" t="n">
        <v>43963</v>
      </c>
      <c r="C103" s="0" t="n">
        <v>8</v>
      </c>
      <c r="D103" s="0" t="n">
        <f aca="false">C103-C102</f>
        <v>0</v>
      </c>
      <c r="E103" s="0" t="n">
        <v>1</v>
      </c>
      <c r="F103" s="0" t="n">
        <f aca="false">E103-E102</f>
        <v>0</v>
      </c>
      <c r="G103" s="0" t="n">
        <v>6</v>
      </c>
      <c r="H103" s="0" t="n">
        <v>1</v>
      </c>
      <c r="I103" s="0" t="n">
        <v>0</v>
      </c>
      <c r="J103" s="0" t="n">
        <v>2</v>
      </c>
      <c r="K103" s="0" t="n">
        <v>0.2</v>
      </c>
      <c r="L103" s="0" t="n">
        <v>1842</v>
      </c>
      <c r="M103" s="0" t="n">
        <v>396</v>
      </c>
    </row>
    <row r="104" customFormat="false" ht="13.5" hidden="false" customHeight="false" outlineLevel="0" collapsed="false">
      <c r="A104" s="0" t="s">
        <v>113</v>
      </c>
      <c r="B104" s="1" t="n">
        <v>43964</v>
      </c>
      <c r="C104" s="0" t="n">
        <v>8</v>
      </c>
      <c r="D104" s="0" t="n">
        <f aca="false">C104-C103</f>
        <v>0</v>
      </c>
      <c r="E104" s="0" t="n">
        <v>1</v>
      </c>
      <c r="F104" s="0" t="n">
        <f aca="false">E104-E103</f>
        <v>0</v>
      </c>
      <c r="G104" s="0" t="n">
        <v>6</v>
      </c>
      <c r="H104" s="0" t="n">
        <v>1</v>
      </c>
      <c r="I104" s="0" t="n">
        <v>0</v>
      </c>
      <c r="J104" s="0" t="n">
        <v>2</v>
      </c>
      <c r="K104" s="0" t="n">
        <v>0.2</v>
      </c>
      <c r="L104" s="0" t="n">
        <v>2015</v>
      </c>
      <c r="M104" s="0" t="n">
        <v>433</v>
      </c>
    </row>
    <row r="105" customFormat="false" ht="13.5" hidden="false" customHeight="false" outlineLevel="0" collapsed="false">
      <c r="A105" s="0" t="s">
        <v>113</v>
      </c>
      <c r="B105" s="1" t="n">
        <v>43965</v>
      </c>
      <c r="C105" s="0" t="n">
        <v>9</v>
      </c>
      <c r="D105" s="0" t="n">
        <f aca="false">C105-C104</f>
        <v>1</v>
      </c>
      <c r="E105" s="0" t="n">
        <v>2</v>
      </c>
      <c r="F105" s="0" t="n">
        <f aca="false">E105-E104</f>
        <v>1</v>
      </c>
      <c r="G105" s="0" t="n">
        <v>6</v>
      </c>
      <c r="H105" s="0" t="n">
        <v>1</v>
      </c>
      <c r="I105" s="0" t="n">
        <v>0</v>
      </c>
      <c r="J105" s="0" t="n">
        <v>2</v>
      </c>
      <c r="K105" s="0" t="n">
        <v>0.4</v>
      </c>
      <c r="L105" s="0" t="n">
        <v>2015</v>
      </c>
      <c r="M105" s="0" t="n">
        <v>433</v>
      </c>
    </row>
    <row r="106" customFormat="false" ht="13.5" hidden="false" customHeight="false" outlineLevel="0" collapsed="false">
      <c r="A106" s="0" t="s">
        <v>113</v>
      </c>
      <c r="B106" s="1" t="n">
        <v>43966</v>
      </c>
      <c r="C106" s="0" t="n">
        <v>20</v>
      </c>
      <c r="D106" s="0" t="n">
        <f aca="false">C106-C105</f>
        <v>11</v>
      </c>
      <c r="E106" s="0" t="n">
        <v>2</v>
      </c>
      <c r="F106" s="0" t="n">
        <f aca="false">E106-E105</f>
        <v>0</v>
      </c>
      <c r="G106" s="0" t="n">
        <v>6</v>
      </c>
      <c r="H106" s="0" t="n">
        <v>12</v>
      </c>
      <c r="I106" s="0" t="n">
        <v>0</v>
      </c>
      <c r="J106" s="0" t="n">
        <v>4</v>
      </c>
      <c r="K106" s="0" t="n">
        <v>0.4</v>
      </c>
      <c r="L106" s="0" t="n">
        <v>2015</v>
      </c>
      <c r="M106" s="0" t="n">
        <v>433</v>
      </c>
    </row>
    <row r="107" customFormat="false" ht="13.5" hidden="false" customHeight="false" outlineLevel="0" collapsed="false">
      <c r="A107" s="0" t="s">
        <v>113</v>
      </c>
      <c r="B107" s="1" t="n">
        <v>43967</v>
      </c>
      <c r="C107" s="0" t="n">
        <v>26</v>
      </c>
      <c r="D107" s="0" t="n">
        <f aca="false">C107-C106</f>
        <v>6</v>
      </c>
      <c r="E107" s="0" t="n">
        <v>2</v>
      </c>
      <c r="F107" s="0" t="n">
        <f aca="false">E107-E106</f>
        <v>0</v>
      </c>
      <c r="G107" s="0" t="n">
        <v>7</v>
      </c>
      <c r="H107" s="0" t="n">
        <v>17</v>
      </c>
      <c r="I107" s="0" t="n">
        <v>0</v>
      </c>
      <c r="J107" s="0" t="n">
        <v>6</v>
      </c>
      <c r="K107" s="0" t="n">
        <v>0.4</v>
      </c>
      <c r="L107" s="0" t="n">
        <v>2015</v>
      </c>
      <c r="M107" s="0" t="n">
        <v>435</v>
      </c>
    </row>
    <row r="108" customFormat="false" ht="13.5" hidden="false" customHeight="false" outlineLevel="0" collapsed="false">
      <c r="A108" s="0" t="s">
        <v>113</v>
      </c>
      <c r="B108" s="1" t="n">
        <v>43968</v>
      </c>
      <c r="C108" s="0" t="n">
        <v>40</v>
      </c>
      <c r="D108" s="0" t="n">
        <f aca="false">C108-C107</f>
        <v>14</v>
      </c>
      <c r="E108" s="0" t="n">
        <v>4</v>
      </c>
      <c r="F108" s="0" t="n">
        <f aca="false">E108-E107</f>
        <v>2</v>
      </c>
      <c r="G108" s="0" t="n">
        <v>7</v>
      </c>
      <c r="H108" s="0" t="n">
        <v>29</v>
      </c>
      <c r="I108" s="0" t="n">
        <v>0</v>
      </c>
      <c r="J108" s="0" t="n">
        <v>9</v>
      </c>
      <c r="K108" s="0" t="n">
        <v>0.9</v>
      </c>
      <c r="L108" s="0" t="n">
        <v>2015</v>
      </c>
      <c r="M108" s="0" t="n">
        <v>435</v>
      </c>
    </row>
    <row r="109" customFormat="false" ht="13.5" hidden="false" customHeight="false" outlineLevel="0" collapsed="false">
      <c r="A109" s="0" t="s">
        <v>113</v>
      </c>
      <c r="B109" s="1" t="n">
        <v>43969</v>
      </c>
      <c r="C109" s="0" t="n">
        <v>62</v>
      </c>
      <c r="D109" s="0" t="n">
        <f aca="false">C109-C108</f>
        <v>22</v>
      </c>
      <c r="E109" s="0" t="n">
        <v>4</v>
      </c>
      <c r="F109" s="0" t="n">
        <f aca="false">E109-E108</f>
        <v>0</v>
      </c>
      <c r="G109" s="0" t="n">
        <v>7</v>
      </c>
      <c r="H109" s="0" t="n">
        <v>51</v>
      </c>
      <c r="I109" s="0" t="n">
        <v>0</v>
      </c>
      <c r="J109" s="0" t="n">
        <v>13</v>
      </c>
      <c r="K109" s="0" t="n">
        <v>0.9</v>
      </c>
      <c r="L109" s="0" t="n">
        <v>2015</v>
      </c>
      <c r="M109" s="0" t="n">
        <v>435</v>
      </c>
    </row>
    <row r="110" customFormat="false" ht="13.5" hidden="false" customHeight="false" outlineLevel="0" collapsed="false">
      <c r="A110" s="0" t="s">
        <v>113</v>
      </c>
      <c r="B110" s="1" t="n">
        <v>43970</v>
      </c>
      <c r="C110" s="0" t="n">
        <v>81</v>
      </c>
      <c r="D110" s="0" t="n">
        <f aca="false">C110-C109</f>
        <v>19</v>
      </c>
      <c r="E110" s="0" t="n">
        <v>4</v>
      </c>
      <c r="F110" s="0" t="n">
        <f aca="false">E110-E109</f>
        <v>0</v>
      </c>
      <c r="G110" s="0" t="n">
        <v>7</v>
      </c>
      <c r="H110" s="0" t="n">
        <v>70</v>
      </c>
      <c r="I110" s="0" t="n">
        <v>0</v>
      </c>
      <c r="J110" s="0" t="n">
        <v>17</v>
      </c>
      <c r="K110" s="0" t="n">
        <v>0.9</v>
      </c>
      <c r="L110" s="0" t="n">
        <v>2583</v>
      </c>
      <c r="M110" s="0" t="n">
        <v>557</v>
      </c>
    </row>
    <row r="111" customFormat="false" ht="13.5" hidden="false" customHeight="false" outlineLevel="0" collapsed="false">
      <c r="A111" s="0" t="s">
        <v>113</v>
      </c>
      <c r="B111" s="1" t="n">
        <v>43971</v>
      </c>
      <c r="C111" s="0" t="n">
        <v>131</v>
      </c>
      <c r="D111" s="0" t="n">
        <f aca="false">C111-C110</f>
        <v>50</v>
      </c>
      <c r="E111" s="0" t="n">
        <v>4</v>
      </c>
      <c r="F111" s="0" t="n">
        <f aca="false">E111-E110</f>
        <v>0</v>
      </c>
      <c r="G111" s="0" t="n">
        <v>7</v>
      </c>
      <c r="H111" s="0" t="n">
        <v>120</v>
      </c>
      <c r="I111" s="0" t="n">
        <v>0</v>
      </c>
      <c r="J111" s="0" t="n">
        <v>28</v>
      </c>
      <c r="K111" s="0" t="n">
        <v>0.9</v>
      </c>
      <c r="L111" s="0" t="n">
        <v>2583</v>
      </c>
      <c r="M111" s="0" t="n">
        <v>557</v>
      </c>
    </row>
    <row r="112" customFormat="false" ht="13.5" hidden="false" customHeight="false" outlineLevel="0" collapsed="false">
      <c r="A112" s="0" t="s">
        <v>113</v>
      </c>
      <c r="B112" s="1" t="n">
        <v>43972</v>
      </c>
      <c r="C112" s="0" t="n">
        <v>131</v>
      </c>
      <c r="D112" s="0" t="n">
        <f aca="false">C112-C111</f>
        <v>0</v>
      </c>
      <c r="E112" s="0" t="n">
        <v>4</v>
      </c>
      <c r="F112" s="0" t="n">
        <f aca="false">E112-E111</f>
        <v>0</v>
      </c>
      <c r="G112" s="0" t="n">
        <v>7</v>
      </c>
      <c r="H112" s="0" t="n">
        <v>120</v>
      </c>
      <c r="I112" s="0" t="n">
        <v>0</v>
      </c>
      <c r="J112" s="0" t="n">
        <v>28</v>
      </c>
      <c r="K112" s="0" t="n">
        <v>0.9</v>
      </c>
      <c r="L112" s="0" t="n">
        <v>2583</v>
      </c>
      <c r="M112" s="0" t="n">
        <v>557</v>
      </c>
    </row>
    <row r="113" customFormat="false" ht="13.5" hidden="false" customHeight="false" outlineLevel="0" collapsed="false">
      <c r="A113" s="0" t="s">
        <v>113</v>
      </c>
      <c r="B113" s="1" t="n">
        <v>43973</v>
      </c>
      <c r="C113" s="0" t="n">
        <v>173</v>
      </c>
      <c r="D113" s="0" t="n">
        <f aca="false">C113-C112</f>
        <v>42</v>
      </c>
      <c r="E113" s="0" t="n">
        <v>5</v>
      </c>
      <c r="F113" s="0" t="n">
        <f aca="false">E113-E112</f>
        <v>1</v>
      </c>
      <c r="G113" s="0" t="n">
        <v>7</v>
      </c>
      <c r="H113" s="0" t="n">
        <v>161</v>
      </c>
      <c r="I113" s="0" t="n">
        <v>0</v>
      </c>
      <c r="J113" s="0" t="n">
        <v>37</v>
      </c>
      <c r="K113" s="0" t="n">
        <v>1</v>
      </c>
      <c r="L113" s="0" t="n">
        <v>2583</v>
      </c>
      <c r="M113" s="0" t="n">
        <v>557</v>
      </c>
    </row>
    <row r="114" customFormat="false" ht="13.5" hidden="false" customHeight="false" outlineLevel="0" collapsed="false">
      <c r="A114" s="0" t="s">
        <v>113</v>
      </c>
      <c r="B114" s="1" t="n">
        <v>43974</v>
      </c>
      <c r="C114" s="0" t="n">
        <v>200</v>
      </c>
      <c r="D114" s="0" t="n">
        <f aca="false">C114-C113</f>
        <v>27</v>
      </c>
      <c r="E114" s="0" t="n">
        <v>6</v>
      </c>
      <c r="F114" s="0" t="n">
        <f aca="false">E114-E113</f>
        <v>1</v>
      </c>
      <c r="G114" s="0" t="n">
        <v>7</v>
      </c>
      <c r="H114" s="0" t="n">
        <v>187</v>
      </c>
      <c r="I114" s="0" t="n">
        <v>0</v>
      </c>
      <c r="J114" s="0" t="n">
        <v>43</v>
      </c>
      <c r="K114" s="0" t="n">
        <v>1</v>
      </c>
      <c r="L114" s="0" t="n">
        <v>2583</v>
      </c>
      <c r="M114" s="0" t="n">
        <v>557</v>
      </c>
    </row>
    <row r="115" customFormat="false" ht="13.5" hidden="false" customHeight="false" outlineLevel="0" collapsed="false">
      <c r="A115" s="0" t="s">
        <v>113</v>
      </c>
      <c r="B115" s="1" t="n">
        <v>43975</v>
      </c>
      <c r="C115" s="0" t="n">
        <v>200</v>
      </c>
      <c r="D115" s="0" t="n">
        <f aca="false">C115-C114</f>
        <v>0</v>
      </c>
      <c r="E115" s="0" t="n">
        <v>6</v>
      </c>
      <c r="F115" s="0" t="n">
        <f aca="false">E115-E114</f>
        <v>0</v>
      </c>
      <c r="G115" s="0" t="n">
        <v>7</v>
      </c>
      <c r="H115" s="0" t="n">
        <v>187</v>
      </c>
      <c r="I115" s="0" t="n">
        <v>0</v>
      </c>
      <c r="J115" s="0" t="n">
        <v>43</v>
      </c>
      <c r="K115" s="0" t="n">
        <v>1</v>
      </c>
      <c r="L115" s="0" t="n">
        <v>2583</v>
      </c>
      <c r="M115" s="0" t="n">
        <v>557</v>
      </c>
    </row>
    <row r="116" customFormat="false" ht="13.5" hidden="false" customHeight="false" outlineLevel="0" collapsed="false">
      <c r="A116" s="0" t="s">
        <v>113</v>
      </c>
      <c r="B116" s="1" t="n">
        <v>43976</v>
      </c>
      <c r="C116" s="0" t="n">
        <v>237</v>
      </c>
      <c r="D116" s="0" t="n">
        <f aca="false">C116-C115</f>
        <v>37</v>
      </c>
      <c r="E116" s="0" t="n">
        <v>6</v>
      </c>
      <c r="F116" s="0" t="n">
        <f aca="false">E116-E115</f>
        <v>0</v>
      </c>
      <c r="G116" s="0" t="n">
        <v>15</v>
      </c>
      <c r="H116" s="0" t="n">
        <v>216</v>
      </c>
      <c r="I116" s="0" t="n">
        <v>0</v>
      </c>
      <c r="J116" s="0" t="n">
        <v>51</v>
      </c>
      <c r="K116" s="0" t="n">
        <v>1</v>
      </c>
      <c r="L116" s="0" t="n">
        <v>2583</v>
      </c>
      <c r="M116" s="0" t="n">
        <v>557</v>
      </c>
    </row>
    <row r="117" customFormat="false" ht="13.5" hidden="false" customHeight="false" outlineLevel="0" collapsed="false">
      <c r="A117" s="0" t="s">
        <v>113</v>
      </c>
      <c r="B117" s="1" t="n">
        <v>43977</v>
      </c>
      <c r="C117" s="0" t="n">
        <v>262</v>
      </c>
      <c r="D117" s="0" t="n">
        <f aca="false">C117-C116</f>
        <v>25</v>
      </c>
      <c r="E117" s="0" t="n">
        <v>9</v>
      </c>
      <c r="F117" s="0" t="n">
        <f aca="false">E117-E116</f>
        <v>3</v>
      </c>
      <c r="G117" s="0" t="n">
        <v>15</v>
      </c>
      <c r="H117" s="0" t="n">
        <v>238</v>
      </c>
      <c r="I117" s="0" t="n">
        <v>0</v>
      </c>
      <c r="J117" s="0" t="n">
        <v>57</v>
      </c>
      <c r="K117" s="0" t="n">
        <v>2</v>
      </c>
      <c r="L117" s="0" t="n">
        <v>2583</v>
      </c>
      <c r="M117" s="0" t="n">
        <v>557</v>
      </c>
    </row>
    <row r="118" customFormat="false" ht="13.5" hidden="false" customHeight="false" outlineLevel="0" collapsed="false">
      <c r="A118" s="0" t="s">
        <v>113</v>
      </c>
      <c r="B118" s="1" t="n">
        <v>43978</v>
      </c>
      <c r="C118" s="0" t="n">
        <v>268</v>
      </c>
      <c r="D118" s="0" t="n">
        <f aca="false">C118-C117</f>
        <v>6</v>
      </c>
      <c r="E118" s="0" t="n">
        <v>13</v>
      </c>
      <c r="F118" s="0" t="n">
        <f aca="false">E118-E117</f>
        <v>4</v>
      </c>
      <c r="G118" s="0" t="n">
        <v>15</v>
      </c>
      <c r="H118" s="0" t="n">
        <v>240</v>
      </c>
      <c r="I118" s="0" t="n">
        <v>0</v>
      </c>
      <c r="J118" s="0" t="n">
        <v>58</v>
      </c>
      <c r="K118" s="0" t="n">
        <v>3</v>
      </c>
      <c r="L118" s="0" t="n">
        <v>2583</v>
      </c>
      <c r="M118" s="0" t="n">
        <v>557</v>
      </c>
    </row>
    <row r="119" customFormat="false" ht="13.5" hidden="false" customHeight="false" outlineLevel="0" collapsed="false">
      <c r="A119" s="0" t="s">
        <v>113</v>
      </c>
      <c r="B119" s="1" t="n">
        <v>43979</v>
      </c>
      <c r="C119" s="0" t="n">
        <v>292</v>
      </c>
      <c r="D119" s="0" t="n">
        <f aca="false">C119-C118</f>
        <v>24</v>
      </c>
      <c r="E119" s="0" t="n">
        <v>16</v>
      </c>
      <c r="F119" s="0" t="n">
        <f aca="false">E119-E118</f>
        <v>3</v>
      </c>
      <c r="G119" s="0" t="n">
        <v>15</v>
      </c>
      <c r="H119" s="0" t="n">
        <v>261</v>
      </c>
      <c r="I119" s="0" t="n">
        <v>0</v>
      </c>
      <c r="J119" s="0" t="n">
        <v>63</v>
      </c>
      <c r="K119" s="0" t="n">
        <v>3</v>
      </c>
      <c r="L119" s="0" t="n">
        <v>2583</v>
      </c>
      <c r="M119" s="0" t="n">
        <v>557</v>
      </c>
    </row>
    <row r="120" customFormat="false" ht="13.5" hidden="false" customHeight="false" outlineLevel="0" collapsed="false">
      <c r="A120" s="0" t="s">
        <v>113</v>
      </c>
      <c r="B120" s="1" t="n">
        <v>43980</v>
      </c>
      <c r="C120" s="0" t="n">
        <v>346</v>
      </c>
      <c r="D120" s="0" t="n">
        <f aca="false">C120-C119</f>
        <v>54</v>
      </c>
      <c r="E120" s="0" t="n">
        <v>19</v>
      </c>
      <c r="F120" s="0" t="n">
        <f aca="false">E120-E119</f>
        <v>3</v>
      </c>
      <c r="G120" s="0" t="n">
        <v>15</v>
      </c>
      <c r="H120" s="0" t="n">
        <v>312</v>
      </c>
      <c r="I120" s="0" t="n">
        <v>0</v>
      </c>
      <c r="J120" s="0" t="n">
        <v>75</v>
      </c>
      <c r="K120" s="0" t="n">
        <v>4</v>
      </c>
      <c r="L120" s="0" t="n">
        <v>2583</v>
      </c>
      <c r="M120" s="0" t="n">
        <v>557</v>
      </c>
    </row>
    <row r="121" customFormat="false" ht="13.5" hidden="false" customHeight="false" outlineLevel="0" collapsed="false">
      <c r="A121" s="0" t="s">
        <v>113</v>
      </c>
      <c r="B121" s="1" t="n">
        <v>43981</v>
      </c>
      <c r="C121" s="0" t="n">
        <v>423</v>
      </c>
      <c r="D121" s="0" t="n">
        <f aca="false">C121-C120</f>
        <v>77</v>
      </c>
      <c r="E121" s="0" t="n">
        <v>20</v>
      </c>
      <c r="F121" s="0" t="n">
        <f aca="false">E121-E120</f>
        <v>1</v>
      </c>
      <c r="G121" s="0" t="n">
        <v>21</v>
      </c>
      <c r="H121" s="0" t="n">
        <v>382</v>
      </c>
      <c r="I121" s="0" t="n">
        <v>0</v>
      </c>
      <c r="J121" s="0" t="n">
        <v>91</v>
      </c>
      <c r="K121" s="0" t="n">
        <v>4</v>
      </c>
      <c r="L121" s="0" t="n">
        <v>2583</v>
      </c>
      <c r="M121" s="0" t="n">
        <v>557</v>
      </c>
    </row>
    <row r="122" customFormat="false" ht="13.5" hidden="false" customHeight="false" outlineLevel="0" collapsed="false">
      <c r="A122" s="0" t="s">
        <v>113</v>
      </c>
      <c r="B122" s="1" t="n">
        <v>43982</v>
      </c>
      <c r="C122" s="0" t="n">
        <v>483</v>
      </c>
      <c r="D122" s="0" t="n">
        <f aca="false">C122-C121</f>
        <v>60</v>
      </c>
      <c r="E122" s="0" t="n">
        <v>20</v>
      </c>
      <c r="F122" s="0" t="n">
        <f aca="false">E122-E121</f>
        <v>0</v>
      </c>
      <c r="G122" s="0" t="n">
        <v>21</v>
      </c>
      <c r="H122" s="0" t="n">
        <v>442</v>
      </c>
      <c r="I122" s="0" t="n">
        <v>0</v>
      </c>
      <c r="J122" s="0" t="n">
        <v>104</v>
      </c>
      <c r="K122" s="0" t="n">
        <v>4</v>
      </c>
      <c r="L122" s="0" t="n">
        <v>2583</v>
      </c>
      <c r="M122" s="0" t="n">
        <v>557</v>
      </c>
    </row>
    <row r="123" customFormat="false" ht="13.5" hidden="false" customHeight="false" outlineLevel="0" collapsed="false">
      <c r="A123" s="0" t="s">
        <v>113</v>
      </c>
      <c r="B123" s="1" t="n">
        <v>43983</v>
      </c>
      <c r="C123" s="0" t="n">
        <v>530</v>
      </c>
      <c r="D123" s="0" t="n">
        <f aca="false">C123-C122</f>
        <v>47</v>
      </c>
      <c r="E123" s="0" t="n">
        <v>23</v>
      </c>
      <c r="F123" s="0" t="n">
        <f aca="false">E123-E122</f>
        <v>3</v>
      </c>
      <c r="G123" s="0" t="n">
        <v>27</v>
      </c>
      <c r="H123" s="0" t="n">
        <v>480</v>
      </c>
      <c r="I123" s="0" t="n">
        <v>0</v>
      </c>
      <c r="J123" s="0" t="n">
        <v>114</v>
      </c>
      <c r="K123" s="0" t="n">
        <v>5</v>
      </c>
      <c r="L123" s="0" t="n">
        <v>7654</v>
      </c>
      <c r="M123" s="0" t="n">
        <v>1650</v>
      </c>
    </row>
    <row r="124" customFormat="false" ht="13.5" hidden="false" customHeight="false" outlineLevel="0" collapsed="false">
      <c r="A124" s="0" t="s">
        <v>113</v>
      </c>
      <c r="B124" s="1" t="n">
        <v>43984</v>
      </c>
      <c r="C124" s="0" t="n">
        <v>588</v>
      </c>
      <c r="D124" s="0" t="n">
        <f aca="false">C124-C123</f>
        <v>58</v>
      </c>
      <c r="E124" s="0" t="n">
        <v>23</v>
      </c>
      <c r="F124" s="0" t="n">
        <f aca="false">E124-E123</f>
        <v>0</v>
      </c>
      <c r="G124" s="0" t="n">
        <v>27</v>
      </c>
      <c r="H124" s="0" t="n">
        <v>538</v>
      </c>
      <c r="I124" s="0" t="n">
        <v>0</v>
      </c>
      <c r="J124" s="0" t="n">
        <v>127</v>
      </c>
      <c r="K124" s="0" t="n">
        <v>5</v>
      </c>
      <c r="L124" s="0" t="n">
        <v>7654</v>
      </c>
      <c r="M124" s="0" t="n">
        <v>1650</v>
      </c>
    </row>
    <row r="125" customFormat="false" ht="13.5" hidden="false" customHeight="false" outlineLevel="0" collapsed="false">
      <c r="A125" s="0" t="s">
        <v>113</v>
      </c>
      <c r="B125" s="1" t="n">
        <v>43985</v>
      </c>
      <c r="C125" s="0" t="n">
        <v>668</v>
      </c>
      <c r="D125" s="0" t="n">
        <f aca="false">C125-C124</f>
        <v>80</v>
      </c>
      <c r="E125" s="0" t="n">
        <v>31</v>
      </c>
      <c r="F125" s="0" t="n">
        <f aca="false">E125-E124</f>
        <v>8</v>
      </c>
      <c r="G125" s="0" t="n">
        <v>55</v>
      </c>
      <c r="H125" s="0" t="n">
        <v>582</v>
      </c>
      <c r="I125" s="0" t="n">
        <v>0</v>
      </c>
      <c r="J125" s="0" t="n">
        <v>144</v>
      </c>
      <c r="K125" s="0" t="n">
        <v>7</v>
      </c>
      <c r="L125" s="0" t="n">
        <v>7654</v>
      </c>
      <c r="M125" s="0" t="n">
        <v>1650</v>
      </c>
    </row>
    <row r="126" customFormat="false" ht="13.5" hidden="false" customHeight="false" outlineLevel="0" collapsed="false">
      <c r="A126" s="0" t="s">
        <v>113</v>
      </c>
      <c r="B126" s="1" t="n">
        <v>43986</v>
      </c>
      <c r="C126" s="0" t="n">
        <v>745</v>
      </c>
      <c r="D126" s="0" t="n">
        <f aca="false">C126-C125</f>
        <v>77</v>
      </c>
      <c r="E126" s="0" t="n">
        <v>34</v>
      </c>
      <c r="F126" s="0" t="n">
        <f aca="false">E126-E125</f>
        <v>3</v>
      </c>
      <c r="G126" s="0" t="n">
        <v>57</v>
      </c>
      <c r="H126" s="0" t="n">
        <v>654</v>
      </c>
      <c r="I126" s="0" t="n">
        <v>0</v>
      </c>
      <c r="J126" s="0" t="n">
        <v>161</v>
      </c>
      <c r="K126" s="0" t="n">
        <v>7</v>
      </c>
      <c r="L126" s="0" t="n">
        <v>7654</v>
      </c>
      <c r="M126" s="0" t="n">
        <v>1650</v>
      </c>
    </row>
    <row r="127" customFormat="false" ht="13.5" hidden="false" customHeight="false" outlineLevel="0" collapsed="false">
      <c r="A127" s="0" t="s">
        <v>113</v>
      </c>
      <c r="B127" s="1" t="n">
        <v>43987</v>
      </c>
      <c r="C127" s="0" t="n">
        <v>784</v>
      </c>
      <c r="D127" s="0" t="n">
        <f aca="false">C127-C126</f>
        <v>39</v>
      </c>
      <c r="E127" s="0" t="n">
        <v>39</v>
      </c>
      <c r="F127" s="0" t="n">
        <f aca="false">E127-E126</f>
        <v>5</v>
      </c>
      <c r="G127" s="0" t="n">
        <v>65</v>
      </c>
      <c r="H127" s="0" t="n">
        <v>680</v>
      </c>
      <c r="I127" s="0" t="n">
        <v>0</v>
      </c>
      <c r="J127" s="0" t="n">
        <v>169</v>
      </c>
      <c r="K127" s="0" t="n">
        <v>8</v>
      </c>
      <c r="L127" s="0" t="n">
        <v>7654</v>
      </c>
      <c r="M127" s="0" t="n">
        <v>1650</v>
      </c>
    </row>
    <row r="128" customFormat="false" ht="13.5" hidden="false" customHeight="false" outlineLevel="0" collapsed="false">
      <c r="A128" s="0" t="s">
        <v>113</v>
      </c>
      <c r="B128" s="1" t="n">
        <v>43988</v>
      </c>
      <c r="C128" s="0" t="n">
        <v>883</v>
      </c>
      <c r="D128" s="0" t="n">
        <f aca="false">C128-C127</f>
        <v>99</v>
      </c>
      <c r="E128" s="0" t="n">
        <v>43</v>
      </c>
      <c r="F128" s="0" t="n">
        <f aca="false">E128-E127</f>
        <v>4</v>
      </c>
      <c r="G128" s="0" t="n">
        <v>69</v>
      </c>
      <c r="H128" s="0" t="n">
        <v>771</v>
      </c>
      <c r="I128" s="0" t="n">
        <v>0</v>
      </c>
      <c r="J128" s="0" t="n">
        <v>190</v>
      </c>
      <c r="K128" s="0" t="n">
        <v>9</v>
      </c>
      <c r="L128" s="0" t="n">
        <v>7654</v>
      </c>
      <c r="M128" s="0" t="n">
        <v>1650</v>
      </c>
    </row>
    <row r="129" customFormat="false" ht="13.5" hidden="false" customHeight="false" outlineLevel="0" collapsed="false">
      <c r="A129" s="0" t="s">
        <v>113</v>
      </c>
      <c r="B129" s="1" t="n">
        <v>43989</v>
      </c>
      <c r="C129" s="0" t="n">
        <v>947</v>
      </c>
      <c r="D129" s="0" t="n">
        <f aca="false">C129-C128</f>
        <v>64</v>
      </c>
      <c r="E129" s="0" t="n">
        <v>49</v>
      </c>
      <c r="F129" s="0" t="n">
        <f aca="false">E129-E128</f>
        <v>6</v>
      </c>
      <c r="G129" s="0" t="n">
        <v>104</v>
      </c>
      <c r="H129" s="0" t="n">
        <v>794</v>
      </c>
      <c r="I129" s="0" t="n">
        <v>7</v>
      </c>
      <c r="J129" s="0" t="n">
        <v>204</v>
      </c>
      <c r="K129" s="0" t="n">
        <v>11</v>
      </c>
      <c r="L129" s="0" t="n">
        <v>7654</v>
      </c>
      <c r="M129" s="0" t="n">
        <v>1650</v>
      </c>
    </row>
    <row r="130" customFormat="false" ht="13.5" hidden="false" customHeight="false" outlineLevel="0" collapsed="false">
      <c r="A130" s="0" t="s">
        <v>113</v>
      </c>
      <c r="B130" s="1" t="n">
        <v>43990</v>
      </c>
      <c r="C130" s="0" t="n">
        <v>1049</v>
      </c>
      <c r="D130" s="0" t="n">
        <f aca="false">C130-C129</f>
        <v>102</v>
      </c>
      <c r="E130" s="0" t="n">
        <v>55</v>
      </c>
      <c r="F130" s="0" t="n">
        <f aca="false">E130-E129</f>
        <v>6</v>
      </c>
      <c r="G130" s="0" t="n">
        <v>108</v>
      </c>
      <c r="H130" s="0" t="n">
        <v>886</v>
      </c>
      <c r="I130" s="0" t="n">
        <v>7</v>
      </c>
      <c r="J130" s="0" t="n">
        <v>226</v>
      </c>
      <c r="K130" s="0" t="n">
        <v>12</v>
      </c>
      <c r="L130" s="0" t="n">
        <v>7654</v>
      </c>
      <c r="M130" s="0" t="n">
        <v>1649</v>
      </c>
    </row>
    <row r="131" customFormat="false" ht="13.5" hidden="false" customHeight="false" outlineLevel="0" collapsed="false">
      <c r="A131" s="0" t="s">
        <v>113</v>
      </c>
      <c r="B131" s="1" t="n">
        <v>43991</v>
      </c>
      <c r="C131" s="0" t="n">
        <v>1104</v>
      </c>
      <c r="D131" s="0" t="n">
        <f aca="false">C131-C130</f>
        <v>55</v>
      </c>
      <c r="E131" s="0" t="n">
        <v>59</v>
      </c>
      <c r="F131" s="0" t="n">
        <f aca="false">E131-E130</f>
        <v>4</v>
      </c>
      <c r="G131" s="0" t="n">
        <v>119</v>
      </c>
      <c r="H131" s="0" t="n">
        <v>926</v>
      </c>
      <c r="I131" s="0" t="n">
        <v>7</v>
      </c>
      <c r="J131" s="0" t="n">
        <v>238</v>
      </c>
      <c r="K131" s="0" t="n">
        <v>13</v>
      </c>
      <c r="L131" s="0" t="n">
        <v>7654</v>
      </c>
      <c r="M131" s="0" t="n">
        <v>1649</v>
      </c>
    </row>
    <row r="132" customFormat="false" ht="13.5" hidden="false" customHeight="false" outlineLevel="0" collapsed="false">
      <c r="A132" s="0" t="s">
        <v>113</v>
      </c>
      <c r="B132" s="1" t="n">
        <v>43992</v>
      </c>
      <c r="C132" s="0" t="n">
        <v>1162</v>
      </c>
      <c r="D132" s="0" t="n">
        <f aca="false">C132-C131</f>
        <v>58</v>
      </c>
      <c r="E132" s="0" t="n">
        <v>61</v>
      </c>
      <c r="F132" s="0" t="n">
        <f aca="false">E132-E131</f>
        <v>2</v>
      </c>
      <c r="G132" s="0" t="n">
        <v>139</v>
      </c>
      <c r="H132" s="0" t="n">
        <v>962</v>
      </c>
      <c r="I132" s="0" t="n">
        <v>11</v>
      </c>
      <c r="J132" s="0" t="n">
        <v>250</v>
      </c>
      <c r="K132" s="0" t="n">
        <v>13</v>
      </c>
      <c r="L132" s="0" t="n">
        <v>7654</v>
      </c>
      <c r="M132" s="0" t="n">
        <v>1649</v>
      </c>
    </row>
    <row r="133" customFormat="false" ht="13.5" hidden="false" customHeight="false" outlineLevel="0" collapsed="false">
      <c r="A133" s="0" t="s">
        <v>113</v>
      </c>
      <c r="B133" s="1" t="n">
        <v>43993</v>
      </c>
      <c r="C133" s="0" t="n">
        <v>1283</v>
      </c>
      <c r="D133" s="0" t="n">
        <f aca="false">C133-C132</f>
        <v>121</v>
      </c>
      <c r="E133" s="0" t="n">
        <v>71</v>
      </c>
      <c r="F133" s="0" t="n">
        <f aca="false">E133-E132</f>
        <v>10</v>
      </c>
      <c r="G133" s="0" t="n">
        <v>142</v>
      </c>
      <c r="H133" s="0" t="n">
        <v>1070</v>
      </c>
      <c r="I133" s="0" t="n">
        <v>11</v>
      </c>
      <c r="J133" s="0" t="n">
        <v>276</v>
      </c>
      <c r="K133" s="0" t="n">
        <v>15</v>
      </c>
      <c r="L133" s="0" t="n">
        <v>7654</v>
      </c>
      <c r="M133" s="0" t="n">
        <v>1649</v>
      </c>
    </row>
    <row r="134" customFormat="false" ht="13.5" hidden="false" customHeight="false" outlineLevel="0" collapsed="false">
      <c r="A134" s="0" t="s">
        <v>113</v>
      </c>
      <c r="B134" s="1" t="n">
        <v>43994</v>
      </c>
      <c r="C134" s="0" t="n">
        <v>1439</v>
      </c>
      <c r="D134" s="0" t="n">
        <f aca="false">C134-C133</f>
        <v>156</v>
      </c>
      <c r="E134" s="0" t="n">
        <v>74</v>
      </c>
      <c r="F134" s="0" t="n">
        <f aca="false">E134-E133</f>
        <v>3</v>
      </c>
      <c r="G134" s="0" t="n">
        <v>250</v>
      </c>
      <c r="H134" s="0" t="n">
        <v>1115</v>
      </c>
      <c r="I134" s="0" t="n">
        <v>25</v>
      </c>
      <c r="J134" s="0" t="n">
        <v>310</v>
      </c>
      <c r="K134" s="0" t="n">
        <v>16</v>
      </c>
      <c r="L134" s="0" t="n">
        <v>7654</v>
      </c>
      <c r="M134" s="0" t="n">
        <v>1649</v>
      </c>
    </row>
    <row r="135" customFormat="false" ht="13.5" hidden="false" customHeight="false" outlineLevel="0" collapsed="false">
      <c r="A135" s="0" t="s">
        <v>113</v>
      </c>
      <c r="B135" s="1" t="n">
        <v>43995</v>
      </c>
      <c r="C135" s="0" t="n">
        <v>1572</v>
      </c>
      <c r="D135" s="0" t="n">
        <f aca="false">C135-C134</f>
        <v>133</v>
      </c>
      <c r="E135" s="0" t="n">
        <v>81</v>
      </c>
      <c r="F135" s="0" t="n">
        <f aca="false">E135-E134</f>
        <v>7</v>
      </c>
      <c r="G135" s="0" t="n">
        <v>278</v>
      </c>
      <c r="H135" s="0" t="n">
        <v>1213</v>
      </c>
      <c r="I135" s="0" t="n">
        <v>25</v>
      </c>
      <c r="J135" s="0" t="n">
        <v>339</v>
      </c>
      <c r="K135" s="0" t="n">
        <v>17</v>
      </c>
      <c r="L135" s="0" t="n">
        <v>7654</v>
      </c>
      <c r="M135" s="0" t="n">
        <v>1649</v>
      </c>
    </row>
    <row r="136" customFormat="false" ht="13.5" hidden="false" customHeight="false" outlineLevel="0" collapsed="false">
      <c r="A136" s="0" t="s">
        <v>113</v>
      </c>
      <c r="B136" s="1" t="n">
        <v>43996</v>
      </c>
      <c r="C136" s="0" t="n">
        <v>1682</v>
      </c>
      <c r="D136" s="0" t="n">
        <f aca="false">C136-C135</f>
        <v>110</v>
      </c>
      <c r="E136" s="0" t="n">
        <v>83</v>
      </c>
      <c r="F136" s="0" t="n">
        <f aca="false">E136-E135</f>
        <v>2</v>
      </c>
      <c r="G136" s="0" t="n">
        <v>311</v>
      </c>
      <c r="H136" s="0" t="n">
        <v>1288</v>
      </c>
      <c r="I136" s="0" t="n">
        <v>25</v>
      </c>
      <c r="J136" s="0" t="n">
        <v>362</v>
      </c>
      <c r="K136" s="0" t="n">
        <v>18</v>
      </c>
      <c r="L136" s="0" t="n">
        <v>7654</v>
      </c>
      <c r="M136" s="0" t="n">
        <v>1649</v>
      </c>
    </row>
    <row r="137" customFormat="false" ht="13.5" hidden="false" customHeight="false" outlineLevel="0" collapsed="false">
      <c r="A137" s="0" t="s">
        <v>113</v>
      </c>
      <c r="B137" s="1" t="n">
        <v>43997</v>
      </c>
      <c r="C137" s="0" t="n">
        <v>1682</v>
      </c>
      <c r="D137" s="0" t="n">
        <f aca="false">C137-C136</f>
        <v>0</v>
      </c>
      <c r="E137" s="0" t="n">
        <v>83</v>
      </c>
      <c r="F137" s="0" t="n">
        <f aca="false">E137-E136</f>
        <v>0</v>
      </c>
      <c r="G137" s="0" t="n">
        <v>311</v>
      </c>
      <c r="H137" s="0" t="n">
        <v>1288</v>
      </c>
      <c r="I137" s="0" t="n">
        <v>25</v>
      </c>
      <c r="J137" s="0" t="n">
        <v>362</v>
      </c>
      <c r="K137" s="0" t="n">
        <v>18</v>
      </c>
      <c r="L137" s="0" t="n">
        <v>7654</v>
      </c>
      <c r="M137" s="0" t="n">
        <v>1649</v>
      </c>
    </row>
    <row r="138" customFormat="false" ht="13.5" hidden="false" customHeight="false" outlineLevel="0" collapsed="false">
      <c r="A138" s="0" t="s">
        <v>113</v>
      </c>
      <c r="B138" s="1" t="n">
        <v>43998</v>
      </c>
      <c r="C138" s="0" t="n">
        <v>1887</v>
      </c>
      <c r="D138" s="0" t="n">
        <f aca="false">C138-C137</f>
        <v>205</v>
      </c>
      <c r="E138" s="0" t="n">
        <v>91</v>
      </c>
      <c r="F138" s="0" t="n">
        <f aca="false">E138-E137</f>
        <v>8</v>
      </c>
      <c r="G138" s="0" t="n">
        <v>360</v>
      </c>
      <c r="H138" s="0" t="n">
        <v>1436</v>
      </c>
      <c r="I138" s="0" t="n">
        <v>25</v>
      </c>
      <c r="J138" s="0" t="n">
        <v>406</v>
      </c>
      <c r="K138" s="0" t="n">
        <v>20</v>
      </c>
      <c r="L138" s="0" t="n">
        <v>13842</v>
      </c>
      <c r="M138" s="0" t="n">
        <v>2981</v>
      </c>
    </row>
    <row r="139" customFormat="false" ht="13.5" hidden="false" customHeight="false" outlineLevel="0" collapsed="false">
      <c r="A139" s="0" t="s">
        <v>113</v>
      </c>
      <c r="B139" s="1" t="n">
        <v>43999</v>
      </c>
      <c r="C139" s="0" t="n">
        <v>2057</v>
      </c>
      <c r="D139" s="0" t="n">
        <f aca="false">C139-C138</f>
        <v>170</v>
      </c>
      <c r="E139" s="0" t="n">
        <v>93</v>
      </c>
      <c r="F139" s="0" t="n">
        <f aca="false">E139-E138</f>
        <v>2</v>
      </c>
      <c r="G139" s="0" t="n">
        <v>373</v>
      </c>
      <c r="H139" s="0" t="n">
        <v>1591</v>
      </c>
      <c r="I139" s="0" t="n">
        <v>8</v>
      </c>
      <c r="J139" s="0" t="n">
        <v>443</v>
      </c>
      <c r="K139" s="0" t="n">
        <v>20</v>
      </c>
      <c r="L139" s="0" t="n">
        <v>13842</v>
      </c>
      <c r="M139" s="0" t="n">
        <v>2981</v>
      </c>
    </row>
    <row r="140" customFormat="false" ht="13.5" hidden="false" customHeight="false" outlineLevel="0" collapsed="false">
      <c r="A140" s="0" t="s">
        <v>113</v>
      </c>
      <c r="B140" s="1" t="n">
        <v>44000</v>
      </c>
      <c r="C140" s="0" t="n">
        <v>2223</v>
      </c>
      <c r="D140" s="0" t="n">
        <f aca="false">C140-C139</f>
        <v>166</v>
      </c>
      <c r="E140" s="0" t="n">
        <v>95</v>
      </c>
      <c r="F140" s="0" t="n">
        <f aca="false">E140-E139</f>
        <v>2</v>
      </c>
      <c r="G140" s="0" t="n">
        <v>427</v>
      </c>
      <c r="H140" s="0" t="n">
        <v>1701</v>
      </c>
      <c r="I140" s="0" t="n">
        <v>8</v>
      </c>
      <c r="J140" s="0" t="n">
        <v>479</v>
      </c>
      <c r="K140" s="0" t="n">
        <v>20</v>
      </c>
      <c r="L140" s="0" t="n">
        <v>13842</v>
      </c>
      <c r="M140" s="0" t="n">
        <v>2981</v>
      </c>
    </row>
    <row r="141" customFormat="false" ht="13.5" hidden="false" customHeight="false" outlineLevel="0" collapsed="false">
      <c r="A141" s="0" t="s">
        <v>113</v>
      </c>
      <c r="B141" s="1" t="n">
        <v>44001</v>
      </c>
      <c r="C141" s="0" t="n">
        <v>2424</v>
      </c>
      <c r="D141" s="0" t="n">
        <f aca="false">C141-C140</f>
        <v>201</v>
      </c>
      <c r="E141" s="0" t="n">
        <v>97</v>
      </c>
      <c r="F141" s="0" t="n">
        <f aca="false">E141-E140</f>
        <v>2</v>
      </c>
      <c r="G141" s="0" t="n">
        <v>550</v>
      </c>
      <c r="H141" s="0" t="n">
        <v>1777</v>
      </c>
      <c r="I141" s="0" t="n">
        <v>8</v>
      </c>
      <c r="J141" s="0" t="n">
        <v>522</v>
      </c>
      <c r="K141" s="0" t="n">
        <v>21</v>
      </c>
      <c r="L141" s="0" t="n">
        <v>13842</v>
      </c>
      <c r="M141" s="0" t="n">
        <v>2981</v>
      </c>
    </row>
    <row r="142" customFormat="false" ht="13.5" hidden="false" customHeight="false" outlineLevel="0" collapsed="false">
      <c r="A142" s="0" t="s">
        <v>113</v>
      </c>
      <c r="B142" s="1" t="n">
        <v>44002</v>
      </c>
      <c r="C142" s="0" t="n">
        <v>2621</v>
      </c>
      <c r="D142" s="0" t="n">
        <f aca="false">C142-C141</f>
        <v>197</v>
      </c>
      <c r="E142" s="0" t="n">
        <v>102</v>
      </c>
      <c r="F142" s="0" t="n">
        <f aca="false">E142-E141</f>
        <v>5</v>
      </c>
      <c r="G142" s="0" t="n">
        <v>653</v>
      </c>
      <c r="H142" s="0" t="n">
        <v>1866</v>
      </c>
      <c r="I142" s="0" t="n">
        <v>8</v>
      </c>
      <c r="J142" s="0" t="n">
        <v>564</v>
      </c>
      <c r="K142" s="0" t="n">
        <v>22</v>
      </c>
      <c r="L142" s="0" t="n">
        <v>13842</v>
      </c>
      <c r="M142" s="0" t="n">
        <v>2980</v>
      </c>
    </row>
    <row r="143" customFormat="false" ht="13.5" hidden="false" customHeight="false" outlineLevel="0" collapsed="false">
      <c r="A143" s="0" t="s">
        <v>113</v>
      </c>
      <c r="B143" s="1" t="n">
        <v>44003</v>
      </c>
      <c r="C143" s="0" t="n">
        <v>2813</v>
      </c>
      <c r="D143" s="0" t="n">
        <v>192</v>
      </c>
      <c r="E143" s="0" t="n">
        <v>108</v>
      </c>
      <c r="F143" s="0" t="n">
        <v>6</v>
      </c>
      <c r="G143" s="0" t="n">
        <v>696</v>
      </c>
      <c r="H143" s="0" t="n">
        <v>2009</v>
      </c>
      <c r="I143" s="0" t="n">
        <v>8</v>
      </c>
      <c r="J143" s="0" t="n">
        <v>606</v>
      </c>
      <c r="K143" s="0" t="n">
        <v>23</v>
      </c>
      <c r="L143" s="0" t="n">
        <v>13842</v>
      </c>
      <c r="M143" s="0" t="n">
        <v>2980</v>
      </c>
    </row>
    <row r="144" customFormat="false" ht="13.5" hidden="false" customHeight="false" outlineLevel="0" collapsed="false">
      <c r="A144" s="0" t="s">
        <v>113</v>
      </c>
      <c r="B144" s="1" t="n">
        <v>44004</v>
      </c>
      <c r="C144" s="0" t="n">
        <v>2984</v>
      </c>
      <c r="D144" s="0" t="n">
        <v>171</v>
      </c>
      <c r="E144" s="0" t="n">
        <v>111</v>
      </c>
      <c r="F144" s="0" t="n">
        <v>3</v>
      </c>
      <c r="G144" s="0" t="n">
        <v>811</v>
      </c>
      <c r="H144" s="0" t="n">
        <v>2062</v>
      </c>
      <c r="I144" s="0" t="n">
        <v>11</v>
      </c>
      <c r="J144" s="0" t="n">
        <v>642</v>
      </c>
      <c r="K144" s="0" t="n">
        <v>24</v>
      </c>
      <c r="L144" s="0" t="n">
        <v>13842</v>
      </c>
      <c r="M144" s="0" t="n">
        <v>2980</v>
      </c>
    </row>
    <row r="145" customFormat="false" ht="13.5" hidden="false" customHeight="false" outlineLevel="0" collapsed="false">
      <c r="A145" s="0" t="s">
        <v>113</v>
      </c>
      <c r="B145" s="1" t="n">
        <v>44005</v>
      </c>
      <c r="C145" s="0" t="n">
        <v>3121</v>
      </c>
      <c r="D145" s="0" t="n">
        <v>137</v>
      </c>
      <c r="E145" s="0" t="n">
        <v>112</v>
      </c>
      <c r="F145" s="0" t="n">
        <v>1</v>
      </c>
      <c r="G145" s="0" t="n">
        <v>905</v>
      </c>
      <c r="H145" s="0" t="n">
        <v>2104</v>
      </c>
      <c r="I145" s="0" t="n">
        <v>11</v>
      </c>
      <c r="J145" s="0" t="n">
        <v>672</v>
      </c>
      <c r="K145" s="0" t="n">
        <v>24</v>
      </c>
      <c r="L145" s="0" t="n">
        <v>13842</v>
      </c>
      <c r="M145" s="0" t="n">
        <v>2980</v>
      </c>
    </row>
    <row r="146" customFormat="false" ht="13.5" hidden="false" customHeight="false" outlineLevel="0" collapsed="false">
      <c r="A146" s="0" t="s">
        <v>113</v>
      </c>
      <c r="B146" s="1" t="n">
        <v>44006</v>
      </c>
      <c r="C146" s="0" t="n">
        <v>3292</v>
      </c>
      <c r="D146" s="0" t="n">
        <v>171</v>
      </c>
      <c r="E146" s="0" t="n">
        <v>114</v>
      </c>
      <c r="F146" s="0" t="n">
        <v>2</v>
      </c>
      <c r="G146" s="0" t="n">
        <v>963</v>
      </c>
      <c r="H146" s="0" t="n">
        <v>2215</v>
      </c>
      <c r="I146" s="0" t="n">
        <v>11</v>
      </c>
      <c r="J146" s="0" t="n">
        <v>709</v>
      </c>
      <c r="K146" s="0" t="n">
        <v>25</v>
      </c>
      <c r="L146" s="0" t="n">
        <v>13842</v>
      </c>
      <c r="M146" s="0" t="n">
        <v>2980</v>
      </c>
    </row>
    <row r="147" customFormat="false" ht="13.5" hidden="false" customHeight="false" outlineLevel="0" collapsed="false">
      <c r="A147" s="0" t="s">
        <v>113</v>
      </c>
      <c r="B147" s="1" t="n">
        <v>44007</v>
      </c>
      <c r="C147" s="0" t="n">
        <v>3519</v>
      </c>
      <c r="D147" s="0" t="n">
        <v>227</v>
      </c>
      <c r="E147" s="0" t="n">
        <v>116</v>
      </c>
      <c r="F147" s="0" t="n">
        <v>2</v>
      </c>
      <c r="G147" s="0" t="n">
        <v>1074</v>
      </c>
      <c r="H147" s="0" t="n">
        <v>2329</v>
      </c>
      <c r="I147" s="0" t="n">
        <v>20</v>
      </c>
      <c r="J147" s="0" t="n">
        <v>757</v>
      </c>
      <c r="K147" s="0" t="n">
        <v>25</v>
      </c>
      <c r="L147" s="0" t="n">
        <v>13842</v>
      </c>
      <c r="M147" s="0" t="n">
        <v>2979</v>
      </c>
    </row>
    <row r="148" customFormat="false" ht="13.5" hidden="false" customHeight="false" outlineLevel="0" collapsed="false">
      <c r="A148" s="0" t="s">
        <v>113</v>
      </c>
      <c r="B148" s="1" t="n">
        <v>44008</v>
      </c>
      <c r="C148" s="0" t="n">
        <v>3519</v>
      </c>
      <c r="D148" s="0" t="n">
        <v>0</v>
      </c>
      <c r="E148" s="0" t="n">
        <v>116</v>
      </c>
      <c r="F148" s="0" t="n">
        <v>0</v>
      </c>
      <c r="G148" s="0" t="n">
        <v>1074</v>
      </c>
      <c r="H148" s="0" t="n">
        <v>2329</v>
      </c>
      <c r="I148" s="0" t="n">
        <v>20</v>
      </c>
      <c r="J148" s="0" t="n">
        <v>757</v>
      </c>
      <c r="K148" s="0" t="n">
        <v>25</v>
      </c>
      <c r="L148" s="0" t="n">
        <v>13842</v>
      </c>
      <c r="M148" s="0" t="n">
        <v>2979</v>
      </c>
    </row>
    <row r="149" customFormat="false" ht="13.5" hidden="false" customHeight="false" outlineLevel="0" collapsed="false">
      <c r="A149" s="0" t="s">
        <v>113</v>
      </c>
      <c r="B149" s="1" t="n">
        <v>44009</v>
      </c>
      <c r="C149" s="0" t="n">
        <v>3907</v>
      </c>
      <c r="D149" s="0" t="n">
        <v>388</v>
      </c>
      <c r="E149" s="0" t="n">
        <v>120</v>
      </c>
      <c r="F149" s="0" t="n">
        <v>4</v>
      </c>
      <c r="G149" s="0" t="n">
        <v>1280</v>
      </c>
      <c r="H149" s="0" t="n">
        <v>2507</v>
      </c>
      <c r="I149" s="0" t="n">
        <v>21</v>
      </c>
      <c r="J149" s="0" t="n">
        <v>841</v>
      </c>
      <c r="K149" s="0" t="n">
        <v>26</v>
      </c>
      <c r="L149" s="0" t="n">
        <v>13842</v>
      </c>
      <c r="M149" s="0" t="n">
        <v>2979</v>
      </c>
    </row>
    <row r="150" customFormat="false" ht="13.5" hidden="false" customHeight="false" outlineLevel="0" collapsed="false">
      <c r="A150" s="0" t="s">
        <v>113</v>
      </c>
      <c r="B150" s="1" t="n">
        <v>44010</v>
      </c>
      <c r="C150" s="0" t="n">
        <v>4025</v>
      </c>
      <c r="D150" s="0" t="n">
        <v>118</v>
      </c>
      <c r="E150" s="0" t="n">
        <v>121</v>
      </c>
      <c r="F150" s="0" t="n">
        <v>1</v>
      </c>
      <c r="G150" s="0" t="n">
        <v>1344</v>
      </c>
      <c r="H150" s="0" t="n">
        <v>2560</v>
      </c>
      <c r="I150" s="0" t="n">
        <v>21</v>
      </c>
      <c r="J150" s="0" t="n">
        <v>866</v>
      </c>
      <c r="K150" s="0" t="n">
        <v>26</v>
      </c>
      <c r="L150" s="0" t="n">
        <v>13842</v>
      </c>
      <c r="M150" s="0" t="n">
        <v>2979</v>
      </c>
    </row>
    <row r="151" customFormat="false" ht="13.5" hidden="false" customHeight="false" outlineLevel="0" collapsed="false">
      <c r="A151" s="0" t="s">
        <v>113</v>
      </c>
      <c r="B151" s="1" t="n">
        <v>44011</v>
      </c>
      <c r="C151" s="0" t="n">
        <v>4149</v>
      </c>
      <c r="D151" s="0" t="n">
        <v>124</v>
      </c>
      <c r="E151" s="0" t="n">
        <v>126</v>
      </c>
      <c r="F151" s="0" t="n">
        <v>5</v>
      </c>
      <c r="G151" s="0" t="n">
        <v>1419</v>
      </c>
      <c r="H151" s="0" t="n">
        <v>2604</v>
      </c>
      <c r="I151" s="0" t="n">
        <v>21</v>
      </c>
      <c r="J151" s="0" t="n">
        <v>893</v>
      </c>
      <c r="K151" s="0" t="n">
        <v>27</v>
      </c>
      <c r="L151" s="0" t="n">
        <v>13842</v>
      </c>
      <c r="M151" s="0" t="n">
        <v>2978</v>
      </c>
    </row>
    <row r="152" customFormat="false" ht="13.5" hidden="false" customHeight="false" outlineLevel="0" collapsed="false">
      <c r="A152" s="0" t="s">
        <v>113</v>
      </c>
      <c r="B152" s="1" t="n">
        <v>44012</v>
      </c>
    </row>
    <row r="153" customFormat="false" ht="13.5" hidden="false" customHeight="false" outlineLevel="0" collapsed="false">
      <c r="A153" s="0" t="s">
        <v>113</v>
      </c>
      <c r="B153" s="1" t="n">
        <v>44013</v>
      </c>
    </row>
    <row r="154" customFormat="false" ht="13.5" hidden="false" customHeight="false" outlineLevel="0" collapsed="false">
      <c r="A154" s="0" t="s">
        <v>113</v>
      </c>
      <c r="B154" s="1" t="n">
        <v>44014</v>
      </c>
    </row>
    <row r="155" customFormat="false" ht="13.5" hidden="false" customHeight="false" outlineLevel="0" collapsed="false">
      <c r="A155" s="0" t="s">
        <v>113</v>
      </c>
      <c r="B155" s="1" t="n">
        <v>44015</v>
      </c>
    </row>
    <row r="156" customFormat="false" ht="13.5" hidden="false" customHeight="false" outlineLevel="0" collapsed="false">
      <c r="A156" s="0" t="s">
        <v>113</v>
      </c>
      <c r="B156" s="1" t="n">
        <v>44016</v>
      </c>
    </row>
    <row r="157" customFormat="false" ht="13.5" hidden="false" customHeight="false" outlineLevel="0" collapsed="false">
      <c r="A157" s="0" t="s">
        <v>113</v>
      </c>
      <c r="B157" s="1" t="n">
        <v>44017</v>
      </c>
    </row>
    <row r="158" customFormat="false" ht="13.5" hidden="false" customHeight="false" outlineLevel="0" collapsed="false">
      <c r="A158" s="0" t="s">
        <v>113</v>
      </c>
      <c r="B158" s="1" t="n">
        <v>44018</v>
      </c>
    </row>
    <row r="159" customFormat="false" ht="13.5" hidden="false" customHeight="false" outlineLevel="0" collapsed="false">
      <c r="A159" s="0" t="s">
        <v>113</v>
      </c>
      <c r="B159" s="1" t="n">
        <v>44019</v>
      </c>
    </row>
    <row r="160" customFormat="false" ht="13.5" hidden="false" customHeight="false" outlineLevel="0" collapsed="false">
      <c r="A160" s="0" t="s">
        <v>113</v>
      </c>
      <c r="B160" s="1" t="n">
        <v>44020</v>
      </c>
    </row>
    <row r="161" customFormat="false" ht="13.5" hidden="false" customHeight="false" outlineLevel="0" collapsed="false">
      <c r="A161" s="0" t="s">
        <v>113</v>
      </c>
      <c r="B161" s="1" t="n">
        <v>44021</v>
      </c>
    </row>
    <row r="162" customFormat="false" ht="13.5" hidden="false" customHeight="false" outlineLevel="0" collapsed="false">
      <c r="A162" s="0" t="s">
        <v>113</v>
      </c>
      <c r="B162" s="1" t="n">
        <v>44022</v>
      </c>
    </row>
    <row r="163" customFormat="false" ht="13.5" hidden="false" customHeight="false" outlineLevel="0" collapsed="false">
      <c r="A163" s="0" t="s">
        <v>113</v>
      </c>
      <c r="B163" s="1" t="n">
        <v>44023</v>
      </c>
    </row>
    <row r="164" customFormat="false" ht="13.5" hidden="false" customHeight="false" outlineLevel="0" collapsed="false">
      <c r="A164" s="0" t="s">
        <v>113</v>
      </c>
      <c r="B164" s="1" t="n">
        <v>44024</v>
      </c>
    </row>
    <row r="165" customFormat="false" ht="13.5" hidden="false" customHeight="false" outlineLevel="0" collapsed="false">
      <c r="A165" s="0" t="s">
        <v>113</v>
      </c>
      <c r="B165" s="1" t="n">
        <v>44025</v>
      </c>
    </row>
    <row r="166" customFormat="false" ht="13.5" hidden="false" customHeight="false" outlineLevel="0" collapsed="false">
      <c r="A166" s="0" t="s">
        <v>113</v>
      </c>
      <c r="B166" s="1" t="n">
        <v>44026</v>
      </c>
    </row>
    <row r="167" customFormat="false" ht="13.5" hidden="false" customHeight="false" outlineLevel="0" collapsed="false">
      <c r="A167" s="0" t="s">
        <v>113</v>
      </c>
      <c r="B167" s="1" t="n">
        <v>44027</v>
      </c>
    </row>
    <row r="168" customFormat="false" ht="13.5" hidden="false" customHeight="false" outlineLevel="0" collapsed="false">
      <c r="A168" s="0" t="s">
        <v>113</v>
      </c>
      <c r="B168" s="1" t="n">
        <v>44028</v>
      </c>
    </row>
    <row r="169" customFormat="false" ht="13.5" hidden="false" customHeight="false" outlineLevel="0" collapsed="false">
      <c r="A169" s="0" t="s">
        <v>113</v>
      </c>
      <c r="B169" s="1" t="n">
        <v>44029</v>
      </c>
    </row>
    <row r="170" customFormat="false" ht="13.5" hidden="false" customHeight="false" outlineLevel="0" collapsed="false">
      <c r="A170" s="0" t="s">
        <v>113</v>
      </c>
      <c r="B170" s="1" t="n">
        <v>44030</v>
      </c>
    </row>
    <row r="171" customFormat="false" ht="13.5" hidden="false" customHeight="false" outlineLevel="0" collapsed="false">
      <c r="A171" s="0" t="s">
        <v>113</v>
      </c>
      <c r="B171" s="1" t="n">
        <v>44031</v>
      </c>
    </row>
    <row r="172" customFormat="false" ht="13.5" hidden="false" customHeight="false" outlineLevel="0" collapsed="false">
      <c r="A172" s="0" t="s">
        <v>113</v>
      </c>
      <c r="B172" s="1" t="n">
        <v>44032</v>
      </c>
    </row>
    <row r="173" customFormat="false" ht="13.5" hidden="false" customHeight="false" outlineLevel="0" collapsed="false">
      <c r="A173" s="0" t="s">
        <v>113</v>
      </c>
      <c r="B173" s="1" t="n">
        <v>44033</v>
      </c>
    </row>
    <row r="174" customFormat="false" ht="13.5" hidden="false" customHeight="false" outlineLevel="0" collapsed="false">
      <c r="A174" s="0" t="s">
        <v>113</v>
      </c>
      <c r="B174" s="1" t="n">
        <v>44034</v>
      </c>
    </row>
    <row r="175" customFormat="false" ht="13.5" hidden="false" customHeight="false" outlineLevel="0" collapsed="false">
      <c r="A175" s="0" t="s">
        <v>113</v>
      </c>
      <c r="B175" s="1" t="n">
        <v>44035</v>
      </c>
    </row>
    <row r="176" customFormat="false" ht="13.5" hidden="false" customHeight="false" outlineLevel="0" collapsed="false">
      <c r="A176" s="0" t="s">
        <v>113</v>
      </c>
      <c r="B176" s="1" t="n">
        <v>44036</v>
      </c>
    </row>
    <row r="177" customFormat="false" ht="13.5" hidden="false" customHeight="false" outlineLevel="0" collapsed="false">
      <c r="A177" s="0" t="s">
        <v>113</v>
      </c>
      <c r="B177" s="1" t="n">
        <v>44037</v>
      </c>
    </row>
    <row r="178" customFormat="false" ht="13.5" hidden="false" customHeight="false" outlineLevel="0" collapsed="false">
      <c r="A178" s="0" t="s">
        <v>113</v>
      </c>
      <c r="B178" s="1" t="n">
        <v>44038</v>
      </c>
    </row>
    <row r="179" customFormat="false" ht="13.5" hidden="false" customHeight="false" outlineLevel="0" collapsed="false">
      <c r="A179" s="0" t="s">
        <v>113</v>
      </c>
      <c r="B179" s="1" t="n">
        <v>44039</v>
      </c>
    </row>
    <row r="180" customFormat="false" ht="13.5" hidden="false" customHeight="false" outlineLevel="0" collapsed="false">
      <c r="A180" s="0" t="s">
        <v>113</v>
      </c>
      <c r="B180" s="1" t="n">
        <v>44040</v>
      </c>
    </row>
    <row r="181" customFormat="false" ht="13.5" hidden="false" customHeight="false" outlineLevel="0" collapsed="false">
      <c r="A181" s="0" t="s">
        <v>113</v>
      </c>
      <c r="B181" s="1" t="n">
        <v>44041</v>
      </c>
    </row>
    <row r="182" customFormat="false" ht="13.5" hidden="false" customHeight="false" outlineLevel="0" collapsed="false">
      <c r="A182" s="0" t="s">
        <v>113</v>
      </c>
      <c r="B182" s="1" t="n">
        <v>44042</v>
      </c>
    </row>
    <row r="183" customFormat="false" ht="13.5" hidden="false" customHeight="false" outlineLevel="0" collapsed="false">
      <c r="A183" s="0" t="s">
        <v>113</v>
      </c>
      <c r="B183" s="1" t="n">
        <v>44043</v>
      </c>
    </row>
    <row r="184" customFormat="false" ht="13.5" hidden="false" customHeight="false" outlineLevel="0" collapsed="false">
      <c r="A184" s="0" t="s">
        <v>113</v>
      </c>
      <c r="B184" s="1" t="n">
        <v>44044</v>
      </c>
    </row>
    <row r="185" customFormat="false" ht="13.5" hidden="false" customHeight="false" outlineLevel="0" collapsed="false">
      <c r="A185" s="0" t="s">
        <v>113</v>
      </c>
      <c r="B185" s="1" t="n">
        <v>44045</v>
      </c>
    </row>
    <row r="186" customFormat="false" ht="13.5" hidden="false" customHeight="false" outlineLevel="0" collapsed="false">
      <c r="A186" s="0" t="s">
        <v>113</v>
      </c>
      <c r="B186" s="1" t="n">
        <v>44046</v>
      </c>
    </row>
    <row r="187" customFormat="false" ht="13.5" hidden="false" customHeight="false" outlineLevel="0" collapsed="false">
      <c r="A187" s="0" t="s">
        <v>113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114</v>
      </c>
      <c r="B2" s="1" t="n">
        <v>43862</v>
      </c>
    </row>
    <row r="3" customFormat="false" ht="13.5" hidden="false" customHeight="false" outlineLevel="0" collapsed="false">
      <c r="A3" s="0" t="s">
        <v>114</v>
      </c>
      <c r="B3" s="1" t="n">
        <v>43863</v>
      </c>
    </row>
    <row r="4" customFormat="false" ht="13.5" hidden="false" customHeight="false" outlineLevel="0" collapsed="false">
      <c r="A4" s="0" t="s">
        <v>114</v>
      </c>
      <c r="B4" s="1" t="n">
        <v>43864</v>
      </c>
    </row>
    <row r="5" customFormat="false" ht="13.5" hidden="false" customHeight="false" outlineLevel="0" collapsed="false">
      <c r="A5" s="0" t="s">
        <v>114</v>
      </c>
      <c r="B5" s="1" t="n">
        <v>43865</v>
      </c>
    </row>
    <row r="6" customFormat="false" ht="13.5" hidden="false" customHeight="false" outlineLevel="0" collapsed="false">
      <c r="A6" s="0" t="s">
        <v>114</v>
      </c>
      <c r="B6" s="1" t="n">
        <v>43866</v>
      </c>
    </row>
    <row r="7" customFormat="false" ht="13.5" hidden="false" customHeight="false" outlineLevel="0" collapsed="false">
      <c r="A7" s="0" t="s">
        <v>114</v>
      </c>
      <c r="B7" s="1" t="n">
        <v>43867</v>
      </c>
    </row>
    <row r="8" customFormat="false" ht="13.5" hidden="false" customHeight="false" outlineLevel="0" collapsed="false">
      <c r="A8" s="0" t="s">
        <v>114</v>
      </c>
      <c r="B8" s="1" t="n">
        <v>43868</v>
      </c>
    </row>
    <row r="9" customFormat="false" ht="13.5" hidden="false" customHeight="false" outlineLevel="0" collapsed="false">
      <c r="A9" s="0" t="s">
        <v>114</v>
      </c>
      <c r="B9" s="1" t="n">
        <v>43869</v>
      </c>
    </row>
    <row r="10" customFormat="false" ht="13.5" hidden="false" customHeight="false" outlineLevel="0" collapsed="false">
      <c r="A10" s="0" t="s">
        <v>114</v>
      </c>
      <c r="B10" s="1" t="n">
        <v>43870</v>
      </c>
    </row>
    <row r="11" customFormat="false" ht="13.5" hidden="false" customHeight="false" outlineLevel="0" collapsed="false">
      <c r="A11" s="0" t="s">
        <v>114</v>
      </c>
      <c r="B11" s="1" t="n">
        <v>43871</v>
      </c>
    </row>
    <row r="12" customFormat="false" ht="13.5" hidden="false" customHeight="false" outlineLevel="0" collapsed="false">
      <c r="A12" s="0" t="s">
        <v>114</v>
      </c>
      <c r="B12" s="1" t="n">
        <v>43872</v>
      </c>
    </row>
    <row r="13" customFormat="false" ht="13.5" hidden="false" customHeight="false" outlineLevel="0" collapsed="false">
      <c r="A13" s="0" t="s">
        <v>114</v>
      </c>
      <c r="B13" s="1" t="n">
        <v>43873</v>
      </c>
    </row>
    <row r="14" customFormat="false" ht="13.5" hidden="false" customHeight="false" outlineLevel="0" collapsed="false">
      <c r="A14" s="0" t="s">
        <v>114</v>
      </c>
      <c r="B14" s="1" t="n">
        <v>43874</v>
      </c>
    </row>
    <row r="15" customFormat="false" ht="13.5" hidden="false" customHeight="false" outlineLevel="0" collapsed="false">
      <c r="A15" s="0" t="s">
        <v>114</v>
      </c>
      <c r="B15" s="1" t="n">
        <v>43875</v>
      </c>
    </row>
    <row r="16" customFormat="false" ht="13.5" hidden="false" customHeight="false" outlineLevel="0" collapsed="false">
      <c r="A16" s="0" t="s">
        <v>114</v>
      </c>
      <c r="B16" s="1" t="n">
        <v>43876</v>
      </c>
    </row>
    <row r="17" customFormat="false" ht="13.5" hidden="false" customHeight="false" outlineLevel="0" collapsed="false">
      <c r="A17" s="0" t="s">
        <v>114</v>
      </c>
      <c r="B17" s="1" t="n">
        <v>43877</v>
      </c>
    </row>
    <row r="18" customFormat="false" ht="13.5" hidden="false" customHeight="false" outlineLevel="0" collapsed="false">
      <c r="A18" s="0" t="s">
        <v>114</v>
      </c>
      <c r="B18" s="1" t="n">
        <v>43878</v>
      </c>
    </row>
    <row r="19" customFormat="false" ht="13.5" hidden="false" customHeight="false" outlineLevel="0" collapsed="false">
      <c r="A19" s="0" t="s">
        <v>114</v>
      </c>
      <c r="B19" s="1" t="n">
        <v>43879</v>
      </c>
    </row>
    <row r="20" customFormat="false" ht="13.5" hidden="false" customHeight="false" outlineLevel="0" collapsed="false">
      <c r="A20" s="0" t="s">
        <v>114</v>
      </c>
      <c r="B20" s="1" t="n">
        <v>43880</v>
      </c>
    </row>
    <row r="21" customFormat="false" ht="13.5" hidden="false" customHeight="false" outlineLevel="0" collapsed="false">
      <c r="A21" s="0" t="s">
        <v>114</v>
      </c>
      <c r="B21" s="1" t="n">
        <v>43881</v>
      </c>
    </row>
    <row r="22" customFormat="false" ht="13.5" hidden="false" customHeight="false" outlineLevel="0" collapsed="false">
      <c r="A22" s="0" t="s">
        <v>114</v>
      </c>
      <c r="B22" s="1" t="n">
        <v>43882</v>
      </c>
    </row>
    <row r="23" customFormat="false" ht="13.5" hidden="false" customHeight="false" outlineLevel="0" collapsed="false">
      <c r="A23" s="0" t="s">
        <v>114</v>
      </c>
      <c r="B23" s="1" t="n">
        <v>43883</v>
      </c>
    </row>
    <row r="24" customFormat="false" ht="13.5" hidden="false" customHeight="false" outlineLevel="0" collapsed="false">
      <c r="A24" s="0" t="s">
        <v>114</v>
      </c>
      <c r="B24" s="1" t="n">
        <v>43884</v>
      </c>
    </row>
    <row r="25" customFormat="false" ht="13.5" hidden="false" customHeight="false" outlineLevel="0" collapsed="false">
      <c r="A25" s="0" t="s">
        <v>114</v>
      </c>
      <c r="B25" s="1" t="n">
        <v>43885</v>
      </c>
    </row>
    <row r="26" customFormat="false" ht="13.5" hidden="false" customHeight="false" outlineLevel="0" collapsed="false">
      <c r="A26" s="0" t="s">
        <v>114</v>
      </c>
      <c r="B26" s="1" t="n">
        <v>43886</v>
      </c>
    </row>
    <row r="27" customFormat="false" ht="13.5" hidden="false" customHeight="false" outlineLevel="0" collapsed="false">
      <c r="A27" s="0" t="s">
        <v>114</v>
      </c>
      <c r="B27" s="1" t="n">
        <v>43887</v>
      </c>
    </row>
    <row r="28" customFormat="false" ht="13.5" hidden="false" customHeight="false" outlineLevel="0" collapsed="false">
      <c r="A28" s="0" t="s">
        <v>114</v>
      </c>
      <c r="B28" s="1" t="n">
        <v>43888</v>
      </c>
    </row>
    <row r="29" customFormat="false" ht="13.5" hidden="false" customHeight="false" outlineLevel="0" collapsed="false">
      <c r="A29" s="0" t="s">
        <v>114</v>
      </c>
      <c r="B29" s="1" t="n">
        <v>43889</v>
      </c>
    </row>
    <row r="30" customFormat="false" ht="13.5" hidden="false" customHeight="false" outlineLevel="0" collapsed="false">
      <c r="A30" s="0" t="s">
        <v>114</v>
      </c>
      <c r="B30" s="1" t="n">
        <v>43890</v>
      </c>
    </row>
    <row r="31" customFormat="false" ht="13.5" hidden="false" customHeight="false" outlineLevel="0" collapsed="false">
      <c r="A31" s="0" t="s">
        <v>114</v>
      </c>
      <c r="B31" s="1" t="n">
        <v>43891</v>
      </c>
    </row>
    <row r="32" customFormat="false" ht="13.5" hidden="false" customHeight="false" outlineLevel="0" collapsed="false">
      <c r="A32" s="0" t="s">
        <v>114</v>
      </c>
      <c r="B32" s="1" t="n">
        <v>43892</v>
      </c>
    </row>
    <row r="33" customFormat="false" ht="13.5" hidden="false" customHeight="false" outlineLevel="0" collapsed="false">
      <c r="A33" s="0" t="s">
        <v>114</v>
      </c>
      <c r="B33" s="1" t="n">
        <v>43893</v>
      </c>
    </row>
    <row r="34" customFormat="false" ht="13.5" hidden="false" customHeight="false" outlineLevel="0" collapsed="false">
      <c r="A34" s="0" t="s">
        <v>114</v>
      </c>
      <c r="B34" s="1" t="n">
        <v>43894</v>
      </c>
    </row>
    <row r="35" customFormat="false" ht="13.5" hidden="false" customHeight="false" outlineLevel="0" collapsed="false">
      <c r="A35" s="0" t="s">
        <v>114</v>
      </c>
      <c r="B35" s="1" t="n">
        <v>43895</v>
      </c>
    </row>
    <row r="36" customFormat="false" ht="13.5" hidden="false" customHeight="false" outlineLevel="0" collapsed="false">
      <c r="A36" s="0" t="s">
        <v>114</v>
      </c>
      <c r="B36" s="1" t="n">
        <v>43896</v>
      </c>
    </row>
    <row r="37" customFormat="false" ht="14.25" hidden="false" customHeight="false" outlineLevel="0" collapsed="false">
      <c r="A37" s="0" t="s">
        <v>114</v>
      </c>
      <c r="B37" s="1" t="n">
        <v>43897</v>
      </c>
    </row>
    <row r="38" customFormat="false" ht="15.75" hidden="false" customHeight="false" outlineLevel="0" collapsed="false">
      <c r="A38" s="0" t="s">
        <v>114</v>
      </c>
      <c r="B38" s="1" t="n">
        <v>43898</v>
      </c>
      <c r="C38" s="6" t="n">
        <v>1</v>
      </c>
      <c r="D38" s="6"/>
      <c r="E38" s="6"/>
      <c r="F38" s="6"/>
      <c r="G38" s="6"/>
      <c r="H38" s="6" t="n">
        <v>1</v>
      </c>
      <c r="I38" s="6"/>
    </row>
    <row r="39" customFormat="false" ht="13.5" hidden="false" customHeight="false" outlineLevel="0" collapsed="false">
      <c r="A39" s="0" t="s">
        <v>114</v>
      </c>
      <c r="B39" s="1" t="n">
        <v>43899</v>
      </c>
      <c r="C39" s="0" t="n">
        <v>5</v>
      </c>
      <c r="D39" s="0" t="n">
        <f aca="false">C39-C38</f>
        <v>4</v>
      </c>
      <c r="H39" s="0" t="n">
        <v>5</v>
      </c>
      <c r="I39" s="0" t="n">
        <v>1</v>
      </c>
      <c r="J39" s="0" t="n">
        <v>1</v>
      </c>
    </row>
    <row r="40" customFormat="false" ht="13.5" hidden="false" customHeight="false" outlineLevel="0" collapsed="false">
      <c r="A40" s="0" t="s">
        <v>114</v>
      </c>
      <c r="B40" s="1" t="n">
        <v>43900</v>
      </c>
      <c r="C40" s="0" t="n">
        <v>9</v>
      </c>
      <c r="D40" s="0" t="n">
        <f aca="false">C40-C39</f>
        <v>4</v>
      </c>
      <c r="H40" s="0" t="n">
        <v>9</v>
      </c>
      <c r="I40" s="0" t="n">
        <v>1</v>
      </c>
      <c r="J40" s="0" t="n">
        <v>1.8</v>
      </c>
    </row>
    <row r="41" customFormat="false" ht="13.5" hidden="false" customHeight="false" outlineLevel="0" collapsed="false">
      <c r="A41" s="0" t="s">
        <v>114</v>
      </c>
      <c r="B41" s="1" t="n">
        <v>43901</v>
      </c>
      <c r="C41" s="0" t="n">
        <v>13</v>
      </c>
      <c r="D41" s="0" t="n">
        <f aca="false">C41-C40</f>
        <v>4</v>
      </c>
      <c r="H41" s="0" t="n">
        <v>13</v>
      </c>
      <c r="I41" s="0" t="n">
        <v>1</v>
      </c>
      <c r="J41" s="0" t="n">
        <v>2.6</v>
      </c>
    </row>
    <row r="42" customFormat="false" ht="13.5" hidden="false" customHeight="false" outlineLevel="0" collapsed="false">
      <c r="A42" s="0" t="s">
        <v>114</v>
      </c>
      <c r="B42" s="1" t="n">
        <v>43902</v>
      </c>
      <c r="C42" s="0" t="n">
        <v>13</v>
      </c>
      <c r="D42" s="0" t="n">
        <f aca="false">C42-C41</f>
        <v>0</v>
      </c>
      <c r="H42" s="0" t="n">
        <v>13</v>
      </c>
      <c r="I42" s="0" t="n">
        <v>1</v>
      </c>
      <c r="J42" s="0" t="n">
        <v>2.6</v>
      </c>
    </row>
    <row r="43" customFormat="false" ht="13.5" hidden="false" customHeight="false" outlineLevel="0" collapsed="false">
      <c r="A43" s="0" t="s">
        <v>114</v>
      </c>
      <c r="B43" s="1" t="n">
        <v>43903</v>
      </c>
      <c r="C43" s="0" t="n">
        <v>23</v>
      </c>
      <c r="D43" s="0" t="n">
        <f aca="false">C43-C42</f>
        <v>10</v>
      </c>
      <c r="H43" s="0" t="n">
        <v>23</v>
      </c>
      <c r="I43" s="0" t="n">
        <v>1</v>
      </c>
      <c r="J43" s="0" t="n">
        <v>4.5</v>
      </c>
    </row>
    <row r="44" customFormat="false" ht="13.5" hidden="false" customHeight="false" outlineLevel="0" collapsed="false">
      <c r="A44" s="0" t="s">
        <v>114</v>
      </c>
      <c r="B44" s="1" t="n">
        <v>43904</v>
      </c>
      <c r="C44" s="0" t="n">
        <v>23</v>
      </c>
      <c r="D44" s="0" t="n">
        <f aca="false">C44-C43</f>
        <v>0</v>
      </c>
      <c r="H44" s="0" t="n">
        <v>23</v>
      </c>
      <c r="I44" s="0" t="n">
        <v>1</v>
      </c>
      <c r="J44" s="0" t="n">
        <v>4.5</v>
      </c>
    </row>
    <row r="45" customFormat="false" ht="13.5" hidden="false" customHeight="false" outlineLevel="0" collapsed="false">
      <c r="A45" s="0" t="s">
        <v>114</v>
      </c>
      <c r="B45" s="1" t="n">
        <v>43905</v>
      </c>
      <c r="C45" s="0" t="n">
        <v>27</v>
      </c>
      <c r="D45" s="0" t="n">
        <f aca="false">C45-C44</f>
        <v>4</v>
      </c>
      <c r="H45" s="0" t="n">
        <v>27</v>
      </c>
      <c r="I45" s="0" t="n">
        <v>1</v>
      </c>
      <c r="J45" s="0" t="n">
        <v>5.3</v>
      </c>
    </row>
    <row r="46" customFormat="false" ht="13.5" hidden="false" customHeight="false" outlineLevel="0" collapsed="false">
      <c r="A46" s="0" t="s">
        <v>114</v>
      </c>
      <c r="B46" s="1" t="n">
        <v>43906</v>
      </c>
      <c r="C46" s="0" t="n">
        <v>35</v>
      </c>
      <c r="D46" s="0" t="n">
        <f aca="false">C46-C45</f>
        <v>8</v>
      </c>
      <c r="H46" s="0" t="n">
        <v>35</v>
      </c>
      <c r="I46" s="0" t="n">
        <v>3</v>
      </c>
      <c r="J46" s="0" t="n">
        <v>6.9</v>
      </c>
    </row>
    <row r="47" customFormat="false" ht="13.5" hidden="false" customHeight="false" outlineLevel="0" collapsed="false">
      <c r="A47" s="0" t="s">
        <v>114</v>
      </c>
      <c r="B47" s="1" t="n">
        <v>43907</v>
      </c>
      <c r="C47" s="0" t="n">
        <v>35</v>
      </c>
      <c r="D47" s="0" t="n">
        <f aca="false">C47-C46</f>
        <v>0</v>
      </c>
      <c r="H47" s="0" t="n">
        <v>35</v>
      </c>
      <c r="I47" s="0" t="n">
        <v>3</v>
      </c>
      <c r="J47" s="0" t="n">
        <v>6.9</v>
      </c>
    </row>
    <row r="48" customFormat="false" ht="13.5" hidden="false" customHeight="false" outlineLevel="0" collapsed="false">
      <c r="A48" s="0" t="s">
        <v>114</v>
      </c>
      <c r="B48" s="1" t="n">
        <v>43908</v>
      </c>
      <c r="C48" s="0" t="n">
        <v>50</v>
      </c>
      <c r="D48" s="0" t="n">
        <f aca="false">C48-C47</f>
        <v>15</v>
      </c>
      <c r="H48" s="0" t="n">
        <v>50</v>
      </c>
      <c r="I48" s="0" t="n">
        <v>3</v>
      </c>
      <c r="J48" s="0" t="n">
        <v>9.8</v>
      </c>
    </row>
    <row r="49" customFormat="false" ht="13.5" hidden="false" customHeight="false" outlineLevel="0" collapsed="false">
      <c r="A49" s="0" t="s">
        <v>114</v>
      </c>
      <c r="B49" s="1" t="n">
        <v>43909</v>
      </c>
      <c r="C49" s="0" t="n">
        <v>69</v>
      </c>
      <c r="D49" s="0" t="n">
        <f aca="false">C49-C48</f>
        <v>19</v>
      </c>
      <c r="E49" s="0" t="n">
        <v>1</v>
      </c>
      <c r="F49" s="0" t="n">
        <f aca="false">E49-E48</f>
        <v>1</v>
      </c>
      <c r="H49" s="0" t="n">
        <v>68</v>
      </c>
      <c r="I49" s="0" t="n">
        <v>2</v>
      </c>
      <c r="J49" s="0" t="n">
        <v>14</v>
      </c>
    </row>
    <row r="50" customFormat="false" ht="13.5" hidden="false" customHeight="false" outlineLevel="0" collapsed="false">
      <c r="A50" s="0" t="s">
        <v>114</v>
      </c>
      <c r="B50" s="1" t="n">
        <v>43910</v>
      </c>
      <c r="C50" s="0" t="n">
        <v>87</v>
      </c>
      <c r="D50" s="0" t="n">
        <f aca="false">C50-C49</f>
        <v>18</v>
      </c>
      <c r="E50" s="0" t="n">
        <v>1</v>
      </c>
      <c r="F50" s="0" t="n">
        <f aca="false">E50-E49</f>
        <v>0</v>
      </c>
      <c r="H50" s="0" t="n">
        <v>86</v>
      </c>
      <c r="I50" s="0" t="n">
        <v>2</v>
      </c>
      <c r="J50" s="0" t="n">
        <v>17</v>
      </c>
    </row>
    <row r="51" customFormat="false" ht="13.5" hidden="false" customHeight="false" outlineLevel="0" collapsed="false">
      <c r="A51" s="0" t="s">
        <v>114</v>
      </c>
      <c r="B51" s="1" t="n">
        <v>43911</v>
      </c>
      <c r="C51" s="0" t="n">
        <v>113</v>
      </c>
      <c r="D51" s="0" t="n">
        <f aca="false">C51-C50</f>
        <v>26</v>
      </c>
      <c r="E51" s="0" t="n">
        <v>2</v>
      </c>
      <c r="F51" s="0" t="n">
        <f aca="false">E51-E50</f>
        <v>1</v>
      </c>
      <c r="G51" s="0" t="n">
        <v>2</v>
      </c>
      <c r="H51" s="0" t="n">
        <v>109</v>
      </c>
      <c r="I51" s="0" t="n">
        <v>2</v>
      </c>
      <c r="J51" s="0" t="n">
        <v>22</v>
      </c>
    </row>
    <row r="52" customFormat="false" ht="13.5" hidden="false" customHeight="false" outlineLevel="0" collapsed="false">
      <c r="A52" s="0" t="s">
        <v>114</v>
      </c>
      <c r="B52" s="1" t="n">
        <v>43912</v>
      </c>
      <c r="C52" s="0" t="n">
        <v>117</v>
      </c>
      <c r="D52" s="0" t="n">
        <f aca="false">C52-C51</f>
        <v>4</v>
      </c>
      <c r="E52" s="0" t="n">
        <v>2</v>
      </c>
      <c r="F52" s="0" t="n">
        <f aca="false">E52-E51</f>
        <v>0</v>
      </c>
      <c r="G52" s="0" t="n">
        <v>2</v>
      </c>
      <c r="H52" s="0" t="n">
        <v>113</v>
      </c>
      <c r="I52" s="0" t="n">
        <v>2</v>
      </c>
      <c r="J52" s="0" t="n">
        <v>23</v>
      </c>
    </row>
    <row r="53" customFormat="false" ht="13.5" hidden="false" customHeight="false" outlineLevel="0" collapsed="false">
      <c r="A53" s="0" t="s">
        <v>114</v>
      </c>
      <c r="B53" s="1" t="n">
        <v>43913</v>
      </c>
      <c r="C53" s="0" t="n">
        <v>134</v>
      </c>
      <c r="D53" s="0" t="n">
        <f aca="false">C53-C52</f>
        <v>17</v>
      </c>
      <c r="E53" s="0" t="n">
        <v>2</v>
      </c>
      <c r="F53" s="0" t="n">
        <f aca="false">E53-E52</f>
        <v>0</v>
      </c>
      <c r="G53" s="0" t="n">
        <v>2</v>
      </c>
      <c r="H53" s="0" t="n">
        <v>130</v>
      </c>
      <c r="I53" s="0" t="n">
        <v>2</v>
      </c>
      <c r="J53" s="0" t="n">
        <v>26</v>
      </c>
    </row>
    <row r="54" customFormat="false" ht="13.5" hidden="false" customHeight="false" outlineLevel="0" collapsed="false">
      <c r="A54" s="0" t="s">
        <v>114</v>
      </c>
      <c r="B54" s="1" t="n">
        <v>43914</v>
      </c>
      <c r="C54" s="0" t="n">
        <v>158</v>
      </c>
      <c r="D54" s="0" t="n">
        <f aca="false">C54-C53</f>
        <v>24</v>
      </c>
      <c r="E54" s="0" t="n">
        <v>2</v>
      </c>
      <c r="F54" s="0" t="n">
        <f aca="false">E54-E53</f>
        <v>0</v>
      </c>
      <c r="G54" s="0" t="n">
        <v>2</v>
      </c>
      <c r="H54" s="0" t="n">
        <v>154</v>
      </c>
      <c r="I54" s="0" t="n">
        <v>2</v>
      </c>
      <c r="J54" s="0" t="n">
        <v>31</v>
      </c>
    </row>
    <row r="55" customFormat="false" ht="13.5" hidden="false" customHeight="false" outlineLevel="0" collapsed="false">
      <c r="A55" s="0" t="s">
        <v>114</v>
      </c>
      <c r="B55" s="1" t="n">
        <v>43915</v>
      </c>
      <c r="C55" s="0" t="n">
        <v>177</v>
      </c>
      <c r="D55" s="0" t="n">
        <f aca="false">C55-C54</f>
        <v>19</v>
      </c>
      <c r="E55" s="0" t="n">
        <v>2</v>
      </c>
      <c r="F55" s="0" t="n">
        <f aca="false">E55-E54</f>
        <v>0</v>
      </c>
      <c r="G55" s="0" t="n">
        <v>2</v>
      </c>
      <c r="H55" s="0" t="n">
        <v>173</v>
      </c>
      <c r="I55" s="0" t="n">
        <v>4</v>
      </c>
      <c r="J55" s="0" t="n">
        <v>35</v>
      </c>
      <c r="K55" s="0" t="n">
        <v>0.4</v>
      </c>
    </row>
    <row r="56" customFormat="false" ht="13.5" hidden="false" customHeight="false" outlineLevel="0" collapsed="false">
      <c r="A56" s="0" t="s">
        <v>114</v>
      </c>
      <c r="B56" s="1" t="n">
        <v>43916</v>
      </c>
      <c r="C56" s="0" t="n">
        <v>201</v>
      </c>
      <c r="D56" s="0" t="n">
        <f aca="false">C56-C55</f>
        <v>24</v>
      </c>
      <c r="E56" s="0" t="n">
        <v>2</v>
      </c>
      <c r="F56" s="0" t="n">
        <f aca="false">E56-E55</f>
        <v>0</v>
      </c>
      <c r="G56" s="0" t="n">
        <v>2</v>
      </c>
      <c r="H56" s="0" t="n">
        <v>197</v>
      </c>
      <c r="I56" s="0" t="n">
        <v>4</v>
      </c>
      <c r="J56" s="0" t="n">
        <v>39</v>
      </c>
      <c r="K56" s="0" t="n">
        <v>0.4</v>
      </c>
    </row>
    <row r="57" customFormat="false" ht="13.5" hidden="false" customHeight="false" outlineLevel="0" collapsed="false">
      <c r="A57" s="0" t="s">
        <v>114</v>
      </c>
      <c r="B57" s="1" t="n">
        <v>43917</v>
      </c>
      <c r="C57" s="0" t="n">
        <v>231</v>
      </c>
      <c r="D57" s="0" t="n">
        <f aca="false">C57-C56</f>
        <v>30</v>
      </c>
      <c r="E57" s="0" t="n">
        <v>2</v>
      </c>
      <c r="F57" s="0" t="n">
        <f aca="false">E57-E56</f>
        <v>0</v>
      </c>
      <c r="G57" s="0" t="n">
        <v>2</v>
      </c>
      <c r="H57" s="0" t="n">
        <v>227</v>
      </c>
      <c r="I57" s="0" t="n">
        <v>5</v>
      </c>
      <c r="J57" s="0" t="n">
        <v>45</v>
      </c>
      <c r="K57" s="0" t="n">
        <v>0.4</v>
      </c>
    </row>
    <row r="58" customFormat="false" ht="13.5" hidden="false" customHeight="false" outlineLevel="0" collapsed="false">
      <c r="A58" s="0" t="s">
        <v>114</v>
      </c>
      <c r="B58" s="1" t="n">
        <v>43918</v>
      </c>
      <c r="C58" s="0" t="n">
        <v>263</v>
      </c>
      <c r="D58" s="0" t="n">
        <f aca="false">C58-C57</f>
        <v>32</v>
      </c>
      <c r="E58" s="0" t="n">
        <v>2</v>
      </c>
      <c r="F58" s="0" t="n">
        <f aca="false">E58-E57</f>
        <v>0</v>
      </c>
      <c r="G58" s="0" t="n">
        <v>3</v>
      </c>
      <c r="H58" s="0" t="n">
        <v>258</v>
      </c>
      <c r="I58" s="0" t="n">
        <v>5</v>
      </c>
      <c r="J58" s="0" t="n">
        <v>52</v>
      </c>
      <c r="K58" s="0" t="n">
        <v>0.4</v>
      </c>
    </row>
    <row r="59" customFormat="false" ht="13.5" hidden="false" customHeight="false" outlineLevel="0" collapsed="false">
      <c r="A59" s="0" t="s">
        <v>114</v>
      </c>
      <c r="B59" s="1" t="n">
        <v>43919</v>
      </c>
      <c r="C59" s="0" t="n">
        <v>295</v>
      </c>
      <c r="D59" s="0" t="n">
        <f aca="false">C59-C58</f>
        <v>32</v>
      </c>
      <c r="E59" s="0" t="n">
        <v>2</v>
      </c>
      <c r="F59" s="0" t="n">
        <f aca="false">E59-E58</f>
        <v>0</v>
      </c>
      <c r="G59" s="0" t="n">
        <v>3</v>
      </c>
      <c r="H59" s="0" t="n">
        <v>290</v>
      </c>
      <c r="I59" s="0" t="n">
        <v>6</v>
      </c>
      <c r="J59" s="0" t="n">
        <v>58</v>
      </c>
      <c r="K59" s="0" t="n">
        <v>0.4</v>
      </c>
    </row>
    <row r="60" customFormat="false" ht="13.5" hidden="false" customHeight="false" outlineLevel="0" collapsed="false">
      <c r="A60" s="0" t="s">
        <v>114</v>
      </c>
      <c r="B60" s="1" t="n">
        <v>43920</v>
      </c>
      <c r="C60" s="0" t="n">
        <v>314</v>
      </c>
      <c r="D60" s="0" t="n">
        <f aca="false">C60-C59</f>
        <v>19</v>
      </c>
      <c r="E60" s="0" t="n">
        <v>2</v>
      </c>
      <c r="F60" s="0" t="n">
        <f aca="false">E60-E59</f>
        <v>0</v>
      </c>
      <c r="G60" s="0" t="n">
        <v>3</v>
      </c>
      <c r="H60" s="0" t="n">
        <v>309</v>
      </c>
      <c r="I60" s="0" t="n">
        <v>6</v>
      </c>
      <c r="J60" s="0" t="n">
        <v>62</v>
      </c>
      <c r="K60" s="0" t="n">
        <v>0.4</v>
      </c>
    </row>
    <row r="61" customFormat="false" ht="13.5" hidden="false" customHeight="false" outlineLevel="0" collapsed="false">
      <c r="A61" s="0" t="s">
        <v>114</v>
      </c>
      <c r="B61" s="1" t="n">
        <v>43921</v>
      </c>
      <c r="C61" s="0" t="n">
        <v>330</v>
      </c>
      <c r="D61" s="0" t="n">
        <f aca="false">C61-C60</f>
        <v>16</v>
      </c>
      <c r="E61" s="0" t="n">
        <v>2</v>
      </c>
      <c r="F61" s="0" t="n">
        <f aca="false">E61-E60</f>
        <v>0</v>
      </c>
      <c r="G61" s="0" t="n">
        <v>4</v>
      </c>
      <c r="H61" s="0" t="n">
        <v>324</v>
      </c>
      <c r="I61" s="0" t="n">
        <v>7</v>
      </c>
      <c r="J61" s="0" t="n">
        <v>65</v>
      </c>
      <c r="K61" s="0" t="n">
        <v>0.4</v>
      </c>
    </row>
    <row r="62" customFormat="false" ht="13.5" hidden="false" customHeight="false" outlineLevel="0" collapsed="false">
      <c r="A62" s="0" t="s">
        <v>114</v>
      </c>
      <c r="B62" s="1" t="n">
        <v>43922</v>
      </c>
      <c r="C62" s="0" t="n">
        <v>347</v>
      </c>
      <c r="D62" s="0" t="n">
        <f aca="false">C62-C61</f>
        <v>17</v>
      </c>
      <c r="E62" s="0" t="n">
        <v>2</v>
      </c>
      <c r="F62" s="0" t="n">
        <f aca="false">E62-E61</f>
        <v>0</v>
      </c>
      <c r="G62" s="0" t="n">
        <v>4</v>
      </c>
      <c r="H62" s="0" t="n">
        <v>341</v>
      </c>
      <c r="I62" s="0" t="n">
        <v>8</v>
      </c>
      <c r="J62" s="0" t="n">
        <v>68</v>
      </c>
      <c r="K62" s="0" t="n">
        <v>0.4</v>
      </c>
    </row>
    <row r="63" customFormat="false" ht="13.5" hidden="false" customHeight="false" outlineLevel="0" collapsed="false">
      <c r="A63" s="0" t="s">
        <v>114</v>
      </c>
      <c r="B63" s="1" t="n">
        <v>43923</v>
      </c>
      <c r="C63" s="0" t="n">
        <v>375</v>
      </c>
      <c r="D63" s="0" t="n">
        <f aca="false">C63-C62</f>
        <v>28</v>
      </c>
      <c r="E63" s="0" t="n">
        <v>2</v>
      </c>
      <c r="F63" s="0" t="n">
        <f aca="false">E63-E62</f>
        <v>0</v>
      </c>
      <c r="G63" s="0" t="n">
        <v>4</v>
      </c>
      <c r="H63" s="0" t="n">
        <v>369</v>
      </c>
      <c r="I63" s="0" t="n">
        <v>9</v>
      </c>
      <c r="J63" s="0" t="n">
        <v>74</v>
      </c>
      <c r="K63" s="0" t="n">
        <v>0.4</v>
      </c>
    </row>
    <row r="64" customFormat="false" ht="13.5" hidden="false" customHeight="false" outlineLevel="0" collapsed="false">
      <c r="A64" s="0" t="s">
        <v>114</v>
      </c>
      <c r="B64" s="1" t="n">
        <v>43924</v>
      </c>
      <c r="C64" s="0" t="n">
        <v>396</v>
      </c>
      <c r="D64" s="0" t="n">
        <f aca="false">C64-C63</f>
        <v>21</v>
      </c>
      <c r="E64" s="0" t="n">
        <v>2</v>
      </c>
      <c r="F64" s="0" t="n">
        <f aca="false">E64-E63</f>
        <v>0</v>
      </c>
      <c r="G64" s="0" t="n">
        <v>6</v>
      </c>
      <c r="H64" s="0" t="n">
        <v>388</v>
      </c>
      <c r="I64" s="0" t="n">
        <v>11</v>
      </c>
      <c r="J64" s="0" t="n">
        <v>78</v>
      </c>
      <c r="K64" s="0" t="n">
        <v>0.4</v>
      </c>
    </row>
    <row r="65" customFormat="false" ht="13.5" hidden="false" customHeight="false" outlineLevel="0" collapsed="false">
      <c r="A65" s="0" t="s">
        <v>114</v>
      </c>
      <c r="B65" s="1" t="n">
        <v>43925</v>
      </c>
      <c r="C65" s="0" t="n">
        <v>416</v>
      </c>
      <c r="D65" s="0" t="n">
        <f aca="false">C65-C64</f>
        <v>20</v>
      </c>
      <c r="E65" s="0" t="n">
        <v>2</v>
      </c>
      <c r="F65" s="0" t="n">
        <f aca="false">E65-E64</f>
        <v>0</v>
      </c>
      <c r="G65" s="0" t="n">
        <v>11</v>
      </c>
      <c r="H65" s="0" t="n">
        <v>403</v>
      </c>
      <c r="I65" s="0" t="n">
        <v>13</v>
      </c>
      <c r="J65" s="0" t="n">
        <v>82</v>
      </c>
      <c r="K65" s="0" t="n">
        <v>0.4</v>
      </c>
    </row>
    <row r="66" customFormat="false" ht="13.5" hidden="false" customHeight="false" outlineLevel="0" collapsed="false">
      <c r="A66" s="0" t="s">
        <v>114</v>
      </c>
      <c r="B66" s="1" t="n">
        <v>43926</v>
      </c>
      <c r="C66" s="0" t="n">
        <v>435</v>
      </c>
      <c r="D66" s="0" t="n">
        <f aca="false">C66-C65</f>
        <v>19</v>
      </c>
      <c r="E66" s="0" t="n">
        <v>2</v>
      </c>
      <c r="F66" s="0" t="n">
        <f aca="false">E66-E65</f>
        <v>0</v>
      </c>
      <c r="G66" s="0" t="n">
        <v>13</v>
      </c>
      <c r="H66" s="0" t="n">
        <v>420</v>
      </c>
      <c r="I66" s="0" t="n">
        <v>13</v>
      </c>
      <c r="J66" s="0" t="n">
        <v>85</v>
      </c>
      <c r="K66" s="0" t="n">
        <v>0.4</v>
      </c>
      <c r="L66" s="0" t="n">
        <v>4654</v>
      </c>
      <c r="M66" s="0" t="n">
        <v>914</v>
      </c>
    </row>
    <row r="67" customFormat="false" ht="13.5" hidden="false" customHeight="false" outlineLevel="0" collapsed="false">
      <c r="A67" s="0" t="s">
        <v>114</v>
      </c>
      <c r="B67" s="1" t="n">
        <v>43927</v>
      </c>
      <c r="C67" s="0" t="n">
        <v>454</v>
      </c>
      <c r="D67" s="0" t="n">
        <f aca="false">C67-C66</f>
        <v>19</v>
      </c>
      <c r="E67" s="0" t="n">
        <v>2</v>
      </c>
      <c r="F67" s="0" t="n">
        <f aca="false">E67-E66</f>
        <v>0</v>
      </c>
      <c r="G67" s="0" t="n">
        <v>16</v>
      </c>
      <c r="H67" s="0" t="n">
        <v>436</v>
      </c>
      <c r="I67" s="0" t="n">
        <v>14</v>
      </c>
      <c r="J67" s="0" t="n">
        <v>89</v>
      </c>
      <c r="K67" s="0" t="n">
        <v>0.4</v>
      </c>
      <c r="L67" s="0" t="n">
        <v>5098</v>
      </c>
      <c r="M67" s="0" t="n">
        <v>1001</v>
      </c>
    </row>
    <row r="68" customFormat="false" ht="13.5" hidden="false" customHeight="false" outlineLevel="0" collapsed="false">
      <c r="A68" s="0" t="s">
        <v>114</v>
      </c>
      <c r="B68" s="1" t="n">
        <v>43928</v>
      </c>
      <c r="C68" s="0" t="n">
        <v>467</v>
      </c>
      <c r="D68" s="0" t="n">
        <f aca="false">C68-C67</f>
        <v>13</v>
      </c>
      <c r="E68" s="0" t="n">
        <v>2</v>
      </c>
      <c r="F68" s="0" t="n">
        <f aca="false">E68-E67</f>
        <v>0</v>
      </c>
      <c r="G68" s="0" t="n">
        <v>18</v>
      </c>
      <c r="H68" s="0" t="n">
        <v>447</v>
      </c>
      <c r="I68" s="0" t="n">
        <v>14</v>
      </c>
      <c r="J68" s="0" t="n">
        <v>92</v>
      </c>
      <c r="K68" s="0" t="n">
        <v>0.4</v>
      </c>
      <c r="L68" s="0" t="n">
        <v>5098</v>
      </c>
      <c r="M68" s="0" t="n">
        <v>1001</v>
      </c>
    </row>
    <row r="69" customFormat="false" ht="13.5" hidden="false" customHeight="false" outlineLevel="0" collapsed="false">
      <c r="A69" s="0" t="s">
        <v>114</v>
      </c>
      <c r="B69" s="1" t="n">
        <v>43929</v>
      </c>
      <c r="C69" s="0" t="n">
        <v>483</v>
      </c>
      <c r="D69" s="0" t="n">
        <f aca="false">C69-C68</f>
        <v>16</v>
      </c>
      <c r="E69" s="0" t="n">
        <v>2</v>
      </c>
      <c r="F69" s="0" t="n">
        <f aca="false">E69-E68</f>
        <v>0</v>
      </c>
      <c r="G69" s="0" t="n">
        <v>24</v>
      </c>
      <c r="H69" s="0" t="n">
        <v>457</v>
      </c>
      <c r="I69" s="0" t="n">
        <v>14</v>
      </c>
      <c r="J69" s="0" t="n">
        <v>95</v>
      </c>
      <c r="K69" s="0" t="n">
        <v>0.4</v>
      </c>
      <c r="L69" s="0" t="n">
        <v>5525</v>
      </c>
      <c r="M69" s="0" t="n">
        <v>1085</v>
      </c>
    </row>
    <row r="70" customFormat="false" ht="13.5" hidden="false" customHeight="false" outlineLevel="0" collapsed="false">
      <c r="A70" s="0" t="s">
        <v>114</v>
      </c>
      <c r="B70" s="1" t="n">
        <v>43930</v>
      </c>
      <c r="C70" s="0" t="n">
        <v>502</v>
      </c>
      <c r="D70" s="0" t="n">
        <f aca="false">C70-C69</f>
        <v>19</v>
      </c>
      <c r="E70" s="0" t="n">
        <v>3</v>
      </c>
      <c r="F70" s="0" t="n">
        <f aca="false">E70-E69</f>
        <v>1</v>
      </c>
      <c r="G70" s="0" t="n">
        <v>29</v>
      </c>
      <c r="H70" s="0" t="n">
        <v>470</v>
      </c>
      <c r="I70" s="0" t="n">
        <v>15</v>
      </c>
      <c r="J70" s="0" t="n">
        <v>99</v>
      </c>
      <c r="K70" s="0" t="n">
        <v>0.6</v>
      </c>
      <c r="L70" s="0" t="n">
        <v>6035</v>
      </c>
      <c r="M70" s="0" t="n">
        <v>1185</v>
      </c>
    </row>
    <row r="71" customFormat="false" ht="13.5" hidden="false" customHeight="false" outlineLevel="0" collapsed="false">
      <c r="A71" s="0" t="s">
        <v>114</v>
      </c>
      <c r="B71" s="1" t="n">
        <v>43931</v>
      </c>
      <c r="C71" s="0" t="n">
        <v>539</v>
      </c>
      <c r="D71" s="0" t="n">
        <f aca="false">C71-C70</f>
        <v>37</v>
      </c>
      <c r="E71" s="0" t="n">
        <v>3</v>
      </c>
      <c r="F71" s="0" t="n">
        <f aca="false">E71-E70</f>
        <v>0</v>
      </c>
      <c r="G71" s="0" t="n">
        <v>30</v>
      </c>
      <c r="H71" s="0" t="n">
        <v>506</v>
      </c>
      <c r="I71" s="0" t="n">
        <v>13</v>
      </c>
      <c r="J71" s="0" t="n">
        <v>106</v>
      </c>
      <c r="K71" s="0" t="n">
        <v>0.6</v>
      </c>
      <c r="L71" s="0" t="n">
        <v>6298</v>
      </c>
      <c r="M71" s="0" t="n">
        <v>1236</v>
      </c>
    </row>
    <row r="72" customFormat="false" ht="13.5" hidden="false" customHeight="false" outlineLevel="0" collapsed="false">
      <c r="A72" s="0" t="s">
        <v>114</v>
      </c>
      <c r="B72" s="1" t="n">
        <v>43932</v>
      </c>
      <c r="C72" s="0" t="n">
        <v>558</v>
      </c>
      <c r="D72" s="0" t="n">
        <f aca="false">C72-C71</f>
        <v>19</v>
      </c>
      <c r="E72" s="0" t="n">
        <v>3</v>
      </c>
      <c r="F72" s="0" t="n">
        <f aca="false">E72-E71</f>
        <v>0</v>
      </c>
      <c r="G72" s="0" t="n">
        <v>42</v>
      </c>
      <c r="H72" s="0" t="n">
        <v>513</v>
      </c>
      <c r="I72" s="0" t="n">
        <v>13</v>
      </c>
      <c r="J72" s="0" t="n">
        <v>110</v>
      </c>
      <c r="K72" s="0" t="n">
        <v>0.6</v>
      </c>
      <c r="L72" s="0" t="n">
        <v>6298</v>
      </c>
      <c r="M72" s="0" t="n">
        <v>1236</v>
      </c>
    </row>
    <row r="73" customFormat="false" ht="13.5" hidden="false" customHeight="false" outlineLevel="0" collapsed="false">
      <c r="A73" s="0" t="s">
        <v>114</v>
      </c>
      <c r="B73" s="1" t="n">
        <v>43933</v>
      </c>
      <c r="C73" s="0" t="n">
        <v>577</v>
      </c>
      <c r="D73" s="0" t="n">
        <f aca="false">C73-C72</f>
        <v>19</v>
      </c>
      <c r="E73" s="0" t="n">
        <v>3</v>
      </c>
      <c r="F73" s="0" t="n">
        <f aca="false">E73-E72</f>
        <v>0</v>
      </c>
      <c r="G73" s="0" t="n">
        <v>49</v>
      </c>
      <c r="H73" s="0" t="n">
        <v>525</v>
      </c>
      <c r="I73" s="0" t="n">
        <v>13</v>
      </c>
      <c r="J73" s="0" t="n">
        <v>113</v>
      </c>
      <c r="K73" s="0" t="n">
        <v>0.6</v>
      </c>
      <c r="L73" s="0" t="n">
        <v>6608</v>
      </c>
      <c r="M73" s="0" t="n">
        <v>1297</v>
      </c>
    </row>
    <row r="74" customFormat="false" ht="13.5" hidden="false" customHeight="false" outlineLevel="0" collapsed="false">
      <c r="A74" s="0" t="s">
        <v>114</v>
      </c>
      <c r="B74" s="1" t="n">
        <v>43934</v>
      </c>
      <c r="C74" s="0" t="n">
        <v>595</v>
      </c>
      <c r="D74" s="0" t="n">
        <f aca="false">C74-C73</f>
        <v>18</v>
      </c>
      <c r="E74" s="0" t="n">
        <v>3</v>
      </c>
      <c r="F74" s="0" t="n">
        <f aca="false">E74-E73</f>
        <v>0</v>
      </c>
      <c r="G74" s="0" t="n">
        <v>56</v>
      </c>
      <c r="H74" s="0" t="n">
        <v>536</v>
      </c>
      <c r="I74" s="0" t="n">
        <v>14</v>
      </c>
      <c r="J74" s="0" t="n">
        <v>117</v>
      </c>
      <c r="K74" s="0" t="n">
        <v>0.6</v>
      </c>
      <c r="L74" s="0" t="n">
        <v>6762</v>
      </c>
      <c r="M74" s="0" t="n">
        <v>1327</v>
      </c>
    </row>
    <row r="75" customFormat="false" ht="13.5" hidden="false" customHeight="false" outlineLevel="0" collapsed="false">
      <c r="A75" s="0" t="s">
        <v>114</v>
      </c>
      <c r="B75" s="1" t="n">
        <v>43935</v>
      </c>
      <c r="C75" s="0" t="n">
        <v>612</v>
      </c>
      <c r="D75" s="0" t="n">
        <f aca="false">C75-C74</f>
        <v>17</v>
      </c>
      <c r="E75" s="0" t="n">
        <v>3</v>
      </c>
      <c r="F75" s="0" t="n">
        <f aca="false">E75-E74</f>
        <v>0</v>
      </c>
      <c r="G75" s="0" t="n">
        <v>62</v>
      </c>
      <c r="H75" s="0" t="n">
        <v>547</v>
      </c>
      <c r="I75" s="0" t="n">
        <v>14</v>
      </c>
      <c r="J75" s="0" t="n">
        <v>120</v>
      </c>
      <c r="K75" s="0" t="n">
        <v>0.6</v>
      </c>
      <c r="L75" s="0" t="n">
        <v>6868</v>
      </c>
      <c r="M75" s="0" t="n">
        <v>1348</v>
      </c>
    </row>
    <row r="76" customFormat="false" ht="13.5" hidden="false" customHeight="false" outlineLevel="0" collapsed="false">
      <c r="A76" s="0" t="s">
        <v>114</v>
      </c>
      <c r="B76" s="1" t="n">
        <v>43936</v>
      </c>
      <c r="C76" s="0" t="n">
        <v>618</v>
      </c>
      <c r="D76" s="0" t="n">
        <f aca="false">C76-C75</f>
        <v>6</v>
      </c>
      <c r="E76" s="0" t="n">
        <v>3</v>
      </c>
      <c r="F76" s="0" t="n">
        <f aca="false">E76-E75</f>
        <v>0</v>
      </c>
      <c r="G76" s="0" t="n">
        <v>66</v>
      </c>
      <c r="H76" s="0" t="n">
        <v>549</v>
      </c>
      <c r="I76" s="0" t="n">
        <v>14</v>
      </c>
      <c r="J76" s="0" t="n">
        <v>121</v>
      </c>
      <c r="K76" s="0" t="n">
        <v>0.6</v>
      </c>
      <c r="L76" s="0" t="n">
        <v>8703</v>
      </c>
      <c r="M76" s="0" t="n">
        <v>1708</v>
      </c>
    </row>
    <row r="77" customFormat="false" ht="13.5" hidden="false" customHeight="false" outlineLevel="0" collapsed="false">
      <c r="A77" s="0" t="s">
        <v>114</v>
      </c>
      <c r="B77" s="1" t="n">
        <v>43937</v>
      </c>
      <c r="C77" s="0" t="n">
        <v>626</v>
      </c>
      <c r="D77" s="0" t="n">
        <f aca="false">C77-C76</f>
        <v>8</v>
      </c>
      <c r="E77" s="0" t="n">
        <v>4</v>
      </c>
      <c r="F77" s="0" t="n">
        <f aca="false">E77-E76</f>
        <v>1</v>
      </c>
      <c r="G77" s="0" t="n">
        <v>67</v>
      </c>
      <c r="H77" s="0" t="n">
        <v>555</v>
      </c>
      <c r="I77" s="0" t="n">
        <v>11</v>
      </c>
      <c r="J77" s="0" t="n">
        <v>123</v>
      </c>
      <c r="K77" s="0" t="n">
        <v>0.8</v>
      </c>
      <c r="L77" s="0" t="n">
        <v>9089</v>
      </c>
      <c r="M77" s="0" t="n">
        <v>1784</v>
      </c>
    </row>
    <row r="78" customFormat="false" ht="13.5" hidden="false" customHeight="false" outlineLevel="0" collapsed="false">
      <c r="A78" s="0" t="s">
        <v>114</v>
      </c>
      <c r="B78" s="1" t="n">
        <v>43938</v>
      </c>
      <c r="C78" s="0" t="n">
        <v>642</v>
      </c>
      <c r="D78" s="0" t="n">
        <f aca="false">C78-C77</f>
        <v>16</v>
      </c>
      <c r="E78" s="0" t="n">
        <v>4</v>
      </c>
      <c r="F78" s="0" t="n">
        <f aca="false">E78-E77</f>
        <v>0</v>
      </c>
      <c r="G78" s="0" t="n">
        <v>74</v>
      </c>
      <c r="H78" s="0" t="n">
        <v>564</v>
      </c>
      <c r="I78" s="0" t="n">
        <v>11</v>
      </c>
      <c r="J78" s="0" t="n">
        <v>126</v>
      </c>
      <c r="K78" s="0" t="n">
        <v>0.8</v>
      </c>
      <c r="L78" s="0" t="n">
        <v>9396</v>
      </c>
      <c r="M78" s="0" t="n">
        <v>1844</v>
      </c>
    </row>
    <row r="79" customFormat="false" ht="13.5" hidden="false" customHeight="false" outlineLevel="0" collapsed="false">
      <c r="A79" s="0" t="s">
        <v>114</v>
      </c>
      <c r="B79" s="1" t="n">
        <v>43939</v>
      </c>
      <c r="C79" s="0" t="n">
        <v>649</v>
      </c>
      <c r="D79" s="0" t="n">
        <f aca="false">C79-C78</f>
        <v>7</v>
      </c>
      <c r="E79" s="0" t="n">
        <v>4</v>
      </c>
      <c r="F79" s="0" t="n">
        <f aca="false">E79-E78</f>
        <v>0</v>
      </c>
      <c r="G79" s="0" t="n">
        <v>88</v>
      </c>
      <c r="H79" s="0" t="n">
        <v>557</v>
      </c>
      <c r="I79" s="0" t="n">
        <v>10</v>
      </c>
      <c r="J79" s="0" t="n">
        <v>127</v>
      </c>
      <c r="K79" s="0" t="n">
        <v>0.8</v>
      </c>
      <c r="L79" s="0" t="n">
        <v>9752</v>
      </c>
      <c r="M79" s="0" t="n">
        <v>1914</v>
      </c>
    </row>
    <row r="80" customFormat="false" ht="13.5" hidden="false" customHeight="false" outlineLevel="0" collapsed="false">
      <c r="A80" s="0" t="s">
        <v>114</v>
      </c>
      <c r="B80" s="1" t="n">
        <v>43940</v>
      </c>
      <c r="C80" s="0" t="n">
        <v>655</v>
      </c>
      <c r="D80" s="0" t="n">
        <f aca="false">C80-C79</f>
        <v>6</v>
      </c>
      <c r="E80" s="0" t="n">
        <v>4</v>
      </c>
      <c r="F80" s="0" t="n">
        <f aca="false">E80-E79</f>
        <v>0</v>
      </c>
      <c r="G80" s="0" t="n">
        <v>97</v>
      </c>
      <c r="H80" s="0" t="n">
        <v>554</v>
      </c>
      <c r="I80" s="0" t="n">
        <v>10</v>
      </c>
      <c r="J80" s="0" t="n">
        <v>129</v>
      </c>
      <c r="K80" s="0" t="n">
        <v>0.8</v>
      </c>
      <c r="L80" s="0" t="n">
        <v>10138</v>
      </c>
      <c r="M80" s="0" t="n">
        <v>1990</v>
      </c>
    </row>
    <row r="81" customFormat="false" ht="13.5" hidden="false" customHeight="false" outlineLevel="0" collapsed="false">
      <c r="A81" s="0" t="s">
        <v>114</v>
      </c>
      <c r="B81" s="1" t="n">
        <v>43941</v>
      </c>
      <c r="C81" s="0" t="n">
        <v>660</v>
      </c>
      <c r="D81" s="0" t="n">
        <f aca="false">C81-C80</f>
        <v>5</v>
      </c>
      <c r="E81" s="0" t="n">
        <v>4</v>
      </c>
      <c r="F81" s="0" t="n">
        <f aca="false">E81-E80</f>
        <v>0</v>
      </c>
      <c r="G81" s="0" t="n">
        <v>112</v>
      </c>
      <c r="H81" s="0" t="n">
        <v>544</v>
      </c>
      <c r="I81" s="0" t="n">
        <v>10</v>
      </c>
      <c r="J81" s="0" t="n">
        <v>130</v>
      </c>
      <c r="K81" s="0" t="n">
        <v>0.8</v>
      </c>
      <c r="L81" s="0" t="n">
        <v>10417</v>
      </c>
      <c r="M81" s="0" t="n">
        <v>2045</v>
      </c>
    </row>
    <row r="82" customFormat="false" ht="13.5" hidden="false" customHeight="false" outlineLevel="0" collapsed="false">
      <c r="A82" s="0" t="s">
        <v>114</v>
      </c>
      <c r="B82" s="1" t="n">
        <v>43942</v>
      </c>
      <c r="C82" s="0" t="n">
        <v>662</v>
      </c>
      <c r="D82" s="0" t="n">
        <f aca="false">C82-C81</f>
        <v>2</v>
      </c>
      <c r="E82" s="0" t="n">
        <v>6</v>
      </c>
      <c r="F82" s="0" t="n">
        <f aca="false">E82-E81</f>
        <v>2</v>
      </c>
      <c r="G82" s="0" t="n">
        <v>124</v>
      </c>
      <c r="H82" s="0" t="n">
        <v>532</v>
      </c>
      <c r="I82" s="0" t="n">
        <v>8</v>
      </c>
      <c r="J82" s="0" t="n">
        <v>130</v>
      </c>
      <c r="K82" s="0" t="n">
        <v>1</v>
      </c>
      <c r="L82" s="0" t="n">
        <v>10879</v>
      </c>
      <c r="M82" s="0" t="n">
        <v>2136</v>
      </c>
    </row>
    <row r="83" customFormat="false" ht="13.5" hidden="false" customHeight="false" outlineLevel="0" collapsed="false">
      <c r="A83" s="0" t="s">
        <v>114</v>
      </c>
      <c r="B83" s="1" t="n">
        <v>43943</v>
      </c>
      <c r="C83" s="0" t="n">
        <v>669</v>
      </c>
      <c r="D83" s="0" t="n">
        <f aca="false">C83-C82</f>
        <v>7</v>
      </c>
      <c r="E83" s="0" t="n">
        <v>6</v>
      </c>
      <c r="F83" s="0" t="n">
        <f aca="false">E83-E82</f>
        <v>0</v>
      </c>
      <c r="G83" s="0" t="n">
        <v>150</v>
      </c>
      <c r="H83" s="0" t="n">
        <v>513</v>
      </c>
      <c r="I83" s="0" t="n">
        <v>6</v>
      </c>
      <c r="J83" s="0" t="n">
        <v>131</v>
      </c>
      <c r="K83" s="0" t="n">
        <v>1</v>
      </c>
      <c r="L83" s="0" t="n">
        <v>11387</v>
      </c>
      <c r="M83" s="0" t="n">
        <v>2235</v>
      </c>
    </row>
    <row r="84" customFormat="false" ht="13.5" hidden="false" customHeight="false" outlineLevel="0" collapsed="false">
      <c r="A84" s="0" t="s">
        <v>114</v>
      </c>
      <c r="B84" s="1" t="n">
        <v>43944</v>
      </c>
      <c r="C84" s="0" t="n">
        <v>681</v>
      </c>
      <c r="D84" s="0" t="n">
        <f aca="false">C84-C83</f>
        <v>12</v>
      </c>
      <c r="E84" s="0" t="n">
        <v>6</v>
      </c>
      <c r="F84" s="0" t="n">
        <f aca="false">E84-E83</f>
        <v>0</v>
      </c>
      <c r="G84" s="0" t="n">
        <v>180</v>
      </c>
      <c r="H84" s="0" t="n">
        <v>495</v>
      </c>
      <c r="I84" s="0" t="n">
        <v>6</v>
      </c>
      <c r="J84" s="0" t="n">
        <v>134</v>
      </c>
      <c r="K84" s="0" t="n">
        <v>1</v>
      </c>
      <c r="L84" s="0" t="n">
        <v>11766</v>
      </c>
      <c r="M84" s="0" t="n">
        <v>2310</v>
      </c>
    </row>
    <row r="85" customFormat="false" ht="13.5" hidden="false" customHeight="false" outlineLevel="0" collapsed="false">
      <c r="A85" s="0" t="s">
        <v>114</v>
      </c>
      <c r="B85" s="1" t="n">
        <v>43945</v>
      </c>
      <c r="C85" s="0" t="n">
        <v>687</v>
      </c>
      <c r="D85" s="0" t="n">
        <f aca="false">C85-C84</f>
        <v>6</v>
      </c>
      <c r="E85" s="0" t="n">
        <v>6</v>
      </c>
      <c r="F85" s="0" t="n">
        <f aca="false">E85-E84</f>
        <v>0</v>
      </c>
      <c r="G85" s="0" t="n">
        <v>196</v>
      </c>
      <c r="H85" s="0" t="n">
        <v>485</v>
      </c>
      <c r="I85" s="0" t="n">
        <v>8</v>
      </c>
      <c r="J85" s="0" t="n">
        <v>135</v>
      </c>
      <c r="K85" s="0" t="n">
        <v>1</v>
      </c>
      <c r="L85" s="0" t="n">
        <v>12073</v>
      </c>
      <c r="M85" s="0" t="n">
        <v>2370</v>
      </c>
    </row>
    <row r="86" customFormat="false" ht="13.5" hidden="false" customHeight="false" outlineLevel="0" collapsed="false">
      <c r="A86" s="0" t="s">
        <v>114</v>
      </c>
      <c r="B86" s="1" t="n">
        <v>43946</v>
      </c>
      <c r="C86" s="0" t="n">
        <v>687</v>
      </c>
      <c r="D86" s="0" t="n">
        <f aca="false">C86-C85</f>
        <v>0</v>
      </c>
      <c r="E86" s="0" t="n">
        <v>6</v>
      </c>
      <c r="F86" s="0" t="n">
        <f aca="false">E86-E85</f>
        <v>0</v>
      </c>
      <c r="G86" s="0" t="n">
        <v>216</v>
      </c>
      <c r="H86" s="0" t="n">
        <v>465</v>
      </c>
      <c r="I86" s="0" t="n">
        <v>7</v>
      </c>
      <c r="J86" s="0" t="n">
        <v>135</v>
      </c>
      <c r="K86" s="0" t="n">
        <v>1</v>
      </c>
      <c r="L86" s="0" t="n">
        <v>12342</v>
      </c>
      <c r="M86" s="0" t="n">
        <v>2423</v>
      </c>
    </row>
    <row r="87" customFormat="false" ht="13.5" hidden="false" customHeight="false" outlineLevel="0" collapsed="false">
      <c r="A87" s="0" t="s">
        <v>114</v>
      </c>
      <c r="B87" s="1" t="n">
        <v>43947</v>
      </c>
      <c r="C87" s="0" t="n">
        <v>693</v>
      </c>
      <c r="D87" s="0" t="n">
        <f aca="false">C87-C86</f>
        <v>6</v>
      </c>
      <c r="E87" s="0" t="n">
        <v>6</v>
      </c>
      <c r="F87" s="0" t="n">
        <f aca="false">E87-E86</f>
        <v>0</v>
      </c>
      <c r="G87" s="0" t="n">
        <v>242</v>
      </c>
      <c r="H87" s="0" t="n">
        <v>445</v>
      </c>
      <c r="I87" s="0" t="n">
        <v>7</v>
      </c>
      <c r="J87" s="0" t="n">
        <v>136</v>
      </c>
      <c r="K87" s="0" t="n">
        <v>1</v>
      </c>
      <c r="L87" s="0" t="n">
        <v>12467</v>
      </c>
      <c r="M87" s="0" t="n">
        <v>2447</v>
      </c>
    </row>
    <row r="88" customFormat="false" ht="13.5" hidden="false" customHeight="false" outlineLevel="0" collapsed="false">
      <c r="A88" s="0" t="s">
        <v>114</v>
      </c>
      <c r="B88" s="1" t="n">
        <v>43948</v>
      </c>
      <c r="C88" s="0" t="n">
        <v>695</v>
      </c>
      <c r="D88" s="0" t="n">
        <f aca="false">C88-C87</f>
        <v>2</v>
      </c>
      <c r="E88" s="0" t="n">
        <v>6</v>
      </c>
      <c r="F88" s="0" t="n">
        <f aca="false">E88-E87</f>
        <v>0</v>
      </c>
      <c r="G88" s="0" t="n">
        <v>264</v>
      </c>
      <c r="H88" s="0" t="n">
        <v>425</v>
      </c>
      <c r="I88" s="0" t="n">
        <v>8</v>
      </c>
      <c r="J88" s="0" t="n">
        <v>136</v>
      </c>
      <c r="K88" s="0" t="n">
        <v>1</v>
      </c>
      <c r="L88" s="0" t="n">
        <v>12467</v>
      </c>
      <c r="M88" s="0" t="n">
        <v>2447</v>
      </c>
    </row>
    <row r="89" customFormat="false" ht="13.5" hidden="false" customHeight="false" outlineLevel="0" collapsed="false">
      <c r="A89" s="0" t="s">
        <v>114</v>
      </c>
      <c r="B89" s="1" t="n">
        <v>43949</v>
      </c>
      <c r="C89" s="0" t="n">
        <v>697</v>
      </c>
      <c r="D89" s="0" t="n">
        <f aca="false">C89-C88</f>
        <v>2</v>
      </c>
      <c r="E89" s="0" t="n">
        <v>6</v>
      </c>
      <c r="F89" s="0" t="n">
        <f aca="false">E89-E88</f>
        <v>0</v>
      </c>
      <c r="G89" s="0" t="n">
        <v>287</v>
      </c>
      <c r="H89" s="0" t="n">
        <v>404</v>
      </c>
      <c r="I89" s="0" t="n">
        <v>8</v>
      </c>
      <c r="J89" s="0" t="n">
        <v>137</v>
      </c>
      <c r="K89" s="0" t="n">
        <v>1</v>
      </c>
      <c r="L89" s="0" t="n">
        <v>12670</v>
      </c>
      <c r="M89" s="0" t="n">
        <v>2487</v>
      </c>
    </row>
    <row r="90" customFormat="false" ht="13.5" hidden="false" customHeight="false" outlineLevel="0" collapsed="false">
      <c r="A90" s="0" t="s">
        <v>114</v>
      </c>
      <c r="B90" s="1" t="n">
        <v>43950</v>
      </c>
      <c r="C90" s="0" t="n">
        <v>705</v>
      </c>
      <c r="D90" s="0" t="n">
        <f aca="false">C90-C89</f>
        <v>8</v>
      </c>
      <c r="E90" s="0" t="n">
        <v>6</v>
      </c>
      <c r="F90" s="0" t="n">
        <f aca="false">E90-E89</f>
        <v>0</v>
      </c>
      <c r="G90" s="0" t="n">
        <v>306</v>
      </c>
      <c r="H90" s="0" t="n">
        <v>393</v>
      </c>
      <c r="I90" s="0" t="n">
        <v>8</v>
      </c>
      <c r="J90" s="0" t="n">
        <v>138</v>
      </c>
      <c r="K90" s="0" t="n">
        <v>1</v>
      </c>
      <c r="L90" s="0" t="n">
        <v>12729</v>
      </c>
      <c r="M90" s="0" t="n">
        <v>2499</v>
      </c>
    </row>
    <row r="91" customFormat="false" ht="13.5" hidden="false" customHeight="false" outlineLevel="0" collapsed="false">
      <c r="A91" s="0" t="s">
        <v>114</v>
      </c>
      <c r="B91" s="1" t="n">
        <v>43951</v>
      </c>
      <c r="C91" s="0" t="n">
        <v>713</v>
      </c>
      <c r="D91" s="0" t="n">
        <f aca="false">C91-C90</f>
        <v>8</v>
      </c>
      <c r="E91" s="0" t="n">
        <v>6</v>
      </c>
      <c r="F91" s="0" t="n">
        <f aca="false">E91-E90</f>
        <v>0</v>
      </c>
      <c r="G91" s="0" t="n">
        <v>323</v>
      </c>
      <c r="H91" s="0" t="n">
        <v>384</v>
      </c>
      <c r="I91" s="0" t="n">
        <v>8</v>
      </c>
      <c r="J91" s="0" t="n">
        <v>140</v>
      </c>
      <c r="K91" s="0" t="n">
        <v>1</v>
      </c>
      <c r="L91" s="0" t="n">
        <v>13117</v>
      </c>
      <c r="M91" s="0" t="n">
        <v>2575</v>
      </c>
    </row>
    <row r="92" customFormat="false" ht="13.5" hidden="false" customHeight="false" outlineLevel="0" collapsed="false">
      <c r="A92" s="0" t="s">
        <v>114</v>
      </c>
      <c r="B92" s="1" t="n">
        <v>43952</v>
      </c>
      <c r="C92" s="0" t="n">
        <v>719</v>
      </c>
      <c r="D92" s="0" t="n">
        <f aca="false">C92-C91</f>
        <v>6</v>
      </c>
      <c r="E92" s="0" t="n">
        <v>6</v>
      </c>
      <c r="F92" s="0" t="n">
        <f aca="false">E92-E91</f>
        <v>0</v>
      </c>
      <c r="G92" s="0" t="n">
        <v>323</v>
      </c>
      <c r="H92" s="0" t="n">
        <v>390</v>
      </c>
      <c r="I92" s="0" t="n">
        <v>8</v>
      </c>
      <c r="J92" s="0" t="n">
        <v>141</v>
      </c>
      <c r="K92" s="0" t="n">
        <v>1</v>
      </c>
      <c r="L92" s="0" t="n">
        <v>13117</v>
      </c>
      <c r="M92" s="0" t="n">
        <v>2575</v>
      </c>
    </row>
    <row r="93" customFormat="false" ht="13.5" hidden="false" customHeight="false" outlineLevel="0" collapsed="false">
      <c r="A93" s="0" t="s">
        <v>114</v>
      </c>
      <c r="B93" s="1" t="n">
        <v>43953</v>
      </c>
      <c r="C93" s="0" t="n">
        <v>725</v>
      </c>
      <c r="D93" s="0" t="n">
        <f aca="false">C93-C92</f>
        <v>6</v>
      </c>
      <c r="E93" s="0" t="n">
        <v>6</v>
      </c>
      <c r="F93" s="0" t="n">
        <f aca="false">E93-E92</f>
        <v>0</v>
      </c>
      <c r="G93" s="0" t="n">
        <v>355</v>
      </c>
      <c r="H93" s="0" t="n">
        <v>364</v>
      </c>
      <c r="I93" s="0" t="n">
        <v>7</v>
      </c>
      <c r="J93" s="0" t="n">
        <v>142</v>
      </c>
      <c r="K93" s="0" t="n">
        <v>1</v>
      </c>
      <c r="L93" s="0" t="n">
        <v>13529</v>
      </c>
      <c r="M93" s="0" t="n">
        <v>2656</v>
      </c>
    </row>
    <row r="94" customFormat="false" ht="13.5" hidden="false" customHeight="false" outlineLevel="0" collapsed="false">
      <c r="A94" s="0" t="s">
        <v>114</v>
      </c>
      <c r="B94" s="1" t="n">
        <v>43954</v>
      </c>
      <c r="C94" s="0" t="n">
        <v>733</v>
      </c>
      <c r="D94" s="0" t="n">
        <f aca="false">C94-C93</f>
        <v>8</v>
      </c>
      <c r="E94" s="0" t="n">
        <v>6</v>
      </c>
      <c r="F94" s="0" t="n">
        <f aca="false">E94-E93</f>
        <v>0</v>
      </c>
      <c r="G94" s="0" t="n">
        <v>372</v>
      </c>
      <c r="H94" s="0" t="n">
        <v>355</v>
      </c>
      <c r="I94" s="0" t="n">
        <v>6</v>
      </c>
      <c r="J94" s="0" t="n">
        <v>144</v>
      </c>
      <c r="K94" s="0" t="n">
        <v>1</v>
      </c>
      <c r="L94" s="0" t="n">
        <v>13632</v>
      </c>
      <c r="M94" s="0" t="n">
        <v>2676</v>
      </c>
    </row>
    <row r="95" customFormat="false" ht="13.5" hidden="false" customHeight="false" outlineLevel="0" collapsed="false">
      <c r="A95" s="0" t="s">
        <v>114</v>
      </c>
      <c r="B95" s="1" t="n">
        <v>43955</v>
      </c>
      <c r="C95" s="0" t="n">
        <v>739</v>
      </c>
      <c r="D95" s="0" t="n">
        <f aca="false">C95-C94</f>
        <v>6</v>
      </c>
      <c r="E95" s="0" t="n">
        <v>6</v>
      </c>
      <c r="F95" s="0" t="n">
        <f aca="false">E95-E94</f>
        <v>0</v>
      </c>
      <c r="G95" s="0" t="n">
        <v>386</v>
      </c>
      <c r="H95" s="0" t="n">
        <v>347</v>
      </c>
      <c r="I95" s="0" t="n">
        <v>6</v>
      </c>
      <c r="J95" s="0" t="n">
        <v>145</v>
      </c>
      <c r="K95" s="0" t="n">
        <v>1</v>
      </c>
      <c r="L95" s="0" t="n">
        <v>13851</v>
      </c>
      <c r="M95" s="0" t="n">
        <v>2719</v>
      </c>
    </row>
    <row r="96" customFormat="false" ht="13.5" hidden="false" customHeight="false" outlineLevel="0" collapsed="false">
      <c r="A96" s="0" t="s">
        <v>114</v>
      </c>
      <c r="B96" s="1" t="n">
        <v>43956</v>
      </c>
      <c r="C96" s="0" t="n">
        <v>742</v>
      </c>
      <c r="D96" s="0" t="n">
        <f aca="false">C96-C95</f>
        <v>3</v>
      </c>
      <c r="E96" s="0" t="n">
        <v>6</v>
      </c>
      <c r="F96" s="0" t="n">
        <f aca="false">E96-E95</f>
        <v>0</v>
      </c>
      <c r="G96" s="0" t="n">
        <v>399</v>
      </c>
      <c r="H96" s="0" t="n">
        <v>337</v>
      </c>
      <c r="I96" s="0" t="n">
        <v>5</v>
      </c>
      <c r="J96" s="0" t="n">
        <v>146</v>
      </c>
      <c r="K96" s="0" t="n">
        <v>1</v>
      </c>
      <c r="L96" s="0" t="n">
        <v>13988</v>
      </c>
      <c r="M96" s="0" t="n">
        <v>2746</v>
      </c>
    </row>
    <row r="97" customFormat="false" ht="13.5" hidden="false" customHeight="false" outlineLevel="0" collapsed="false">
      <c r="A97" s="0" t="s">
        <v>114</v>
      </c>
      <c r="B97" s="1" t="n">
        <v>43957</v>
      </c>
      <c r="C97" s="0" t="n">
        <v>755</v>
      </c>
      <c r="D97" s="0" t="n">
        <f aca="false">C97-C96</f>
        <v>13</v>
      </c>
      <c r="E97" s="0" t="n">
        <v>6</v>
      </c>
      <c r="F97" s="0" t="n">
        <f aca="false">E97-E96</f>
        <v>0</v>
      </c>
      <c r="G97" s="0" t="n">
        <v>413</v>
      </c>
      <c r="H97" s="0" t="n">
        <v>336</v>
      </c>
      <c r="I97" s="0" t="n">
        <v>5</v>
      </c>
      <c r="J97" s="0" t="n">
        <v>148</v>
      </c>
      <c r="K97" s="0" t="n">
        <v>1</v>
      </c>
      <c r="L97" s="0" t="n">
        <v>14121</v>
      </c>
      <c r="M97" s="0" t="n">
        <v>2772</v>
      </c>
    </row>
    <row r="98" customFormat="false" ht="13.5" hidden="false" customHeight="false" outlineLevel="0" collapsed="false">
      <c r="A98" s="0" t="s">
        <v>114</v>
      </c>
      <c r="B98" s="1" t="n">
        <v>43958</v>
      </c>
      <c r="C98" s="0" t="n">
        <v>761</v>
      </c>
      <c r="D98" s="0" t="n">
        <f aca="false">C98-C97</f>
        <v>6</v>
      </c>
      <c r="E98" s="0" t="n">
        <v>6</v>
      </c>
      <c r="F98" s="0" t="n">
        <f aca="false">E98-E97</f>
        <v>0</v>
      </c>
      <c r="G98" s="0" t="n">
        <v>428</v>
      </c>
      <c r="H98" s="0" t="n">
        <v>327</v>
      </c>
      <c r="I98" s="0" t="n">
        <v>5</v>
      </c>
      <c r="J98" s="0" t="n">
        <v>149</v>
      </c>
      <c r="K98" s="0" t="n">
        <v>1</v>
      </c>
      <c r="L98" s="0" t="n">
        <v>14448</v>
      </c>
      <c r="M98" s="0" t="n">
        <v>2836</v>
      </c>
    </row>
    <row r="99" customFormat="false" ht="13.5" hidden="false" customHeight="false" outlineLevel="0" collapsed="false">
      <c r="A99" s="0" t="s">
        <v>114</v>
      </c>
      <c r="B99" s="1" t="n">
        <v>43959</v>
      </c>
      <c r="C99" s="0" t="n">
        <v>765</v>
      </c>
      <c r="D99" s="0" t="n">
        <f aca="false">C99-C98</f>
        <v>4</v>
      </c>
      <c r="E99" s="0" t="n">
        <v>6</v>
      </c>
      <c r="F99" s="0" t="n">
        <f aca="false">E99-E98</f>
        <v>0</v>
      </c>
      <c r="G99" s="0" t="n">
        <v>445</v>
      </c>
      <c r="H99" s="0" t="n">
        <v>314</v>
      </c>
      <c r="I99" s="0" t="n">
        <v>6</v>
      </c>
      <c r="J99" s="0" t="n">
        <v>150</v>
      </c>
      <c r="K99" s="0" t="n">
        <v>1</v>
      </c>
      <c r="L99" s="0" t="n">
        <v>15140</v>
      </c>
      <c r="M99" s="0" t="n">
        <v>2972</v>
      </c>
    </row>
    <row r="100" customFormat="false" ht="13.5" hidden="false" customHeight="false" outlineLevel="0" collapsed="false">
      <c r="A100" s="0" t="s">
        <v>114</v>
      </c>
      <c r="B100" s="1" t="n">
        <v>43960</v>
      </c>
      <c r="C100" s="0" t="n">
        <v>773</v>
      </c>
      <c r="D100" s="0" t="n">
        <f aca="false">C100-C99</f>
        <v>8</v>
      </c>
      <c r="E100" s="0" t="n">
        <v>6</v>
      </c>
      <c r="F100" s="0" t="n">
        <f aca="false">E100-E99</f>
        <v>0</v>
      </c>
      <c r="G100" s="0" t="n">
        <v>461</v>
      </c>
      <c r="H100" s="0" t="n">
        <v>306</v>
      </c>
      <c r="I100" s="0" t="n">
        <v>6</v>
      </c>
      <c r="J100" s="0" t="n">
        <v>152</v>
      </c>
      <c r="K100" s="0" t="n">
        <v>1</v>
      </c>
      <c r="L100" s="0" t="n">
        <v>15810</v>
      </c>
      <c r="M100" s="0" t="n">
        <v>3104</v>
      </c>
    </row>
    <row r="101" customFormat="false" ht="13.5" hidden="false" customHeight="false" outlineLevel="0" collapsed="false">
      <c r="A101" s="0" t="s">
        <v>114</v>
      </c>
      <c r="B101" s="1" t="n">
        <v>43961</v>
      </c>
      <c r="C101" s="0" t="n">
        <v>780</v>
      </c>
      <c r="D101" s="0" t="n">
        <f aca="false">C101-C100</f>
        <v>7</v>
      </c>
      <c r="E101" s="0" t="n">
        <v>6</v>
      </c>
      <c r="F101" s="0" t="n">
        <f aca="false">E101-E100</f>
        <v>0</v>
      </c>
      <c r="G101" s="0" t="n">
        <v>480</v>
      </c>
      <c r="H101" s="0" t="n">
        <v>294</v>
      </c>
      <c r="I101" s="0" t="n">
        <v>6</v>
      </c>
      <c r="J101" s="0" t="n">
        <v>153</v>
      </c>
      <c r="K101" s="0" t="n">
        <v>1</v>
      </c>
      <c r="L101" s="0" t="n">
        <v>16517</v>
      </c>
      <c r="M101" s="0" t="n">
        <v>3242</v>
      </c>
    </row>
    <row r="102" customFormat="false" ht="13.5" hidden="false" customHeight="false" outlineLevel="0" collapsed="false">
      <c r="A102" s="0" t="s">
        <v>114</v>
      </c>
      <c r="B102" s="1" t="n">
        <v>43962</v>
      </c>
      <c r="C102" s="0" t="n">
        <v>792</v>
      </c>
      <c r="D102" s="0" t="n">
        <f aca="false">C102-C101</f>
        <v>12</v>
      </c>
      <c r="E102" s="0" t="n">
        <v>6</v>
      </c>
      <c r="F102" s="0" t="n">
        <f aca="false">E102-E101</f>
        <v>0</v>
      </c>
      <c r="G102" s="0" t="n">
        <v>501</v>
      </c>
      <c r="H102" s="0" t="n">
        <v>285</v>
      </c>
      <c r="I102" s="0" t="n">
        <v>6</v>
      </c>
      <c r="J102" s="0" t="n">
        <v>155</v>
      </c>
      <c r="K102" s="0" t="n">
        <v>1</v>
      </c>
      <c r="L102" s="0" t="n">
        <v>17170</v>
      </c>
      <c r="M102" s="0" t="n">
        <v>3371</v>
      </c>
    </row>
    <row r="103" customFormat="false" ht="13.5" hidden="false" customHeight="false" outlineLevel="0" collapsed="false">
      <c r="A103" s="0" t="s">
        <v>114</v>
      </c>
      <c r="B103" s="1" t="n">
        <v>43963</v>
      </c>
      <c r="C103" s="0" t="n">
        <v>801</v>
      </c>
      <c r="D103" s="0" t="n">
        <f aca="false">C103-C102</f>
        <v>9</v>
      </c>
      <c r="E103" s="0" t="n">
        <v>7</v>
      </c>
      <c r="F103" s="0" t="n">
        <f aca="false">E103-E102</f>
        <v>1</v>
      </c>
      <c r="G103" s="0" t="n">
        <v>517</v>
      </c>
      <c r="H103" s="0" t="n">
        <v>277</v>
      </c>
      <c r="I103" s="0" t="n">
        <v>6</v>
      </c>
      <c r="J103" s="0" t="n">
        <v>157</v>
      </c>
      <c r="K103" s="0" t="n">
        <v>1</v>
      </c>
      <c r="L103" s="0" t="n">
        <v>17299</v>
      </c>
      <c r="M103" s="0" t="n">
        <v>3396</v>
      </c>
    </row>
    <row r="104" customFormat="false" ht="13.5" hidden="false" customHeight="false" outlineLevel="0" collapsed="false">
      <c r="A104" s="0" t="s">
        <v>114</v>
      </c>
      <c r="B104" s="1" t="n">
        <v>43964</v>
      </c>
      <c r="C104" s="0" t="n">
        <v>804</v>
      </c>
      <c r="D104" s="0" t="n">
        <f aca="false">C104-C103</f>
        <v>3</v>
      </c>
      <c r="E104" s="0" t="n">
        <v>7</v>
      </c>
      <c r="F104" s="0" t="n">
        <f aca="false">E104-E103</f>
        <v>0</v>
      </c>
      <c r="G104" s="0" t="n">
        <v>520</v>
      </c>
      <c r="H104" s="0" t="n">
        <v>277</v>
      </c>
      <c r="I104" s="0" t="n">
        <v>6</v>
      </c>
      <c r="J104" s="0" t="n">
        <v>158</v>
      </c>
      <c r="K104" s="0" t="n">
        <v>1</v>
      </c>
      <c r="L104" s="0" t="n">
        <v>17470</v>
      </c>
      <c r="M104" s="0" t="n">
        <v>3429</v>
      </c>
    </row>
    <row r="105" customFormat="false" ht="13.5" hidden="false" customHeight="false" outlineLevel="0" collapsed="false">
      <c r="A105" s="0" t="s">
        <v>114</v>
      </c>
      <c r="B105" s="1" t="n">
        <v>43965</v>
      </c>
      <c r="C105" s="0" t="n">
        <v>815</v>
      </c>
      <c r="D105" s="0" t="n">
        <f aca="false">C105-C104</f>
        <v>11</v>
      </c>
      <c r="E105" s="0" t="n">
        <v>7</v>
      </c>
      <c r="F105" s="0" t="n">
        <f aca="false">E105-E104</f>
        <v>0</v>
      </c>
      <c r="G105" s="0" t="n">
        <v>527</v>
      </c>
      <c r="H105" s="0" t="n">
        <v>281</v>
      </c>
      <c r="I105" s="0" t="n">
        <v>6</v>
      </c>
      <c r="J105" s="0" t="n">
        <v>160</v>
      </c>
      <c r="K105" s="0" t="n">
        <v>1</v>
      </c>
      <c r="L105" s="0" t="n">
        <v>18040</v>
      </c>
      <c r="M105" s="0" t="n">
        <v>3541</v>
      </c>
    </row>
    <row r="106" customFormat="false" ht="13.5" hidden="false" customHeight="false" outlineLevel="0" collapsed="false">
      <c r="A106" s="0" t="s">
        <v>114</v>
      </c>
      <c r="B106" s="1" t="n">
        <v>43966</v>
      </c>
      <c r="C106" s="0" t="n">
        <v>830</v>
      </c>
      <c r="D106" s="0" t="n">
        <f aca="false">C106-C105</f>
        <v>15</v>
      </c>
      <c r="E106" s="0" t="n">
        <v>8</v>
      </c>
      <c r="F106" s="0" t="n">
        <f aca="false">E106-E105</f>
        <v>1</v>
      </c>
      <c r="G106" s="0" t="n">
        <v>535</v>
      </c>
      <c r="H106" s="0" t="n">
        <v>287</v>
      </c>
      <c r="I106" s="0" t="n">
        <v>4</v>
      </c>
      <c r="J106" s="0" t="n">
        <v>163</v>
      </c>
      <c r="K106" s="0" t="n">
        <v>2</v>
      </c>
      <c r="L106" s="0" t="n">
        <v>18388</v>
      </c>
      <c r="M106" s="0" t="n">
        <v>3610</v>
      </c>
    </row>
    <row r="107" customFormat="false" ht="13.5" hidden="false" customHeight="false" outlineLevel="0" collapsed="false">
      <c r="A107" s="0" t="s">
        <v>114</v>
      </c>
      <c r="B107" s="1" t="n">
        <v>43967</v>
      </c>
      <c r="C107" s="0" t="n">
        <v>843</v>
      </c>
      <c r="D107" s="0" t="n">
        <f aca="false">C107-C106</f>
        <v>13</v>
      </c>
      <c r="E107" s="0" t="n">
        <v>9</v>
      </c>
      <c r="F107" s="0" t="n">
        <f aca="false">E107-E106</f>
        <v>1</v>
      </c>
      <c r="G107" s="0" t="n">
        <v>542</v>
      </c>
      <c r="H107" s="0" t="n">
        <v>292</v>
      </c>
      <c r="I107" s="0" t="n">
        <v>5</v>
      </c>
      <c r="J107" s="0" t="n">
        <v>166</v>
      </c>
      <c r="K107" s="0" t="n">
        <v>2</v>
      </c>
      <c r="L107" s="0" t="n">
        <v>18655</v>
      </c>
      <c r="M107" s="0" t="n">
        <v>3666</v>
      </c>
    </row>
    <row r="108" customFormat="false" ht="13.5" hidden="false" customHeight="false" outlineLevel="0" collapsed="false">
      <c r="A108" s="0" t="s">
        <v>114</v>
      </c>
      <c r="B108" s="1" t="n">
        <v>43968</v>
      </c>
      <c r="C108" s="0" t="n">
        <v>853</v>
      </c>
      <c r="D108" s="0" t="n">
        <f aca="false">C108-C107</f>
        <v>10</v>
      </c>
      <c r="E108" s="0" t="n">
        <v>10</v>
      </c>
      <c r="F108" s="0" t="n">
        <f aca="false">E108-E107</f>
        <v>1</v>
      </c>
      <c r="G108" s="0" t="n">
        <v>551</v>
      </c>
      <c r="H108" s="0" t="n">
        <v>292</v>
      </c>
      <c r="I108" s="0" t="n">
        <v>4</v>
      </c>
      <c r="J108" s="0" t="n">
        <v>168</v>
      </c>
      <c r="K108" s="0" t="n">
        <v>2</v>
      </c>
      <c r="L108" s="0" t="n">
        <v>19401</v>
      </c>
      <c r="M108" s="0" t="n">
        <v>3813</v>
      </c>
    </row>
    <row r="109" customFormat="false" ht="13.5" hidden="false" customHeight="false" outlineLevel="0" collapsed="false">
      <c r="A109" s="0" t="s">
        <v>114</v>
      </c>
      <c r="B109" s="1" t="n">
        <v>43969</v>
      </c>
      <c r="C109" s="0" t="n">
        <v>863</v>
      </c>
      <c r="D109" s="0" t="n">
        <f aca="false">C109-C108</f>
        <v>10</v>
      </c>
      <c r="E109" s="0" t="n">
        <v>10</v>
      </c>
      <c r="F109" s="0" t="n">
        <f aca="false">E109-E108</f>
        <v>0</v>
      </c>
      <c r="G109" s="0" t="n">
        <v>565</v>
      </c>
      <c r="H109" s="0" t="n">
        <v>288</v>
      </c>
      <c r="I109" s="0" t="n">
        <v>3</v>
      </c>
      <c r="J109" s="0" t="n">
        <v>170</v>
      </c>
      <c r="K109" s="0" t="n">
        <v>2</v>
      </c>
      <c r="L109" s="0" t="n">
        <v>20115</v>
      </c>
      <c r="M109" s="0" t="n">
        <v>3953</v>
      </c>
    </row>
    <row r="110" customFormat="false" ht="13.5" hidden="false" customHeight="false" outlineLevel="0" collapsed="false">
      <c r="A110" s="0" t="s">
        <v>114</v>
      </c>
      <c r="B110" s="1" t="n">
        <v>43970</v>
      </c>
      <c r="C110" s="0" t="n">
        <v>866</v>
      </c>
      <c r="D110" s="0" t="n">
        <f aca="false">C110-C109</f>
        <v>3</v>
      </c>
      <c r="E110" s="0" t="n">
        <v>10</v>
      </c>
      <c r="F110" s="0" t="n">
        <f aca="false">E110-E109</f>
        <v>0</v>
      </c>
      <c r="G110" s="0" t="n">
        <v>575</v>
      </c>
      <c r="H110" s="0" t="n">
        <v>281</v>
      </c>
      <c r="I110" s="0" t="n">
        <v>3</v>
      </c>
      <c r="J110" s="0" t="n">
        <v>170</v>
      </c>
      <c r="K110" s="0" t="n">
        <v>2</v>
      </c>
      <c r="L110" s="0" t="n">
        <v>20352</v>
      </c>
      <c r="M110" s="0" t="n">
        <v>4000</v>
      </c>
    </row>
    <row r="111" customFormat="false" ht="13.5" hidden="false" customHeight="false" outlineLevel="0" collapsed="false">
      <c r="A111" s="0" t="s">
        <v>114</v>
      </c>
      <c r="B111" s="1" t="n">
        <v>43971</v>
      </c>
      <c r="C111" s="0" t="n">
        <v>882</v>
      </c>
      <c r="D111" s="0" t="n">
        <f aca="false">C111-C110</f>
        <v>16</v>
      </c>
      <c r="E111" s="0" t="n">
        <v>10</v>
      </c>
      <c r="F111" s="0" t="n">
        <f aca="false">E111-E110</f>
        <v>0</v>
      </c>
      <c r="G111" s="0" t="n">
        <v>577</v>
      </c>
      <c r="H111" s="0" t="n">
        <v>295</v>
      </c>
      <c r="I111" s="0" t="n">
        <v>5</v>
      </c>
      <c r="J111" s="0" t="n">
        <v>173</v>
      </c>
      <c r="K111" s="0" t="n">
        <v>2</v>
      </c>
      <c r="L111" s="0" t="n">
        <v>20741</v>
      </c>
      <c r="M111" s="0" t="n">
        <v>4076</v>
      </c>
    </row>
    <row r="112" customFormat="false" ht="13.5" hidden="false" customHeight="false" outlineLevel="0" collapsed="false">
      <c r="A112" s="0" t="s">
        <v>114</v>
      </c>
      <c r="B112" s="1" t="n">
        <v>43972</v>
      </c>
      <c r="C112" s="0" t="n">
        <v>897</v>
      </c>
      <c r="D112" s="0" t="n">
        <f aca="false">C112-C111</f>
        <v>15</v>
      </c>
      <c r="E112" s="0" t="n">
        <v>10</v>
      </c>
      <c r="F112" s="0" t="n">
        <f aca="false">E112-E111</f>
        <v>0</v>
      </c>
      <c r="G112" s="0" t="n">
        <v>582</v>
      </c>
      <c r="H112" s="0" t="n">
        <v>305</v>
      </c>
      <c r="I112" s="0" t="n">
        <v>5</v>
      </c>
      <c r="J112" s="0" t="n">
        <v>176</v>
      </c>
      <c r="K112" s="0" t="n">
        <v>2</v>
      </c>
      <c r="L112" s="0" t="n">
        <v>21299</v>
      </c>
      <c r="M112" s="0" t="n">
        <v>4186</v>
      </c>
    </row>
    <row r="113" customFormat="false" ht="13.5" hidden="false" customHeight="false" outlineLevel="0" collapsed="false">
      <c r="A113" s="0" t="s">
        <v>114</v>
      </c>
      <c r="B113" s="1" t="n">
        <v>43973</v>
      </c>
      <c r="C113" s="0" t="n">
        <v>903</v>
      </c>
      <c r="D113" s="0" t="n">
        <f aca="false">C113-C112</f>
        <v>6</v>
      </c>
      <c r="E113" s="0" t="n">
        <v>10</v>
      </c>
      <c r="F113" s="0" t="n">
        <f aca="false">E113-E112</f>
        <v>0</v>
      </c>
      <c r="G113" s="0" t="n">
        <v>592</v>
      </c>
      <c r="H113" s="0" t="n">
        <v>301</v>
      </c>
      <c r="I113" s="0" t="n">
        <v>3</v>
      </c>
      <c r="J113" s="0" t="n">
        <v>177</v>
      </c>
      <c r="K113" s="0" t="n">
        <v>2</v>
      </c>
      <c r="L113" s="0" t="n">
        <v>21929</v>
      </c>
      <c r="M113" s="0" t="n">
        <v>4309</v>
      </c>
    </row>
    <row r="114" customFormat="false" ht="13.5" hidden="false" customHeight="false" outlineLevel="0" collapsed="false">
      <c r="A114" s="0" t="s">
        <v>114</v>
      </c>
      <c r="B114" s="1" t="n">
        <v>43974</v>
      </c>
      <c r="C114" s="0" t="n">
        <v>911</v>
      </c>
      <c r="D114" s="0" t="n">
        <f aca="false">C114-C113</f>
        <v>8</v>
      </c>
      <c r="E114" s="0" t="n">
        <v>10</v>
      </c>
      <c r="F114" s="0" t="n">
        <f aca="false">E114-E113</f>
        <v>0</v>
      </c>
      <c r="G114" s="0" t="n">
        <v>600</v>
      </c>
      <c r="H114" s="0" t="n">
        <v>301</v>
      </c>
      <c r="I114" s="0" t="n">
        <v>4</v>
      </c>
      <c r="J114" s="0" t="n">
        <v>179</v>
      </c>
      <c r="K114" s="0" t="n">
        <v>2</v>
      </c>
      <c r="L114" s="0" t="n">
        <v>22554</v>
      </c>
      <c r="M114" s="0" t="n">
        <v>4432</v>
      </c>
    </row>
    <row r="115" customFormat="false" ht="13.5" hidden="false" customHeight="false" outlineLevel="0" collapsed="false">
      <c r="A115" s="0" t="s">
        <v>114</v>
      </c>
      <c r="B115" s="1" t="n">
        <v>43975</v>
      </c>
      <c r="C115" s="0" t="n">
        <v>918</v>
      </c>
      <c r="D115" s="0" t="n">
        <f aca="false">C115-C114</f>
        <v>7</v>
      </c>
      <c r="E115" s="0" t="n">
        <v>10</v>
      </c>
      <c r="F115" s="0" t="n">
        <f aca="false">E115-E114</f>
        <v>0</v>
      </c>
      <c r="G115" s="0" t="n">
        <v>607</v>
      </c>
      <c r="H115" s="0" t="n">
        <v>301</v>
      </c>
      <c r="I115" s="0" t="n">
        <v>4</v>
      </c>
      <c r="J115" s="0" t="n">
        <v>180</v>
      </c>
      <c r="K115" s="0" t="n">
        <v>2</v>
      </c>
      <c r="L115" s="0" t="n">
        <v>22910</v>
      </c>
      <c r="M115" s="0" t="n">
        <v>4502</v>
      </c>
    </row>
    <row r="116" customFormat="false" ht="13.5" hidden="false" customHeight="false" outlineLevel="0" collapsed="false">
      <c r="A116" s="0" t="s">
        <v>114</v>
      </c>
      <c r="B116" s="1" t="n">
        <v>43976</v>
      </c>
      <c r="C116" s="0" t="n">
        <v>930</v>
      </c>
      <c r="D116" s="0" t="n">
        <f aca="false">C116-C115</f>
        <v>12</v>
      </c>
      <c r="E116" s="0" t="n">
        <v>10</v>
      </c>
      <c r="F116" s="0" t="n">
        <f aca="false">E116-E115</f>
        <v>0</v>
      </c>
      <c r="G116" s="0" t="n">
        <v>620</v>
      </c>
      <c r="H116" s="0" t="n">
        <v>300</v>
      </c>
      <c r="I116" s="0" t="n">
        <v>3</v>
      </c>
      <c r="J116" s="0" t="n">
        <v>183</v>
      </c>
      <c r="K116" s="0" t="n">
        <v>2</v>
      </c>
      <c r="L116" s="0" t="n">
        <v>23378</v>
      </c>
      <c r="M116" s="0" t="n">
        <v>4594</v>
      </c>
    </row>
    <row r="117" customFormat="false" ht="13.5" hidden="false" customHeight="false" outlineLevel="0" collapsed="false">
      <c r="A117" s="0" t="s">
        <v>114</v>
      </c>
      <c r="B117" s="1" t="n">
        <v>43977</v>
      </c>
      <c r="C117" s="0" t="n">
        <v>951</v>
      </c>
      <c r="D117" s="0" t="n">
        <f aca="false">C117-C116</f>
        <v>21</v>
      </c>
      <c r="E117" s="0" t="n">
        <v>10</v>
      </c>
      <c r="F117" s="0" t="n">
        <f aca="false">E117-E116</f>
        <v>0</v>
      </c>
      <c r="G117" s="0" t="n">
        <v>628</v>
      </c>
      <c r="H117" s="0" t="n">
        <v>313</v>
      </c>
      <c r="I117" s="0" t="n">
        <v>2</v>
      </c>
      <c r="J117" s="0" t="n">
        <v>187</v>
      </c>
      <c r="K117" s="0" t="n">
        <v>2</v>
      </c>
      <c r="L117" s="0" t="n">
        <v>23580</v>
      </c>
      <c r="M117" s="0" t="n">
        <v>4633</v>
      </c>
    </row>
    <row r="118" customFormat="false" ht="13.5" hidden="false" customHeight="false" outlineLevel="0" collapsed="false">
      <c r="A118" s="0" t="s">
        <v>114</v>
      </c>
      <c r="B118" s="1" t="n">
        <v>43978</v>
      </c>
      <c r="C118" s="0" t="n">
        <v>956</v>
      </c>
      <c r="D118" s="0" t="n">
        <f aca="false">C118-C117</f>
        <v>5</v>
      </c>
      <c r="E118" s="0" t="n">
        <v>10</v>
      </c>
      <c r="F118" s="0" t="n">
        <f aca="false">E118-E117</f>
        <v>0</v>
      </c>
      <c r="G118" s="0" t="n">
        <v>634</v>
      </c>
      <c r="H118" s="0" t="n">
        <v>312</v>
      </c>
      <c r="I118" s="0" t="n">
        <v>2</v>
      </c>
      <c r="J118" s="0" t="n">
        <v>188</v>
      </c>
      <c r="K118" s="0" t="n">
        <v>2</v>
      </c>
      <c r="L118" s="0" t="n">
        <v>23703</v>
      </c>
      <c r="M118" s="0" t="n">
        <v>4657</v>
      </c>
    </row>
    <row r="119" customFormat="false" ht="13.5" hidden="false" customHeight="false" outlineLevel="0" collapsed="false">
      <c r="A119" s="0" t="s">
        <v>114</v>
      </c>
      <c r="B119" s="1" t="n">
        <v>43979</v>
      </c>
      <c r="C119" s="0" t="n">
        <v>984</v>
      </c>
      <c r="D119" s="0" t="n">
        <f aca="false">C119-C118</f>
        <v>28</v>
      </c>
      <c r="E119" s="0" t="n">
        <v>10</v>
      </c>
      <c r="F119" s="0" t="n">
        <f aca="false">E119-E118</f>
        <v>0</v>
      </c>
      <c r="G119" s="0" t="n">
        <v>639</v>
      </c>
      <c r="H119" s="0" t="n">
        <v>335</v>
      </c>
      <c r="I119" s="0" t="n">
        <v>2</v>
      </c>
      <c r="J119" s="0" t="n">
        <v>193</v>
      </c>
      <c r="K119" s="0" t="n">
        <v>2</v>
      </c>
      <c r="L119" s="0" t="n">
        <v>24338</v>
      </c>
      <c r="M119" s="0" t="n">
        <v>4782</v>
      </c>
    </row>
    <row r="120" customFormat="false" ht="13.5" hidden="false" customHeight="false" outlineLevel="0" collapsed="false">
      <c r="A120" s="0" t="s">
        <v>114</v>
      </c>
      <c r="B120" s="1" t="n">
        <v>43980</v>
      </c>
      <c r="C120" s="0" t="n">
        <v>1000</v>
      </c>
      <c r="D120" s="0" t="n">
        <f aca="false">C120-C119</f>
        <v>16</v>
      </c>
      <c r="E120" s="0" t="n">
        <v>10</v>
      </c>
      <c r="F120" s="0" t="n">
        <f aca="false">E120-E119</f>
        <v>0</v>
      </c>
      <c r="G120" s="0" t="n">
        <v>646</v>
      </c>
      <c r="H120" s="0" t="n">
        <v>344</v>
      </c>
      <c r="I120" s="0" t="n">
        <v>2</v>
      </c>
      <c r="J120" s="0" t="n">
        <v>196</v>
      </c>
      <c r="K120" s="0" t="n">
        <v>2</v>
      </c>
      <c r="L120" s="0" t="n">
        <v>24897</v>
      </c>
      <c r="M120" s="0" t="n">
        <v>4892</v>
      </c>
    </row>
    <row r="121" customFormat="false" ht="13.5" hidden="false" customHeight="false" outlineLevel="0" collapsed="false">
      <c r="A121" s="0" t="s">
        <v>114</v>
      </c>
      <c r="B121" s="1" t="n">
        <v>43981</v>
      </c>
      <c r="C121" s="0" t="n">
        <v>1022</v>
      </c>
      <c r="D121" s="0" t="n">
        <f aca="false">C121-C120</f>
        <v>22</v>
      </c>
      <c r="E121" s="0" t="n">
        <v>10</v>
      </c>
      <c r="F121" s="0" t="n">
        <f aca="false">E121-E120</f>
        <v>0</v>
      </c>
      <c r="G121" s="0" t="n">
        <v>653</v>
      </c>
      <c r="H121" s="0" t="n">
        <v>359</v>
      </c>
      <c r="I121" s="0" t="n">
        <v>2</v>
      </c>
      <c r="J121" s="0" t="n">
        <v>201</v>
      </c>
      <c r="K121" s="0" t="n">
        <v>2</v>
      </c>
      <c r="L121" s="0" t="n">
        <v>25503</v>
      </c>
      <c r="M121" s="0" t="n">
        <v>5011</v>
      </c>
    </row>
    <row r="122" customFormat="false" ht="13.5" hidden="false" customHeight="false" outlineLevel="0" collapsed="false">
      <c r="A122" s="0" t="s">
        <v>114</v>
      </c>
      <c r="B122" s="1" t="n">
        <v>43982</v>
      </c>
      <c r="C122" s="0" t="n">
        <v>1047</v>
      </c>
      <c r="D122" s="0" t="n">
        <f aca="false">C122-C121</f>
        <v>25</v>
      </c>
      <c r="E122" s="0" t="n">
        <v>10</v>
      </c>
      <c r="F122" s="0" t="n">
        <f aca="false">E122-E121</f>
        <v>0</v>
      </c>
      <c r="G122" s="0" t="n">
        <v>658</v>
      </c>
      <c r="H122" s="0" t="n">
        <v>379</v>
      </c>
      <c r="I122" s="0" t="n">
        <v>4</v>
      </c>
      <c r="J122" s="0" t="n">
        <v>206</v>
      </c>
      <c r="K122" s="0" t="n">
        <v>2</v>
      </c>
      <c r="L122" s="0" t="n">
        <v>26073</v>
      </c>
      <c r="M122" s="0" t="n">
        <v>5122</v>
      </c>
    </row>
    <row r="123" customFormat="false" ht="13.5" hidden="false" customHeight="false" outlineLevel="0" collapsed="false">
      <c r="A123" s="0" t="s">
        <v>114</v>
      </c>
      <c r="B123" s="1" t="n">
        <v>43983</v>
      </c>
      <c r="C123" s="0" t="n">
        <v>1056</v>
      </c>
      <c r="D123" s="0" t="n">
        <f aca="false">C123-C122</f>
        <v>9</v>
      </c>
      <c r="E123" s="0" t="n">
        <v>10</v>
      </c>
      <c r="F123" s="0" t="n">
        <f aca="false">E123-E122</f>
        <v>0</v>
      </c>
      <c r="G123" s="0" t="n">
        <v>669</v>
      </c>
      <c r="H123" s="0" t="n">
        <v>377</v>
      </c>
      <c r="I123" s="0" t="n">
        <v>4</v>
      </c>
      <c r="J123" s="0" t="n">
        <v>207</v>
      </c>
      <c r="K123" s="0" t="n">
        <v>2</v>
      </c>
      <c r="L123" s="0" t="n">
        <v>26622</v>
      </c>
      <c r="M123" s="0" t="n">
        <v>5230</v>
      </c>
    </row>
    <row r="124" customFormat="false" ht="13.5" hidden="false" customHeight="false" outlineLevel="0" collapsed="false">
      <c r="A124" s="0" t="s">
        <v>114</v>
      </c>
      <c r="B124" s="1" t="n">
        <v>43984</v>
      </c>
      <c r="C124" s="0" t="n">
        <v>1084</v>
      </c>
      <c r="D124" s="0" t="n">
        <f aca="false">C124-C123</f>
        <v>28</v>
      </c>
      <c r="E124" s="0" t="n">
        <v>10</v>
      </c>
      <c r="F124" s="0" t="n">
        <f aca="false">E124-E123</f>
        <v>0</v>
      </c>
      <c r="G124" s="0" t="n">
        <v>676</v>
      </c>
      <c r="H124" s="0" t="n">
        <v>398</v>
      </c>
      <c r="I124" s="0" t="n">
        <v>5</v>
      </c>
      <c r="J124" s="0" t="n">
        <v>213</v>
      </c>
      <c r="K124" s="0" t="n">
        <v>2</v>
      </c>
      <c r="L124" s="0" t="n">
        <v>26622</v>
      </c>
      <c r="M124" s="0" t="n">
        <v>5230</v>
      </c>
    </row>
    <row r="125" customFormat="false" ht="13.5" hidden="false" customHeight="false" outlineLevel="0" collapsed="false">
      <c r="A125" s="0" t="s">
        <v>114</v>
      </c>
      <c r="B125" s="1" t="n">
        <v>43985</v>
      </c>
      <c r="C125" s="0" t="n">
        <v>1105</v>
      </c>
      <c r="D125" s="0" t="n">
        <f aca="false">C125-C124</f>
        <v>21</v>
      </c>
      <c r="E125" s="0" t="n">
        <v>10</v>
      </c>
      <c r="F125" s="0" t="n">
        <f aca="false">E125-E124</f>
        <v>0</v>
      </c>
      <c r="G125" s="0" t="n">
        <v>682</v>
      </c>
      <c r="H125" s="0" t="n">
        <v>413</v>
      </c>
      <c r="I125" s="0" t="n">
        <v>5</v>
      </c>
      <c r="J125" s="0" t="n">
        <v>217</v>
      </c>
      <c r="K125" s="0" t="n">
        <v>2</v>
      </c>
      <c r="L125" s="0" t="n">
        <v>27318</v>
      </c>
      <c r="M125" s="0" t="n">
        <v>5367</v>
      </c>
    </row>
    <row r="126" customFormat="false" ht="13.5" hidden="false" customHeight="false" outlineLevel="0" collapsed="false">
      <c r="A126" s="0" t="s">
        <v>114</v>
      </c>
      <c r="B126" s="1" t="n">
        <v>43986</v>
      </c>
      <c r="C126" s="0" t="n">
        <v>1157</v>
      </c>
      <c r="D126" s="0" t="n">
        <f aca="false">C126-C125</f>
        <v>52</v>
      </c>
      <c r="E126" s="0" t="n">
        <v>10</v>
      </c>
      <c r="F126" s="0" t="n">
        <f aca="false">E126-E125</f>
        <v>0</v>
      </c>
      <c r="G126" s="0" t="n">
        <v>685</v>
      </c>
      <c r="H126" s="0" t="n">
        <v>462</v>
      </c>
      <c r="I126" s="0" t="n">
        <v>5</v>
      </c>
      <c r="J126" s="0" t="n">
        <v>227</v>
      </c>
      <c r="K126" s="0" t="n">
        <v>2</v>
      </c>
      <c r="L126" s="0" t="n">
        <v>27318</v>
      </c>
      <c r="M126" s="0" t="n">
        <v>5366</v>
      </c>
    </row>
    <row r="127" customFormat="false" ht="13.5" hidden="false" customHeight="false" outlineLevel="0" collapsed="false">
      <c r="A127" s="0" t="s">
        <v>114</v>
      </c>
      <c r="B127" s="1" t="n">
        <v>43987</v>
      </c>
      <c r="C127" s="0" t="n">
        <v>1194</v>
      </c>
      <c r="D127" s="0" t="n">
        <f aca="false">C127-C126</f>
        <v>37</v>
      </c>
      <c r="E127" s="0" t="n">
        <v>10</v>
      </c>
      <c r="F127" s="0" t="n">
        <f aca="false">E127-E126</f>
        <v>0</v>
      </c>
      <c r="G127" s="0" t="n">
        <v>687</v>
      </c>
      <c r="H127" s="0" t="n">
        <v>497</v>
      </c>
      <c r="I127" s="0" t="n">
        <v>5</v>
      </c>
      <c r="J127" s="0" t="n">
        <v>235</v>
      </c>
      <c r="K127" s="0" t="n">
        <v>2</v>
      </c>
      <c r="L127" s="0" t="n">
        <v>27318</v>
      </c>
      <c r="M127" s="0" t="n">
        <v>5366</v>
      </c>
    </row>
    <row r="128" customFormat="false" ht="13.5" hidden="false" customHeight="false" outlineLevel="0" collapsed="false">
      <c r="A128" s="0" t="s">
        <v>114</v>
      </c>
      <c r="B128" s="1" t="n">
        <v>43988</v>
      </c>
      <c r="C128" s="0" t="n">
        <v>1228</v>
      </c>
      <c r="D128" s="0" t="n">
        <f aca="false">C128-C127</f>
        <v>34</v>
      </c>
      <c r="E128" s="0" t="n">
        <v>10</v>
      </c>
      <c r="F128" s="0" t="n">
        <f aca="false">E128-E127</f>
        <v>0</v>
      </c>
      <c r="G128" s="0" t="n">
        <v>695</v>
      </c>
      <c r="H128" s="0" t="n">
        <v>523</v>
      </c>
      <c r="I128" s="0" t="n">
        <v>4</v>
      </c>
      <c r="J128" s="0" t="n">
        <v>241</v>
      </c>
      <c r="K128" s="0" t="n">
        <v>2</v>
      </c>
      <c r="L128" s="0" t="n">
        <v>28753</v>
      </c>
      <c r="M128" s="0" t="n">
        <v>5648</v>
      </c>
    </row>
    <row r="129" customFormat="false" ht="13.5" hidden="false" customHeight="false" outlineLevel="0" collapsed="false">
      <c r="A129" s="0" t="s">
        <v>114</v>
      </c>
      <c r="B129" s="1" t="n">
        <v>43989</v>
      </c>
      <c r="C129" s="0" t="n">
        <v>1263</v>
      </c>
      <c r="D129" s="0" t="n">
        <f aca="false">C129-C128</f>
        <v>35</v>
      </c>
      <c r="E129" s="0" t="n">
        <v>10</v>
      </c>
      <c r="F129" s="0" t="n">
        <f aca="false">E129-E128</f>
        <v>0</v>
      </c>
      <c r="G129" s="0" t="n">
        <v>701</v>
      </c>
      <c r="H129" s="0" t="n">
        <v>552</v>
      </c>
      <c r="I129" s="0" t="n">
        <v>3</v>
      </c>
      <c r="J129" s="0" t="n">
        <v>248</v>
      </c>
      <c r="K129" s="0" t="n">
        <v>2</v>
      </c>
      <c r="L129" s="0" t="n">
        <v>29140</v>
      </c>
      <c r="M129" s="0" t="n">
        <v>5724</v>
      </c>
    </row>
    <row r="130" customFormat="false" ht="13.5" hidden="false" customHeight="false" outlineLevel="0" collapsed="false">
      <c r="A130" s="0" t="s">
        <v>114</v>
      </c>
      <c r="B130" s="1" t="n">
        <v>43990</v>
      </c>
      <c r="C130" s="0" t="n">
        <v>1318</v>
      </c>
      <c r="D130" s="0" t="n">
        <f aca="false">C130-C129</f>
        <v>55</v>
      </c>
      <c r="E130" s="0" t="n">
        <v>10</v>
      </c>
      <c r="F130" s="0" t="n">
        <f aca="false">E130-E129</f>
        <v>0</v>
      </c>
      <c r="G130" s="0" t="n">
        <v>704</v>
      </c>
      <c r="H130" s="0" t="n">
        <v>604</v>
      </c>
      <c r="I130" s="0" t="n">
        <v>4</v>
      </c>
      <c r="J130" s="0" t="n">
        <v>259</v>
      </c>
      <c r="K130" s="0" t="n">
        <v>2</v>
      </c>
      <c r="L130" s="0" t="n">
        <v>29449</v>
      </c>
      <c r="M130" s="0" t="n">
        <v>5785</v>
      </c>
    </row>
    <row r="131" customFormat="false" ht="13.5" hidden="false" customHeight="false" outlineLevel="0" collapsed="false">
      <c r="A131" s="0" t="s">
        <v>114</v>
      </c>
      <c r="B131" s="1" t="n">
        <v>43991</v>
      </c>
      <c r="C131" s="0" t="n">
        <v>1342</v>
      </c>
      <c r="D131" s="0" t="n">
        <f aca="false">C131-C130</f>
        <v>24</v>
      </c>
      <c r="E131" s="0" t="n">
        <v>10</v>
      </c>
      <c r="F131" s="0" t="n">
        <f aca="false">E131-E130</f>
        <v>0</v>
      </c>
      <c r="G131" s="0" t="n">
        <v>712</v>
      </c>
      <c r="H131" s="0" t="n">
        <v>620</v>
      </c>
      <c r="I131" s="0" t="n">
        <v>5</v>
      </c>
      <c r="J131" s="0" t="n">
        <v>264</v>
      </c>
      <c r="K131" s="0" t="n">
        <v>2</v>
      </c>
      <c r="L131" s="0" t="n">
        <v>29622</v>
      </c>
      <c r="M131" s="0" t="n">
        <v>5818</v>
      </c>
    </row>
    <row r="132" customFormat="false" ht="13.5" hidden="false" customHeight="false" outlineLevel="0" collapsed="false">
      <c r="A132" s="0" t="s">
        <v>114</v>
      </c>
      <c r="B132" s="1" t="n">
        <v>43992</v>
      </c>
      <c r="C132" s="0" t="n">
        <v>1375</v>
      </c>
      <c r="D132" s="0" t="n">
        <f aca="false">C132-C131</f>
        <v>33</v>
      </c>
      <c r="E132" s="0" t="n">
        <v>11</v>
      </c>
      <c r="F132" s="0" t="n">
        <f aca="false">E132-E131</f>
        <v>1</v>
      </c>
      <c r="G132" s="0" t="n">
        <v>717</v>
      </c>
      <c r="H132" s="0" t="n">
        <v>647</v>
      </c>
      <c r="I132" s="0" t="n">
        <v>5</v>
      </c>
      <c r="J132" s="0" t="n">
        <v>270</v>
      </c>
      <c r="K132" s="0" t="n">
        <v>2</v>
      </c>
      <c r="L132" s="0" t="n">
        <v>29622</v>
      </c>
      <c r="M132" s="0" t="n">
        <v>5818</v>
      </c>
    </row>
    <row r="133" customFormat="false" ht="13.5" hidden="false" customHeight="false" outlineLevel="0" collapsed="false">
      <c r="A133" s="0" t="s">
        <v>114</v>
      </c>
      <c r="B133" s="1" t="n">
        <v>43993</v>
      </c>
      <c r="C133" s="0" t="n">
        <v>1461</v>
      </c>
      <c r="D133" s="0" t="n">
        <f aca="false">C133-C132</f>
        <v>86</v>
      </c>
      <c r="E133" s="0" t="n">
        <v>12</v>
      </c>
      <c r="F133" s="0" t="n">
        <f aca="false">E133-E132</f>
        <v>1</v>
      </c>
      <c r="G133" s="0" t="n">
        <v>722</v>
      </c>
      <c r="H133" s="0" t="n">
        <v>727</v>
      </c>
      <c r="I133" s="0" t="n">
        <v>3</v>
      </c>
      <c r="J133" s="0" t="n">
        <v>287</v>
      </c>
      <c r="K133" s="0" t="n">
        <v>2</v>
      </c>
      <c r="L133" s="0" t="n">
        <v>30372</v>
      </c>
      <c r="M133" s="0" t="n">
        <v>5965</v>
      </c>
    </row>
    <row r="134" customFormat="false" ht="13.5" hidden="false" customHeight="false" outlineLevel="0" collapsed="false">
      <c r="A134" s="0" t="s">
        <v>114</v>
      </c>
      <c r="B134" s="1" t="n">
        <v>43994</v>
      </c>
      <c r="C134" s="0" t="n">
        <v>1538</v>
      </c>
      <c r="D134" s="0" t="n">
        <f aca="false">C134-C133</f>
        <v>77</v>
      </c>
      <c r="E134" s="0" t="n">
        <v>12</v>
      </c>
      <c r="F134" s="0" t="n">
        <f aca="false">E134-E133</f>
        <v>0</v>
      </c>
      <c r="G134" s="0" t="n">
        <v>722</v>
      </c>
      <c r="H134" s="0" t="n">
        <v>804</v>
      </c>
      <c r="I134" s="0" t="n">
        <v>3</v>
      </c>
      <c r="J134" s="0" t="n">
        <v>302</v>
      </c>
      <c r="K134" s="0" t="n">
        <v>2</v>
      </c>
      <c r="L134" s="0" t="n">
        <v>30779</v>
      </c>
      <c r="M134" s="0" t="n">
        <v>6045</v>
      </c>
    </row>
    <row r="135" customFormat="false" ht="13.5" hidden="false" customHeight="false" outlineLevel="0" collapsed="false">
      <c r="A135" s="0" t="s">
        <v>114</v>
      </c>
      <c r="B135" s="1" t="n">
        <v>43995</v>
      </c>
      <c r="C135" s="0" t="n">
        <v>1612</v>
      </c>
      <c r="D135" s="0" t="n">
        <f aca="false">C135-C134</f>
        <v>74</v>
      </c>
      <c r="E135" s="0" t="n">
        <v>12</v>
      </c>
      <c r="F135" s="0" t="n">
        <f aca="false">E135-E134</f>
        <v>0</v>
      </c>
      <c r="G135" s="0" t="n">
        <v>731</v>
      </c>
      <c r="H135" s="0" t="n">
        <v>869</v>
      </c>
      <c r="I135" s="0" t="n">
        <v>3</v>
      </c>
      <c r="J135" s="0" t="n">
        <v>317</v>
      </c>
      <c r="K135" s="0" t="n">
        <v>2</v>
      </c>
      <c r="L135" s="0" t="n">
        <v>31308</v>
      </c>
      <c r="M135" s="0" t="n">
        <v>6149</v>
      </c>
    </row>
    <row r="136" customFormat="false" ht="13.5" hidden="false" customHeight="false" outlineLevel="0" collapsed="false">
      <c r="A136" s="0" t="s">
        <v>114</v>
      </c>
      <c r="B136" s="1" t="n">
        <v>43996</v>
      </c>
      <c r="C136" s="0" t="n">
        <v>1662</v>
      </c>
      <c r="D136" s="0" t="n">
        <f aca="false">C136-C135</f>
        <v>50</v>
      </c>
      <c r="E136" s="0" t="n">
        <v>12</v>
      </c>
      <c r="F136" s="0" t="n">
        <f aca="false">E136-E135</f>
        <v>0</v>
      </c>
      <c r="G136" s="0" t="n">
        <v>743</v>
      </c>
      <c r="H136" s="0" t="n">
        <v>907</v>
      </c>
      <c r="I136" s="0" t="n">
        <v>3</v>
      </c>
      <c r="J136" s="0" t="n">
        <v>326</v>
      </c>
      <c r="K136" s="0" t="n">
        <v>2</v>
      </c>
      <c r="L136" s="0" t="n">
        <v>31763</v>
      </c>
      <c r="M136" s="0" t="n">
        <v>6238</v>
      </c>
    </row>
    <row r="137" customFormat="false" ht="13.5" hidden="false" customHeight="false" outlineLevel="0" collapsed="false">
      <c r="A137" s="0" t="s">
        <v>114</v>
      </c>
      <c r="B137" s="1" t="n">
        <v>43997</v>
      </c>
      <c r="C137" s="0" t="n">
        <v>1715</v>
      </c>
      <c r="D137" s="0" t="n">
        <f aca="false">C137-C136</f>
        <v>53</v>
      </c>
      <c r="E137" s="0" t="n">
        <v>12</v>
      </c>
      <c r="F137" s="0" t="n">
        <f aca="false">E137-E136</f>
        <v>0</v>
      </c>
      <c r="G137" s="0" t="n">
        <v>752</v>
      </c>
      <c r="H137" s="0" t="n">
        <v>951</v>
      </c>
      <c r="I137" s="0" t="n">
        <v>3</v>
      </c>
      <c r="J137" s="0" t="n">
        <v>337</v>
      </c>
      <c r="K137" s="0" t="n">
        <v>2</v>
      </c>
      <c r="L137" s="0" t="n">
        <v>32262</v>
      </c>
      <c r="M137" s="0" t="n">
        <v>6336</v>
      </c>
    </row>
    <row r="138" customFormat="false" ht="13.5" hidden="false" customHeight="false" outlineLevel="0" collapsed="false">
      <c r="A138" s="0" t="s">
        <v>114</v>
      </c>
      <c r="B138" s="1" t="n">
        <v>43998</v>
      </c>
      <c r="C138" s="0" t="n">
        <v>1744</v>
      </c>
      <c r="D138" s="0" t="n">
        <f aca="false">C138-C137</f>
        <v>29</v>
      </c>
      <c r="E138" s="0" t="n">
        <v>12</v>
      </c>
      <c r="F138" s="0" t="n">
        <f aca="false">E138-E137</f>
        <v>0</v>
      </c>
      <c r="G138" s="0" t="n">
        <v>771</v>
      </c>
      <c r="H138" s="0" t="n">
        <v>961</v>
      </c>
      <c r="I138" s="0" t="n">
        <v>4</v>
      </c>
      <c r="J138" s="0" t="n">
        <v>342</v>
      </c>
      <c r="K138" s="0" t="n">
        <v>2</v>
      </c>
      <c r="L138" s="0" t="n">
        <v>32510</v>
      </c>
      <c r="M138" s="0" t="n">
        <v>6384</v>
      </c>
    </row>
    <row r="139" customFormat="false" ht="13.5" hidden="false" customHeight="false" outlineLevel="0" collapsed="false">
      <c r="A139" s="0" t="s">
        <v>114</v>
      </c>
      <c r="B139" s="1" t="n">
        <v>43999</v>
      </c>
      <c r="C139" s="0" t="n">
        <v>1796</v>
      </c>
      <c r="D139" s="0" t="n">
        <f aca="false">C139-C138</f>
        <v>52</v>
      </c>
      <c r="E139" s="0" t="n">
        <v>12</v>
      </c>
      <c r="F139" s="0" t="n">
        <f aca="false">E139-E138</f>
        <v>0</v>
      </c>
      <c r="G139" s="0" t="n">
        <v>794</v>
      </c>
      <c r="H139" s="0" t="n">
        <v>990</v>
      </c>
      <c r="I139" s="0" t="n">
        <v>2</v>
      </c>
      <c r="J139" s="0" t="n">
        <v>353</v>
      </c>
      <c r="K139" s="0" t="n">
        <v>2</v>
      </c>
      <c r="L139" s="0" t="n">
        <v>32801</v>
      </c>
      <c r="M139" s="0" t="n">
        <v>6442</v>
      </c>
    </row>
    <row r="140" customFormat="false" ht="13.5" hidden="false" customHeight="false" outlineLevel="0" collapsed="false">
      <c r="A140" s="0" t="s">
        <v>114</v>
      </c>
      <c r="B140" s="1" t="n">
        <v>44000</v>
      </c>
      <c r="C140" s="0" t="n">
        <v>1871</v>
      </c>
      <c r="D140" s="0" t="n">
        <f aca="false">C140-C139</f>
        <v>75</v>
      </c>
      <c r="E140" s="0" t="n">
        <v>12</v>
      </c>
      <c r="F140" s="0" t="n">
        <f aca="false">E140-E139</f>
        <v>0</v>
      </c>
      <c r="G140" s="0" t="n">
        <v>899</v>
      </c>
      <c r="H140" s="0" t="n">
        <v>960</v>
      </c>
      <c r="I140" s="0" t="n">
        <v>3</v>
      </c>
      <c r="J140" s="0" t="n">
        <v>367</v>
      </c>
      <c r="K140" s="0" t="n">
        <v>2</v>
      </c>
      <c r="L140" s="0" t="n">
        <v>33282</v>
      </c>
      <c r="M140" s="0" t="n">
        <v>6536</v>
      </c>
    </row>
    <row r="141" customFormat="false" ht="13.5" hidden="false" customHeight="false" outlineLevel="0" collapsed="false">
      <c r="A141" s="0" t="s">
        <v>114</v>
      </c>
      <c r="B141" s="1" t="n">
        <v>44001</v>
      </c>
      <c r="C141" s="0" t="n">
        <v>1939</v>
      </c>
      <c r="D141" s="0" t="n">
        <f aca="false">C141-C140</f>
        <v>68</v>
      </c>
      <c r="E141" s="0" t="n">
        <v>12</v>
      </c>
      <c r="F141" s="0" t="n">
        <f aca="false">E141-E140</f>
        <v>0</v>
      </c>
      <c r="G141" s="0" t="n">
        <v>937</v>
      </c>
      <c r="H141" s="0" t="n">
        <v>990</v>
      </c>
      <c r="I141" s="0" t="n">
        <v>3</v>
      </c>
      <c r="J141" s="0" t="n">
        <v>381</v>
      </c>
      <c r="K141" s="0" t="n">
        <v>2</v>
      </c>
      <c r="L141" s="0" t="n">
        <v>33780</v>
      </c>
      <c r="M141" s="0" t="n">
        <v>6633</v>
      </c>
    </row>
    <row r="142" customFormat="false" ht="13.5" hidden="false" customHeight="false" outlineLevel="0" collapsed="false">
      <c r="A142" s="0" t="s">
        <v>114</v>
      </c>
      <c r="B142" s="1" t="n">
        <v>44002</v>
      </c>
      <c r="C142" s="0" t="n">
        <v>2058</v>
      </c>
      <c r="D142" s="0" t="n">
        <f aca="false">C142-C141</f>
        <v>119</v>
      </c>
      <c r="E142" s="0" t="n">
        <v>12</v>
      </c>
      <c r="F142" s="0" t="n">
        <v>0</v>
      </c>
      <c r="G142" s="0" t="n">
        <v>982</v>
      </c>
      <c r="H142" s="0" t="n">
        <v>1064</v>
      </c>
      <c r="I142" s="0" t="n">
        <v>5</v>
      </c>
      <c r="J142" s="0" t="n">
        <v>404</v>
      </c>
      <c r="K142" s="0" t="n">
        <v>2</v>
      </c>
      <c r="L142" s="0" t="n">
        <v>34477</v>
      </c>
      <c r="M142" s="0" t="n">
        <v>6770</v>
      </c>
    </row>
    <row r="143" customFormat="false" ht="13.5" hidden="false" customHeight="false" outlineLevel="0" collapsed="false">
      <c r="A143" s="0" t="s">
        <v>114</v>
      </c>
      <c r="B143" s="1" t="n">
        <v>44003</v>
      </c>
      <c r="C143" s="0" t="n">
        <v>2127</v>
      </c>
      <c r="D143" s="0" t="n">
        <v>69</v>
      </c>
      <c r="E143" s="0" t="n">
        <v>12</v>
      </c>
      <c r="F143" s="0" t="n">
        <v>0</v>
      </c>
      <c r="G143" s="0" t="n">
        <v>1014</v>
      </c>
      <c r="H143" s="0" t="n">
        <v>1101</v>
      </c>
      <c r="I143" s="0" t="n">
        <v>5</v>
      </c>
      <c r="J143" s="0" t="n">
        <v>418</v>
      </c>
      <c r="K143" s="0" t="n">
        <v>2</v>
      </c>
      <c r="L143" s="0" t="n">
        <v>34946</v>
      </c>
      <c r="M143" s="0" t="n">
        <v>6862</v>
      </c>
    </row>
    <row r="144" customFormat="false" ht="13.5" hidden="false" customHeight="false" outlineLevel="0" collapsed="false">
      <c r="A144" s="0" t="s">
        <v>114</v>
      </c>
      <c r="B144" s="1" t="n">
        <v>44004</v>
      </c>
      <c r="C144" s="0" t="n">
        <v>2213</v>
      </c>
      <c r="D144" s="0" t="n">
        <v>86</v>
      </c>
      <c r="E144" s="0" t="n">
        <v>12</v>
      </c>
      <c r="F144" s="0" t="n">
        <v>0</v>
      </c>
      <c r="G144" s="0" t="n">
        <v>1032</v>
      </c>
      <c r="H144" s="0" t="n">
        <v>1169</v>
      </c>
      <c r="I144" s="0" t="n">
        <v>4</v>
      </c>
      <c r="J144" s="0" t="n">
        <v>435</v>
      </c>
      <c r="K144" s="0" t="n">
        <v>2</v>
      </c>
      <c r="L144" s="0" t="n">
        <v>35369</v>
      </c>
      <c r="M144" s="0" t="n">
        <v>6945</v>
      </c>
    </row>
    <row r="145" customFormat="false" ht="13.5" hidden="false" customHeight="false" outlineLevel="0" collapsed="false">
      <c r="A145" s="0" t="s">
        <v>114</v>
      </c>
      <c r="B145" s="1" t="n">
        <v>44005</v>
      </c>
      <c r="C145" s="0" t="n">
        <v>2277</v>
      </c>
      <c r="D145" s="0" t="n">
        <v>64</v>
      </c>
      <c r="E145" s="0" t="n">
        <v>12</v>
      </c>
      <c r="F145" s="0" t="n">
        <v>0</v>
      </c>
      <c r="G145" s="0" t="n">
        <v>1043</v>
      </c>
      <c r="H145" s="0" t="n">
        <v>1222</v>
      </c>
      <c r="I145" s="0" t="n">
        <v>4</v>
      </c>
      <c r="J145" s="0" t="n">
        <v>447</v>
      </c>
      <c r="K145" s="0" t="n">
        <v>2</v>
      </c>
      <c r="L145" s="0" t="n">
        <v>35625</v>
      </c>
      <c r="M145" s="0" t="n">
        <v>6995</v>
      </c>
    </row>
    <row r="146" customFormat="false" ht="13.5" hidden="false" customHeight="false" outlineLevel="0" collapsed="false">
      <c r="A146" s="0" t="s">
        <v>114</v>
      </c>
      <c r="B146" s="1" t="n">
        <v>44006</v>
      </c>
      <c r="C146" s="0" t="n">
        <v>2368</v>
      </c>
      <c r="D146" s="0" t="n">
        <v>91</v>
      </c>
      <c r="E146" s="0" t="n">
        <v>12</v>
      </c>
      <c r="F146" s="0" t="n">
        <v>0</v>
      </c>
      <c r="G146" s="0" t="n">
        <v>1129</v>
      </c>
      <c r="H146" s="0" t="n">
        <v>1227</v>
      </c>
      <c r="I146" s="0" t="n">
        <v>3</v>
      </c>
      <c r="J146" s="0" t="n">
        <v>465</v>
      </c>
      <c r="K146" s="0" t="n">
        <v>2</v>
      </c>
      <c r="L146" s="0" t="n">
        <v>36135</v>
      </c>
      <c r="M146" s="0" t="n">
        <v>7095</v>
      </c>
    </row>
    <row r="147" customFormat="false" ht="13.5" hidden="false" customHeight="false" outlineLevel="0" collapsed="false">
      <c r="A147" s="0" t="s">
        <v>114</v>
      </c>
      <c r="B147" s="1" t="n">
        <v>44007</v>
      </c>
      <c r="C147" s="0" t="n">
        <v>2515</v>
      </c>
      <c r="D147" s="0" t="n">
        <v>147</v>
      </c>
      <c r="E147" s="0" t="n">
        <v>12</v>
      </c>
      <c r="F147" s="0" t="n">
        <v>0</v>
      </c>
      <c r="G147" s="0" t="n">
        <v>1210</v>
      </c>
      <c r="H147" s="0" t="n">
        <v>1293</v>
      </c>
      <c r="I147" s="0" t="n">
        <v>5</v>
      </c>
      <c r="J147" s="0" t="n">
        <v>494</v>
      </c>
      <c r="K147" s="0" t="n">
        <v>2</v>
      </c>
      <c r="L147" s="0" t="n">
        <v>36765</v>
      </c>
      <c r="M147" s="0" t="n">
        <v>7219</v>
      </c>
    </row>
    <row r="148" customFormat="false" ht="13.5" hidden="false" customHeight="false" outlineLevel="0" collapsed="false">
      <c r="A148" s="0" t="s">
        <v>114</v>
      </c>
      <c r="B148" s="1" t="n">
        <v>44008</v>
      </c>
      <c r="C148" s="0" t="n">
        <v>2684</v>
      </c>
      <c r="D148" s="0" t="n">
        <v>169</v>
      </c>
      <c r="E148" s="0" t="n">
        <v>12</v>
      </c>
      <c r="F148" s="0" t="n">
        <v>0</v>
      </c>
      <c r="G148" s="0" t="n">
        <v>1227</v>
      </c>
      <c r="H148" s="0" t="n">
        <v>1445</v>
      </c>
      <c r="I148" s="0" t="n">
        <v>6</v>
      </c>
      <c r="J148" s="0" t="n">
        <v>527</v>
      </c>
      <c r="K148" s="0" t="n">
        <v>2</v>
      </c>
      <c r="L148" s="0" t="n">
        <v>37645</v>
      </c>
      <c r="M148" s="0" t="n">
        <v>7391</v>
      </c>
    </row>
    <row r="149" customFormat="false" ht="13.5" hidden="false" customHeight="false" outlineLevel="0" collapsed="false">
      <c r="A149" s="0" t="s">
        <v>114</v>
      </c>
      <c r="B149" s="1" t="n">
        <v>44009</v>
      </c>
      <c r="C149" s="0" t="n">
        <v>2836</v>
      </c>
      <c r="D149" s="0" t="n">
        <v>152</v>
      </c>
      <c r="E149" s="0" t="n">
        <v>12</v>
      </c>
      <c r="F149" s="0" t="n">
        <v>0</v>
      </c>
      <c r="G149" s="0" t="n">
        <v>1280</v>
      </c>
      <c r="H149" s="0" t="n">
        <v>1544</v>
      </c>
      <c r="I149" s="0" t="n">
        <v>6</v>
      </c>
      <c r="J149" s="0" t="n">
        <v>557</v>
      </c>
      <c r="K149" s="0" t="n">
        <v>2</v>
      </c>
      <c r="L149" s="0" t="n">
        <v>38500</v>
      </c>
      <c r="M149" s="0" t="n">
        <v>7559</v>
      </c>
    </row>
    <row r="150" customFormat="false" ht="13.5" hidden="false" customHeight="false" outlineLevel="0" collapsed="false">
      <c r="A150" s="0" t="s">
        <v>114</v>
      </c>
      <c r="B150" s="1" t="n">
        <v>44010</v>
      </c>
      <c r="C150" s="0" t="n">
        <v>2979</v>
      </c>
      <c r="D150" s="0" t="n">
        <v>143</v>
      </c>
      <c r="E150" s="0" t="n">
        <v>13</v>
      </c>
      <c r="F150" s="0" t="n">
        <v>1</v>
      </c>
      <c r="G150" s="0" t="n">
        <v>1325</v>
      </c>
      <c r="H150" s="0" t="n">
        <v>1641</v>
      </c>
      <c r="I150" s="0" t="n">
        <v>5</v>
      </c>
      <c r="J150" s="0" t="n">
        <v>585</v>
      </c>
      <c r="K150" s="0" t="n">
        <v>3</v>
      </c>
      <c r="L150" s="0" t="n">
        <v>38500</v>
      </c>
      <c r="M150" s="0" t="n">
        <v>7559</v>
      </c>
    </row>
    <row r="151" customFormat="false" ht="13.5" hidden="false" customHeight="false" outlineLevel="0" collapsed="false">
      <c r="A151" s="0" t="s">
        <v>114</v>
      </c>
      <c r="B151" s="1" t="n">
        <v>44011</v>
      </c>
      <c r="C151" s="0" t="n">
        <v>3130</v>
      </c>
      <c r="D151" s="0" t="n">
        <v>151</v>
      </c>
      <c r="E151" s="0" t="n">
        <v>15</v>
      </c>
      <c r="F151" s="0" t="n">
        <v>2</v>
      </c>
      <c r="G151" s="0" t="n">
        <v>1366</v>
      </c>
      <c r="H151" s="0" t="n">
        <v>1749</v>
      </c>
      <c r="I151" s="0" t="n">
        <v>5</v>
      </c>
      <c r="J151" s="0" t="n">
        <v>614</v>
      </c>
      <c r="K151" s="0" t="n">
        <v>3</v>
      </c>
      <c r="L151" s="0" t="n">
        <v>38500</v>
      </c>
      <c r="M151" s="0" t="n">
        <v>7558</v>
      </c>
    </row>
    <row r="152" customFormat="false" ht="13.5" hidden="false" customHeight="false" outlineLevel="0" collapsed="false">
      <c r="A152" s="0" t="s">
        <v>114</v>
      </c>
      <c r="B152" s="1" t="n">
        <v>44012</v>
      </c>
    </row>
    <row r="153" customFormat="false" ht="13.5" hidden="false" customHeight="false" outlineLevel="0" collapsed="false">
      <c r="A153" s="0" t="s">
        <v>114</v>
      </c>
      <c r="B153" s="1" t="n">
        <v>44013</v>
      </c>
    </row>
    <row r="154" customFormat="false" ht="13.5" hidden="false" customHeight="false" outlineLevel="0" collapsed="false">
      <c r="A154" s="0" t="s">
        <v>114</v>
      </c>
      <c r="B154" s="1" t="n">
        <v>44014</v>
      </c>
    </row>
    <row r="155" customFormat="false" ht="13.5" hidden="false" customHeight="false" outlineLevel="0" collapsed="false">
      <c r="A155" s="0" t="s">
        <v>114</v>
      </c>
      <c r="B155" s="1" t="n">
        <v>44015</v>
      </c>
    </row>
    <row r="156" customFormat="false" ht="13.5" hidden="false" customHeight="false" outlineLevel="0" collapsed="false">
      <c r="A156" s="0" t="s">
        <v>114</v>
      </c>
      <c r="B156" s="1" t="n">
        <v>44016</v>
      </c>
    </row>
    <row r="157" customFormat="false" ht="13.5" hidden="false" customHeight="false" outlineLevel="0" collapsed="false">
      <c r="A157" s="0" t="s">
        <v>114</v>
      </c>
      <c r="B157" s="1" t="n">
        <v>44017</v>
      </c>
    </row>
    <row r="158" customFormat="false" ht="13.5" hidden="false" customHeight="false" outlineLevel="0" collapsed="false">
      <c r="A158" s="0" t="s">
        <v>114</v>
      </c>
      <c r="B158" s="1" t="n">
        <v>44018</v>
      </c>
    </row>
    <row r="159" customFormat="false" ht="13.5" hidden="false" customHeight="false" outlineLevel="0" collapsed="false">
      <c r="A159" s="0" t="s">
        <v>114</v>
      </c>
      <c r="B159" s="1" t="n">
        <v>44019</v>
      </c>
    </row>
    <row r="160" customFormat="false" ht="13.5" hidden="false" customHeight="false" outlineLevel="0" collapsed="false">
      <c r="A160" s="0" t="s">
        <v>114</v>
      </c>
      <c r="B160" s="1" t="n">
        <v>44020</v>
      </c>
    </row>
    <row r="161" customFormat="false" ht="13.5" hidden="false" customHeight="false" outlineLevel="0" collapsed="false">
      <c r="A161" s="0" t="s">
        <v>114</v>
      </c>
      <c r="B161" s="1" t="n">
        <v>44021</v>
      </c>
    </row>
    <row r="162" customFormat="false" ht="13.5" hidden="false" customHeight="false" outlineLevel="0" collapsed="false">
      <c r="A162" s="0" t="s">
        <v>114</v>
      </c>
      <c r="B162" s="1" t="n">
        <v>44022</v>
      </c>
    </row>
    <row r="163" customFormat="false" ht="13.5" hidden="false" customHeight="false" outlineLevel="0" collapsed="false">
      <c r="A163" s="0" t="s">
        <v>114</v>
      </c>
      <c r="B163" s="1" t="n">
        <v>44023</v>
      </c>
    </row>
    <row r="164" customFormat="false" ht="13.5" hidden="false" customHeight="false" outlineLevel="0" collapsed="false">
      <c r="A164" s="0" t="s">
        <v>114</v>
      </c>
      <c r="B164" s="1" t="n">
        <v>44024</v>
      </c>
    </row>
    <row r="165" customFormat="false" ht="13.5" hidden="false" customHeight="false" outlineLevel="0" collapsed="false">
      <c r="A165" s="0" t="s">
        <v>114</v>
      </c>
      <c r="B165" s="1" t="n">
        <v>44025</v>
      </c>
    </row>
    <row r="166" customFormat="false" ht="13.5" hidden="false" customHeight="false" outlineLevel="0" collapsed="false">
      <c r="A166" s="0" t="s">
        <v>114</v>
      </c>
      <c r="B166" s="1" t="n">
        <v>44026</v>
      </c>
    </row>
    <row r="167" customFormat="false" ht="13.5" hidden="false" customHeight="false" outlineLevel="0" collapsed="false">
      <c r="A167" s="0" t="s">
        <v>114</v>
      </c>
      <c r="B167" s="1" t="n">
        <v>44027</v>
      </c>
    </row>
    <row r="168" customFormat="false" ht="13.5" hidden="false" customHeight="false" outlineLevel="0" collapsed="false">
      <c r="A168" s="0" t="s">
        <v>114</v>
      </c>
      <c r="B168" s="1" t="n">
        <v>44028</v>
      </c>
    </row>
    <row r="169" customFormat="false" ht="13.5" hidden="false" customHeight="false" outlineLevel="0" collapsed="false">
      <c r="A169" s="0" t="s">
        <v>114</v>
      </c>
      <c r="B169" s="1" t="n">
        <v>44029</v>
      </c>
    </row>
    <row r="170" customFormat="false" ht="13.5" hidden="false" customHeight="false" outlineLevel="0" collapsed="false">
      <c r="A170" s="0" t="s">
        <v>114</v>
      </c>
      <c r="B170" s="1" t="n">
        <v>44030</v>
      </c>
    </row>
    <row r="171" customFormat="false" ht="13.5" hidden="false" customHeight="false" outlineLevel="0" collapsed="false">
      <c r="A171" s="0" t="s">
        <v>114</v>
      </c>
      <c r="B171" s="1" t="n">
        <v>44031</v>
      </c>
    </row>
    <row r="172" customFormat="false" ht="13.5" hidden="false" customHeight="false" outlineLevel="0" collapsed="false">
      <c r="A172" s="0" t="s">
        <v>114</v>
      </c>
      <c r="B172" s="1" t="n">
        <v>44032</v>
      </c>
    </row>
    <row r="173" customFormat="false" ht="13.5" hidden="false" customHeight="false" outlineLevel="0" collapsed="false">
      <c r="A173" s="0" t="s">
        <v>114</v>
      </c>
      <c r="B173" s="1" t="n">
        <v>44033</v>
      </c>
    </row>
    <row r="174" customFormat="false" ht="13.5" hidden="false" customHeight="false" outlineLevel="0" collapsed="false">
      <c r="A174" s="0" t="s">
        <v>114</v>
      </c>
      <c r="B174" s="1" t="n">
        <v>44034</v>
      </c>
    </row>
    <row r="175" customFormat="false" ht="13.5" hidden="false" customHeight="false" outlineLevel="0" collapsed="false">
      <c r="A175" s="0" t="s">
        <v>114</v>
      </c>
      <c r="B175" s="1" t="n">
        <v>44035</v>
      </c>
    </row>
    <row r="176" customFormat="false" ht="13.5" hidden="false" customHeight="false" outlineLevel="0" collapsed="false">
      <c r="A176" s="0" t="s">
        <v>114</v>
      </c>
      <c r="B176" s="1" t="n">
        <v>44036</v>
      </c>
    </row>
    <row r="177" customFormat="false" ht="13.5" hidden="false" customHeight="false" outlineLevel="0" collapsed="false">
      <c r="A177" s="0" t="s">
        <v>114</v>
      </c>
      <c r="B177" s="1" t="n">
        <v>44037</v>
      </c>
    </row>
    <row r="178" customFormat="false" ht="13.5" hidden="false" customHeight="false" outlineLevel="0" collapsed="false">
      <c r="A178" s="0" t="s">
        <v>114</v>
      </c>
      <c r="B178" s="1" t="n">
        <v>44038</v>
      </c>
    </row>
    <row r="179" customFormat="false" ht="13.5" hidden="false" customHeight="false" outlineLevel="0" collapsed="false">
      <c r="A179" s="0" t="s">
        <v>114</v>
      </c>
      <c r="B179" s="1" t="n">
        <v>44039</v>
      </c>
    </row>
    <row r="180" customFormat="false" ht="13.5" hidden="false" customHeight="false" outlineLevel="0" collapsed="false">
      <c r="A180" s="0" t="s">
        <v>114</v>
      </c>
      <c r="B180" s="1" t="n">
        <v>44040</v>
      </c>
    </row>
    <row r="181" customFormat="false" ht="13.5" hidden="false" customHeight="false" outlineLevel="0" collapsed="false">
      <c r="A181" s="0" t="s">
        <v>114</v>
      </c>
      <c r="B181" s="1" t="n">
        <v>44041</v>
      </c>
    </row>
    <row r="182" customFormat="false" ht="13.5" hidden="false" customHeight="false" outlineLevel="0" collapsed="false">
      <c r="A182" s="0" t="s">
        <v>114</v>
      </c>
      <c r="B182" s="1" t="n">
        <v>44042</v>
      </c>
    </row>
    <row r="183" customFormat="false" ht="13.5" hidden="false" customHeight="false" outlineLevel="0" collapsed="false">
      <c r="A183" s="0" t="s">
        <v>114</v>
      </c>
      <c r="B183" s="1" t="n">
        <v>44043</v>
      </c>
    </row>
    <row r="184" customFormat="false" ht="13.5" hidden="false" customHeight="false" outlineLevel="0" collapsed="false">
      <c r="A184" s="0" t="s">
        <v>114</v>
      </c>
      <c r="B184" s="1" t="n">
        <v>44044</v>
      </c>
    </row>
    <row r="185" customFormat="false" ht="13.5" hidden="false" customHeight="false" outlineLevel="0" collapsed="false">
      <c r="A185" s="0" t="s">
        <v>114</v>
      </c>
      <c r="B185" s="1" t="n">
        <v>44045</v>
      </c>
    </row>
    <row r="186" customFormat="false" ht="13.5" hidden="false" customHeight="false" outlineLevel="0" collapsed="false">
      <c r="A186" s="0" t="s">
        <v>114</v>
      </c>
      <c r="B186" s="1" t="n">
        <v>44046</v>
      </c>
    </row>
    <row r="187" customFormat="false" ht="13.5" hidden="false" customHeight="false" outlineLevel="0" collapsed="false">
      <c r="A187" s="0" t="s">
        <v>114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115</v>
      </c>
      <c r="B2" s="1" t="n">
        <v>43862</v>
      </c>
    </row>
    <row r="3" customFormat="false" ht="13.5" hidden="false" customHeight="false" outlineLevel="0" collapsed="false">
      <c r="A3" s="0" t="s">
        <v>115</v>
      </c>
      <c r="B3" s="1" t="n">
        <v>43863</v>
      </c>
    </row>
    <row r="4" customFormat="false" ht="13.5" hidden="false" customHeight="false" outlineLevel="0" collapsed="false">
      <c r="A4" s="0" t="s">
        <v>115</v>
      </c>
      <c r="B4" s="1" t="n">
        <v>43864</v>
      </c>
    </row>
    <row r="5" customFormat="false" ht="13.5" hidden="false" customHeight="false" outlineLevel="0" collapsed="false">
      <c r="A5" s="0" t="s">
        <v>115</v>
      </c>
      <c r="B5" s="1" t="n">
        <v>43865</v>
      </c>
    </row>
    <row r="6" customFormat="false" ht="13.5" hidden="false" customHeight="false" outlineLevel="0" collapsed="false">
      <c r="A6" s="0" t="s">
        <v>115</v>
      </c>
      <c r="B6" s="1" t="n">
        <v>43866</v>
      </c>
    </row>
    <row r="7" customFormat="false" ht="13.5" hidden="false" customHeight="false" outlineLevel="0" collapsed="false">
      <c r="A7" s="0" t="s">
        <v>115</v>
      </c>
      <c r="B7" s="1" t="n">
        <v>43867</v>
      </c>
    </row>
    <row r="8" customFormat="false" ht="13.5" hidden="false" customHeight="false" outlineLevel="0" collapsed="false">
      <c r="A8" s="0" t="s">
        <v>115</v>
      </c>
      <c r="B8" s="1" t="n">
        <v>43868</v>
      </c>
    </row>
    <row r="9" customFormat="false" ht="13.5" hidden="false" customHeight="false" outlineLevel="0" collapsed="false">
      <c r="A9" s="0" t="s">
        <v>115</v>
      </c>
      <c r="B9" s="1" t="n">
        <v>43869</v>
      </c>
    </row>
    <row r="10" customFormat="false" ht="13.5" hidden="false" customHeight="false" outlineLevel="0" collapsed="false">
      <c r="A10" s="0" t="s">
        <v>115</v>
      </c>
      <c r="B10" s="1" t="n">
        <v>43870</v>
      </c>
    </row>
    <row r="11" customFormat="false" ht="13.5" hidden="false" customHeight="false" outlineLevel="0" collapsed="false">
      <c r="A11" s="0" t="s">
        <v>115</v>
      </c>
      <c r="B11" s="1" t="n">
        <v>43871</v>
      </c>
    </row>
    <row r="12" customFormat="false" ht="13.5" hidden="false" customHeight="false" outlineLevel="0" collapsed="false">
      <c r="A12" s="0" t="s">
        <v>115</v>
      </c>
      <c r="B12" s="1" t="n">
        <v>43872</v>
      </c>
    </row>
    <row r="13" customFormat="false" ht="13.5" hidden="false" customHeight="false" outlineLevel="0" collapsed="false">
      <c r="A13" s="0" t="s">
        <v>115</v>
      </c>
      <c r="B13" s="1" t="n">
        <v>43873</v>
      </c>
    </row>
    <row r="14" customFormat="false" ht="13.5" hidden="false" customHeight="false" outlineLevel="0" collapsed="false">
      <c r="A14" s="0" t="s">
        <v>115</v>
      </c>
      <c r="B14" s="1" t="n">
        <v>43874</v>
      </c>
    </row>
    <row r="15" customFormat="false" ht="13.5" hidden="false" customHeight="false" outlineLevel="0" collapsed="false">
      <c r="A15" s="0" t="s">
        <v>115</v>
      </c>
      <c r="B15" s="1" t="n">
        <v>43875</v>
      </c>
    </row>
    <row r="16" customFormat="false" ht="13.5" hidden="false" customHeight="false" outlineLevel="0" collapsed="false">
      <c r="A16" s="0" t="s">
        <v>115</v>
      </c>
      <c r="B16" s="1" t="n">
        <v>43876</v>
      </c>
    </row>
    <row r="17" customFormat="false" ht="13.5" hidden="false" customHeight="false" outlineLevel="0" collapsed="false">
      <c r="A17" s="0" t="s">
        <v>115</v>
      </c>
      <c r="B17" s="1" t="n">
        <v>43877</v>
      </c>
    </row>
    <row r="18" customFormat="false" ht="13.5" hidden="false" customHeight="false" outlineLevel="0" collapsed="false">
      <c r="A18" s="0" t="s">
        <v>115</v>
      </c>
      <c r="B18" s="1" t="n">
        <v>43878</v>
      </c>
    </row>
    <row r="19" customFormat="false" ht="13.5" hidden="false" customHeight="false" outlineLevel="0" collapsed="false">
      <c r="A19" s="0" t="s">
        <v>115</v>
      </c>
      <c r="B19" s="1" t="n">
        <v>43879</v>
      </c>
    </row>
    <row r="20" customFormat="false" ht="13.5" hidden="false" customHeight="false" outlineLevel="0" collapsed="false">
      <c r="A20" s="0" t="s">
        <v>115</v>
      </c>
      <c r="B20" s="1" t="n">
        <v>43880</v>
      </c>
    </row>
    <row r="21" customFormat="false" ht="13.5" hidden="false" customHeight="false" outlineLevel="0" collapsed="false">
      <c r="A21" s="0" t="s">
        <v>115</v>
      </c>
      <c r="B21" s="1" t="n">
        <v>43881</v>
      </c>
    </row>
    <row r="22" customFormat="false" ht="13.5" hidden="false" customHeight="false" outlineLevel="0" collapsed="false">
      <c r="A22" s="0" t="s">
        <v>115</v>
      </c>
      <c r="B22" s="1" t="n">
        <v>43882</v>
      </c>
    </row>
    <row r="23" customFormat="false" ht="13.5" hidden="false" customHeight="false" outlineLevel="0" collapsed="false">
      <c r="A23" s="0" t="s">
        <v>115</v>
      </c>
      <c r="B23" s="1" t="n">
        <v>43883</v>
      </c>
    </row>
    <row r="24" customFormat="false" ht="13.5" hidden="false" customHeight="false" outlineLevel="0" collapsed="false">
      <c r="A24" s="0" t="s">
        <v>115</v>
      </c>
      <c r="B24" s="1" t="n">
        <v>43884</v>
      </c>
    </row>
    <row r="25" customFormat="false" ht="13.5" hidden="false" customHeight="false" outlineLevel="0" collapsed="false">
      <c r="A25" s="0" t="s">
        <v>115</v>
      </c>
      <c r="B25" s="1" t="n">
        <v>43885</v>
      </c>
    </row>
    <row r="26" customFormat="false" ht="13.5" hidden="false" customHeight="false" outlineLevel="0" collapsed="false">
      <c r="A26" s="0" t="s">
        <v>115</v>
      </c>
      <c r="B26" s="1" t="n">
        <v>43886</v>
      </c>
    </row>
    <row r="27" customFormat="false" ht="13.5" hidden="false" customHeight="false" outlineLevel="0" collapsed="false">
      <c r="A27" s="0" t="s">
        <v>115</v>
      </c>
      <c r="B27" s="1" t="n">
        <v>43887</v>
      </c>
    </row>
    <row r="28" customFormat="false" ht="13.5" hidden="false" customHeight="false" outlineLevel="0" collapsed="false">
      <c r="A28" s="0" t="s">
        <v>115</v>
      </c>
      <c r="B28" s="1" t="n">
        <v>43888</v>
      </c>
    </row>
    <row r="29" customFormat="false" ht="13.5" hidden="false" customHeight="false" outlineLevel="0" collapsed="false">
      <c r="A29" s="0" t="s">
        <v>115</v>
      </c>
      <c r="B29" s="1" t="n">
        <v>43889</v>
      </c>
    </row>
    <row r="30" customFormat="false" ht="13.5" hidden="false" customHeight="false" outlineLevel="0" collapsed="false">
      <c r="A30" s="0" t="s">
        <v>115</v>
      </c>
      <c r="B30" s="1" t="n">
        <v>43890</v>
      </c>
    </row>
    <row r="31" customFormat="false" ht="13.5" hidden="false" customHeight="false" outlineLevel="0" collapsed="false">
      <c r="A31" s="0" t="s">
        <v>115</v>
      </c>
      <c r="B31" s="1" t="n">
        <v>43891</v>
      </c>
    </row>
    <row r="32" customFormat="false" ht="13.5" hidden="false" customHeight="false" outlineLevel="0" collapsed="false">
      <c r="A32" s="0" t="s">
        <v>115</v>
      </c>
      <c r="B32" s="1" t="n">
        <v>43892</v>
      </c>
    </row>
    <row r="33" customFormat="false" ht="13.5" hidden="false" customHeight="false" outlineLevel="0" collapsed="false">
      <c r="A33" s="0" t="s">
        <v>115</v>
      </c>
      <c r="B33" s="1" t="n">
        <v>43893</v>
      </c>
    </row>
    <row r="34" customFormat="false" ht="13.5" hidden="false" customHeight="false" outlineLevel="0" collapsed="false">
      <c r="A34" s="0" t="s">
        <v>115</v>
      </c>
      <c r="B34" s="1" t="n">
        <v>43894</v>
      </c>
    </row>
    <row r="35" customFormat="false" ht="13.5" hidden="false" customHeight="false" outlineLevel="0" collapsed="false">
      <c r="A35" s="0" t="s">
        <v>115</v>
      </c>
      <c r="B35" s="1" t="n">
        <v>43895</v>
      </c>
    </row>
    <row r="36" customFormat="false" ht="13.5" hidden="false" customHeight="false" outlineLevel="0" collapsed="false">
      <c r="A36" s="0" t="s">
        <v>115</v>
      </c>
      <c r="B36" s="1" t="n">
        <v>43896</v>
      </c>
    </row>
    <row r="37" customFormat="false" ht="13.5" hidden="false" customHeight="false" outlineLevel="0" collapsed="false">
      <c r="A37" s="0" t="s">
        <v>115</v>
      </c>
      <c r="B37" s="1" t="n">
        <v>43897</v>
      </c>
    </row>
    <row r="38" customFormat="false" ht="13.5" hidden="false" customHeight="false" outlineLevel="0" collapsed="false">
      <c r="A38" s="0" t="s">
        <v>115</v>
      </c>
      <c r="B38" s="1" t="n">
        <v>43898</v>
      </c>
    </row>
    <row r="39" customFormat="false" ht="13.5" hidden="false" customHeight="false" outlineLevel="0" collapsed="false">
      <c r="A39" s="0" t="s">
        <v>115</v>
      </c>
      <c r="B39" s="1" t="n">
        <v>43899</v>
      </c>
      <c r="C39" s="0" t="n">
        <v>5</v>
      </c>
      <c r="D39" s="0" t="n">
        <f aca="false">C39-C38</f>
        <v>5</v>
      </c>
      <c r="H39" s="0" t="n">
        <v>5</v>
      </c>
    </row>
    <row r="40" customFormat="false" ht="13.5" hidden="false" customHeight="false" outlineLevel="0" collapsed="false">
      <c r="A40" s="0" t="s">
        <v>115</v>
      </c>
      <c r="B40" s="1" t="n">
        <v>43900</v>
      </c>
      <c r="C40" s="0" t="n">
        <v>5</v>
      </c>
      <c r="D40" s="0" t="n">
        <f aca="false">C40-C39</f>
        <v>0</v>
      </c>
      <c r="H40" s="0" t="n">
        <v>5</v>
      </c>
    </row>
    <row r="41" customFormat="false" ht="13.5" hidden="false" customHeight="false" outlineLevel="0" collapsed="false">
      <c r="A41" s="0" t="s">
        <v>115</v>
      </c>
      <c r="B41" s="1" t="n">
        <v>43901</v>
      </c>
      <c r="C41" s="0" t="n">
        <v>5</v>
      </c>
      <c r="D41" s="0" t="n">
        <f aca="false">C41-C40</f>
        <v>0</v>
      </c>
      <c r="H41" s="0" t="n">
        <v>5</v>
      </c>
    </row>
    <row r="42" customFormat="false" ht="13.5" hidden="false" customHeight="false" outlineLevel="0" collapsed="false">
      <c r="A42" s="0" t="s">
        <v>115</v>
      </c>
      <c r="B42" s="1" t="n">
        <v>43902</v>
      </c>
      <c r="C42" s="0" t="n">
        <v>5</v>
      </c>
      <c r="D42" s="0" t="n">
        <f aca="false">C42-C41</f>
        <v>0</v>
      </c>
      <c r="H42" s="0" t="n">
        <v>5</v>
      </c>
    </row>
    <row r="43" customFormat="false" ht="13.5" hidden="false" customHeight="false" outlineLevel="0" collapsed="false">
      <c r="A43" s="0" t="s">
        <v>115</v>
      </c>
      <c r="B43" s="1" t="n">
        <v>43903</v>
      </c>
      <c r="C43" s="0" t="n">
        <v>6</v>
      </c>
      <c r="D43" s="0" t="n">
        <f aca="false">C43-C42</f>
        <v>1</v>
      </c>
      <c r="H43" s="0" t="n">
        <v>6</v>
      </c>
    </row>
    <row r="44" customFormat="false" ht="13.5" hidden="false" customHeight="false" outlineLevel="0" collapsed="false">
      <c r="A44" s="0" t="s">
        <v>115</v>
      </c>
      <c r="B44" s="1" t="n">
        <v>43904</v>
      </c>
      <c r="C44" s="0" t="n">
        <v>6</v>
      </c>
      <c r="D44" s="0" t="n">
        <f aca="false">C44-C43</f>
        <v>0</v>
      </c>
      <c r="H44" s="0" t="n">
        <v>6</v>
      </c>
    </row>
    <row r="45" customFormat="false" ht="13.5" hidden="false" customHeight="false" outlineLevel="0" collapsed="false">
      <c r="A45" s="0" t="s">
        <v>115</v>
      </c>
      <c r="B45" s="1" t="n">
        <v>43905</v>
      </c>
      <c r="C45" s="0" t="n">
        <v>7</v>
      </c>
      <c r="D45" s="0" t="n">
        <f aca="false">C45-C44</f>
        <v>1</v>
      </c>
      <c r="H45" s="0" t="n">
        <v>7</v>
      </c>
    </row>
    <row r="46" customFormat="false" ht="13.5" hidden="false" customHeight="false" outlineLevel="0" collapsed="false">
      <c r="A46" s="0" t="s">
        <v>115</v>
      </c>
      <c r="B46" s="1" t="n">
        <v>43906</v>
      </c>
      <c r="C46" s="0" t="n">
        <v>7</v>
      </c>
      <c r="D46" s="0" t="n">
        <f aca="false">C46-C45</f>
        <v>0</v>
      </c>
      <c r="H46" s="0" t="n">
        <v>7</v>
      </c>
    </row>
    <row r="47" customFormat="false" ht="13.5" hidden="false" customHeight="false" outlineLevel="0" collapsed="false">
      <c r="A47" s="0" t="s">
        <v>115</v>
      </c>
      <c r="B47" s="1" t="n">
        <v>43907</v>
      </c>
      <c r="C47" s="0" t="n">
        <v>11</v>
      </c>
      <c r="D47" s="0" t="n">
        <f aca="false">C47-C46</f>
        <v>4</v>
      </c>
      <c r="H47" s="0" t="n">
        <v>11</v>
      </c>
    </row>
    <row r="48" customFormat="false" ht="13.5" hidden="false" customHeight="false" outlineLevel="0" collapsed="false">
      <c r="A48" s="0" t="s">
        <v>115</v>
      </c>
      <c r="B48" s="1" t="n">
        <v>43908</v>
      </c>
      <c r="C48" s="0" t="n">
        <v>11</v>
      </c>
      <c r="D48" s="0" t="n">
        <f aca="false">C48-C47</f>
        <v>0</v>
      </c>
      <c r="H48" s="0" t="n">
        <v>11</v>
      </c>
    </row>
    <row r="49" customFormat="false" ht="13.5" hidden="false" customHeight="false" outlineLevel="0" collapsed="false">
      <c r="A49" s="0" t="s">
        <v>115</v>
      </c>
      <c r="B49" s="1" t="n">
        <v>43909</v>
      </c>
      <c r="C49" s="0" t="n">
        <v>11</v>
      </c>
      <c r="D49" s="0" t="n">
        <f aca="false">C49-C48</f>
        <v>0</v>
      </c>
      <c r="H49" s="0" t="n">
        <v>11</v>
      </c>
      <c r="J49" s="0" t="n">
        <v>37</v>
      </c>
    </row>
    <row r="50" customFormat="false" ht="13.5" hidden="false" customHeight="false" outlineLevel="0" collapsed="false">
      <c r="A50" s="0" t="s">
        <v>115</v>
      </c>
      <c r="B50" s="1" t="n">
        <v>43910</v>
      </c>
      <c r="C50" s="0" t="n">
        <v>15</v>
      </c>
      <c r="D50" s="0" t="n">
        <f aca="false">C50-C49</f>
        <v>4</v>
      </c>
      <c r="H50" s="0" t="n">
        <v>15</v>
      </c>
      <c r="J50" s="0" t="n">
        <v>50</v>
      </c>
    </row>
    <row r="51" customFormat="false" ht="13.5" hidden="false" customHeight="false" outlineLevel="0" collapsed="false">
      <c r="A51" s="0" t="s">
        <v>115</v>
      </c>
      <c r="B51" s="1" t="n">
        <v>43911</v>
      </c>
      <c r="C51" s="0" t="n">
        <v>15</v>
      </c>
      <c r="D51" s="0" t="n">
        <f aca="false">C51-C50</f>
        <v>0</v>
      </c>
      <c r="H51" s="0" t="n">
        <v>15</v>
      </c>
      <c r="J51" s="0" t="n">
        <v>50</v>
      </c>
    </row>
    <row r="52" customFormat="false" ht="13.5" hidden="false" customHeight="false" outlineLevel="0" collapsed="false">
      <c r="A52" s="0" t="s">
        <v>115</v>
      </c>
      <c r="B52" s="1" t="n">
        <v>43912</v>
      </c>
      <c r="C52" s="0" t="n">
        <v>18</v>
      </c>
      <c r="D52" s="0" t="n">
        <f aca="false">C52-C51</f>
        <v>3</v>
      </c>
      <c r="H52" s="0" t="n">
        <v>18</v>
      </c>
      <c r="J52" s="0" t="n">
        <v>60</v>
      </c>
    </row>
    <row r="53" customFormat="false" ht="13.5" hidden="false" customHeight="false" outlineLevel="0" collapsed="false">
      <c r="A53" s="0" t="s">
        <v>115</v>
      </c>
      <c r="B53" s="1" t="n">
        <v>43913</v>
      </c>
      <c r="C53" s="0" t="n">
        <v>18</v>
      </c>
      <c r="D53" s="0" t="n">
        <f aca="false">C53-C52</f>
        <v>0</v>
      </c>
      <c r="H53" s="0" t="n">
        <v>18</v>
      </c>
      <c r="J53" s="0" t="n">
        <v>60</v>
      </c>
    </row>
    <row r="54" customFormat="false" ht="13.5" hidden="false" customHeight="false" outlineLevel="0" collapsed="false">
      <c r="A54" s="0" t="s">
        <v>115</v>
      </c>
      <c r="B54" s="1" t="n">
        <v>43914</v>
      </c>
      <c r="C54" s="0" t="n">
        <v>20</v>
      </c>
      <c r="D54" s="0" t="n">
        <f aca="false">C54-C53</f>
        <v>2</v>
      </c>
      <c r="G54" s="0" t="n">
        <v>6</v>
      </c>
      <c r="H54" s="0" t="n">
        <v>14</v>
      </c>
      <c r="J54" s="0" t="n">
        <v>67</v>
      </c>
    </row>
    <row r="55" customFormat="false" ht="13.5" hidden="false" customHeight="false" outlineLevel="0" collapsed="false">
      <c r="A55" s="0" t="s">
        <v>115</v>
      </c>
      <c r="B55" s="1" t="n">
        <v>43915</v>
      </c>
      <c r="C55" s="0" t="n">
        <v>23</v>
      </c>
      <c r="D55" s="0" t="n">
        <f aca="false">C55-C54</f>
        <v>3</v>
      </c>
      <c r="G55" s="0" t="n">
        <v>6</v>
      </c>
      <c r="H55" s="0" t="n">
        <v>17</v>
      </c>
      <c r="J55" s="0" t="n">
        <v>77</v>
      </c>
    </row>
    <row r="56" customFormat="false" ht="13.5" hidden="false" customHeight="false" outlineLevel="0" collapsed="false">
      <c r="A56" s="0" t="s">
        <v>115</v>
      </c>
      <c r="B56" s="1" t="n">
        <v>43916</v>
      </c>
      <c r="C56" s="0" t="n">
        <v>28</v>
      </c>
      <c r="D56" s="0" t="n">
        <f aca="false">C56-C55</f>
        <v>5</v>
      </c>
      <c r="G56" s="0" t="n">
        <v>6</v>
      </c>
      <c r="H56" s="0" t="n">
        <v>22</v>
      </c>
      <c r="J56" s="0" t="n">
        <v>94</v>
      </c>
    </row>
    <row r="57" customFormat="false" ht="13.5" hidden="false" customHeight="false" outlineLevel="0" collapsed="false">
      <c r="A57" s="0" t="s">
        <v>115</v>
      </c>
      <c r="B57" s="1" t="n">
        <v>43917</v>
      </c>
      <c r="C57" s="0" t="n">
        <v>28</v>
      </c>
      <c r="D57" s="0" t="n">
        <f aca="false">C57-C56</f>
        <v>0</v>
      </c>
      <c r="G57" s="0" t="n">
        <v>6</v>
      </c>
      <c r="H57" s="0" t="n">
        <v>22</v>
      </c>
      <c r="J57" s="0" t="n">
        <v>94</v>
      </c>
    </row>
    <row r="58" customFormat="false" ht="13.5" hidden="false" customHeight="false" outlineLevel="0" collapsed="false">
      <c r="A58" s="0" t="s">
        <v>115</v>
      </c>
      <c r="B58" s="1" t="n">
        <v>43918</v>
      </c>
      <c r="C58" s="0" t="n">
        <v>28</v>
      </c>
      <c r="D58" s="0" t="n">
        <f aca="false">C58-C57</f>
        <v>0</v>
      </c>
      <c r="G58" s="0" t="n">
        <v>6</v>
      </c>
      <c r="H58" s="0" t="n">
        <v>22</v>
      </c>
      <c r="J58" s="0" t="n">
        <v>94</v>
      </c>
    </row>
    <row r="59" customFormat="false" ht="13.5" hidden="false" customHeight="false" outlineLevel="0" collapsed="false">
      <c r="A59" s="0" t="s">
        <v>115</v>
      </c>
      <c r="B59" s="1" t="n">
        <v>43919</v>
      </c>
      <c r="C59" s="0" t="n">
        <v>28</v>
      </c>
      <c r="D59" s="0" t="n">
        <f aca="false">C59-C58</f>
        <v>0</v>
      </c>
      <c r="G59" s="0" t="n">
        <v>6</v>
      </c>
      <c r="H59" s="0" t="n">
        <v>22</v>
      </c>
      <c r="J59" s="0" t="n">
        <v>94</v>
      </c>
    </row>
    <row r="60" customFormat="false" ht="13.5" hidden="false" customHeight="false" outlineLevel="0" collapsed="false">
      <c r="A60" s="0" t="s">
        <v>115</v>
      </c>
      <c r="B60" s="1" t="n">
        <v>43920</v>
      </c>
      <c r="C60" s="0" t="n">
        <v>28</v>
      </c>
      <c r="D60" s="0" t="n">
        <f aca="false">C60-C59</f>
        <v>0</v>
      </c>
      <c r="G60" s="0" t="n">
        <v>6</v>
      </c>
      <c r="H60" s="0" t="n">
        <v>22</v>
      </c>
      <c r="J60" s="0" t="n">
        <v>94</v>
      </c>
    </row>
    <row r="61" customFormat="false" ht="13.5" hidden="false" customHeight="false" outlineLevel="0" collapsed="false">
      <c r="A61" s="0" t="s">
        <v>115</v>
      </c>
      <c r="B61" s="1" t="n">
        <v>43921</v>
      </c>
      <c r="C61" s="0" t="n">
        <v>43</v>
      </c>
      <c r="D61" s="0" t="n">
        <f aca="false">C61-C60</f>
        <v>15</v>
      </c>
      <c r="G61" s="0" t="n">
        <v>6</v>
      </c>
      <c r="H61" s="0" t="n">
        <v>37</v>
      </c>
      <c r="J61" s="0" t="n">
        <v>144</v>
      </c>
    </row>
    <row r="62" customFormat="false" ht="13.5" hidden="false" customHeight="false" outlineLevel="0" collapsed="false">
      <c r="A62" s="0" t="s">
        <v>115</v>
      </c>
      <c r="B62" s="1" t="n">
        <v>43922</v>
      </c>
      <c r="C62" s="0" t="n">
        <v>43</v>
      </c>
      <c r="D62" s="0" t="n">
        <f aca="false">C62-C61</f>
        <v>0</v>
      </c>
      <c r="G62" s="0" t="n">
        <v>6</v>
      </c>
      <c r="H62" s="0" t="n">
        <v>37</v>
      </c>
      <c r="J62" s="0" t="n">
        <v>144</v>
      </c>
    </row>
    <row r="63" customFormat="false" ht="13.5" hidden="false" customHeight="false" outlineLevel="0" collapsed="false">
      <c r="A63" s="0" t="s">
        <v>115</v>
      </c>
      <c r="B63" s="1" t="n">
        <v>43923</v>
      </c>
      <c r="C63" s="0" t="n">
        <v>51</v>
      </c>
      <c r="D63" s="0" t="n">
        <f aca="false">C63-C62</f>
        <v>8</v>
      </c>
      <c r="G63" s="0" t="n">
        <v>15</v>
      </c>
      <c r="H63" s="0" t="n">
        <v>36</v>
      </c>
      <c r="J63" s="0" t="n">
        <v>171</v>
      </c>
    </row>
    <row r="64" customFormat="false" ht="13.5" hidden="false" customHeight="false" outlineLevel="0" collapsed="false">
      <c r="A64" s="0" t="s">
        <v>115</v>
      </c>
      <c r="B64" s="1" t="n">
        <v>43924</v>
      </c>
      <c r="C64" s="0" t="n">
        <v>51</v>
      </c>
      <c r="D64" s="0" t="n">
        <f aca="false">C64-C63</f>
        <v>0</v>
      </c>
      <c r="G64" s="0" t="n">
        <v>15</v>
      </c>
      <c r="H64" s="0" t="n">
        <v>36</v>
      </c>
      <c r="J64" s="0" t="n">
        <v>171</v>
      </c>
    </row>
    <row r="65" customFormat="false" ht="13.5" hidden="false" customHeight="false" outlineLevel="0" collapsed="false">
      <c r="A65" s="0" t="s">
        <v>115</v>
      </c>
      <c r="B65" s="1" t="n">
        <v>43925</v>
      </c>
      <c r="C65" s="0" t="n">
        <v>57</v>
      </c>
      <c r="D65" s="0" t="n">
        <f aca="false">C65-C64</f>
        <v>6</v>
      </c>
      <c r="G65" s="0" t="n">
        <v>22</v>
      </c>
      <c r="H65" s="0" t="n">
        <v>35</v>
      </c>
      <c r="I65" s="0" t="n">
        <v>1</v>
      </c>
      <c r="J65" s="0" t="n">
        <v>191</v>
      </c>
    </row>
    <row r="66" customFormat="false" ht="13.5" hidden="false" customHeight="false" outlineLevel="0" collapsed="false">
      <c r="A66" s="0" t="s">
        <v>115</v>
      </c>
      <c r="B66" s="1" t="n">
        <v>43926</v>
      </c>
      <c r="C66" s="0" t="n">
        <v>57</v>
      </c>
      <c r="D66" s="0" t="n">
        <f aca="false">C66-C65</f>
        <v>0</v>
      </c>
      <c r="G66" s="0" t="n">
        <v>22</v>
      </c>
      <c r="H66" s="0" t="n">
        <v>35</v>
      </c>
      <c r="I66" s="0" t="n">
        <v>1</v>
      </c>
      <c r="J66" s="0" t="n">
        <v>191</v>
      </c>
    </row>
    <row r="67" customFormat="false" ht="13.5" hidden="false" customHeight="false" outlineLevel="0" collapsed="false">
      <c r="A67" s="0" t="s">
        <v>115</v>
      </c>
      <c r="B67" s="1" t="n">
        <v>43927</v>
      </c>
      <c r="C67" s="0" t="n">
        <v>61</v>
      </c>
      <c r="D67" s="0" t="n">
        <f aca="false">C67-C66</f>
        <v>4</v>
      </c>
      <c r="G67" s="0" t="n">
        <v>22</v>
      </c>
      <c r="H67" s="0" t="n">
        <v>39</v>
      </c>
      <c r="I67" s="0" t="n">
        <v>1</v>
      </c>
      <c r="J67" s="0" t="n">
        <v>204</v>
      </c>
    </row>
    <row r="68" customFormat="false" ht="13.5" hidden="false" customHeight="false" outlineLevel="0" collapsed="false">
      <c r="A68" s="0" t="s">
        <v>115</v>
      </c>
      <c r="B68" s="1" t="n">
        <v>43928</v>
      </c>
      <c r="C68" s="0" t="n">
        <v>68</v>
      </c>
      <c r="D68" s="0" t="n">
        <f aca="false">C68-C67</f>
        <v>7</v>
      </c>
      <c r="G68" s="0" t="n">
        <v>27</v>
      </c>
      <c r="H68" s="0" t="n">
        <v>41</v>
      </c>
      <c r="I68" s="0" t="n">
        <v>1</v>
      </c>
      <c r="J68" s="0" t="n">
        <v>228</v>
      </c>
    </row>
    <row r="69" customFormat="false" ht="13.5" hidden="false" customHeight="false" outlineLevel="0" collapsed="false">
      <c r="A69" s="0" t="s">
        <v>115</v>
      </c>
      <c r="B69" s="1" t="n">
        <v>43929</v>
      </c>
      <c r="C69" s="0" t="n">
        <v>72</v>
      </c>
      <c r="D69" s="0" t="n">
        <f aca="false">C69-C68</f>
        <v>4</v>
      </c>
      <c r="G69" s="0" t="n">
        <v>34</v>
      </c>
      <c r="H69" s="0" t="n">
        <v>38</v>
      </c>
      <c r="I69" s="0" t="n">
        <v>1</v>
      </c>
      <c r="J69" s="0" t="n">
        <v>241</v>
      </c>
    </row>
    <row r="70" customFormat="false" ht="13.5" hidden="false" customHeight="false" outlineLevel="0" collapsed="false">
      <c r="A70" s="0" t="s">
        <v>115</v>
      </c>
      <c r="B70" s="1" t="n">
        <v>43930</v>
      </c>
      <c r="C70" s="0" t="n">
        <v>77</v>
      </c>
      <c r="D70" s="0" t="n">
        <f aca="false">C70-C69</f>
        <v>5</v>
      </c>
      <c r="G70" s="0" t="n">
        <v>34</v>
      </c>
      <c r="H70" s="0" t="n">
        <v>43</v>
      </c>
      <c r="I70" s="0" t="n">
        <v>1</v>
      </c>
      <c r="J70" s="0" t="n">
        <v>258</v>
      </c>
    </row>
    <row r="71" customFormat="false" ht="13.5" hidden="false" customHeight="false" outlineLevel="0" collapsed="false">
      <c r="A71" s="0" t="s">
        <v>115</v>
      </c>
      <c r="B71" s="1" t="n">
        <v>43931</v>
      </c>
      <c r="C71" s="0" t="n">
        <v>83</v>
      </c>
      <c r="D71" s="0" t="n">
        <f aca="false">C71-C70</f>
        <v>6</v>
      </c>
      <c r="G71" s="0" t="n">
        <v>43</v>
      </c>
      <c r="H71" s="0" t="n">
        <v>40</v>
      </c>
      <c r="I71" s="0" t="n">
        <v>1</v>
      </c>
      <c r="J71" s="0" t="n">
        <v>278</v>
      </c>
    </row>
    <row r="72" customFormat="false" ht="13.5" hidden="false" customHeight="false" outlineLevel="0" collapsed="false">
      <c r="A72" s="0" t="s">
        <v>115</v>
      </c>
      <c r="B72" s="1" t="n">
        <v>43932</v>
      </c>
      <c r="C72" s="0" t="n">
        <v>83</v>
      </c>
      <c r="D72" s="0" t="n">
        <f aca="false">C72-C71</f>
        <v>0</v>
      </c>
      <c r="G72" s="0" t="n">
        <v>43</v>
      </c>
      <c r="H72" s="0" t="n">
        <v>40</v>
      </c>
      <c r="I72" s="0" t="n">
        <v>1</v>
      </c>
      <c r="J72" s="0" t="n">
        <v>278</v>
      </c>
    </row>
    <row r="73" customFormat="false" ht="13.5" hidden="false" customHeight="false" outlineLevel="0" collapsed="false">
      <c r="A73" s="0" t="s">
        <v>115</v>
      </c>
      <c r="B73" s="1" t="n">
        <v>43933</v>
      </c>
      <c r="C73" s="0" t="n">
        <v>83</v>
      </c>
      <c r="D73" s="0" t="n">
        <f aca="false">C73-C72</f>
        <v>0</v>
      </c>
      <c r="G73" s="0" t="n">
        <v>43</v>
      </c>
      <c r="H73" s="0" t="n">
        <v>40</v>
      </c>
      <c r="I73" s="0" t="n">
        <v>1</v>
      </c>
      <c r="J73" s="0" t="n">
        <v>278</v>
      </c>
    </row>
    <row r="74" customFormat="false" ht="13.5" hidden="false" customHeight="false" outlineLevel="0" collapsed="false">
      <c r="A74" s="0" t="s">
        <v>115</v>
      </c>
      <c r="B74" s="1" t="n">
        <v>43934</v>
      </c>
      <c r="C74" s="0" t="n">
        <v>86</v>
      </c>
      <c r="D74" s="0" t="n">
        <f aca="false">C74-C73</f>
        <v>3</v>
      </c>
      <c r="G74" s="0" t="n">
        <v>51</v>
      </c>
      <c r="H74" s="0" t="n">
        <v>35</v>
      </c>
      <c r="I74" s="0" t="n">
        <v>1</v>
      </c>
      <c r="J74" s="0" t="n">
        <v>288</v>
      </c>
    </row>
    <row r="75" customFormat="false" ht="13.5" hidden="false" customHeight="false" outlineLevel="0" collapsed="false">
      <c r="A75" s="0" t="s">
        <v>115</v>
      </c>
      <c r="B75" s="1" t="n">
        <v>43935</v>
      </c>
      <c r="C75" s="0" t="n">
        <v>86</v>
      </c>
      <c r="D75" s="0" t="n">
        <f aca="false">C75-C74</f>
        <v>0</v>
      </c>
      <c r="E75" s="0" t="n">
        <v>0</v>
      </c>
      <c r="F75" s="0" t="n">
        <v>0</v>
      </c>
      <c r="G75" s="0" t="n">
        <v>51</v>
      </c>
      <c r="H75" s="0" t="n">
        <v>35</v>
      </c>
      <c r="I75" s="0" t="n">
        <v>1</v>
      </c>
      <c r="J75" s="0" t="n">
        <v>288</v>
      </c>
    </row>
    <row r="76" customFormat="false" ht="13.5" hidden="false" customHeight="false" outlineLevel="0" collapsed="false">
      <c r="A76" s="0" t="s">
        <v>115</v>
      </c>
      <c r="B76" s="1" t="n">
        <v>43936</v>
      </c>
      <c r="C76" s="0" t="n">
        <v>86</v>
      </c>
      <c r="D76" s="0" t="n">
        <f aca="false">C76-C75</f>
        <v>0</v>
      </c>
      <c r="E76" s="0" t="n">
        <v>0</v>
      </c>
      <c r="F76" s="0" t="n">
        <v>0</v>
      </c>
      <c r="G76" s="0" t="n">
        <v>51</v>
      </c>
      <c r="H76" s="0" t="n">
        <v>35</v>
      </c>
      <c r="I76" s="0" t="n">
        <v>1</v>
      </c>
      <c r="J76" s="0" t="n">
        <v>288</v>
      </c>
    </row>
    <row r="77" customFormat="false" ht="13.5" hidden="false" customHeight="false" outlineLevel="0" collapsed="false">
      <c r="A77" s="0" t="s">
        <v>115</v>
      </c>
      <c r="B77" s="1" t="n">
        <v>43937</v>
      </c>
      <c r="C77" s="0" t="n">
        <v>86</v>
      </c>
      <c r="D77" s="0" t="n">
        <f aca="false">C77-C76</f>
        <v>0</v>
      </c>
      <c r="E77" s="0" t="n">
        <v>0</v>
      </c>
      <c r="F77" s="0" t="n">
        <v>0</v>
      </c>
      <c r="G77" s="0" t="n">
        <v>51</v>
      </c>
      <c r="H77" s="0" t="n">
        <v>35</v>
      </c>
      <c r="I77" s="0" t="n">
        <v>1</v>
      </c>
      <c r="J77" s="0" t="n">
        <v>288</v>
      </c>
    </row>
    <row r="78" customFormat="false" ht="13.5" hidden="false" customHeight="false" outlineLevel="0" collapsed="false">
      <c r="A78" s="0" t="s">
        <v>115</v>
      </c>
      <c r="B78" s="1" t="n">
        <v>43938</v>
      </c>
      <c r="C78" s="0" t="n">
        <v>86</v>
      </c>
      <c r="D78" s="0" t="n">
        <f aca="false">C78-C77</f>
        <v>0</v>
      </c>
      <c r="E78" s="0" t="n">
        <v>0</v>
      </c>
      <c r="F78" s="0" t="n">
        <v>0</v>
      </c>
      <c r="G78" s="0" t="n">
        <v>51</v>
      </c>
      <c r="H78" s="0" t="n">
        <v>35</v>
      </c>
      <c r="I78" s="0" t="n">
        <v>1</v>
      </c>
      <c r="J78" s="0" t="n">
        <v>288</v>
      </c>
    </row>
    <row r="79" customFormat="false" ht="13.5" hidden="false" customHeight="false" outlineLevel="0" collapsed="false">
      <c r="A79" s="0" t="s">
        <v>115</v>
      </c>
      <c r="B79" s="1" t="n">
        <v>43939</v>
      </c>
      <c r="C79" s="0" t="n">
        <v>96</v>
      </c>
      <c r="D79" s="0" t="n">
        <f aca="false">C79-C78</f>
        <v>10</v>
      </c>
      <c r="E79" s="0" t="n">
        <v>0</v>
      </c>
      <c r="F79" s="0" t="n">
        <v>0</v>
      </c>
      <c r="G79" s="0" t="n">
        <v>61</v>
      </c>
      <c r="H79" s="0" t="n">
        <v>35</v>
      </c>
      <c r="I79" s="0" t="n">
        <v>2</v>
      </c>
      <c r="J79" s="0" t="n">
        <v>321</v>
      </c>
    </row>
    <row r="80" customFormat="false" ht="13.5" hidden="false" customHeight="false" outlineLevel="0" collapsed="false">
      <c r="A80" s="0" t="s">
        <v>115</v>
      </c>
      <c r="B80" s="1" t="n">
        <v>43940</v>
      </c>
      <c r="C80" s="0" t="n">
        <v>96</v>
      </c>
      <c r="D80" s="0" t="n">
        <f aca="false">C80-C79</f>
        <v>0</v>
      </c>
      <c r="E80" s="0" t="n">
        <v>0</v>
      </c>
      <c r="F80" s="0" t="n">
        <v>0</v>
      </c>
      <c r="G80" s="0" t="n">
        <v>64</v>
      </c>
      <c r="H80" s="0" t="n">
        <v>32</v>
      </c>
      <c r="I80" s="0" t="n">
        <v>2</v>
      </c>
      <c r="J80" s="0" t="n">
        <v>321</v>
      </c>
    </row>
    <row r="81" customFormat="false" ht="13.5" hidden="false" customHeight="false" outlineLevel="0" collapsed="false">
      <c r="A81" s="0" t="s">
        <v>115</v>
      </c>
      <c r="B81" s="1" t="n">
        <v>43941</v>
      </c>
      <c r="C81" s="0" t="n">
        <v>96</v>
      </c>
      <c r="D81" s="0" t="n">
        <f aca="false">C81-C80</f>
        <v>0</v>
      </c>
      <c r="E81" s="0" t="n">
        <v>0</v>
      </c>
      <c r="F81" s="0" t="n">
        <v>0</v>
      </c>
      <c r="G81" s="0" t="n">
        <v>64</v>
      </c>
      <c r="H81" s="0" t="n">
        <v>32</v>
      </c>
      <c r="I81" s="0" t="n">
        <v>2</v>
      </c>
      <c r="J81" s="0" t="n">
        <v>321</v>
      </c>
    </row>
    <row r="82" customFormat="false" ht="13.5" hidden="false" customHeight="false" outlineLevel="0" collapsed="false">
      <c r="A82" s="0" t="s">
        <v>115</v>
      </c>
      <c r="B82" s="1" t="n">
        <v>43942</v>
      </c>
      <c r="C82" s="0" t="n">
        <v>97</v>
      </c>
      <c r="D82" s="0" t="n">
        <f aca="false">C82-C81</f>
        <v>1</v>
      </c>
      <c r="E82" s="0" t="n">
        <v>1</v>
      </c>
      <c r="F82" s="0" t="n">
        <v>1</v>
      </c>
      <c r="G82" s="0" t="n">
        <v>69</v>
      </c>
      <c r="H82" s="0" t="n">
        <v>27</v>
      </c>
      <c r="I82" s="0" t="n">
        <v>2</v>
      </c>
      <c r="J82" s="0" t="n">
        <v>325</v>
      </c>
      <c r="K82" s="0" t="n">
        <v>3</v>
      </c>
    </row>
    <row r="83" customFormat="false" ht="13.5" hidden="false" customHeight="false" outlineLevel="0" collapsed="false">
      <c r="A83" s="0" t="s">
        <v>115</v>
      </c>
      <c r="B83" s="1" t="n">
        <v>43943</v>
      </c>
      <c r="C83" s="0" t="n">
        <v>97</v>
      </c>
      <c r="D83" s="0" t="n">
        <f aca="false">C83-C82</f>
        <v>0</v>
      </c>
      <c r="E83" s="0" t="n">
        <v>1</v>
      </c>
      <c r="F83" s="0" t="n">
        <v>0</v>
      </c>
      <c r="G83" s="0" t="n">
        <v>76</v>
      </c>
      <c r="H83" s="0" t="n">
        <v>20</v>
      </c>
      <c r="I83" s="0" t="n">
        <v>1</v>
      </c>
      <c r="J83" s="0" t="n">
        <v>325</v>
      </c>
      <c r="K83" s="0" t="n">
        <v>3</v>
      </c>
    </row>
    <row r="84" customFormat="false" ht="13.5" hidden="false" customHeight="false" outlineLevel="0" collapsed="false">
      <c r="A84" s="0" t="s">
        <v>115</v>
      </c>
      <c r="B84" s="1" t="n">
        <v>43944</v>
      </c>
      <c r="C84" s="0" t="n">
        <v>97</v>
      </c>
      <c r="D84" s="0" t="n">
        <f aca="false">C84-C83</f>
        <v>0</v>
      </c>
      <c r="E84" s="0" t="n">
        <v>1</v>
      </c>
      <c r="F84" s="0" t="n">
        <v>0</v>
      </c>
      <c r="G84" s="0" t="n">
        <v>83</v>
      </c>
      <c r="H84" s="0" t="n">
        <v>13</v>
      </c>
      <c r="I84" s="0" t="n">
        <v>1</v>
      </c>
      <c r="J84" s="0" t="n">
        <v>325</v>
      </c>
      <c r="K84" s="0" t="n">
        <v>3</v>
      </c>
    </row>
    <row r="85" customFormat="false" ht="13.5" hidden="false" customHeight="false" outlineLevel="0" collapsed="false">
      <c r="A85" s="0" t="s">
        <v>115</v>
      </c>
      <c r="B85" s="1" t="n">
        <v>43945</v>
      </c>
      <c r="C85" s="0" t="n">
        <v>107</v>
      </c>
      <c r="D85" s="0" t="n">
        <f aca="false">C85-C84</f>
        <v>10</v>
      </c>
      <c r="E85" s="0" t="n">
        <v>1</v>
      </c>
      <c r="F85" s="0" t="n">
        <v>0</v>
      </c>
      <c r="G85" s="0" t="n">
        <v>84</v>
      </c>
      <c r="H85" s="0" t="n">
        <v>22</v>
      </c>
      <c r="I85" s="0" t="n">
        <v>1</v>
      </c>
      <c r="J85" s="0" t="n">
        <v>358</v>
      </c>
      <c r="K85" s="0" t="n">
        <v>3</v>
      </c>
    </row>
    <row r="86" customFormat="false" ht="13.5" hidden="false" customHeight="false" outlineLevel="0" collapsed="false">
      <c r="A86" s="0" t="s">
        <v>115</v>
      </c>
      <c r="B86" s="1" t="n">
        <v>43946</v>
      </c>
      <c r="C86" s="0" t="n">
        <v>107</v>
      </c>
      <c r="D86" s="0" t="n">
        <f aca="false">C86-C85</f>
        <v>0</v>
      </c>
      <c r="E86" s="0" t="n">
        <v>1</v>
      </c>
      <c r="F86" s="0" t="n">
        <v>0</v>
      </c>
      <c r="G86" s="0" t="n">
        <v>84</v>
      </c>
      <c r="H86" s="0" t="n">
        <v>22</v>
      </c>
      <c r="I86" s="0" t="n">
        <v>1</v>
      </c>
      <c r="J86" s="0" t="n">
        <v>358</v>
      </c>
      <c r="K86" s="0" t="n">
        <v>3</v>
      </c>
    </row>
    <row r="87" customFormat="false" ht="13.5" hidden="false" customHeight="false" outlineLevel="0" collapsed="false">
      <c r="A87" s="0" t="s">
        <v>115</v>
      </c>
      <c r="B87" s="1" t="n">
        <v>43947</v>
      </c>
      <c r="C87" s="0" t="n">
        <v>111</v>
      </c>
      <c r="D87" s="0" t="n">
        <f aca="false">C87-C86</f>
        <v>4</v>
      </c>
      <c r="E87" s="0" t="n">
        <v>1</v>
      </c>
      <c r="F87" s="0" t="n">
        <v>0</v>
      </c>
      <c r="G87" s="0" t="n">
        <v>87</v>
      </c>
      <c r="H87" s="0" t="n">
        <v>23</v>
      </c>
      <c r="I87" s="0" t="n">
        <v>0</v>
      </c>
      <c r="J87" s="0" t="n">
        <v>372</v>
      </c>
      <c r="K87" s="0" t="n">
        <v>3</v>
      </c>
    </row>
    <row r="88" customFormat="false" ht="13.5" hidden="false" customHeight="false" outlineLevel="0" collapsed="false">
      <c r="A88" s="0" t="s">
        <v>115</v>
      </c>
      <c r="B88" s="1" t="n">
        <v>43948</v>
      </c>
      <c r="C88" s="0" t="n">
        <v>111</v>
      </c>
      <c r="D88" s="0" t="n">
        <f aca="false">C88-C87</f>
        <v>0</v>
      </c>
      <c r="E88" s="0" t="n">
        <v>1</v>
      </c>
      <c r="F88" s="0" t="n">
        <v>0</v>
      </c>
      <c r="G88" s="0" t="n">
        <v>87</v>
      </c>
      <c r="H88" s="0" t="n">
        <v>23</v>
      </c>
      <c r="I88" s="0" t="n">
        <v>0</v>
      </c>
      <c r="J88" s="0" t="n">
        <v>372</v>
      </c>
      <c r="K88" s="0" t="n">
        <v>3</v>
      </c>
    </row>
    <row r="89" customFormat="false" ht="13.5" hidden="false" customHeight="false" outlineLevel="0" collapsed="false">
      <c r="A89" s="0" t="s">
        <v>115</v>
      </c>
      <c r="B89" s="1" t="n">
        <v>43949</v>
      </c>
      <c r="C89" s="0" t="n">
        <v>111</v>
      </c>
      <c r="D89" s="0" t="n">
        <f aca="false">C89-C88</f>
        <v>0</v>
      </c>
      <c r="E89" s="0" t="n">
        <v>1</v>
      </c>
      <c r="F89" s="0" t="n">
        <v>0</v>
      </c>
      <c r="G89" s="0" t="n">
        <v>87</v>
      </c>
      <c r="H89" s="0" t="n">
        <v>23</v>
      </c>
      <c r="I89" s="0" t="n">
        <v>0</v>
      </c>
      <c r="J89" s="0" t="n">
        <v>372</v>
      </c>
      <c r="K89" s="0" t="n">
        <v>3</v>
      </c>
    </row>
    <row r="90" customFormat="false" ht="13.5" hidden="false" customHeight="false" outlineLevel="0" collapsed="false">
      <c r="A90" s="0" t="s">
        <v>115</v>
      </c>
      <c r="B90" s="1" t="n">
        <v>43950</v>
      </c>
      <c r="C90" s="0" t="n">
        <v>124</v>
      </c>
      <c r="D90" s="0" t="n">
        <f aca="false">C90-C89</f>
        <v>13</v>
      </c>
      <c r="E90" s="0" t="n">
        <v>1</v>
      </c>
      <c r="F90" s="0" t="n">
        <v>0</v>
      </c>
      <c r="G90" s="0" t="n">
        <v>91</v>
      </c>
      <c r="H90" s="0" t="n">
        <v>32</v>
      </c>
      <c r="I90" s="0" t="n">
        <v>0</v>
      </c>
      <c r="J90" s="0" t="n">
        <v>415</v>
      </c>
      <c r="K90" s="0" t="n">
        <v>3</v>
      </c>
    </row>
    <row r="91" customFormat="false" ht="13.5" hidden="false" customHeight="false" outlineLevel="0" collapsed="false">
      <c r="A91" s="0" t="s">
        <v>115</v>
      </c>
      <c r="B91" s="1" t="n">
        <v>43951</v>
      </c>
      <c r="C91" s="0" t="n">
        <v>125</v>
      </c>
      <c r="D91" s="0" t="n">
        <f aca="false">C91-C90</f>
        <v>1</v>
      </c>
      <c r="E91" s="0" t="n">
        <v>1</v>
      </c>
      <c r="F91" s="0" t="n">
        <v>0</v>
      </c>
      <c r="G91" s="0" t="n">
        <v>93</v>
      </c>
      <c r="H91" s="0" t="n">
        <v>31</v>
      </c>
      <c r="I91" s="0" t="n">
        <v>0</v>
      </c>
      <c r="J91" s="0" t="n">
        <v>419</v>
      </c>
      <c r="K91" s="0" t="n">
        <v>3</v>
      </c>
    </row>
    <row r="92" customFormat="false" ht="13.5" hidden="false" customHeight="false" outlineLevel="0" collapsed="false">
      <c r="A92" s="0" t="s">
        <v>115</v>
      </c>
      <c r="B92" s="1" t="n">
        <v>43952</v>
      </c>
      <c r="C92" s="0" t="n">
        <v>126</v>
      </c>
      <c r="D92" s="0" t="n">
        <f aca="false">C92-C91</f>
        <v>1</v>
      </c>
      <c r="E92" s="0" t="n">
        <v>1</v>
      </c>
      <c r="F92" s="0" t="n">
        <v>0</v>
      </c>
      <c r="G92" s="0" t="n">
        <v>94</v>
      </c>
      <c r="H92" s="0" t="n">
        <v>31</v>
      </c>
      <c r="I92" s="0" t="n">
        <v>2</v>
      </c>
      <c r="J92" s="0" t="n">
        <v>422</v>
      </c>
      <c r="K92" s="0" t="n">
        <v>3</v>
      </c>
    </row>
    <row r="93" customFormat="false" ht="13.5" hidden="false" customHeight="false" outlineLevel="0" collapsed="false">
      <c r="A93" s="0" t="s">
        <v>115</v>
      </c>
      <c r="B93" s="1" t="n">
        <v>43953</v>
      </c>
      <c r="C93" s="0" t="n">
        <v>128</v>
      </c>
      <c r="D93" s="0" t="n">
        <f aca="false">C93-C92</f>
        <v>2</v>
      </c>
      <c r="E93" s="0" t="n">
        <v>1</v>
      </c>
      <c r="F93" s="0" t="n">
        <v>0</v>
      </c>
      <c r="G93" s="0" t="n">
        <v>98</v>
      </c>
      <c r="H93" s="0" t="n">
        <v>29</v>
      </c>
      <c r="I93" s="0" t="n">
        <v>2</v>
      </c>
      <c r="J93" s="0" t="n">
        <v>429</v>
      </c>
      <c r="K93" s="0" t="n">
        <v>3</v>
      </c>
    </row>
    <row r="94" customFormat="false" ht="13.5" hidden="false" customHeight="false" outlineLevel="0" collapsed="false">
      <c r="A94" s="0" t="s">
        <v>115</v>
      </c>
      <c r="B94" s="1" t="n">
        <v>43954</v>
      </c>
      <c r="C94" s="0" t="n">
        <v>128</v>
      </c>
      <c r="D94" s="0" t="n">
        <f aca="false">C94-C93</f>
        <v>0</v>
      </c>
      <c r="E94" s="0" t="n">
        <v>1</v>
      </c>
      <c r="F94" s="0" t="n">
        <v>0</v>
      </c>
      <c r="G94" s="0" t="n">
        <v>98</v>
      </c>
      <c r="H94" s="0" t="n">
        <v>29</v>
      </c>
      <c r="I94" s="0" t="n">
        <v>2</v>
      </c>
      <c r="J94" s="0" t="n">
        <v>429</v>
      </c>
      <c r="K94" s="0" t="n">
        <v>3</v>
      </c>
    </row>
    <row r="95" customFormat="false" ht="13.5" hidden="false" customHeight="false" outlineLevel="0" collapsed="false">
      <c r="A95" s="0" t="s">
        <v>115</v>
      </c>
      <c r="B95" s="1" t="n">
        <v>43955</v>
      </c>
      <c r="C95" s="0" t="n">
        <v>128</v>
      </c>
      <c r="D95" s="0" t="n">
        <f aca="false">C95-C94</f>
        <v>0</v>
      </c>
      <c r="E95" s="0" t="n">
        <v>1</v>
      </c>
      <c r="F95" s="0" t="n">
        <v>0</v>
      </c>
      <c r="G95" s="0" t="n">
        <v>98</v>
      </c>
      <c r="H95" s="0" t="n">
        <v>29</v>
      </c>
      <c r="I95" s="0" t="n">
        <v>2</v>
      </c>
      <c r="J95" s="0" t="n">
        <v>429</v>
      </c>
      <c r="K95" s="0" t="n">
        <v>3</v>
      </c>
    </row>
    <row r="96" customFormat="false" ht="13.5" hidden="false" customHeight="false" outlineLevel="0" collapsed="false">
      <c r="A96" s="0" t="s">
        <v>115</v>
      </c>
      <c r="B96" s="1" t="n">
        <v>43956</v>
      </c>
      <c r="C96" s="0" t="n">
        <v>133</v>
      </c>
      <c r="D96" s="0" t="n">
        <f aca="false">C96-C95</f>
        <v>5</v>
      </c>
      <c r="E96" s="0" t="n">
        <v>1</v>
      </c>
      <c r="F96" s="0" t="n">
        <v>0</v>
      </c>
      <c r="G96" s="0" t="n">
        <v>100</v>
      </c>
      <c r="H96" s="0" t="n">
        <v>32</v>
      </c>
      <c r="I96" s="0" t="n">
        <v>2</v>
      </c>
      <c r="J96" s="0" t="n">
        <v>445</v>
      </c>
      <c r="K96" s="0" t="n">
        <v>3</v>
      </c>
    </row>
    <row r="97" customFormat="false" ht="13.5" hidden="false" customHeight="false" outlineLevel="0" collapsed="false">
      <c r="A97" s="0" t="s">
        <v>115</v>
      </c>
      <c r="B97" s="1" t="n">
        <v>43957</v>
      </c>
      <c r="C97" s="0" t="n">
        <v>133</v>
      </c>
      <c r="D97" s="0" t="n">
        <f aca="false">C97-C96</f>
        <v>0</v>
      </c>
      <c r="E97" s="0" t="n">
        <v>1</v>
      </c>
      <c r="F97" s="0" t="n">
        <v>0</v>
      </c>
      <c r="G97" s="0" t="n">
        <v>100</v>
      </c>
      <c r="H97" s="0" t="n">
        <v>32</v>
      </c>
      <c r="I97" s="0" t="n">
        <v>2</v>
      </c>
      <c r="J97" s="0" t="n">
        <v>445</v>
      </c>
      <c r="K97" s="0" t="n">
        <v>3</v>
      </c>
    </row>
    <row r="98" customFormat="false" ht="13.5" hidden="false" customHeight="false" outlineLevel="0" collapsed="false">
      <c r="A98" s="0" t="s">
        <v>115</v>
      </c>
      <c r="B98" s="1" t="n">
        <v>43958</v>
      </c>
      <c r="C98" s="0" t="n">
        <v>138</v>
      </c>
      <c r="D98" s="0" t="n">
        <f aca="false">C98-C97</f>
        <v>5</v>
      </c>
      <c r="E98" s="0" t="n">
        <v>1</v>
      </c>
      <c r="F98" s="0" t="n">
        <v>0</v>
      </c>
      <c r="G98" s="0" t="n">
        <v>111</v>
      </c>
      <c r="H98" s="0" t="n">
        <v>26</v>
      </c>
      <c r="I98" s="0" t="n">
        <v>2</v>
      </c>
      <c r="J98" s="0" t="n">
        <v>462</v>
      </c>
      <c r="K98" s="0" t="n">
        <v>3</v>
      </c>
    </row>
    <row r="99" customFormat="false" ht="13.5" hidden="false" customHeight="false" outlineLevel="0" collapsed="false">
      <c r="A99" s="0" t="s">
        <v>115</v>
      </c>
      <c r="B99" s="1" t="n">
        <v>43959</v>
      </c>
      <c r="C99" s="0" t="n">
        <v>138</v>
      </c>
      <c r="D99" s="0" t="n">
        <f aca="false">C99-C98</f>
        <v>0</v>
      </c>
      <c r="E99" s="0" t="n">
        <v>1</v>
      </c>
      <c r="F99" s="0" t="n">
        <v>0</v>
      </c>
      <c r="G99" s="0" t="n">
        <v>112</v>
      </c>
      <c r="H99" s="0" t="n">
        <v>25</v>
      </c>
      <c r="I99" s="0" t="n">
        <v>0</v>
      </c>
      <c r="J99" s="0" t="n">
        <v>462</v>
      </c>
      <c r="K99" s="0" t="n">
        <v>3</v>
      </c>
    </row>
    <row r="100" customFormat="false" ht="13.5" hidden="false" customHeight="false" outlineLevel="0" collapsed="false">
      <c r="A100" s="0" t="s">
        <v>115</v>
      </c>
      <c r="B100" s="1" t="n">
        <v>43960</v>
      </c>
      <c r="C100" s="0" t="n">
        <v>141</v>
      </c>
      <c r="D100" s="0" t="n">
        <f aca="false">C100-C99</f>
        <v>3</v>
      </c>
      <c r="E100" s="0" t="n">
        <v>1</v>
      </c>
      <c r="F100" s="0" t="n">
        <v>0</v>
      </c>
      <c r="G100" s="0" t="n">
        <v>113</v>
      </c>
      <c r="H100" s="0" t="n">
        <v>27</v>
      </c>
      <c r="I100" s="0" t="n">
        <v>0</v>
      </c>
      <c r="J100" s="0" t="n">
        <v>472</v>
      </c>
      <c r="K100" s="0" t="n">
        <v>3</v>
      </c>
    </row>
    <row r="101" customFormat="false" ht="13.5" hidden="false" customHeight="false" outlineLevel="0" collapsed="false">
      <c r="A101" s="0" t="s">
        <v>115</v>
      </c>
      <c r="B101" s="1" t="n">
        <v>43961</v>
      </c>
      <c r="C101" s="0" t="n">
        <v>141</v>
      </c>
      <c r="D101" s="0" t="n">
        <f aca="false">C101-C100</f>
        <v>0</v>
      </c>
      <c r="E101" s="0" t="n">
        <v>1</v>
      </c>
      <c r="F101" s="0" t="n">
        <v>0</v>
      </c>
      <c r="G101" s="0" t="n">
        <v>119</v>
      </c>
      <c r="H101" s="0" t="n">
        <v>21</v>
      </c>
      <c r="I101" s="0" t="n">
        <v>0</v>
      </c>
      <c r="J101" s="0" t="n">
        <v>472</v>
      </c>
      <c r="K101" s="0" t="n">
        <v>3</v>
      </c>
    </row>
    <row r="102" customFormat="false" ht="13.5" hidden="false" customHeight="false" outlineLevel="0" collapsed="false">
      <c r="A102" s="0" t="s">
        <v>115</v>
      </c>
      <c r="B102" s="1" t="n">
        <v>43962</v>
      </c>
      <c r="C102" s="0" t="n">
        <v>144</v>
      </c>
      <c r="D102" s="0" t="n">
        <f aca="false">C102-C101</f>
        <v>3</v>
      </c>
      <c r="E102" s="0" t="n">
        <v>1</v>
      </c>
      <c r="F102" s="0" t="n">
        <v>0</v>
      </c>
      <c r="G102" s="0" t="n">
        <v>122</v>
      </c>
      <c r="H102" s="0" t="n">
        <v>21</v>
      </c>
      <c r="I102" s="0" t="n">
        <v>0</v>
      </c>
      <c r="J102" s="0" t="n">
        <v>482</v>
      </c>
      <c r="K102" s="0" t="n">
        <v>3</v>
      </c>
    </row>
    <row r="103" customFormat="false" ht="13.5" hidden="false" customHeight="false" outlineLevel="0" collapsed="false">
      <c r="A103" s="0" t="s">
        <v>115</v>
      </c>
      <c r="B103" s="1" t="n">
        <v>43963</v>
      </c>
      <c r="C103" s="0" t="n">
        <v>144</v>
      </c>
      <c r="D103" s="0" t="n">
        <f aca="false">C103-C102</f>
        <v>0</v>
      </c>
      <c r="E103" s="0" t="n">
        <v>1</v>
      </c>
      <c r="F103" s="0" t="n">
        <v>0</v>
      </c>
      <c r="G103" s="0" t="n">
        <v>122</v>
      </c>
      <c r="H103" s="0" t="n">
        <v>21</v>
      </c>
      <c r="I103" s="0" t="n">
        <v>0</v>
      </c>
      <c r="J103" s="0" t="n">
        <v>482</v>
      </c>
      <c r="K103" s="0" t="n">
        <v>3</v>
      </c>
    </row>
    <row r="104" customFormat="false" ht="13.5" hidden="false" customHeight="false" outlineLevel="0" collapsed="false">
      <c r="A104" s="0" t="s">
        <v>115</v>
      </c>
      <c r="B104" s="1" t="n">
        <v>43964</v>
      </c>
      <c r="C104" s="0" t="n">
        <v>144</v>
      </c>
      <c r="D104" s="0" t="n">
        <f aca="false">C104-C103</f>
        <v>0</v>
      </c>
      <c r="E104" s="0" t="n">
        <v>1</v>
      </c>
      <c r="F104" s="0" t="n">
        <v>0</v>
      </c>
      <c r="G104" s="0" t="n">
        <v>122</v>
      </c>
      <c r="H104" s="0" t="n">
        <v>21</v>
      </c>
      <c r="I104" s="0" t="n">
        <v>0</v>
      </c>
      <c r="J104" s="0" t="n">
        <v>482</v>
      </c>
      <c r="K104" s="0" t="n">
        <v>3</v>
      </c>
    </row>
    <row r="105" customFormat="false" ht="13.5" hidden="false" customHeight="false" outlineLevel="0" collapsed="false">
      <c r="A105" s="0" t="s">
        <v>115</v>
      </c>
      <c r="B105" s="1" t="n">
        <v>43965</v>
      </c>
      <c r="C105" s="0" t="n">
        <v>153</v>
      </c>
      <c r="D105" s="0" t="n">
        <f aca="false">C105-C104</f>
        <v>9</v>
      </c>
      <c r="E105" s="0" t="n">
        <v>1</v>
      </c>
      <c r="F105" s="0" t="n">
        <v>0</v>
      </c>
      <c r="G105" s="0" t="n">
        <v>124</v>
      </c>
      <c r="H105" s="0" t="n">
        <v>28</v>
      </c>
      <c r="I105" s="0" t="n">
        <v>0</v>
      </c>
      <c r="J105" s="0" t="n">
        <v>512</v>
      </c>
      <c r="K105" s="0" t="n">
        <v>3</v>
      </c>
    </row>
    <row r="106" customFormat="false" ht="13.5" hidden="false" customHeight="false" outlineLevel="0" collapsed="false">
      <c r="A106" s="0" t="s">
        <v>115</v>
      </c>
      <c r="B106" s="1" t="n">
        <v>43966</v>
      </c>
      <c r="C106" s="0" t="n">
        <v>153</v>
      </c>
      <c r="D106" s="0" t="n">
        <f aca="false">C106-C105</f>
        <v>0</v>
      </c>
      <c r="E106" s="0" t="n">
        <v>1</v>
      </c>
      <c r="F106" s="0" t="n">
        <v>0</v>
      </c>
      <c r="G106" s="0" t="n">
        <v>124</v>
      </c>
      <c r="H106" s="0" t="n">
        <v>28</v>
      </c>
      <c r="I106" s="0" t="n">
        <v>0</v>
      </c>
      <c r="J106" s="0" t="n">
        <v>512</v>
      </c>
      <c r="K106" s="0" t="n">
        <v>3</v>
      </c>
    </row>
    <row r="107" customFormat="false" ht="13.5" hidden="false" customHeight="false" outlineLevel="0" collapsed="false">
      <c r="A107" s="0" t="s">
        <v>115</v>
      </c>
      <c r="B107" s="1" t="n">
        <v>43967</v>
      </c>
      <c r="C107" s="0" t="n">
        <v>164</v>
      </c>
      <c r="D107" s="0" t="n">
        <f aca="false">C107-C106</f>
        <v>11</v>
      </c>
      <c r="E107" s="0" t="n">
        <v>1</v>
      </c>
      <c r="F107" s="0" t="n">
        <v>0</v>
      </c>
      <c r="G107" s="0" t="n">
        <v>124</v>
      </c>
      <c r="H107" s="0" t="n">
        <v>39</v>
      </c>
      <c r="I107" s="0" t="n">
        <v>0</v>
      </c>
      <c r="J107" s="0" t="n">
        <v>551</v>
      </c>
      <c r="K107" s="0" t="n">
        <v>3</v>
      </c>
    </row>
    <row r="108" customFormat="false" ht="13.5" hidden="false" customHeight="false" outlineLevel="0" collapsed="false">
      <c r="A108" s="0" t="s">
        <v>115</v>
      </c>
      <c r="B108" s="1" t="n">
        <v>43968</v>
      </c>
      <c r="C108" s="0" t="n">
        <v>189</v>
      </c>
      <c r="D108" s="0" t="n">
        <f aca="false">C108-C107</f>
        <v>25</v>
      </c>
      <c r="E108" s="0" t="n">
        <v>1</v>
      </c>
      <c r="F108" s="0" t="n">
        <v>0</v>
      </c>
      <c r="G108" s="0" t="n">
        <v>124</v>
      </c>
      <c r="H108" s="0" t="n">
        <v>64</v>
      </c>
      <c r="I108" s="0" t="n">
        <v>0</v>
      </c>
      <c r="J108" s="0" t="n">
        <v>635</v>
      </c>
      <c r="K108" s="0" t="n">
        <v>3</v>
      </c>
    </row>
    <row r="109" customFormat="false" ht="13.5" hidden="false" customHeight="false" outlineLevel="0" collapsed="false">
      <c r="A109" s="0" t="s">
        <v>115</v>
      </c>
      <c r="B109" s="1" t="n">
        <v>43969</v>
      </c>
      <c r="C109" s="0" t="n">
        <v>197</v>
      </c>
      <c r="D109" s="0" t="n">
        <f aca="false">C109-C108</f>
        <v>8</v>
      </c>
      <c r="E109" s="0" t="n">
        <v>1</v>
      </c>
      <c r="F109" s="0" t="n">
        <v>0</v>
      </c>
      <c r="G109" s="0" t="n">
        <v>125</v>
      </c>
      <c r="H109" s="0" t="n">
        <v>71</v>
      </c>
      <c r="I109" s="0" t="n">
        <v>0</v>
      </c>
      <c r="J109" s="0" t="n">
        <v>662</v>
      </c>
      <c r="K109" s="0" t="n">
        <v>3</v>
      </c>
    </row>
    <row r="110" customFormat="false" ht="13.5" hidden="false" customHeight="false" outlineLevel="0" collapsed="false">
      <c r="A110" s="0" t="s">
        <v>115</v>
      </c>
      <c r="B110" s="1" t="n">
        <v>43970</v>
      </c>
      <c r="C110" s="0" t="n">
        <v>210</v>
      </c>
      <c r="D110" s="0" t="n">
        <f aca="false">C110-C109</f>
        <v>13</v>
      </c>
      <c r="E110" s="0" t="n">
        <v>1</v>
      </c>
      <c r="F110" s="0" t="n">
        <v>0</v>
      </c>
      <c r="G110" s="0" t="n">
        <v>131</v>
      </c>
      <c r="H110" s="0" t="n">
        <v>78</v>
      </c>
      <c r="I110" s="0" t="n">
        <v>0</v>
      </c>
      <c r="J110" s="0" t="n">
        <v>705</v>
      </c>
      <c r="K110" s="0" t="n">
        <v>3</v>
      </c>
    </row>
    <row r="111" customFormat="false" ht="13.5" hidden="false" customHeight="false" outlineLevel="0" collapsed="false">
      <c r="A111" s="0" t="s">
        <v>115</v>
      </c>
      <c r="B111" s="1" t="n">
        <v>43971</v>
      </c>
      <c r="C111" s="0" t="n">
        <v>210</v>
      </c>
      <c r="D111" s="0" t="n">
        <f aca="false">C111-C110</f>
        <v>0</v>
      </c>
      <c r="E111" s="0" t="n">
        <v>1</v>
      </c>
      <c r="F111" s="0" t="n">
        <v>0</v>
      </c>
      <c r="G111" s="0" t="n">
        <v>131</v>
      </c>
      <c r="H111" s="0" t="n">
        <v>78</v>
      </c>
      <c r="I111" s="0" t="n">
        <v>0</v>
      </c>
      <c r="J111" s="0" t="n">
        <v>705</v>
      </c>
      <c r="K111" s="0" t="n">
        <v>3</v>
      </c>
    </row>
    <row r="112" customFormat="false" ht="13.5" hidden="false" customHeight="false" outlineLevel="0" collapsed="false">
      <c r="A112" s="0" t="s">
        <v>115</v>
      </c>
      <c r="B112" s="1" t="n">
        <v>43972</v>
      </c>
      <c r="C112" s="0" t="n">
        <v>218</v>
      </c>
      <c r="D112" s="0" t="n">
        <f aca="false">C112-C111</f>
        <v>8</v>
      </c>
      <c r="E112" s="0" t="n">
        <v>1</v>
      </c>
      <c r="F112" s="0" t="n">
        <v>0</v>
      </c>
      <c r="G112" s="0" t="n">
        <v>136</v>
      </c>
      <c r="H112" s="0" t="n">
        <v>81</v>
      </c>
      <c r="I112" s="0" t="n">
        <v>0</v>
      </c>
      <c r="J112" s="0" t="n">
        <v>732</v>
      </c>
      <c r="K112" s="0" t="n">
        <v>3</v>
      </c>
    </row>
    <row r="113" customFormat="false" ht="13.5" hidden="false" customHeight="false" outlineLevel="0" collapsed="false">
      <c r="A113" s="0" t="s">
        <v>115</v>
      </c>
      <c r="B113" s="1" t="n">
        <v>43973</v>
      </c>
      <c r="C113" s="0" t="n">
        <v>237</v>
      </c>
      <c r="D113" s="0" t="n">
        <f aca="false">C113-C112</f>
        <v>19</v>
      </c>
      <c r="E113" s="0" t="n">
        <v>1</v>
      </c>
      <c r="F113" s="0" t="n">
        <v>0</v>
      </c>
      <c r="G113" s="0" t="n">
        <v>136</v>
      </c>
      <c r="H113" s="0" t="n">
        <v>100</v>
      </c>
      <c r="I113" s="0" t="n">
        <v>0</v>
      </c>
      <c r="J113" s="0" t="n">
        <v>796</v>
      </c>
      <c r="K113" s="0" t="n">
        <v>3</v>
      </c>
    </row>
    <row r="114" customFormat="false" ht="13.5" hidden="false" customHeight="false" outlineLevel="0" collapsed="false">
      <c r="A114" s="0" t="s">
        <v>115</v>
      </c>
      <c r="B114" s="1" t="n">
        <v>43974</v>
      </c>
      <c r="C114" s="0" t="n">
        <v>249</v>
      </c>
      <c r="D114" s="0" t="n">
        <f aca="false">C114-C113</f>
        <v>12</v>
      </c>
      <c r="E114" s="0" t="n">
        <v>1</v>
      </c>
      <c r="F114" s="0" t="n">
        <v>0</v>
      </c>
      <c r="G114" s="0" t="n">
        <v>137</v>
      </c>
      <c r="H114" s="0" t="n">
        <v>111</v>
      </c>
      <c r="I114" s="0" t="n">
        <v>0</v>
      </c>
      <c r="J114" s="0" t="n">
        <v>836</v>
      </c>
      <c r="K114" s="0" t="n">
        <v>3</v>
      </c>
    </row>
    <row r="115" customFormat="false" ht="13.5" hidden="false" customHeight="false" outlineLevel="0" collapsed="false">
      <c r="A115" s="0" t="s">
        <v>115</v>
      </c>
      <c r="B115" s="1" t="n">
        <v>43975</v>
      </c>
      <c r="C115" s="0" t="n">
        <v>279</v>
      </c>
      <c r="D115" s="0" t="n">
        <f aca="false">C115-C114</f>
        <v>30</v>
      </c>
      <c r="E115" s="0" t="n">
        <v>1</v>
      </c>
      <c r="F115" s="0" t="n">
        <v>0</v>
      </c>
      <c r="G115" s="0" t="n">
        <v>143</v>
      </c>
      <c r="H115" s="0" t="n">
        <v>135</v>
      </c>
      <c r="I115" s="0" t="n">
        <v>0</v>
      </c>
      <c r="J115" s="0" t="n">
        <v>937</v>
      </c>
      <c r="K115" s="0" t="n">
        <v>3</v>
      </c>
    </row>
    <row r="116" customFormat="false" ht="13.5" hidden="false" customHeight="false" outlineLevel="0" collapsed="false">
      <c r="A116" s="0" t="s">
        <v>115</v>
      </c>
      <c r="B116" s="1" t="n">
        <v>43976</v>
      </c>
      <c r="C116" s="0" t="n">
        <v>279</v>
      </c>
      <c r="D116" s="0" t="n">
        <f aca="false">C116-C115</f>
        <v>0</v>
      </c>
      <c r="E116" s="0" t="n">
        <v>1</v>
      </c>
      <c r="F116" s="0" t="n">
        <v>0</v>
      </c>
      <c r="G116" s="0" t="n">
        <v>143</v>
      </c>
      <c r="H116" s="0" t="n">
        <v>135</v>
      </c>
      <c r="I116" s="0" t="n">
        <v>0</v>
      </c>
      <c r="J116" s="0" t="n">
        <v>937</v>
      </c>
      <c r="K116" s="0" t="n">
        <v>3</v>
      </c>
    </row>
    <row r="117" customFormat="false" ht="13.5" hidden="false" customHeight="false" outlineLevel="0" collapsed="false">
      <c r="A117" s="0" t="s">
        <v>115</v>
      </c>
      <c r="B117" s="1" t="n">
        <v>43977</v>
      </c>
      <c r="C117" s="0" t="n">
        <v>328</v>
      </c>
      <c r="D117" s="0" t="n">
        <f aca="false">C117-C116</f>
        <v>49</v>
      </c>
      <c r="E117" s="0" t="n">
        <v>1</v>
      </c>
      <c r="F117" s="0" t="n">
        <v>0</v>
      </c>
      <c r="G117" s="0" t="n">
        <v>145</v>
      </c>
      <c r="H117" s="0" t="n">
        <v>182</v>
      </c>
      <c r="I117" s="0" t="n">
        <v>0</v>
      </c>
      <c r="J117" s="0" t="n">
        <v>1101</v>
      </c>
      <c r="K117" s="0" t="n">
        <v>3</v>
      </c>
    </row>
    <row r="118" customFormat="false" ht="13.5" hidden="false" customHeight="false" outlineLevel="0" collapsed="false">
      <c r="A118" s="0" t="s">
        <v>115</v>
      </c>
      <c r="B118" s="1" t="n">
        <v>43978</v>
      </c>
      <c r="C118" s="0" t="n">
        <v>353</v>
      </c>
      <c r="D118" s="0" t="n">
        <f aca="false">C118-C117</f>
        <v>25</v>
      </c>
      <c r="E118" s="0" t="n">
        <v>1</v>
      </c>
      <c r="F118" s="0" t="n">
        <v>0</v>
      </c>
      <c r="G118" s="0" t="n">
        <v>146</v>
      </c>
      <c r="H118" s="0" t="n">
        <v>206</v>
      </c>
      <c r="I118" s="0" t="n">
        <v>0</v>
      </c>
      <c r="J118" s="0" t="n">
        <v>1185</v>
      </c>
      <c r="K118" s="0" t="n">
        <v>3</v>
      </c>
    </row>
    <row r="119" customFormat="false" ht="13.5" hidden="false" customHeight="false" outlineLevel="0" collapsed="false">
      <c r="A119" s="0" t="s">
        <v>115</v>
      </c>
      <c r="B119" s="1" t="n">
        <v>43979</v>
      </c>
      <c r="C119" s="0" t="n">
        <v>406</v>
      </c>
      <c r="D119" s="0" t="n">
        <f aca="false">C119-C118</f>
        <v>53</v>
      </c>
      <c r="E119" s="0" t="n">
        <v>1</v>
      </c>
      <c r="F119" s="0" t="n">
        <v>0</v>
      </c>
      <c r="G119" s="0" t="n">
        <v>150</v>
      </c>
      <c r="H119" s="0" t="n">
        <v>255</v>
      </c>
      <c r="I119" s="0" t="n">
        <v>2</v>
      </c>
      <c r="J119" s="0" t="n">
        <v>1363</v>
      </c>
      <c r="K119" s="0" t="n">
        <v>3</v>
      </c>
    </row>
    <row r="120" customFormat="false" ht="13.5" hidden="false" customHeight="false" outlineLevel="0" collapsed="false">
      <c r="A120" s="0" t="s">
        <v>115</v>
      </c>
      <c r="B120" s="1" t="n">
        <v>43980</v>
      </c>
      <c r="C120" s="0" t="n">
        <v>406</v>
      </c>
      <c r="D120" s="0" t="n">
        <f aca="false">C120-C119</f>
        <v>0</v>
      </c>
      <c r="E120" s="0" t="n">
        <v>1</v>
      </c>
      <c r="F120" s="0" t="n">
        <v>0</v>
      </c>
      <c r="G120" s="0" t="n">
        <v>150</v>
      </c>
      <c r="H120" s="0" t="n">
        <v>255</v>
      </c>
      <c r="I120" s="0" t="n">
        <v>2</v>
      </c>
      <c r="J120" s="0" t="n">
        <v>1363</v>
      </c>
      <c r="K120" s="0" t="n">
        <v>3</v>
      </c>
    </row>
    <row r="121" customFormat="false" ht="13.5" hidden="false" customHeight="false" outlineLevel="0" collapsed="false">
      <c r="A121" s="0" t="s">
        <v>115</v>
      </c>
      <c r="B121" s="1" t="n">
        <v>43981</v>
      </c>
      <c r="C121" s="0" t="n">
        <v>436</v>
      </c>
      <c r="D121" s="0" t="n">
        <f aca="false">C121-C120</f>
        <v>30</v>
      </c>
      <c r="E121" s="0" t="n">
        <v>1</v>
      </c>
      <c r="F121" s="0" t="n">
        <v>0</v>
      </c>
      <c r="G121" s="0" t="n">
        <v>161</v>
      </c>
      <c r="H121" s="0" t="n">
        <v>274</v>
      </c>
      <c r="I121" s="0" t="n">
        <v>2</v>
      </c>
      <c r="J121" s="0" t="n">
        <v>1464</v>
      </c>
      <c r="K121" s="0" t="n">
        <v>3</v>
      </c>
    </row>
    <row r="122" customFormat="false" ht="13.5" hidden="false" customHeight="false" outlineLevel="0" collapsed="false">
      <c r="A122" s="0" t="s">
        <v>115</v>
      </c>
      <c r="B122" s="1" t="n">
        <v>43982</v>
      </c>
      <c r="C122" s="0" t="n">
        <v>450</v>
      </c>
      <c r="D122" s="0" t="n">
        <f aca="false">C122-C121</f>
        <v>14</v>
      </c>
      <c r="E122" s="0" t="n">
        <v>1</v>
      </c>
      <c r="F122" s="0" t="n">
        <v>0</v>
      </c>
      <c r="G122" s="0" t="n">
        <v>172</v>
      </c>
      <c r="H122" s="0" t="n">
        <v>277</v>
      </c>
      <c r="I122" s="0" t="n">
        <v>2</v>
      </c>
      <c r="J122" s="0" t="n">
        <v>1510</v>
      </c>
      <c r="K122" s="0" t="n">
        <v>3</v>
      </c>
    </row>
    <row r="123" customFormat="false" ht="13.5" hidden="false" customHeight="false" outlineLevel="0" collapsed="false">
      <c r="A123" s="0" t="s">
        <v>115</v>
      </c>
      <c r="B123" s="1" t="n">
        <v>43983</v>
      </c>
      <c r="C123" s="0" t="n">
        <v>477</v>
      </c>
      <c r="D123" s="0" t="n">
        <f aca="false">C123-C122</f>
        <v>27</v>
      </c>
      <c r="E123" s="0" t="n">
        <v>1</v>
      </c>
      <c r="F123" s="0" t="n">
        <v>0</v>
      </c>
      <c r="G123" s="0" t="n">
        <v>185</v>
      </c>
      <c r="H123" s="0" t="n">
        <v>291</v>
      </c>
      <c r="I123" s="0" t="n">
        <v>2</v>
      </c>
      <c r="J123" s="0" t="n">
        <v>1601</v>
      </c>
      <c r="K123" s="0" t="n">
        <v>3</v>
      </c>
    </row>
    <row r="124" customFormat="false" ht="13.5" hidden="false" customHeight="false" outlineLevel="0" collapsed="false">
      <c r="A124" s="0" t="s">
        <v>115</v>
      </c>
      <c r="B124" s="1" t="n">
        <v>43984</v>
      </c>
      <c r="C124" s="0" t="n">
        <v>499</v>
      </c>
      <c r="D124" s="0" t="n">
        <f aca="false">C124-C123</f>
        <v>22</v>
      </c>
      <c r="E124" s="0" t="n">
        <v>1</v>
      </c>
      <c r="F124" s="0" t="n">
        <v>0</v>
      </c>
      <c r="G124" s="0" t="n">
        <v>200</v>
      </c>
      <c r="H124" s="0" t="n">
        <v>298</v>
      </c>
      <c r="I124" s="0" t="n">
        <v>2</v>
      </c>
      <c r="J124" s="0" t="n">
        <v>1675</v>
      </c>
      <c r="K124" s="0" t="n">
        <v>3</v>
      </c>
    </row>
    <row r="125" customFormat="false" ht="13.5" hidden="false" customHeight="false" outlineLevel="0" collapsed="false">
      <c r="A125" s="0" t="s">
        <v>115</v>
      </c>
      <c r="B125" s="1" t="n">
        <v>43985</v>
      </c>
      <c r="C125" s="0" t="n">
        <v>517</v>
      </c>
      <c r="D125" s="0" t="n">
        <f aca="false">C125-C124</f>
        <v>18</v>
      </c>
      <c r="E125" s="0" t="n">
        <v>1</v>
      </c>
      <c r="F125" s="0" t="n">
        <v>0</v>
      </c>
      <c r="G125" s="0" t="n">
        <v>207</v>
      </c>
      <c r="H125" s="0" t="n">
        <v>309</v>
      </c>
      <c r="I125" s="0" t="n">
        <v>3</v>
      </c>
      <c r="J125" s="0" t="n">
        <v>1735</v>
      </c>
      <c r="K125" s="0" t="n">
        <v>3</v>
      </c>
    </row>
    <row r="126" customFormat="false" ht="13.5" hidden="false" customHeight="false" outlineLevel="0" collapsed="false">
      <c r="A126" s="0" t="s">
        <v>115</v>
      </c>
      <c r="B126" s="1" t="n">
        <v>43986</v>
      </c>
      <c r="C126" s="0" t="n">
        <v>533</v>
      </c>
      <c r="D126" s="0" t="n">
        <f aca="false">C126-C125</f>
        <v>16</v>
      </c>
      <c r="E126" s="0" t="n">
        <v>1</v>
      </c>
      <c r="F126" s="0" t="n">
        <v>0</v>
      </c>
      <c r="G126" s="0" t="n">
        <v>254</v>
      </c>
      <c r="H126" s="0" t="n">
        <v>278</v>
      </c>
      <c r="I126" s="0" t="n">
        <v>3</v>
      </c>
      <c r="J126" s="0" t="n">
        <v>1789</v>
      </c>
      <c r="K126" s="0" t="n">
        <v>3</v>
      </c>
    </row>
    <row r="127" customFormat="false" ht="13.5" hidden="false" customHeight="false" outlineLevel="0" collapsed="false">
      <c r="A127" s="0" t="s">
        <v>115</v>
      </c>
      <c r="B127" s="1" t="n">
        <v>43987</v>
      </c>
      <c r="C127" s="0" t="n">
        <v>556</v>
      </c>
      <c r="D127" s="0" t="n">
        <f aca="false">C127-C126</f>
        <v>23</v>
      </c>
      <c r="E127" s="0" t="n">
        <v>1</v>
      </c>
      <c r="F127" s="0" t="n">
        <v>0</v>
      </c>
      <c r="G127" s="0" t="n">
        <v>296</v>
      </c>
      <c r="H127" s="0" t="n">
        <v>259</v>
      </c>
      <c r="I127" s="0" t="n">
        <v>3</v>
      </c>
      <c r="J127" s="0" t="n">
        <v>1866</v>
      </c>
      <c r="K127" s="0" t="n">
        <v>3</v>
      </c>
    </row>
    <row r="128" customFormat="false" ht="13.5" hidden="false" customHeight="false" outlineLevel="0" collapsed="false">
      <c r="A128" s="0" t="s">
        <v>115</v>
      </c>
      <c r="B128" s="1" t="n">
        <v>43988</v>
      </c>
      <c r="C128" s="0" t="n">
        <v>589</v>
      </c>
      <c r="D128" s="0" t="n">
        <f aca="false">C128-C127</f>
        <v>33</v>
      </c>
      <c r="E128" s="0" t="n">
        <v>1</v>
      </c>
      <c r="F128" s="0" t="n">
        <v>0</v>
      </c>
      <c r="G128" s="0" t="n">
        <v>321</v>
      </c>
      <c r="H128" s="0" t="n">
        <v>267</v>
      </c>
      <c r="I128" s="0" t="n">
        <v>3</v>
      </c>
      <c r="J128" s="0" t="n">
        <v>1976</v>
      </c>
      <c r="K128" s="0" t="n">
        <v>3</v>
      </c>
    </row>
    <row r="129" customFormat="false" ht="13.5" hidden="false" customHeight="false" outlineLevel="0" collapsed="false">
      <c r="A129" s="0" t="s">
        <v>115</v>
      </c>
      <c r="B129" s="1" t="n">
        <v>43989</v>
      </c>
      <c r="C129" s="0" t="n">
        <v>639</v>
      </c>
      <c r="D129" s="0" t="n">
        <f aca="false">C129-C128</f>
        <v>50</v>
      </c>
      <c r="E129" s="0" t="n">
        <v>1</v>
      </c>
      <c r="F129" s="0" t="n">
        <v>0</v>
      </c>
      <c r="G129" s="0" t="n">
        <v>348</v>
      </c>
      <c r="H129" s="0" t="n">
        <v>290</v>
      </c>
      <c r="I129" s="0" t="n">
        <v>1</v>
      </c>
      <c r="J129" s="0" t="n">
        <v>2144</v>
      </c>
      <c r="K129" s="0" t="n">
        <v>3</v>
      </c>
    </row>
    <row r="130" customFormat="false" ht="13.5" hidden="false" customHeight="false" outlineLevel="0" collapsed="false">
      <c r="A130" s="0" t="s">
        <v>115</v>
      </c>
      <c r="B130" s="1" t="n">
        <v>43990</v>
      </c>
      <c r="C130" s="0" t="n">
        <v>689</v>
      </c>
      <c r="D130" s="0" t="n">
        <f aca="false">C130-C129</f>
        <v>50</v>
      </c>
      <c r="E130" s="0" t="n">
        <v>1</v>
      </c>
      <c r="F130" s="0" t="n">
        <v>0</v>
      </c>
      <c r="G130" s="0" t="n">
        <v>383</v>
      </c>
      <c r="H130" s="0" t="n">
        <v>305</v>
      </c>
      <c r="I130" s="0" t="n">
        <v>2</v>
      </c>
      <c r="J130" s="0" t="n">
        <v>2311</v>
      </c>
      <c r="K130" s="0" t="n">
        <v>3</v>
      </c>
      <c r="L130" s="0" t="n">
        <v>277</v>
      </c>
      <c r="M130" s="0" t="n">
        <v>929</v>
      </c>
    </row>
    <row r="131" customFormat="false" ht="13.5" hidden="false" customHeight="false" outlineLevel="0" collapsed="false">
      <c r="A131" s="0" t="s">
        <v>115</v>
      </c>
      <c r="B131" s="1" t="n">
        <v>43991</v>
      </c>
      <c r="C131" s="0" t="n">
        <v>729</v>
      </c>
      <c r="D131" s="0" t="n">
        <f aca="false">C131-C130</f>
        <v>40</v>
      </c>
      <c r="E131" s="0" t="n">
        <v>2</v>
      </c>
      <c r="F131" s="0" t="n">
        <v>1</v>
      </c>
      <c r="G131" s="0" t="n">
        <v>400</v>
      </c>
      <c r="H131" s="0" t="n">
        <v>327</v>
      </c>
      <c r="I131" s="0" t="n">
        <v>5</v>
      </c>
      <c r="J131" s="0" t="n">
        <v>2445</v>
      </c>
      <c r="K131" s="0" t="n">
        <v>7</v>
      </c>
      <c r="L131" s="0" t="n">
        <v>277</v>
      </c>
      <c r="M131" s="0" t="n">
        <v>929</v>
      </c>
    </row>
    <row r="132" customFormat="false" ht="13.5" hidden="false" customHeight="false" outlineLevel="0" collapsed="false">
      <c r="A132" s="0" t="s">
        <v>115</v>
      </c>
      <c r="B132" s="1" t="n">
        <v>43992</v>
      </c>
      <c r="C132" s="0" t="n">
        <v>773</v>
      </c>
      <c r="D132" s="0" t="n">
        <f aca="false">C132-C131</f>
        <v>44</v>
      </c>
      <c r="E132" s="0" t="n">
        <v>2</v>
      </c>
      <c r="F132" s="0" t="n">
        <v>0</v>
      </c>
      <c r="G132" s="0" t="n">
        <v>427</v>
      </c>
      <c r="H132" s="0" t="n">
        <v>344</v>
      </c>
      <c r="I132" s="0" t="n">
        <v>6</v>
      </c>
      <c r="J132" s="0" t="n">
        <v>2593</v>
      </c>
      <c r="K132" s="0" t="n">
        <v>7</v>
      </c>
      <c r="L132" s="0" t="n">
        <v>277</v>
      </c>
      <c r="M132" s="0" t="n">
        <v>929</v>
      </c>
    </row>
    <row r="133" customFormat="false" ht="13.5" hidden="false" customHeight="false" outlineLevel="0" collapsed="false">
      <c r="A133" s="0" t="s">
        <v>115</v>
      </c>
      <c r="B133" s="1" t="n">
        <v>43993</v>
      </c>
      <c r="C133" s="0" t="n">
        <v>865</v>
      </c>
      <c r="D133" s="0" t="n">
        <f aca="false">C133-C132</f>
        <v>92</v>
      </c>
      <c r="E133" s="0" t="n">
        <v>2</v>
      </c>
      <c r="F133" s="0" t="n">
        <v>0</v>
      </c>
      <c r="G133" s="0" t="n">
        <v>457</v>
      </c>
      <c r="H133" s="0" t="n">
        <v>406</v>
      </c>
      <c r="I133" s="0" t="n">
        <v>6</v>
      </c>
      <c r="J133" s="0" t="n">
        <v>2901</v>
      </c>
      <c r="K133" s="0" t="n">
        <v>7</v>
      </c>
      <c r="L133" s="0" t="n">
        <v>277</v>
      </c>
      <c r="M133" s="0" t="n">
        <v>929</v>
      </c>
    </row>
    <row r="134" customFormat="false" ht="13.5" hidden="false" customHeight="false" outlineLevel="0" collapsed="false">
      <c r="A134" s="0" t="s">
        <v>115</v>
      </c>
      <c r="B134" s="1" t="n">
        <v>43994</v>
      </c>
      <c r="C134" s="0" t="n">
        <v>917</v>
      </c>
      <c r="D134" s="0" t="n">
        <f aca="false">C134-C133</f>
        <v>52</v>
      </c>
      <c r="E134" s="0" t="n">
        <v>2</v>
      </c>
      <c r="F134" s="0" t="n">
        <v>0</v>
      </c>
      <c r="G134" s="0" t="n">
        <v>462</v>
      </c>
      <c r="H134" s="0" t="n">
        <v>453</v>
      </c>
      <c r="I134" s="0" t="n">
        <v>7</v>
      </c>
      <c r="J134" s="0" t="n">
        <v>3075</v>
      </c>
      <c r="K134" s="0" t="n">
        <v>7</v>
      </c>
      <c r="L134" s="0" t="n">
        <v>277</v>
      </c>
      <c r="M134" s="0" t="n">
        <v>929</v>
      </c>
    </row>
    <row r="135" customFormat="false" ht="13.5" hidden="false" customHeight="false" outlineLevel="0" collapsed="false">
      <c r="A135" s="0" t="s">
        <v>115</v>
      </c>
      <c r="B135" s="1" t="n">
        <v>43995</v>
      </c>
      <c r="C135" s="0" t="n">
        <v>1043</v>
      </c>
      <c r="D135" s="0" t="n">
        <f aca="false">C135-C134</f>
        <v>126</v>
      </c>
      <c r="E135" s="0" t="n">
        <v>2</v>
      </c>
      <c r="F135" s="0" t="n">
        <v>0</v>
      </c>
      <c r="G135" s="0" t="n">
        <v>489</v>
      </c>
      <c r="H135" s="0" t="n">
        <v>552</v>
      </c>
      <c r="I135" s="0" t="n">
        <v>6</v>
      </c>
      <c r="J135" s="0" t="n">
        <v>3498</v>
      </c>
      <c r="K135" s="0" t="n">
        <v>7</v>
      </c>
      <c r="L135" s="0" t="n">
        <v>277</v>
      </c>
      <c r="M135" s="0" t="n">
        <v>929</v>
      </c>
    </row>
    <row r="136" customFormat="false" ht="13.5" hidden="false" customHeight="false" outlineLevel="0" collapsed="false">
      <c r="A136" s="0" t="s">
        <v>115</v>
      </c>
      <c r="B136" s="1" t="n">
        <v>43996</v>
      </c>
      <c r="C136" s="0" t="n">
        <v>1161</v>
      </c>
      <c r="D136" s="0" t="n">
        <f aca="false">C136-C135</f>
        <v>118</v>
      </c>
      <c r="E136" s="0" t="n">
        <v>2</v>
      </c>
      <c r="F136" s="0" t="n">
        <v>0</v>
      </c>
      <c r="G136" s="0" t="n">
        <v>520</v>
      </c>
      <c r="H136" s="0" t="n">
        <v>639</v>
      </c>
      <c r="I136" s="0" t="n">
        <v>6</v>
      </c>
      <c r="J136" s="0" t="n">
        <v>3893</v>
      </c>
      <c r="K136" s="0" t="n">
        <v>7</v>
      </c>
      <c r="L136" s="0" t="n">
        <v>277</v>
      </c>
      <c r="M136" s="0" t="n">
        <v>929</v>
      </c>
    </row>
    <row r="137" customFormat="false" ht="13.5" hidden="false" customHeight="false" outlineLevel="0" collapsed="false">
      <c r="A137" s="0" t="s">
        <v>115</v>
      </c>
      <c r="B137" s="1" t="n">
        <v>43997</v>
      </c>
      <c r="C137" s="0" t="n">
        <v>1255</v>
      </c>
      <c r="D137" s="0" t="n">
        <f aca="false">C137-C136</f>
        <v>94</v>
      </c>
      <c r="E137" s="0" t="n">
        <v>3</v>
      </c>
      <c r="F137" s="0" t="n">
        <v>1</v>
      </c>
      <c r="G137" s="0" t="n">
        <v>534</v>
      </c>
      <c r="H137" s="0" t="n">
        <v>718</v>
      </c>
      <c r="I137" s="0" t="n">
        <v>6</v>
      </c>
      <c r="J137" s="0" t="n">
        <v>4208</v>
      </c>
      <c r="K137" s="0" t="n">
        <v>10</v>
      </c>
      <c r="L137" s="0" t="n">
        <v>277</v>
      </c>
      <c r="M137" s="0" t="n">
        <v>929</v>
      </c>
    </row>
    <row r="138" customFormat="false" ht="13.5" hidden="false" customHeight="false" outlineLevel="0" collapsed="false">
      <c r="A138" s="0" t="s">
        <v>115</v>
      </c>
      <c r="B138" s="1" t="n">
        <v>43998</v>
      </c>
      <c r="C138" s="0" t="n">
        <v>1326</v>
      </c>
      <c r="D138" s="0" t="n">
        <f aca="false">C138-C137</f>
        <v>71</v>
      </c>
      <c r="E138" s="0" t="n">
        <v>3</v>
      </c>
      <c r="F138" s="0" t="n">
        <v>0</v>
      </c>
      <c r="G138" s="0" t="n">
        <v>552</v>
      </c>
      <c r="H138" s="0" t="n">
        <v>771</v>
      </c>
      <c r="I138" s="0" t="n">
        <v>6</v>
      </c>
      <c r="J138" s="0" t="n">
        <v>4445</v>
      </c>
      <c r="K138" s="0" t="n">
        <v>10</v>
      </c>
      <c r="L138" s="0" t="n">
        <v>277</v>
      </c>
      <c r="M138" s="0" t="n">
        <v>929</v>
      </c>
    </row>
    <row r="139" customFormat="false" ht="13.5" hidden="false" customHeight="false" outlineLevel="0" collapsed="false">
      <c r="A139" s="0" t="s">
        <v>115</v>
      </c>
      <c r="B139" s="1" t="n">
        <v>43999</v>
      </c>
      <c r="C139" s="0" t="n">
        <v>1421</v>
      </c>
      <c r="D139" s="0" t="n">
        <f aca="false">C139-C138</f>
        <v>95</v>
      </c>
      <c r="E139" s="0" t="n">
        <v>5</v>
      </c>
      <c r="F139" s="0" t="n">
        <v>2</v>
      </c>
      <c r="G139" s="0" t="n">
        <v>619</v>
      </c>
      <c r="H139" s="0" t="n">
        <v>797</v>
      </c>
      <c r="I139" s="0" t="n">
        <v>13</v>
      </c>
      <c r="J139" s="0" t="n">
        <v>4764</v>
      </c>
      <c r="K139" s="0" t="n">
        <v>17</v>
      </c>
      <c r="L139" s="0" t="n">
        <v>277</v>
      </c>
      <c r="M139" s="0" t="n">
        <v>929</v>
      </c>
    </row>
    <row r="140" customFormat="false" ht="13.5" hidden="false" customHeight="false" outlineLevel="0" collapsed="false">
      <c r="A140" s="0" t="s">
        <v>115</v>
      </c>
      <c r="B140" s="1" t="n">
        <v>44000</v>
      </c>
      <c r="C140" s="0" t="n">
        <v>1554</v>
      </c>
      <c r="D140" s="0" t="n">
        <f aca="false">C140-C139</f>
        <v>133</v>
      </c>
      <c r="E140" s="0" t="n">
        <v>5</v>
      </c>
      <c r="F140" s="0" t="n">
        <v>0</v>
      </c>
      <c r="G140" s="0" t="n">
        <v>663</v>
      </c>
      <c r="H140" s="0" t="n">
        <v>886</v>
      </c>
      <c r="I140" s="0" t="n">
        <v>13</v>
      </c>
      <c r="J140" s="0" t="n">
        <v>5209</v>
      </c>
      <c r="K140" s="0" t="n">
        <v>17</v>
      </c>
      <c r="L140" s="0" t="n">
        <v>277</v>
      </c>
      <c r="M140" s="0" t="n">
        <v>929</v>
      </c>
    </row>
    <row r="141" customFormat="false" ht="13.5" hidden="false" customHeight="false" outlineLevel="0" collapsed="false">
      <c r="A141" s="0" t="s">
        <v>115</v>
      </c>
      <c r="B141" s="1" t="n">
        <v>44001</v>
      </c>
      <c r="C141" s="0" t="n">
        <v>1758</v>
      </c>
      <c r="D141" s="0" t="n">
        <f aca="false">C141-C140</f>
        <v>204</v>
      </c>
      <c r="E141" s="0" t="n">
        <v>5</v>
      </c>
      <c r="F141" s="0" t="n">
        <v>0</v>
      </c>
      <c r="G141" s="0" t="n">
        <v>784</v>
      </c>
      <c r="H141" s="0" t="n">
        <v>969</v>
      </c>
      <c r="I141" s="0" t="n">
        <v>13</v>
      </c>
      <c r="J141" s="0" t="n">
        <v>5893</v>
      </c>
      <c r="K141" s="0" t="n">
        <v>17</v>
      </c>
      <c r="L141" s="0" t="n">
        <v>277</v>
      </c>
      <c r="M141" s="0" t="n">
        <v>929</v>
      </c>
    </row>
    <row r="142" customFormat="false" ht="13.5" hidden="false" customHeight="false" outlineLevel="0" collapsed="false">
      <c r="A142" s="0" t="s">
        <v>115</v>
      </c>
      <c r="B142" s="1" t="n">
        <v>44002</v>
      </c>
      <c r="C142" s="0" t="n">
        <v>1969</v>
      </c>
      <c r="D142" s="0" t="n">
        <f aca="false">C142-C141</f>
        <v>211</v>
      </c>
      <c r="E142" s="0" t="n">
        <v>5</v>
      </c>
      <c r="F142" s="0" t="n">
        <v>0</v>
      </c>
      <c r="G142" s="0" t="n">
        <v>840</v>
      </c>
      <c r="H142" s="0" t="n">
        <v>1124</v>
      </c>
      <c r="I142" s="0" t="n">
        <v>13</v>
      </c>
      <c r="J142" s="0" t="n">
        <v>6600</v>
      </c>
      <c r="K142" s="0" t="n">
        <v>17</v>
      </c>
      <c r="L142" s="0" t="n">
        <v>277</v>
      </c>
      <c r="M142" s="0" t="n">
        <v>928</v>
      </c>
    </row>
    <row r="143" customFormat="false" ht="13.5" hidden="false" customHeight="false" outlineLevel="0" collapsed="false">
      <c r="A143" s="0" t="s">
        <v>115</v>
      </c>
      <c r="B143" s="1" t="n">
        <v>44003</v>
      </c>
      <c r="C143" s="0" t="n">
        <v>2163</v>
      </c>
      <c r="D143" s="0" t="n">
        <f aca="false">C143-C142</f>
        <v>194</v>
      </c>
      <c r="E143" s="0" t="n">
        <v>5</v>
      </c>
      <c r="F143" s="0" t="n">
        <v>0</v>
      </c>
      <c r="G143" s="0" t="n">
        <v>890</v>
      </c>
      <c r="H143" s="0" t="n">
        <v>1268</v>
      </c>
      <c r="I143" s="0" t="n">
        <v>13</v>
      </c>
      <c r="J143" s="0" t="n">
        <v>7249</v>
      </c>
      <c r="K143" s="0" t="n">
        <v>17</v>
      </c>
      <c r="L143" s="0" t="n">
        <v>277</v>
      </c>
      <c r="M143" s="0" t="n">
        <v>928</v>
      </c>
    </row>
    <row r="144" customFormat="false" ht="13.5" hidden="false" customHeight="false" outlineLevel="0" collapsed="false">
      <c r="A144" s="0" t="s">
        <v>115</v>
      </c>
      <c r="B144" s="1" t="n">
        <v>44004</v>
      </c>
      <c r="C144" s="0" t="n">
        <v>2441</v>
      </c>
      <c r="D144" s="0" t="n">
        <f aca="false">C144-C143</f>
        <v>278</v>
      </c>
      <c r="E144" s="0" t="n">
        <v>6</v>
      </c>
      <c r="F144" s="0" t="n">
        <v>1</v>
      </c>
      <c r="G144" s="0" t="n">
        <v>930</v>
      </c>
      <c r="H144" s="0" t="n">
        <v>1505</v>
      </c>
      <c r="I144" s="0" t="n">
        <v>14</v>
      </c>
      <c r="J144" s="0" t="n">
        <v>8181</v>
      </c>
      <c r="K144" s="0" t="n">
        <v>20</v>
      </c>
      <c r="L144" s="0" t="n">
        <v>8061</v>
      </c>
      <c r="M144" s="0" t="n">
        <v>27015</v>
      </c>
    </row>
    <row r="145" customFormat="false" ht="13.5" hidden="false" customHeight="false" outlineLevel="0" collapsed="false">
      <c r="A145" s="0" t="s">
        <v>115</v>
      </c>
      <c r="B145" s="1" t="n">
        <v>44005</v>
      </c>
      <c r="C145" s="0" t="n">
        <v>2458</v>
      </c>
      <c r="D145" s="0" t="n">
        <f aca="false">C145-C144</f>
        <v>17</v>
      </c>
      <c r="E145" s="0" t="n">
        <v>8</v>
      </c>
      <c r="F145" s="0" t="n">
        <v>2</v>
      </c>
      <c r="G145" s="0" t="n">
        <v>972</v>
      </c>
      <c r="H145" s="0" t="n">
        <v>1478</v>
      </c>
      <c r="I145" s="0" t="n">
        <v>14</v>
      </c>
      <c r="J145" s="0" t="n">
        <v>8237</v>
      </c>
      <c r="K145" s="0" t="n">
        <v>27</v>
      </c>
      <c r="L145" s="0" t="n">
        <v>8061</v>
      </c>
      <c r="M145" s="0" t="n">
        <v>27013</v>
      </c>
    </row>
    <row r="146" customFormat="false" ht="13.5" hidden="false" customHeight="false" outlineLevel="0" collapsed="false">
      <c r="A146" s="0" t="s">
        <v>115</v>
      </c>
      <c r="B146" s="1" t="n">
        <v>44006</v>
      </c>
      <c r="C146" s="0" t="n">
        <v>2593</v>
      </c>
      <c r="D146" s="0" t="n">
        <f aca="false">C146-C145</f>
        <v>135</v>
      </c>
      <c r="E146" s="0" t="n">
        <v>8</v>
      </c>
      <c r="F146" s="0" t="n">
        <v>0</v>
      </c>
      <c r="G146" s="0" t="n">
        <v>1016</v>
      </c>
      <c r="H146" s="0" t="n">
        <v>1569</v>
      </c>
      <c r="I146" s="0" t="n">
        <v>14</v>
      </c>
      <c r="J146" s="0" t="n">
        <v>8689</v>
      </c>
      <c r="K146" s="0" t="n">
        <v>27</v>
      </c>
      <c r="L146" s="0" t="n">
        <v>8061</v>
      </c>
      <c r="M146" s="0" t="n">
        <v>27011</v>
      </c>
    </row>
    <row r="147" customFormat="false" ht="13.5" hidden="false" customHeight="false" outlineLevel="0" collapsed="false">
      <c r="A147" s="0" t="s">
        <v>115</v>
      </c>
      <c r="B147" s="1" t="n">
        <v>44007</v>
      </c>
      <c r="C147" s="0" t="n">
        <v>2827</v>
      </c>
      <c r="D147" s="0" t="n">
        <v>234</v>
      </c>
      <c r="E147" s="0" t="n">
        <v>9</v>
      </c>
      <c r="F147" s="0" t="n">
        <v>1</v>
      </c>
      <c r="G147" s="0" t="n">
        <v>1056</v>
      </c>
      <c r="H147" s="0" t="n">
        <v>1762</v>
      </c>
      <c r="I147" s="0" t="n">
        <v>15</v>
      </c>
      <c r="J147" s="0" t="n">
        <v>9472</v>
      </c>
      <c r="K147" s="0" t="n">
        <v>30</v>
      </c>
      <c r="L147" s="0" t="n">
        <v>8061</v>
      </c>
      <c r="M147" s="0" t="n">
        <v>27009</v>
      </c>
    </row>
    <row r="148" customFormat="false" ht="13.5" hidden="false" customHeight="false" outlineLevel="0" collapsed="false">
      <c r="A148" s="0" t="s">
        <v>115</v>
      </c>
      <c r="B148" s="1" t="n">
        <v>44008</v>
      </c>
      <c r="C148" s="0" t="n">
        <v>3033</v>
      </c>
      <c r="D148" s="0" t="n">
        <v>206</v>
      </c>
      <c r="E148" s="0" t="n">
        <v>10</v>
      </c>
      <c r="F148" s="0" t="n">
        <v>1</v>
      </c>
      <c r="G148" s="0" t="n">
        <v>1096</v>
      </c>
      <c r="H148" s="0" t="n">
        <v>1927</v>
      </c>
      <c r="I148" s="0" t="n">
        <v>15</v>
      </c>
      <c r="J148" s="0" t="n">
        <v>10162</v>
      </c>
      <c r="K148" s="0" t="n">
        <v>34</v>
      </c>
      <c r="L148" s="0" t="n">
        <v>8061</v>
      </c>
      <c r="M148" s="0" t="n">
        <v>27008</v>
      </c>
    </row>
    <row r="149" customFormat="false" ht="13.5" hidden="false" customHeight="false" outlineLevel="0" collapsed="false">
      <c r="A149" s="0" t="s">
        <v>115</v>
      </c>
      <c r="B149" s="1" t="n">
        <v>44009</v>
      </c>
      <c r="C149" s="0" t="n">
        <v>3270</v>
      </c>
      <c r="D149" s="0" t="n">
        <v>237</v>
      </c>
      <c r="E149" s="0" t="n">
        <v>11</v>
      </c>
      <c r="F149" s="0" t="n">
        <v>1</v>
      </c>
      <c r="G149" s="0" t="n">
        <v>1166</v>
      </c>
      <c r="H149" s="0" t="n">
        <v>2093</v>
      </c>
      <c r="I149" s="0" t="n">
        <v>21</v>
      </c>
      <c r="J149" s="0" t="n">
        <v>10955</v>
      </c>
      <c r="K149" s="0" t="n">
        <v>37</v>
      </c>
      <c r="L149" s="0" t="n">
        <v>8061</v>
      </c>
      <c r="M149" s="0" t="n">
        <v>27006</v>
      </c>
    </row>
    <row r="150" customFormat="false" ht="13.5" hidden="false" customHeight="false" outlineLevel="0" collapsed="false">
      <c r="A150" s="0" t="s">
        <v>115</v>
      </c>
      <c r="B150" s="1" t="n">
        <v>44010</v>
      </c>
      <c r="C150" s="0" t="n">
        <v>3461</v>
      </c>
      <c r="D150" s="0" t="n">
        <v>191</v>
      </c>
      <c r="E150" s="0" t="n">
        <v>12</v>
      </c>
      <c r="F150" s="0" t="n">
        <v>1</v>
      </c>
      <c r="G150" s="0" t="n">
        <v>1249</v>
      </c>
      <c r="H150" s="0" t="n">
        <v>2200</v>
      </c>
      <c r="I150" s="0" t="n">
        <v>21</v>
      </c>
      <c r="J150" s="0" t="n">
        <v>11594</v>
      </c>
      <c r="K150" s="0" t="n">
        <v>40</v>
      </c>
      <c r="L150" s="0" t="n">
        <v>8061</v>
      </c>
      <c r="M150" s="0" t="n">
        <v>27004</v>
      </c>
    </row>
    <row r="151" customFormat="false" ht="13.5" hidden="false" customHeight="false" outlineLevel="0" collapsed="false">
      <c r="A151" s="0" t="s">
        <v>115</v>
      </c>
      <c r="B151" s="1" t="n">
        <v>44011</v>
      </c>
      <c r="C151" s="0" t="n">
        <v>3461</v>
      </c>
      <c r="D151" s="0" t="n">
        <v>0</v>
      </c>
      <c r="E151" s="0" t="n">
        <v>12</v>
      </c>
      <c r="F151" s="0" t="n">
        <v>0</v>
      </c>
      <c r="G151" s="0" t="n">
        <v>1249</v>
      </c>
      <c r="H151" s="0" t="n">
        <v>2200</v>
      </c>
      <c r="I151" s="0" t="n">
        <v>21</v>
      </c>
      <c r="J151" s="0" t="n">
        <v>11593</v>
      </c>
      <c r="K151" s="0" t="n">
        <v>40</v>
      </c>
      <c r="L151" s="0" t="n">
        <v>8061</v>
      </c>
      <c r="M151" s="0" t="n">
        <v>27002</v>
      </c>
    </row>
    <row r="152" customFormat="false" ht="13.5" hidden="false" customHeight="false" outlineLevel="0" collapsed="false">
      <c r="A152" s="0" t="s">
        <v>115</v>
      </c>
      <c r="B152" s="1" t="n">
        <v>44012</v>
      </c>
    </row>
    <row r="153" customFormat="false" ht="13.5" hidden="false" customHeight="false" outlineLevel="0" collapsed="false">
      <c r="A153" s="0" t="s">
        <v>115</v>
      </c>
      <c r="B153" s="1" t="n">
        <v>44013</v>
      </c>
    </row>
    <row r="154" customFormat="false" ht="13.5" hidden="false" customHeight="false" outlineLevel="0" collapsed="false">
      <c r="A154" s="0" t="s">
        <v>115</v>
      </c>
      <c r="B154" s="1" t="n">
        <v>44014</v>
      </c>
    </row>
    <row r="155" customFormat="false" ht="13.5" hidden="false" customHeight="false" outlineLevel="0" collapsed="false">
      <c r="A155" s="0" t="s">
        <v>115</v>
      </c>
      <c r="B155" s="1" t="n">
        <v>44015</v>
      </c>
    </row>
    <row r="156" customFormat="false" ht="13.5" hidden="false" customHeight="false" outlineLevel="0" collapsed="false">
      <c r="A156" s="0" t="s">
        <v>115</v>
      </c>
      <c r="B156" s="1" t="n">
        <v>44016</v>
      </c>
    </row>
    <row r="157" customFormat="false" ht="13.5" hidden="false" customHeight="false" outlineLevel="0" collapsed="false">
      <c r="A157" s="0" t="s">
        <v>115</v>
      </c>
      <c r="B157" s="1" t="n">
        <v>44017</v>
      </c>
    </row>
    <row r="158" customFormat="false" ht="13.5" hidden="false" customHeight="false" outlineLevel="0" collapsed="false">
      <c r="A158" s="0" t="s">
        <v>115</v>
      </c>
      <c r="B158" s="1" t="n">
        <v>44018</v>
      </c>
    </row>
    <row r="159" customFormat="false" ht="13.5" hidden="false" customHeight="false" outlineLevel="0" collapsed="false">
      <c r="A159" s="0" t="s">
        <v>115</v>
      </c>
      <c r="B159" s="1" t="n">
        <v>44019</v>
      </c>
    </row>
    <row r="160" customFormat="false" ht="13.5" hidden="false" customHeight="false" outlineLevel="0" collapsed="false">
      <c r="A160" s="0" t="s">
        <v>115</v>
      </c>
      <c r="B160" s="1" t="n">
        <v>44020</v>
      </c>
    </row>
    <row r="161" customFormat="false" ht="13.5" hidden="false" customHeight="false" outlineLevel="0" collapsed="false">
      <c r="A161" s="0" t="s">
        <v>115</v>
      </c>
      <c r="B161" s="1" t="n">
        <v>44021</v>
      </c>
    </row>
    <row r="162" customFormat="false" ht="13.5" hidden="false" customHeight="false" outlineLevel="0" collapsed="false">
      <c r="A162" s="0" t="s">
        <v>115</v>
      </c>
      <c r="B162" s="1" t="n">
        <v>44022</v>
      </c>
    </row>
    <row r="163" customFormat="false" ht="13.5" hidden="false" customHeight="false" outlineLevel="0" collapsed="false">
      <c r="A163" s="0" t="s">
        <v>115</v>
      </c>
      <c r="B163" s="1" t="n">
        <v>44023</v>
      </c>
    </row>
    <row r="164" customFormat="false" ht="13.5" hidden="false" customHeight="false" outlineLevel="0" collapsed="false">
      <c r="A164" s="0" t="s">
        <v>115</v>
      </c>
      <c r="B164" s="1" t="n">
        <v>44024</v>
      </c>
    </row>
    <row r="165" customFormat="false" ht="13.5" hidden="false" customHeight="false" outlineLevel="0" collapsed="false">
      <c r="A165" s="0" t="s">
        <v>115</v>
      </c>
      <c r="B165" s="1" t="n">
        <v>44025</v>
      </c>
    </row>
    <row r="166" customFormat="false" ht="13.5" hidden="false" customHeight="false" outlineLevel="0" collapsed="false">
      <c r="A166" s="0" t="s">
        <v>115</v>
      </c>
      <c r="B166" s="1" t="n">
        <v>44026</v>
      </c>
    </row>
    <row r="167" customFormat="false" ht="13.5" hidden="false" customHeight="false" outlineLevel="0" collapsed="false">
      <c r="A167" s="0" t="s">
        <v>115</v>
      </c>
      <c r="B167" s="1" t="n">
        <v>44027</v>
      </c>
    </row>
    <row r="168" customFormat="false" ht="13.5" hidden="false" customHeight="false" outlineLevel="0" collapsed="false">
      <c r="A168" s="0" t="s">
        <v>115</v>
      </c>
      <c r="B168" s="1" t="n">
        <v>44028</v>
      </c>
    </row>
    <row r="169" customFormat="false" ht="13.5" hidden="false" customHeight="false" outlineLevel="0" collapsed="false">
      <c r="A169" s="0" t="s">
        <v>115</v>
      </c>
      <c r="B169" s="1" t="n">
        <v>44029</v>
      </c>
    </row>
    <row r="170" customFormat="false" ht="13.5" hidden="false" customHeight="false" outlineLevel="0" collapsed="false">
      <c r="A170" s="0" t="s">
        <v>115</v>
      </c>
      <c r="B170" s="1" t="n">
        <v>44030</v>
      </c>
    </row>
    <row r="171" customFormat="false" ht="13.5" hidden="false" customHeight="false" outlineLevel="0" collapsed="false">
      <c r="A171" s="0" t="s">
        <v>115</v>
      </c>
      <c r="B171" s="1" t="n">
        <v>44031</v>
      </c>
    </row>
    <row r="172" customFormat="false" ht="13.5" hidden="false" customHeight="false" outlineLevel="0" collapsed="false">
      <c r="A172" s="0" t="s">
        <v>115</v>
      </c>
      <c r="B172" s="1" t="n">
        <v>44032</v>
      </c>
    </row>
    <row r="173" customFormat="false" ht="13.5" hidden="false" customHeight="false" outlineLevel="0" collapsed="false">
      <c r="A173" s="0" t="s">
        <v>115</v>
      </c>
      <c r="B173" s="1" t="n">
        <v>44033</v>
      </c>
    </row>
    <row r="174" customFormat="false" ht="13.5" hidden="false" customHeight="false" outlineLevel="0" collapsed="false">
      <c r="A174" s="0" t="s">
        <v>115</v>
      </c>
      <c r="B174" s="1" t="n">
        <v>44034</v>
      </c>
    </row>
    <row r="175" customFormat="false" ht="13.5" hidden="false" customHeight="false" outlineLevel="0" collapsed="false">
      <c r="A175" s="0" t="s">
        <v>115</v>
      </c>
      <c r="B175" s="1" t="n">
        <v>44035</v>
      </c>
    </row>
    <row r="176" customFormat="false" ht="13.5" hidden="false" customHeight="false" outlineLevel="0" collapsed="false">
      <c r="A176" s="0" t="s">
        <v>115</v>
      </c>
      <c r="B176" s="1" t="n">
        <v>44036</v>
      </c>
    </row>
    <row r="177" customFormat="false" ht="13.5" hidden="false" customHeight="false" outlineLevel="0" collapsed="false">
      <c r="A177" s="0" t="s">
        <v>115</v>
      </c>
      <c r="B177" s="1" t="n">
        <v>44037</v>
      </c>
    </row>
    <row r="178" customFormat="false" ht="13.5" hidden="false" customHeight="false" outlineLevel="0" collapsed="false">
      <c r="A178" s="0" t="s">
        <v>115</v>
      </c>
      <c r="B178" s="1" t="n">
        <v>44038</v>
      </c>
    </row>
    <row r="179" customFormat="false" ht="13.5" hidden="false" customHeight="false" outlineLevel="0" collapsed="false">
      <c r="A179" s="0" t="s">
        <v>115</v>
      </c>
      <c r="B179" s="1" t="n">
        <v>44039</v>
      </c>
    </row>
    <row r="180" customFormat="false" ht="13.5" hidden="false" customHeight="false" outlineLevel="0" collapsed="false">
      <c r="A180" s="0" t="s">
        <v>115</v>
      </c>
      <c r="B180" s="1" t="n">
        <v>44040</v>
      </c>
    </row>
    <row r="181" customFormat="false" ht="13.5" hidden="false" customHeight="false" outlineLevel="0" collapsed="false">
      <c r="A181" s="0" t="s">
        <v>115</v>
      </c>
      <c r="B181" s="1" t="n">
        <v>44041</v>
      </c>
    </row>
    <row r="182" customFormat="false" ht="13.5" hidden="false" customHeight="false" outlineLevel="0" collapsed="false">
      <c r="A182" s="0" t="s">
        <v>115</v>
      </c>
      <c r="B182" s="1" t="n">
        <v>44042</v>
      </c>
    </row>
    <row r="183" customFormat="false" ht="13.5" hidden="false" customHeight="false" outlineLevel="0" collapsed="false">
      <c r="A183" s="0" t="s">
        <v>115</v>
      </c>
      <c r="B183" s="1" t="n">
        <v>44043</v>
      </c>
    </row>
    <row r="184" customFormat="false" ht="13.5" hidden="false" customHeight="false" outlineLevel="0" collapsed="false">
      <c r="A184" s="0" t="s">
        <v>115</v>
      </c>
      <c r="B184" s="1" t="n">
        <v>44044</v>
      </c>
    </row>
    <row r="185" customFormat="false" ht="13.5" hidden="false" customHeight="false" outlineLevel="0" collapsed="false">
      <c r="A185" s="0" t="s">
        <v>115</v>
      </c>
      <c r="B185" s="1" t="n">
        <v>44045</v>
      </c>
    </row>
    <row r="186" customFormat="false" ht="13.5" hidden="false" customHeight="false" outlineLevel="0" collapsed="false">
      <c r="A186" s="0" t="s">
        <v>115</v>
      </c>
      <c r="B186" s="1" t="n">
        <v>44046</v>
      </c>
    </row>
    <row r="187" customFormat="false" ht="13.5" hidden="false" customHeight="false" outlineLevel="0" collapsed="false">
      <c r="A187" s="0" t="s">
        <v>115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116</v>
      </c>
      <c r="B2" s="1" t="n">
        <v>43862</v>
      </c>
    </row>
    <row r="3" customFormat="false" ht="13.5" hidden="false" customHeight="false" outlineLevel="0" collapsed="false">
      <c r="A3" s="0" t="s">
        <v>116</v>
      </c>
      <c r="B3" s="1" t="n">
        <v>43863</v>
      </c>
    </row>
    <row r="4" customFormat="false" ht="13.5" hidden="false" customHeight="false" outlineLevel="0" collapsed="false">
      <c r="A4" s="0" t="s">
        <v>116</v>
      </c>
      <c r="B4" s="1" t="n">
        <v>43864</v>
      </c>
    </row>
    <row r="5" customFormat="false" ht="13.5" hidden="false" customHeight="false" outlineLevel="0" collapsed="false">
      <c r="A5" s="0" t="s">
        <v>116</v>
      </c>
      <c r="B5" s="1" t="n">
        <v>43865</v>
      </c>
    </row>
    <row r="6" customFormat="false" ht="13.5" hidden="false" customHeight="false" outlineLevel="0" collapsed="false">
      <c r="A6" s="0" t="s">
        <v>116</v>
      </c>
      <c r="B6" s="1" t="n">
        <v>43866</v>
      </c>
    </row>
    <row r="7" customFormat="false" ht="13.5" hidden="false" customHeight="false" outlineLevel="0" collapsed="false">
      <c r="A7" s="0" t="s">
        <v>116</v>
      </c>
      <c r="B7" s="1" t="n">
        <v>43867</v>
      </c>
    </row>
    <row r="8" customFormat="false" ht="13.5" hidden="false" customHeight="false" outlineLevel="0" collapsed="false">
      <c r="A8" s="0" t="s">
        <v>116</v>
      </c>
      <c r="B8" s="1" t="n">
        <v>43868</v>
      </c>
    </row>
    <row r="9" customFormat="false" ht="13.5" hidden="false" customHeight="false" outlineLevel="0" collapsed="false">
      <c r="A9" s="0" t="s">
        <v>116</v>
      </c>
      <c r="B9" s="1" t="n">
        <v>43869</v>
      </c>
    </row>
    <row r="10" customFormat="false" ht="13.5" hidden="false" customHeight="false" outlineLevel="0" collapsed="false">
      <c r="A10" s="0" t="s">
        <v>116</v>
      </c>
      <c r="B10" s="1" t="n">
        <v>43870</v>
      </c>
    </row>
    <row r="11" customFormat="false" ht="13.5" hidden="false" customHeight="false" outlineLevel="0" collapsed="false">
      <c r="A11" s="0" t="s">
        <v>116</v>
      </c>
      <c r="B11" s="1" t="n">
        <v>43871</v>
      </c>
    </row>
    <row r="12" customFormat="false" ht="13.5" hidden="false" customHeight="false" outlineLevel="0" collapsed="false">
      <c r="A12" s="0" t="s">
        <v>116</v>
      </c>
      <c r="B12" s="1" t="n">
        <v>43872</v>
      </c>
    </row>
    <row r="13" customFormat="false" ht="13.5" hidden="false" customHeight="false" outlineLevel="0" collapsed="false">
      <c r="A13" s="0" t="s">
        <v>116</v>
      </c>
      <c r="B13" s="1" t="n">
        <v>43873</v>
      </c>
    </row>
    <row r="14" customFormat="false" ht="13.5" hidden="false" customHeight="false" outlineLevel="0" collapsed="false">
      <c r="A14" s="0" t="s">
        <v>116</v>
      </c>
      <c r="B14" s="1" t="n">
        <v>43874</v>
      </c>
    </row>
    <row r="15" customFormat="false" ht="13.5" hidden="false" customHeight="false" outlineLevel="0" collapsed="false">
      <c r="A15" s="0" t="s">
        <v>116</v>
      </c>
      <c r="B15" s="1" t="n">
        <v>43875</v>
      </c>
    </row>
    <row r="16" customFormat="false" ht="13.5" hidden="false" customHeight="false" outlineLevel="0" collapsed="false">
      <c r="A16" s="0" t="s">
        <v>116</v>
      </c>
      <c r="B16" s="1" t="n">
        <v>43876</v>
      </c>
    </row>
    <row r="17" customFormat="false" ht="13.5" hidden="false" customHeight="false" outlineLevel="0" collapsed="false">
      <c r="A17" s="0" t="s">
        <v>116</v>
      </c>
      <c r="B17" s="1" t="n">
        <v>43877</v>
      </c>
    </row>
    <row r="18" customFormat="false" ht="13.5" hidden="false" customHeight="false" outlineLevel="0" collapsed="false">
      <c r="A18" s="0" t="s">
        <v>116</v>
      </c>
      <c r="B18" s="1" t="n">
        <v>43878</v>
      </c>
    </row>
    <row r="19" customFormat="false" ht="13.5" hidden="false" customHeight="false" outlineLevel="0" collapsed="false">
      <c r="A19" s="0" t="s">
        <v>116</v>
      </c>
      <c r="B19" s="1" t="n">
        <v>43879</v>
      </c>
    </row>
    <row r="20" customFormat="false" ht="13.5" hidden="false" customHeight="false" outlineLevel="0" collapsed="false">
      <c r="A20" s="0" t="s">
        <v>116</v>
      </c>
      <c r="B20" s="1" t="n">
        <v>43880</v>
      </c>
    </row>
    <row r="21" customFormat="false" ht="13.5" hidden="false" customHeight="false" outlineLevel="0" collapsed="false">
      <c r="A21" s="0" t="s">
        <v>116</v>
      </c>
      <c r="B21" s="1" t="n">
        <v>43881</v>
      </c>
    </row>
    <row r="22" customFormat="false" ht="13.5" hidden="false" customHeight="false" outlineLevel="0" collapsed="false">
      <c r="A22" s="0" t="s">
        <v>116</v>
      </c>
      <c r="B22" s="1" t="n">
        <v>43882</v>
      </c>
    </row>
    <row r="23" customFormat="false" ht="13.5" hidden="false" customHeight="false" outlineLevel="0" collapsed="false">
      <c r="A23" s="0" t="s">
        <v>116</v>
      </c>
      <c r="B23" s="1" t="n">
        <v>43883</v>
      </c>
    </row>
    <row r="24" customFormat="false" ht="13.5" hidden="false" customHeight="false" outlineLevel="0" collapsed="false">
      <c r="A24" s="0" t="s">
        <v>116</v>
      </c>
      <c r="B24" s="1" t="n">
        <v>43884</v>
      </c>
    </row>
    <row r="25" customFormat="false" ht="13.5" hidden="false" customHeight="false" outlineLevel="0" collapsed="false">
      <c r="A25" s="0" t="s">
        <v>116</v>
      </c>
      <c r="B25" s="1" t="n">
        <v>43885</v>
      </c>
    </row>
    <row r="26" customFormat="false" ht="13.5" hidden="false" customHeight="false" outlineLevel="0" collapsed="false">
      <c r="A26" s="0" t="s">
        <v>116</v>
      </c>
      <c r="B26" s="1" t="n">
        <v>43886</v>
      </c>
    </row>
    <row r="27" customFormat="false" ht="13.5" hidden="false" customHeight="false" outlineLevel="0" collapsed="false">
      <c r="A27" s="0" t="s">
        <v>116</v>
      </c>
      <c r="B27" s="1" t="n">
        <v>43887</v>
      </c>
    </row>
    <row r="28" customFormat="false" ht="13.5" hidden="false" customHeight="false" outlineLevel="0" collapsed="false">
      <c r="A28" s="0" t="s">
        <v>116</v>
      </c>
      <c r="B28" s="1" t="n">
        <v>43888</v>
      </c>
    </row>
    <row r="29" customFormat="false" ht="13.5" hidden="false" customHeight="false" outlineLevel="0" collapsed="false">
      <c r="A29" s="0" t="s">
        <v>116</v>
      </c>
      <c r="B29" s="1" t="n">
        <v>43889</v>
      </c>
    </row>
    <row r="30" customFormat="false" ht="13.5" hidden="false" customHeight="false" outlineLevel="0" collapsed="false">
      <c r="A30" s="0" t="s">
        <v>116</v>
      </c>
      <c r="B30" s="1" t="n">
        <v>43890</v>
      </c>
    </row>
    <row r="31" customFormat="false" ht="13.5" hidden="false" customHeight="false" outlineLevel="0" collapsed="false">
      <c r="A31" s="0" t="s">
        <v>116</v>
      </c>
      <c r="B31" s="1" t="n">
        <v>43891</v>
      </c>
    </row>
    <row r="32" customFormat="false" ht="13.5" hidden="false" customHeight="false" outlineLevel="0" collapsed="false">
      <c r="A32" s="0" t="s">
        <v>116</v>
      </c>
      <c r="B32" s="1" t="n">
        <v>43892</v>
      </c>
    </row>
    <row r="33" customFormat="false" ht="13.5" hidden="false" customHeight="false" outlineLevel="0" collapsed="false">
      <c r="A33" s="0" t="s">
        <v>116</v>
      </c>
      <c r="B33" s="1" t="n">
        <v>43893</v>
      </c>
    </row>
    <row r="34" customFormat="false" ht="13.5" hidden="false" customHeight="false" outlineLevel="0" collapsed="false">
      <c r="A34" s="0" t="s">
        <v>116</v>
      </c>
      <c r="B34" s="1" t="n">
        <v>43894</v>
      </c>
    </row>
    <row r="35" customFormat="false" ht="13.5" hidden="false" customHeight="false" outlineLevel="0" collapsed="false">
      <c r="A35" s="0" t="s">
        <v>116</v>
      </c>
      <c r="B35" s="1" t="n">
        <v>43895</v>
      </c>
    </row>
    <row r="36" customFormat="false" ht="13.5" hidden="false" customHeight="false" outlineLevel="0" collapsed="false">
      <c r="A36" s="0" t="s">
        <v>116</v>
      </c>
      <c r="B36" s="1" t="n">
        <v>43896</v>
      </c>
    </row>
    <row r="37" customFormat="false" ht="13.5" hidden="false" customHeight="false" outlineLevel="0" collapsed="false">
      <c r="A37" s="0" t="s">
        <v>116</v>
      </c>
      <c r="B37" s="1" t="n">
        <v>43897</v>
      </c>
    </row>
    <row r="38" customFormat="false" ht="13.5" hidden="false" customHeight="false" outlineLevel="0" collapsed="false">
      <c r="A38" s="0" t="s">
        <v>116</v>
      </c>
      <c r="B38" s="1" t="n">
        <v>43898</v>
      </c>
      <c r="C38" s="0" t="n">
        <v>10</v>
      </c>
      <c r="H38" s="0" t="n">
        <v>10</v>
      </c>
      <c r="J38" s="0" t="n">
        <v>7.5</v>
      </c>
    </row>
    <row r="39" customFormat="false" ht="13.5" hidden="false" customHeight="false" outlineLevel="0" collapsed="false">
      <c r="A39" s="0" t="s">
        <v>116</v>
      </c>
      <c r="B39" s="1" t="n">
        <v>43899</v>
      </c>
      <c r="C39" s="0" t="n">
        <v>10</v>
      </c>
      <c r="D39" s="0" t="n">
        <f aca="false">C39-C38</f>
        <v>0</v>
      </c>
      <c r="H39" s="0" t="n">
        <v>10</v>
      </c>
      <c r="J39" s="0" t="n">
        <v>7.5</v>
      </c>
    </row>
    <row r="40" customFormat="false" ht="13.5" hidden="false" customHeight="false" outlineLevel="0" collapsed="false">
      <c r="A40" s="0" t="s">
        <v>116</v>
      </c>
      <c r="B40" s="1" t="n">
        <v>43900</v>
      </c>
      <c r="C40" s="0" t="n">
        <v>10</v>
      </c>
      <c r="D40" s="0" t="n">
        <f aca="false">C40-C39</f>
        <v>0</v>
      </c>
      <c r="H40" s="0" t="n">
        <v>10</v>
      </c>
      <c r="J40" s="0" t="n">
        <v>7.5</v>
      </c>
    </row>
    <row r="41" customFormat="false" ht="13.5" hidden="false" customHeight="false" outlineLevel="0" collapsed="false">
      <c r="A41" s="0" t="s">
        <v>116</v>
      </c>
      <c r="B41" s="1" t="n">
        <v>43901</v>
      </c>
      <c r="C41" s="0" t="n">
        <v>13</v>
      </c>
      <c r="D41" s="0" t="n">
        <f aca="false">C41-C40</f>
        <v>3</v>
      </c>
      <c r="H41" s="0" t="n">
        <v>13</v>
      </c>
      <c r="J41" s="0" t="n">
        <v>9.8</v>
      </c>
    </row>
    <row r="42" customFormat="false" ht="13.5" hidden="false" customHeight="false" outlineLevel="0" collapsed="false">
      <c r="A42" s="0" t="s">
        <v>116</v>
      </c>
      <c r="B42" s="1" t="n">
        <v>43902</v>
      </c>
      <c r="C42" s="0" t="n">
        <v>16</v>
      </c>
      <c r="D42" s="0" t="n">
        <f aca="false">C42-C41</f>
        <v>3</v>
      </c>
      <c r="H42" s="0" t="n">
        <v>16</v>
      </c>
      <c r="J42" s="0" t="n">
        <v>12.1</v>
      </c>
    </row>
    <row r="43" customFormat="false" ht="13.5" hidden="false" customHeight="false" outlineLevel="0" collapsed="false">
      <c r="A43" s="0" t="s">
        <v>116</v>
      </c>
      <c r="B43" s="1" t="n">
        <v>43903</v>
      </c>
      <c r="C43" s="0" t="n">
        <v>27</v>
      </c>
      <c r="D43" s="0" t="n">
        <f aca="false">C43-C42</f>
        <v>11</v>
      </c>
      <c r="H43" s="0" t="n">
        <v>27</v>
      </c>
      <c r="J43" s="0" t="n">
        <v>20.4</v>
      </c>
    </row>
    <row r="44" customFormat="false" ht="13.5" hidden="false" customHeight="false" outlineLevel="0" collapsed="false">
      <c r="A44" s="0" t="s">
        <v>116</v>
      </c>
      <c r="B44" s="1" t="n">
        <v>43904</v>
      </c>
      <c r="C44" s="0" t="n">
        <v>79</v>
      </c>
      <c r="D44" s="0" t="n">
        <f aca="false">C44-C43</f>
        <v>52</v>
      </c>
      <c r="H44" s="0" t="n">
        <v>79</v>
      </c>
      <c r="J44" s="0" t="n">
        <v>59.6</v>
      </c>
    </row>
    <row r="45" customFormat="false" ht="13.5" hidden="false" customHeight="false" outlineLevel="0" collapsed="false">
      <c r="A45" s="0" t="s">
        <v>116</v>
      </c>
      <c r="B45" s="1" t="n">
        <v>43905</v>
      </c>
      <c r="C45" s="0" t="n">
        <v>115</v>
      </c>
      <c r="D45" s="0" t="n">
        <f aca="false">C45-C44</f>
        <v>36</v>
      </c>
      <c r="H45" s="0" t="n">
        <v>115</v>
      </c>
      <c r="J45" s="0" t="n">
        <v>86.7</v>
      </c>
    </row>
    <row r="46" customFormat="false" ht="13.5" hidden="false" customHeight="false" outlineLevel="0" collapsed="false">
      <c r="A46" s="0" t="s">
        <v>116</v>
      </c>
      <c r="B46" s="1" t="n">
        <v>43906</v>
      </c>
      <c r="C46" s="0" t="n">
        <v>171</v>
      </c>
      <c r="D46" s="0" t="n">
        <f aca="false">C46-C45</f>
        <v>56</v>
      </c>
      <c r="G46" s="0" t="n">
        <v>1</v>
      </c>
      <c r="H46" s="0" t="n">
        <v>170</v>
      </c>
      <c r="J46" s="0" t="n">
        <v>128.9</v>
      </c>
    </row>
    <row r="47" customFormat="false" ht="13.5" hidden="false" customHeight="false" outlineLevel="0" collapsed="false">
      <c r="A47" s="0" t="s">
        <v>116</v>
      </c>
      <c r="B47" s="1" t="n">
        <v>43907</v>
      </c>
      <c r="C47" s="0" t="n">
        <v>205</v>
      </c>
      <c r="D47" s="0" t="n">
        <f aca="false">C47-C46</f>
        <v>34</v>
      </c>
      <c r="G47" s="0" t="n">
        <v>1</v>
      </c>
      <c r="H47" s="0" t="n">
        <v>204</v>
      </c>
      <c r="J47" s="0" t="n">
        <v>154.5</v>
      </c>
    </row>
    <row r="48" customFormat="false" ht="13.5" hidden="false" customHeight="false" outlineLevel="0" collapsed="false">
      <c r="A48" s="0" t="s">
        <v>116</v>
      </c>
      <c r="B48" s="1" t="n">
        <v>43908</v>
      </c>
      <c r="C48" s="0" t="n">
        <v>225</v>
      </c>
      <c r="D48" s="0" t="n">
        <f aca="false">C48-C47</f>
        <v>20</v>
      </c>
      <c r="G48" s="0" t="n">
        <v>1</v>
      </c>
      <c r="H48" s="0" t="n">
        <v>224</v>
      </c>
      <c r="J48" s="0" t="n">
        <v>169.6</v>
      </c>
    </row>
    <row r="49" customFormat="false" ht="13.5" hidden="false" customHeight="false" outlineLevel="0" collapsed="false">
      <c r="A49" s="0" t="s">
        <v>116</v>
      </c>
      <c r="B49" s="1" t="n">
        <v>43909</v>
      </c>
      <c r="C49" s="0" t="n">
        <v>258</v>
      </c>
      <c r="D49" s="0" t="n">
        <f aca="false">C49-C48</f>
        <v>33</v>
      </c>
      <c r="G49" s="0" t="n">
        <v>1</v>
      </c>
      <c r="H49" s="0" t="n">
        <v>257</v>
      </c>
      <c r="I49" s="0" t="n">
        <v>1</v>
      </c>
      <c r="J49" s="0" t="n">
        <v>194</v>
      </c>
    </row>
    <row r="50" customFormat="false" ht="13.5" hidden="false" customHeight="false" outlineLevel="0" collapsed="false">
      <c r="A50" s="0" t="s">
        <v>116</v>
      </c>
      <c r="B50" s="1" t="n">
        <v>43910</v>
      </c>
      <c r="C50" s="0" t="n">
        <v>267</v>
      </c>
      <c r="D50" s="0" t="n">
        <f aca="false">C50-C49</f>
        <v>9</v>
      </c>
      <c r="G50" s="0" t="n">
        <v>1</v>
      </c>
      <c r="H50" s="0" t="n">
        <v>266</v>
      </c>
      <c r="I50" s="0" t="n">
        <v>1</v>
      </c>
      <c r="J50" s="0" t="n">
        <v>201</v>
      </c>
    </row>
    <row r="51" customFormat="false" ht="13.5" hidden="false" customHeight="false" outlineLevel="0" collapsed="false">
      <c r="A51" s="0" t="s">
        <v>116</v>
      </c>
      <c r="B51" s="1" t="n">
        <v>43911</v>
      </c>
      <c r="C51" s="0" t="n">
        <v>306</v>
      </c>
      <c r="D51" s="0" t="n">
        <f aca="false">C51-C50</f>
        <v>39</v>
      </c>
      <c r="G51" s="0" t="n">
        <v>1</v>
      </c>
      <c r="H51" s="0" t="n">
        <v>305</v>
      </c>
      <c r="I51" s="0" t="n">
        <v>1</v>
      </c>
      <c r="J51" s="0" t="n">
        <v>231</v>
      </c>
    </row>
    <row r="52" customFormat="false" ht="13.5" hidden="false" customHeight="false" outlineLevel="0" collapsed="false">
      <c r="A52" s="0" t="s">
        <v>116</v>
      </c>
      <c r="B52" s="1" t="n">
        <v>43912</v>
      </c>
      <c r="C52" s="0" t="n">
        <v>306</v>
      </c>
      <c r="D52" s="0" t="n">
        <f aca="false">C52-C51</f>
        <v>0</v>
      </c>
      <c r="G52" s="0" t="n">
        <v>2</v>
      </c>
      <c r="H52" s="0" t="n">
        <v>304</v>
      </c>
      <c r="J52" s="0" t="n">
        <v>231</v>
      </c>
    </row>
    <row r="53" customFormat="false" ht="13.5" hidden="false" customHeight="false" outlineLevel="0" collapsed="false">
      <c r="A53" s="0" t="s">
        <v>116</v>
      </c>
      <c r="B53" s="1" t="n">
        <v>43913</v>
      </c>
      <c r="C53" s="0" t="n">
        <v>326</v>
      </c>
      <c r="D53" s="0" t="n">
        <f aca="false">C53-C52</f>
        <v>20</v>
      </c>
      <c r="G53" s="0" t="n">
        <v>4</v>
      </c>
      <c r="H53" s="0" t="n">
        <v>322</v>
      </c>
      <c r="I53" s="0" t="n">
        <v>2</v>
      </c>
      <c r="J53" s="0" t="n">
        <v>246</v>
      </c>
    </row>
    <row r="54" customFormat="false" ht="13.5" hidden="false" customHeight="false" outlineLevel="0" collapsed="false">
      <c r="A54" s="0" t="s">
        <v>116</v>
      </c>
      <c r="B54" s="1" t="n">
        <v>43914</v>
      </c>
      <c r="C54" s="0" t="n">
        <v>352</v>
      </c>
      <c r="D54" s="0" t="n">
        <f aca="false">C54-C53</f>
        <v>26</v>
      </c>
      <c r="G54" s="0" t="n">
        <v>4</v>
      </c>
      <c r="H54" s="0" t="n">
        <v>348</v>
      </c>
      <c r="I54" s="0" t="n">
        <v>4</v>
      </c>
      <c r="J54" s="0" t="n">
        <v>265</v>
      </c>
    </row>
    <row r="55" customFormat="false" ht="13.5" hidden="false" customHeight="false" outlineLevel="0" collapsed="false">
      <c r="A55" s="0" t="s">
        <v>116</v>
      </c>
      <c r="B55" s="1" t="n">
        <v>43915</v>
      </c>
      <c r="C55" s="0" t="n">
        <v>369</v>
      </c>
      <c r="D55" s="0" t="n">
        <f aca="false">C55-C54</f>
        <v>17</v>
      </c>
      <c r="G55" s="0" t="n">
        <v>7</v>
      </c>
      <c r="H55" s="0" t="n">
        <v>362</v>
      </c>
      <c r="I55" s="0" t="n">
        <v>4</v>
      </c>
      <c r="J55" s="0" t="n">
        <v>278</v>
      </c>
    </row>
    <row r="56" customFormat="false" ht="13.5" hidden="false" customHeight="false" outlineLevel="0" collapsed="false">
      <c r="A56" s="0" t="s">
        <v>116</v>
      </c>
      <c r="B56" s="1" t="n">
        <v>43916</v>
      </c>
      <c r="C56" s="0" t="n">
        <v>404</v>
      </c>
      <c r="D56" s="0" t="n">
        <f aca="false">C56-C55</f>
        <v>35</v>
      </c>
      <c r="E56" s="0" t="n">
        <v>1</v>
      </c>
      <c r="F56" s="0" t="n">
        <f aca="false">E56-E55</f>
        <v>1</v>
      </c>
      <c r="G56" s="0" t="n">
        <v>8</v>
      </c>
      <c r="H56" s="0" t="n">
        <v>395</v>
      </c>
      <c r="I56" s="0" t="n">
        <v>6</v>
      </c>
      <c r="J56" s="0" t="n">
        <v>305</v>
      </c>
      <c r="K56" s="0" t="n">
        <v>0.8</v>
      </c>
    </row>
    <row r="57" customFormat="false" ht="13.5" hidden="false" customHeight="false" outlineLevel="0" collapsed="false">
      <c r="A57" s="0" t="s">
        <v>116</v>
      </c>
      <c r="B57" s="1" t="n">
        <v>43917</v>
      </c>
      <c r="C57" s="0" t="n">
        <v>538</v>
      </c>
      <c r="D57" s="0" t="n">
        <f aca="false">C57-C56</f>
        <v>134</v>
      </c>
      <c r="E57" s="0" t="n">
        <v>1</v>
      </c>
      <c r="F57" s="0" t="n">
        <f aca="false">E57-E56</f>
        <v>0</v>
      </c>
      <c r="G57" s="0" t="n">
        <v>8</v>
      </c>
      <c r="H57" s="0" t="n">
        <v>529</v>
      </c>
      <c r="I57" s="0" t="n">
        <v>6</v>
      </c>
      <c r="J57" s="0" t="n">
        <v>406</v>
      </c>
      <c r="K57" s="0" t="n">
        <v>0.8</v>
      </c>
    </row>
    <row r="58" customFormat="false" ht="13.5" hidden="false" customHeight="false" outlineLevel="0" collapsed="false">
      <c r="A58" s="0" t="s">
        <v>116</v>
      </c>
      <c r="B58" s="1" t="n">
        <v>43918</v>
      </c>
      <c r="C58" s="0" t="n">
        <v>575</v>
      </c>
      <c r="D58" s="0" t="n">
        <f aca="false">C58-C57</f>
        <v>37</v>
      </c>
      <c r="E58" s="0" t="n">
        <v>1</v>
      </c>
      <c r="F58" s="0" t="n">
        <f aca="false">E58-E57</f>
        <v>0</v>
      </c>
      <c r="G58" s="0" t="n">
        <v>11</v>
      </c>
      <c r="H58" s="0" t="n">
        <v>563</v>
      </c>
      <c r="I58" s="0" t="n">
        <v>7</v>
      </c>
      <c r="J58" s="0" t="n">
        <v>433</v>
      </c>
      <c r="K58" s="0" t="n">
        <v>0.8</v>
      </c>
    </row>
    <row r="59" customFormat="false" ht="13.5" hidden="false" customHeight="false" outlineLevel="0" collapsed="false">
      <c r="A59" s="0" t="s">
        <v>116</v>
      </c>
      <c r="B59" s="1" t="n">
        <v>43919</v>
      </c>
      <c r="C59" s="0" t="n">
        <v>645</v>
      </c>
      <c r="D59" s="0" t="n">
        <f aca="false">C59-C58</f>
        <v>70</v>
      </c>
      <c r="E59" s="0" t="n">
        <v>1</v>
      </c>
      <c r="F59" s="0" t="n">
        <f aca="false">E59-E58</f>
        <v>0</v>
      </c>
      <c r="G59" s="0" t="n">
        <v>20</v>
      </c>
      <c r="H59" s="0" t="n">
        <v>624</v>
      </c>
      <c r="I59" s="0" t="n">
        <v>10</v>
      </c>
      <c r="J59" s="0" t="n">
        <v>486</v>
      </c>
      <c r="K59" s="0" t="n">
        <v>0.8</v>
      </c>
    </row>
    <row r="60" customFormat="false" ht="13.5" hidden="false" customHeight="false" outlineLevel="0" collapsed="false">
      <c r="A60" s="0" t="s">
        <v>116</v>
      </c>
      <c r="B60" s="1" t="n">
        <v>43920</v>
      </c>
      <c r="C60" s="0" t="n">
        <v>679</v>
      </c>
      <c r="D60" s="0" t="n">
        <f aca="false">C60-C59</f>
        <v>34</v>
      </c>
      <c r="E60" s="0" t="n">
        <v>3</v>
      </c>
      <c r="F60" s="0" t="n">
        <f aca="false">E60-E59</f>
        <v>2</v>
      </c>
      <c r="G60" s="0" t="n">
        <v>20</v>
      </c>
      <c r="H60" s="0" t="n">
        <v>656</v>
      </c>
      <c r="I60" s="0" t="n">
        <v>10</v>
      </c>
      <c r="J60" s="0" t="n">
        <v>512</v>
      </c>
      <c r="K60" s="0" t="n">
        <v>2</v>
      </c>
    </row>
    <row r="61" customFormat="false" ht="13.5" hidden="false" customHeight="false" outlineLevel="0" collapsed="false">
      <c r="A61" s="0" t="s">
        <v>116</v>
      </c>
      <c r="B61" s="1" t="n">
        <v>43921</v>
      </c>
      <c r="C61" s="0" t="n">
        <v>715</v>
      </c>
      <c r="D61" s="0" t="n">
        <f aca="false">C61-C60</f>
        <v>36</v>
      </c>
      <c r="E61" s="0" t="n">
        <v>3</v>
      </c>
      <c r="F61" s="0" t="n">
        <f aca="false">E61-E60</f>
        <v>0</v>
      </c>
      <c r="G61" s="0" t="n">
        <v>20</v>
      </c>
      <c r="H61" s="0" t="n">
        <v>692</v>
      </c>
      <c r="I61" s="0" t="n">
        <v>10</v>
      </c>
      <c r="J61" s="0" t="n">
        <v>539</v>
      </c>
      <c r="K61" s="0" t="n">
        <v>2</v>
      </c>
    </row>
    <row r="62" customFormat="false" ht="13.5" hidden="false" customHeight="false" outlineLevel="0" collapsed="false">
      <c r="A62" s="0" t="s">
        <v>116</v>
      </c>
      <c r="B62" s="1" t="n">
        <v>43922</v>
      </c>
      <c r="C62" s="0" t="n">
        <v>745</v>
      </c>
      <c r="D62" s="0" t="n">
        <f aca="false">C62-C61</f>
        <v>30</v>
      </c>
      <c r="E62" s="0" t="n">
        <v>4</v>
      </c>
      <c r="F62" s="0" t="n">
        <f aca="false">E62-E61</f>
        <v>1</v>
      </c>
      <c r="G62" s="0" t="n">
        <v>26</v>
      </c>
      <c r="H62" s="0" t="n">
        <v>715</v>
      </c>
      <c r="I62" s="0" t="n">
        <v>13</v>
      </c>
      <c r="J62" s="0" t="n">
        <v>562</v>
      </c>
      <c r="K62" s="0" t="n">
        <v>3</v>
      </c>
    </row>
    <row r="63" customFormat="false" ht="13.5" hidden="false" customHeight="false" outlineLevel="0" collapsed="false">
      <c r="A63" s="0" t="s">
        <v>116</v>
      </c>
      <c r="B63" s="1" t="n">
        <v>43923</v>
      </c>
      <c r="C63" s="0" t="n">
        <v>779</v>
      </c>
      <c r="D63" s="0" t="n">
        <f aca="false">C63-C62</f>
        <v>34</v>
      </c>
      <c r="E63" s="0" t="n">
        <v>5</v>
      </c>
      <c r="F63" s="0" t="n">
        <f aca="false">E63-E62</f>
        <v>1</v>
      </c>
      <c r="G63" s="0" t="n">
        <v>33</v>
      </c>
      <c r="H63" s="0" t="n">
        <v>741</v>
      </c>
      <c r="I63" s="0" t="n">
        <v>15</v>
      </c>
      <c r="J63" s="0" t="n">
        <v>587</v>
      </c>
      <c r="K63" s="0" t="n">
        <v>4</v>
      </c>
    </row>
    <row r="64" customFormat="false" ht="13.5" hidden="false" customHeight="false" outlineLevel="0" collapsed="false">
      <c r="A64" s="0" t="s">
        <v>116</v>
      </c>
      <c r="B64" s="1" t="n">
        <v>43924</v>
      </c>
      <c r="C64" s="0" t="n">
        <v>858</v>
      </c>
      <c r="D64" s="0" t="n">
        <f aca="false">C64-C63</f>
        <v>79</v>
      </c>
      <c r="E64" s="0" t="n">
        <v>11</v>
      </c>
      <c r="F64" s="0" t="n">
        <f aca="false">E64-E63</f>
        <v>6</v>
      </c>
      <c r="G64" s="0" t="n">
        <v>45</v>
      </c>
      <c r="H64" s="0" t="n">
        <v>802</v>
      </c>
      <c r="I64" s="0" t="n">
        <v>16</v>
      </c>
      <c r="J64" s="0" t="n">
        <v>647</v>
      </c>
      <c r="K64" s="0" t="n">
        <v>8</v>
      </c>
    </row>
    <row r="65" customFormat="false" ht="13.5" hidden="false" customHeight="false" outlineLevel="0" collapsed="false">
      <c r="A65" s="0" t="s">
        <v>116</v>
      </c>
      <c r="B65" s="1" t="n">
        <v>43925</v>
      </c>
      <c r="C65" s="0" t="n">
        <v>961</v>
      </c>
      <c r="D65" s="0" t="n">
        <f aca="false">C65-C64</f>
        <v>103</v>
      </c>
      <c r="E65" s="0" t="n">
        <v>12</v>
      </c>
      <c r="F65" s="0" t="n">
        <f aca="false">E65-E64</f>
        <v>1</v>
      </c>
      <c r="G65" s="0" t="n">
        <v>48</v>
      </c>
      <c r="H65" s="0" t="n">
        <v>901</v>
      </c>
      <c r="I65" s="0" t="n">
        <v>16</v>
      </c>
      <c r="J65" s="0" t="n">
        <v>724</v>
      </c>
      <c r="K65" s="0" t="n">
        <v>9</v>
      </c>
    </row>
    <row r="66" customFormat="false" ht="13.5" hidden="false" customHeight="false" outlineLevel="0" collapsed="false">
      <c r="A66" s="0" t="s">
        <v>116</v>
      </c>
      <c r="B66" s="1" t="n">
        <v>43926</v>
      </c>
      <c r="C66" s="0" t="n">
        <v>1039</v>
      </c>
      <c r="D66" s="0" t="n">
        <f aca="false">C66-C65</f>
        <v>78</v>
      </c>
      <c r="E66" s="0" t="n">
        <v>13</v>
      </c>
      <c r="F66" s="0" t="n">
        <f aca="false">E66-E65</f>
        <v>1</v>
      </c>
      <c r="G66" s="0" t="n">
        <v>59</v>
      </c>
      <c r="H66" s="0" t="n">
        <v>967</v>
      </c>
      <c r="I66" s="0" t="n">
        <v>20</v>
      </c>
      <c r="J66" s="0" t="n">
        <v>783</v>
      </c>
      <c r="K66" s="0" t="n">
        <v>10</v>
      </c>
      <c r="L66" s="0" t="n">
        <v>19091</v>
      </c>
      <c r="M66" s="0" t="n">
        <v>14392</v>
      </c>
    </row>
    <row r="67" customFormat="false" ht="13.5" hidden="false" customHeight="false" outlineLevel="0" collapsed="false">
      <c r="A67" s="0" t="s">
        <v>116</v>
      </c>
      <c r="B67" s="1" t="n">
        <v>43927</v>
      </c>
      <c r="C67" s="0" t="n">
        <v>1097</v>
      </c>
      <c r="D67" s="0" t="n">
        <f aca="false">C67-C66</f>
        <v>58</v>
      </c>
      <c r="E67" s="0" t="n">
        <v>15</v>
      </c>
      <c r="F67" s="0" t="n">
        <f aca="false">E67-E66</f>
        <v>2</v>
      </c>
      <c r="G67" s="0" t="n">
        <v>62</v>
      </c>
      <c r="H67" s="0" t="n">
        <v>1020</v>
      </c>
      <c r="I67" s="0" t="n">
        <v>17</v>
      </c>
      <c r="J67" s="0" t="n">
        <v>827</v>
      </c>
      <c r="K67" s="0" t="n">
        <v>11</v>
      </c>
      <c r="L67" s="0" t="n">
        <v>21004</v>
      </c>
      <c r="M67" s="0" t="n">
        <v>15834</v>
      </c>
    </row>
    <row r="68" customFormat="false" ht="13.5" hidden="false" customHeight="false" outlineLevel="0" collapsed="false">
      <c r="A68" s="0" t="s">
        <v>116</v>
      </c>
      <c r="B68" s="1" t="n">
        <v>43928</v>
      </c>
      <c r="C68" s="0" t="n">
        <v>1108</v>
      </c>
      <c r="D68" s="0" t="n">
        <f aca="false">C68-C67</f>
        <v>11</v>
      </c>
      <c r="E68" s="0" t="n">
        <v>19</v>
      </c>
      <c r="F68" s="0" t="n">
        <f aca="false">E68-E67</f>
        <v>4</v>
      </c>
      <c r="G68" s="0" t="n">
        <v>62</v>
      </c>
      <c r="H68" s="0" t="n">
        <v>1027</v>
      </c>
      <c r="I68" s="0" t="n">
        <v>14</v>
      </c>
      <c r="J68" s="0" t="n">
        <v>835</v>
      </c>
      <c r="K68" s="0" t="n">
        <v>14</v>
      </c>
      <c r="L68" s="0" t="n">
        <v>21866</v>
      </c>
      <c r="M68" s="0" t="n">
        <v>16484</v>
      </c>
    </row>
    <row r="69" customFormat="false" ht="13.5" hidden="false" customHeight="false" outlineLevel="0" collapsed="false">
      <c r="A69" s="0" t="s">
        <v>116</v>
      </c>
      <c r="B69" s="1" t="n">
        <v>43929</v>
      </c>
      <c r="C69" s="0" t="n">
        <v>1149</v>
      </c>
      <c r="D69" s="0" t="n">
        <f aca="false">C69-C68</f>
        <v>41</v>
      </c>
      <c r="E69" s="0" t="n">
        <v>21</v>
      </c>
      <c r="F69" s="0" t="n">
        <f aca="false">E69-E68</f>
        <v>2</v>
      </c>
      <c r="G69" s="0" t="n">
        <v>69</v>
      </c>
      <c r="H69" s="0" t="n">
        <v>1059</v>
      </c>
      <c r="I69" s="0" t="n">
        <v>12</v>
      </c>
      <c r="J69" s="0" t="n">
        <v>866</v>
      </c>
      <c r="K69" s="0" t="n">
        <v>16</v>
      </c>
      <c r="L69" s="0" t="n">
        <v>23546</v>
      </c>
      <c r="M69" s="0" t="n">
        <v>17750</v>
      </c>
    </row>
    <row r="70" customFormat="false" ht="13.5" hidden="false" customHeight="false" outlineLevel="0" collapsed="false">
      <c r="A70" s="0" t="s">
        <v>116</v>
      </c>
      <c r="B70" s="1" t="n">
        <v>43930</v>
      </c>
      <c r="C70" s="0" t="n">
        <v>1185</v>
      </c>
      <c r="D70" s="0" t="n">
        <f aca="false">C70-C69</f>
        <v>36</v>
      </c>
      <c r="E70" s="0" t="n">
        <v>24</v>
      </c>
      <c r="F70" s="0" t="n">
        <f aca="false">E70-E69</f>
        <v>3</v>
      </c>
      <c r="G70" s="0" t="n">
        <v>72</v>
      </c>
      <c r="H70" s="0" t="n">
        <v>1089</v>
      </c>
      <c r="I70" s="0" t="n">
        <v>11</v>
      </c>
      <c r="J70" s="0" t="n">
        <v>893</v>
      </c>
      <c r="K70" s="0" t="n">
        <v>18</v>
      </c>
      <c r="L70" s="0" t="n">
        <v>24813</v>
      </c>
      <c r="M70" s="0" t="n">
        <v>18705</v>
      </c>
    </row>
    <row r="71" customFormat="false" ht="13.5" hidden="false" customHeight="false" outlineLevel="0" collapsed="false">
      <c r="A71" s="0" t="s">
        <v>116</v>
      </c>
      <c r="B71" s="1" t="n">
        <v>43931</v>
      </c>
      <c r="C71" s="0" t="n">
        <v>1207</v>
      </c>
      <c r="D71" s="0" t="n">
        <f aca="false">C71-C70</f>
        <v>22</v>
      </c>
      <c r="E71" s="0" t="n">
        <v>24</v>
      </c>
      <c r="F71" s="0" t="n">
        <f aca="false">E71-E70</f>
        <v>0</v>
      </c>
      <c r="G71" s="0" t="n">
        <v>83</v>
      </c>
      <c r="H71" s="0" t="n">
        <v>1100</v>
      </c>
      <c r="I71" s="0" t="n">
        <v>9</v>
      </c>
      <c r="J71" s="0" t="n">
        <v>910</v>
      </c>
      <c r="K71" s="0" t="n">
        <v>18</v>
      </c>
      <c r="L71" s="0" t="n">
        <v>26416</v>
      </c>
      <c r="M71" s="0" t="n">
        <v>19914</v>
      </c>
    </row>
    <row r="72" customFormat="false" ht="13.5" hidden="false" customHeight="false" outlineLevel="0" collapsed="false">
      <c r="A72" s="0" t="s">
        <v>116</v>
      </c>
      <c r="B72" s="1" t="n">
        <v>43932</v>
      </c>
      <c r="C72" s="0" t="n">
        <v>1258</v>
      </c>
      <c r="D72" s="0" t="n">
        <f aca="false">C72-C71</f>
        <v>51</v>
      </c>
      <c r="E72" s="0" t="n">
        <v>24</v>
      </c>
      <c r="F72" s="0" t="n">
        <f aca="false">E72-E71</f>
        <v>0</v>
      </c>
      <c r="G72" s="0" t="n">
        <v>93</v>
      </c>
      <c r="H72" s="0" t="n">
        <v>1141</v>
      </c>
      <c r="I72" s="0" t="n">
        <v>9</v>
      </c>
      <c r="J72" s="0" t="n">
        <v>948</v>
      </c>
      <c r="K72" s="0" t="n">
        <v>18</v>
      </c>
      <c r="L72" s="0" t="n">
        <v>27883</v>
      </c>
      <c r="M72" s="0" t="n">
        <v>21019</v>
      </c>
    </row>
    <row r="73" customFormat="false" ht="13.5" hidden="false" customHeight="false" outlineLevel="0" collapsed="false">
      <c r="A73" s="0" t="s">
        <v>116</v>
      </c>
      <c r="B73" s="1" t="n">
        <v>43933</v>
      </c>
      <c r="C73" s="0" t="n">
        <v>1304</v>
      </c>
      <c r="D73" s="0" t="n">
        <f aca="false">C73-C72</f>
        <v>46</v>
      </c>
      <c r="E73" s="0" t="n">
        <v>24</v>
      </c>
      <c r="F73" s="0" t="n">
        <f aca="false">E73-E72</f>
        <v>0</v>
      </c>
      <c r="G73" s="0" t="n">
        <v>93</v>
      </c>
      <c r="H73" s="0" t="n">
        <v>1187</v>
      </c>
      <c r="I73" s="0" t="n">
        <v>11</v>
      </c>
      <c r="J73" s="0" t="n">
        <v>983</v>
      </c>
      <c r="K73" s="0" t="n">
        <v>18</v>
      </c>
      <c r="L73" s="0" t="n">
        <v>29456</v>
      </c>
      <c r="M73" s="0" t="n">
        <v>22205</v>
      </c>
    </row>
    <row r="74" customFormat="false" ht="13.5" hidden="false" customHeight="false" outlineLevel="0" collapsed="false">
      <c r="A74" s="0" t="s">
        <v>116</v>
      </c>
      <c r="B74" s="1" t="n">
        <v>43934</v>
      </c>
      <c r="C74" s="0" t="n">
        <v>1309</v>
      </c>
      <c r="D74" s="0" t="n">
        <f aca="false">C74-C73</f>
        <v>5</v>
      </c>
      <c r="E74" s="0" t="n">
        <v>25</v>
      </c>
      <c r="F74" s="0" t="n">
        <f aca="false">E74-E73</f>
        <v>1</v>
      </c>
      <c r="G74" s="0" t="n">
        <v>98</v>
      </c>
      <c r="H74" s="0" t="n">
        <v>1186</v>
      </c>
      <c r="I74" s="0" t="n">
        <v>11</v>
      </c>
      <c r="J74" s="0" t="n">
        <v>987</v>
      </c>
      <c r="K74" s="0" t="n">
        <v>19</v>
      </c>
      <c r="L74" s="0" t="n">
        <v>30349</v>
      </c>
      <c r="M74" s="0" t="n">
        <v>22878</v>
      </c>
    </row>
    <row r="75" customFormat="false" ht="13.5" hidden="false" customHeight="false" outlineLevel="0" collapsed="false">
      <c r="A75" s="0" t="s">
        <v>116</v>
      </c>
      <c r="B75" s="1" t="n">
        <v>43935</v>
      </c>
      <c r="C75" s="0" t="n">
        <v>1332</v>
      </c>
      <c r="D75" s="0" t="n">
        <f aca="false">C75-C74</f>
        <v>23</v>
      </c>
      <c r="E75" s="0" t="n">
        <v>28</v>
      </c>
      <c r="F75" s="0" t="n">
        <f aca="false">E75-E74</f>
        <v>3</v>
      </c>
      <c r="G75" s="0" t="n">
        <v>102</v>
      </c>
      <c r="H75" s="0" t="n">
        <v>1202</v>
      </c>
      <c r="I75" s="0" t="n">
        <v>9</v>
      </c>
      <c r="J75" s="0" t="n">
        <v>1004</v>
      </c>
      <c r="K75" s="0" t="n">
        <v>21</v>
      </c>
      <c r="L75" s="0" t="n">
        <v>30764</v>
      </c>
      <c r="M75" s="0" t="n">
        <v>23191</v>
      </c>
    </row>
    <row r="76" customFormat="false" ht="13.5" hidden="false" customHeight="false" outlineLevel="0" collapsed="false">
      <c r="A76" s="0" t="s">
        <v>116</v>
      </c>
      <c r="B76" s="1" t="n">
        <v>43936</v>
      </c>
      <c r="C76" s="0" t="n">
        <v>1373</v>
      </c>
      <c r="D76" s="0" t="n">
        <f aca="false">C76-C75</f>
        <v>41</v>
      </c>
      <c r="E76" s="0" t="n">
        <v>31</v>
      </c>
      <c r="F76" s="0" t="n">
        <f aca="false">E76-E75</f>
        <v>3</v>
      </c>
      <c r="G76" s="0" t="n">
        <v>115</v>
      </c>
      <c r="H76" s="0" t="n">
        <v>1227</v>
      </c>
      <c r="I76" s="0" t="n">
        <v>11</v>
      </c>
      <c r="J76" s="0" t="n">
        <v>1035</v>
      </c>
      <c r="K76" s="0" t="n">
        <v>23</v>
      </c>
      <c r="L76" s="0" t="n">
        <v>32263</v>
      </c>
      <c r="M76" s="0" t="n">
        <v>24321</v>
      </c>
    </row>
    <row r="77" customFormat="false" ht="13.5" hidden="false" customHeight="false" outlineLevel="0" collapsed="false">
      <c r="A77" s="0" t="s">
        <v>116</v>
      </c>
      <c r="B77" s="1" t="n">
        <v>43937</v>
      </c>
      <c r="C77" s="0" t="n">
        <v>1400</v>
      </c>
      <c r="D77" s="0" t="n">
        <f aca="false">C77-C76</f>
        <v>27</v>
      </c>
      <c r="E77" s="0" t="n">
        <v>35</v>
      </c>
      <c r="F77" s="0" t="n">
        <f aca="false">E77-E76</f>
        <v>4</v>
      </c>
      <c r="G77" s="0" t="n">
        <v>117</v>
      </c>
      <c r="H77" s="0" t="n">
        <v>1248</v>
      </c>
      <c r="I77" s="0" t="n">
        <v>10</v>
      </c>
      <c r="J77" s="0" t="n">
        <v>1055</v>
      </c>
      <c r="K77" s="0" t="n">
        <v>26</v>
      </c>
      <c r="L77" s="0" t="n">
        <v>33967</v>
      </c>
      <c r="M77" s="0" t="n">
        <v>25606</v>
      </c>
    </row>
    <row r="78" customFormat="false" ht="13.5" hidden="false" customHeight="false" outlineLevel="0" collapsed="false">
      <c r="A78" s="0" t="s">
        <v>116</v>
      </c>
      <c r="B78" s="1" t="n">
        <v>43938</v>
      </c>
      <c r="C78" s="0" t="n">
        <v>1434</v>
      </c>
      <c r="D78" s="0" t="n">
        <f aca="false">C78-C77</f>
        <v>34</v>
      </c>
      <c r="E78" s="0" t="n">
        <v>36</v>
      </c>
      <c r="F78" s="0" t="n">
        <f aca="false">E78-E77</f>
        <v>1</v>
      </c>
      <c r="G78" s="0" t="n">
        <v>133</v>
      </c>
      <c r="H78" s="0" t="n">
        <v>1265</v>
      </c>
      <c r="I78" s="0" t="n">
        <v>10</v>
      </c>
      <c r="J78" s="0" t="n">
        <v>1081</v>
      </c>
      <c r="K78" s="0" t="n">
        <v>27</v>
      </c>
      <c r="L78" s="0" t="n">
        <v>36024</v>
      </c>
      <c r="M78" s="0" t="n">
        <v>27156</v>
      </c>
    </row>
    <row r="79" customFormat="false" ht="13.5" hidden="false" customHeight="false" outlineLevel="0" collapsed="false">
      <c r="A79" s="0" t="s">
        <v>116</v>
      </c>
      <c r="B79" s="1" t="n">
        <v>43939</v>
      </c>
      <c r="C79" s="0" t="n">
        <v>1459</v>
      </c>
      <c r="D79" s="0" t="n">
        <f aca="false">C79-C78</f>
        <v>25</v>
      </c>
      <c r="E79" s="0" t="n">
        <v>38</v>
      </c>
      <c r="F79" s="0" t="n">
        <f aca="false">E79-E78</f>
        <v>2</v>
      </c>
      <c r="G79" s="0" t="n">
        <v>145</v>
      </c>
      <c r="H79" s="0" t="n">
        <v>1276</v>
      </c>
      <c r="I79" s="0" t="n">
        <v>11</v>
      </c>
      <c r="J79" s="0" t="n">
        <v>1100</v>
      </c>
      <c r="K79" s="0" t="n">
        <v>29</v>
      </c>
      <c r="L79" s="0" t="n">
        <v>37594</v>
      </c>
      <c r="M79" s="0" t="n">
        <v>28340</v>
      </c>
    </row>
    <row r="80" customFormat="false" ht="13.5" hidden="false" customHeight="false" outlineLevel="0" collapsed="false">
      <c r="A80" s="0" t="s">
        <v>116</v>
      </c>
      <c r="B80" s="1" t="n">
        <v>43940</v>
      </c>
      <c r="C80" s="0" t="n">
        <v>1512</v>
      </c>
      <c r="D80" s="0" t="n">
        <f aca="false">C80-C79</f>
        <v>53</v>
      </c>
      <c r="E80" s="0" t="n">
        <v>38</v>
      </c>
      <c r="F80" s="0" t="n">
        <f aca="false">E80-E79</f>
        <v>0</v>
      </c>
      <c r="G80" s="0" t="n">
        <v>162</v>
      </c>
      <c r="H80" s="0" t="n">
        <v>1312</v>
      </c>
      <c r="I80" s="0" t="n">
        <v>11</v>
      </c>
      <c r="J80" s="0" t="n">
        <v>1140</v>
      </c>
      <c r="K80" s="0" t="n">
        <v>29</v>
      </c>
      <c r="L80" s="0" t="n">
        <v>39605</v>
      </c>
      <c r="M80" s="0" t="n">
        <v>29856</v>
      </c>
    </row>
    <row r="81" customFormat="false" ht="13.5" hidden="false" customHeight="false" outlineLevel="0" collapsed="false">
      <c r="A81" s="0" t="s">
        <v>116</v>
      </c>
      <c r="B81" s="1" t="n">
        <v>43941</v>
      </c>
      <c r="C81" s="0" t="n">
        <v>1528</v>
      </c>
      <c r="D81" s="0" t="n">
        <f aca="false">C81-C80</f>
        <v>16</v>
      </c>
      <c r="E81" s="0" t="n">
        <v>40</v>
      </c>
      <c r="F81" s="0" t="n">
        <f aca="false">E81-E80</f>
        <v>2</v>
      </c>
      <c r="G81" s="0" t="n">
        <v>164</v>
      </c>
      <c r="H81" s="0" t="n">
        <v>1324</v>
      </c>
      <c r="I81" s="0" t="n">
        <v>10</v>
      </c>
      <c r="J81" s="0" t="n">
        <v>1152</v>
      </c>
      <c r="K81" s="0" t="n">
        <v>30</v>
      </c>
      <c r="L81" s="0" t="n">
        <v>40333</v>
      </c>
      <c r="M81" s="0" t="n">
        <v>30405</v>
      </c>
    </row>
    <row r="82" customFormat="false" ht="13.5" hidden="false" customHeight="false" outlineLevel="0" collapsed="false">
      <c r="A82" s="0" t="s">
        <v>116</v>
      </c>
      <c r="B82" s="1" t="n">
        <v>43942</v>
      </c>
      <c r="C82" s="0" t="n">
        <v>1535</v>
      </c>
      <c r="D82" s="0" t="n">
        <f aca="false">C82-C81</f>
        <v>7</v>
      </c>
      <c r="E82" s="0" t="n">
        <v>40</v>
      </c>
      <c r="F82" s="0" t="n">
        <f aca="false">E82-E81</f>
        <v>0</v>
      </c>
      <c r="G82" s="0" t="n">
        <v>165</v>
      </c>
      <c r="H82" s="0" t="n">
        <v>1330</v>
      </c>
      <c r="I82" s="0" t="n">
        <v>9</v>
      </c>
      <c r="J82" s="0" t="n">
        <v>1157</v>
      </c>
      <c r="K82" s="0" t="n">
        <v>30</v>
      </c>
      <c r="L82" s="0" t="n">
        <v>40930</v>
      </c>
      <c r="M82" s="0" t="n">
        <v>30855</v>
      </c>
    </row>
    <row r="83" customFormat="false" ht="13.5" hidden="false" customHeight="false" outlineLevel="0" collapsed="false">
      <c r="A83" s="0" t="s">
        <v>116</v>
      </c>
      <c r="B83" s="1" t="n">
        <v>43943</v>
      </c>
      <c r="C83" s="0" t="n">
        <v>1552</v>
      </c>
      <c r="D83" s="0" t="n">
        <f aca="false">C83-C82</f>
        <v>17</v>
      </c>
      <c r="E83" s="0" t="n">
        <v>43</v>
      </c>
      <c r="F83" s="0" t="n">
        <f aca="false">E83-E82</f>
        <v>3</v>
      </c>
      <c r="G83" s="0" t="n">
        <v>169</v>
      </c>
      <c r="H83" s="0" t="n">
        <v>1340</v>
      </c>
      <c r="I83" s="0" t="n">
        <v>9</v>
      </c>
      <c r="J83" s="0" t="n">
        <v>1170</v>
      </c>
      <c r="K83" s="0" t="n">
        <v>32</v>
      </c>
      <c r="L83" s="0" t="n">
        <v>42213</v>
      </c>
      <c r="M83" s="0" t="n">
        <v>31822</v>
      </c>
    </row>
    <row r="84" customFormat="false" ht="13.5" hidden="false" customHeight="false" outlineLevel="0" collapsed="false">
      <c r="A84" s="0" t="s">
        <v>116</v>
      </c>
      <c r="B84" s="1" t="n">
        <v>43944</v>
      </c>
      <c r="C84" s="0" t="n">
        <v>1559</v>
      </c>
      <c r="D84" s="0" t="n">
        <f aca="false">C84-C83</f>
        <v>7</v>
      </c>
      <c r="E84" s="0" t="n">
        <v>44</v>
      </c>
      <c r="F84" s="0" t="n">
        <f aca="false">E84-E83</f>
        <v>1</v>
      </c>
      <c r="G84" s="0" t="n">
        <v>184</v>
      </c>
      <c r="H84" s="0" t="n">
        <v>1331</v>
      </c>
      <c r="I84" s="0" t="n">
        <v>7</v>
      </c>
      <c r="J84" s="0" t="n">
        <v>1175</v>
      </c>
      <c r="K84" s="0" t="n">
        <v>33</v>
      </c>
      <c r="L84" s="0" t="n">
        <v>43637</v>
      </c>
      <c r="M84" s="0" t="n">
        <v>32895</v>
      </c>
    </row>
    <row r="85" customFormat="false" ht="13.5" hidden="false" customHeight="false" outlineLevel="0" collapsed="false">
      <c r="A85" s="0" t="s">
        <v>116</v>
      </c>
      <c r="B85" s="1" t="n">
        <v>43945</v>
      </c>
      <c r="C85" s="0" t="n">
        <v>1592</v>
      </c>
      <c r="D85" s="0" t="n">
        <f aca="false">C85-C84</f>
        <v>33</v>
      </c>
      <c r="E85" s="0" t="n">
        <v>45</v>
      </c>
      <c r="F85" s="0" t="n">
        <f aca="false">E85-E84</f>
        <v>1</v>
      </c>
      <c r="G85" s="0" t="n">
        <v>192</v>
      </c>
      <c r="H85" s="0" t="n">
        <v>1355</v>
      </c>
      <c r="I85" s="0" t="n">
        <v>7</v>
      </c>
      <c r="J85" s="0" t="n">
        <v>1200</v>
      </c>
      <c r="K85" s="0" t="n">
        <v>34</v>
      </c>
      <c r="L85" s="0" t="n">
        <v>45181</v>
      </c>
      <c r="M85" s="0" t="n">
        <v>34059</v>
      </c>
    </row>
    <row r="86" customFormat="false" ht="13.5" hidden="false" customHeight="false" outlineLevel="0" collapsed="false">
      <c r="A86" s="0" t="s">
        <v>116</v>
      </c>
      <c r="B86" s="1" t="n">
        <v>43946</v>
      </c>
      <c r="C86" s="0" t="n">
        <v>1605</v>
      </c>
      <c r="D86" s="0" t="n">
        <f aca="false">C86-C85</f>
        <v>13</v>
      </c>
      <c r="E86" s="0" t="n">
        <v>46</v>
      </c>
      <c r="F86" s="0" t="n">
        <f aca="false">E86-E85</f>
        <v>1</v>
      </c>
      <c r="G86" s="0" t="n">
        <v>206</v>
      </c>
      <c r="H86" s="0" t="n">
        <v>1353</v>
      </c>
      <c r="I86" s="0" t="n">
        <v>6</v>
      </c>
      <c r="J86" s="0" t="n">
        <v>1210</v>
      </c>
      <c r="K86" s="0" t="n">
        <v>35</v>
      </c>
      <c r="L86" s="0" t="n">
        <v>46281</v>
      </c>
      <c r="M86" s="0" t="n">
        <v>34889</v>
      </c>
    </row>
    <row r="87" customFormat="false" ht="13.5" hidden="false" customHeight="false" outlineLevel="0" collapsed="false">
      <c r="A87" s="0" t="s">
        <v>116</v>
      </c>
      <c r="B87" s="1" t="n">
        <v>43947</v>
      </c>
      <c r="C87" s="0" t="n">
        <v>1635</v>
      </c>
      <c r="D87" s="0" t="n">
        <f aca="false">C87-C86</f>
        <v>30</v>
      </c>
      <c r="E87" s="0" t="n">
        <v>46</v>
      </c>
      <c r="F87" s="0" t="n">
        <f aca="false">E87-E86</f>
        <v>0</v>
      </c>
      <c r="G87" s="0" t="n">
        <v>228</v>
      </c>
      <c r="H87" s="0" t="n">
        <v>1361</v>
      </c>
      <c r="I87" s="0" t="n">
        <v>6</v>
      </c>
      <c r="J87" s="0" t="n">
        <v>1233</v>
      </c>
      <c r="K87" s="0" t="n">
        <v>35</v>
      </c>
      <c r="L87" s="0" t="n">
        <v>47331</v>
      </c>
      <c r="M87" s="0" t="n">
        <v>35680</v>
      </c>
    </row>
    <row r="88" customFormat="false" ht="13.5" hidden="false" customHeight="false" outlineLevel="0" collapsed="false">
      <c r="A88" s="0" t="s">
        <v>116</v>
      </c>
      <c r="B88" s="1" t="n">
        <v>43948</v>
      </c>
      <c r="C88" s="0" t="n">
        <v>1643</v>
      </c>
      <c r="D88" s="0" t="n">
        <f aca="false">C88-C87</f>
        <v>8</v>
      </c>
      <c r="E88" s="0" t="n">
        <v>49</v>
      </c>
      <c r="F88" s="0" t="n">
        <f aca="false">E88-E87</f>
        <v>3</v>
      </c>
      <c r="G88" s="0" t="n">
        <v>233</v>
      </c>
      <c r="H88" s="0" t="n">
        <v>1361</v>
      </c>
      <c r="I88" s="0" t="n">
        <v>6</v>
      </c>
      <c r="J88" s="0" t="n">
        <v>1239</v>
      </c>
      <c r="K88" s="0" t="n">
        <v>37</v>
      </c>
      <c r="L88" s="0" t="n">
        <v>47933</v>
      </c>
      <c r="M88" s="0" t="n">
        <v>36134</v>
      </c>
    </row>
    <row r="89" customFormat="false" ht="13.5" hidden="false" customHeight="false" outlineLevel="0" collapsed="false">
      <c r="A89" s="0" t="s">
        <v>116</v>
      </c>
      <c r="B89" s="1" t="n">
        <v>43949</v>
      </c>
      <c r="C89" s="0" t="n">
        <v>1647</v>
      </c>
      <c r="D89" s="0" t="n">
        <f aca="false">C89-C88</f>
        <v>4</v>
      </c>
      <c r="E89" s="0" t="n">
        <v>50</v>
      </c>
      <c r="F89" s="0" t="n">
        <f aca="false">E89-E88</f>
        <v>1</v>
      </c>
      <c r="G89" s="0" t="n">
        <v>233</v>
      </c>
      <c r="H89" s="0" t="n">
        <v>1364</v>
      </c>
      <c r="I89" s="0" t="n">
        <v>7</v>
      </c>
      <c r="J89" s="0" t="n">
        <v>1242</v>
      </c>
      <c r="K89" s="0" t="n">
        <v>38</v>
      </c>
      <c r="L89" s="0" t="n">
        <v>48406</v>
      </c>
      <c r="M89" s="0" t="n">
        <v>36491</v>
      </c>
    </row>
    <row r="90" customFormat="false" ht="13.5" hidden="false" customHeight="false" outlineLevel="0" collapsed="false">
      <c r="A90" s="0" t="s">
        <v>116</v>
      </c>
      <c r="B90" s="1" t="n">
        <v>43950</v>
      </c>
      <c r="C90" s="0" t="n">
        <v>1660</v>
      </c>
      <c r="D90" s="0" t="n">
        <f aca="false">C90-C89</f>
        <v>13</v>
      </c>
      <c r="E90" s="0" t="n">
        <v>50</v>
      </c>
      <c r="F90" s="0" t="n">
        <f aca="false">E90-E89</f>
        <v>0</v>
      </c>
      <c r="G90" s="0" t="n">
        <v>240</v>
      </c>
      <c r="H90" s="0" t="n">
        <v>1370</v>
      </c>
      <c r="I90" s="0" t="n">
        <v>9</v>
      </c>
      <c r="J90" s="0" t="n">
        <v>1251</v>
      </c>
      <c r="K90" s="0" t="n">
        <v>38</v>
      </c>
      <c r="L90" s="0" t="n">
        <v>49527</v>
      </c>
      <c r="M90" s="0" t="n">
        <v>37336</v>
      </c>
    </row>
    <row r="91" customFormat="false" ht="13.5" hidden="false" customHeight="false" outlineLevel="0" collapsed="false">
      <c r="A91" s="0" t="s">
        <v>116</v>
      </c>
      <c r="B91" s="1" t="n">
        <v>43951</v>
      </c>
      <c r="C91" s="0" t="n">
        <v>1666</v>
      </c>
      <c r="D91" s="0" t="n">
        <f aca="false">C91-C90</f>
        <v>6</v>
      </c>
      <c r="E91" s="0" t="n">
        <v>50</v>
      </c>
      <c r="F91" s="0" t="n">
        <f aca="false">E91-E90</f>
        <v>0</v>
      </c>
      <c r="G91" s="0" t="n">
        <v>236</v>
      </c>
      <c r="H91" s="0" t="n">
        <v>1380</v>
      </c>
      <c r="I91" s="0" t="n">
        <v>10</v>
      </c>
      <c r="J91" s="0" t="n">
        <v>1256</v>
      </c>
      <c r="K91" s="0" t="n">
        <v>38</v>
      </c>
      <c r="L91" s="0" t="n">
        <v>51188</v>
      </c>
      <c r="M91" s="0" t="n">
        <v>38588</v>
      </c>
    </row>
    <row r="92" customFormat="false" ht="13.5" hidden="false" customHeight="false" outlineLevel="0" collapsed="false">
      <c r="A92" s="0" t="s">
        <v>116</v>
      </c>
      <c r="B92" s="1" t="n">
        <v>43952</v>
      </c>
      <c r="C92" s="0" t="n">
        <v>1689</v>
      </c>
      <c r="D92" s="0" t="n">
        <f aca="false">C92-C91</f>
        <v>23</v>
      </c>
      <c r="E92" s="0" t="n">
        <v>52</v>
      </c>
      <c r="F92" s="0" t="n">
        <f aca="false">E92-E91</f>
        <v>2</v>
      </c>
      <c r="G92" s="0" t="n">
        <v>249</v>
      </c>
      <c r="H92" s="0" t="n">
        <v>1388</v>
      </c>
      <c r="I92" s="0" t="n">
        <v>9</v>
      </c>
      <c r="J92" s="0" t="n">
        <v>1273</v>
      </c>
      <c r="K92" s="0" t="n">
        <v>39</v>
      </c>
      <c r="L92" s="0" t="n">
        <v>52741</v>
      </c>
      <c r="M92" s="0" t="n">
        <v>39758</v>
      </c>
    </row>
    <row r="93" customFormat="false" ht="13.5" hidden="false" customHeight="false" outlineLevel="0" collapsed="false">
      <c r="A93" s="0" t="s">
        <v>116</v>
      </c>
      <c r="B93" s="1" t="n">
        <v>43953</v>
      </c>
      <c r="C93" s="0" t="n">
        <v>1694</v>
      </c>
      <c r="D93" s="0" t="n">
        <f aca="false">C93-C92</f>
        <v>5</v>
      </c>
      <c r="E93" s="0" t="n">
        <v>52</v>
      </c>
      <c r="F93" s="0" t="n">
        <f aca="false">E93-E92</f>
        <v>0</v>
      </c>
      <c r="G93" s="0" t="n">
        <v>253</v>
      </c>
      <c r="H93" s="0" t="n">
        <v>1389</v>
      </c>
      <c r="I93" s="0" t="n">
        <v>7</v>
      </c>
      <c r="J93" s="0" t="n">
        <v>1277</v>
      </c>
      <c r="K93" s="0" t="n">
        <v>39</v>
      </c>
      <c r="L93" s="0" t="n">
        <v>53767</v>
      </c>
      <c r="M93" s="0" t="n">
        <v>40532</v>
      </c>
    </row>
    <row r="94" customFormat="false" ht="13.5" hidden="false" customHeight="false" outlineLevel="0" collapsed="false">
      <c r="A94" s="0" t="s">
        <v>116</v>
      </c>
      <c r="B94" s="1" t="n">
        <v>43954</v>
      </c>
      <c r="C94" s="0" t="n">
        <v>1699</v>
      </c>
      <c r="D94" s="0" t="n">
        <f aca="false">C94-C93</f>
        <v>5</v>
      </c>
      <c r="E94" s="0" t="n">
        <v>53</v>
      </c>
      <c r="F94" s="0" t="n">
        <f aca="false">E94-E93</f>
        <v>1</v>
      </c>
      <c r="G94" s="0" t="n">
        <v>256</v>
      </c>
      <c r="H94" s="0" t="n">
        <v>1390</v>
      </c>
      <c r="I94" s="0" t="n">
        <v>7</v>
      </c>
      <c r="J94" s="0" t="n">
        <v>1281</v>
      </c>
      <c r="K94" s="0" t="n">
        <v>40</v>
      </c>
      <c r="L94" s="0" t="n">
        <v>54464</v>
      </c>
      <c r="M94" s="0" t="n">
        <v>41057</v>
      </c>
    </row>
    <row r="95" customFormat="false" ht="13.5" hidden="false" customHeight="false" outlineLevel="0" collapsed="false">
      <c r="A95" s="0" t="s">
        <v>116</v>
      </c>
      <c r="B95" s="1" t="n">
        <v>43955</v>
      </c>
      <c r="C95" s="0" t="n">
        <v>1700</v>
      </c>
      <c r="D95" s="0" t="n">
        <f aca="false">C95-C94</f>
        <v>1</v>
      </c>
      <c r="E95" s="0" t="n">
        <v>55</v>
      </c>
      <c r="F95" s="0" t="n">
        <f aca="false">E95-E94</f>
        <v>2</v>
      </c>
      <c r="G95" s="0" t="n">
        <v>259</v>
      </c>
      <c r="H95" s="0" t="n">
        <v>1386</v>
      </c>
      <c r="I95" s="0" t="n">
        <v>7</v>
      </c>
      <c r="J95" s="0" t="n">
        <v>1282</v>
      </c>
      <c r="K95" s="0" t="n">
        <v>41</v>
      </c>
      <c r="L95" s="0" t="n">
        <v>55206</v>
      </c>
      <c r="M95" s="0" t="n">
        <v>41617</v>
      </c>
    </row>
    <row r="96" customFormat="false" ht="13.5" hidden="false" customHeight="false" outlineLevel="0" collapsed="false">
      <c r="A96" s="0" t="s">
        <v>116</v>
      </c>
      <c r="B96" s="1" t="n">
        <v>43956</v>
      </c>
      <c r="C96" s="0" t="n">
        <v>1703</v>
      </c>
      <c r="D96" s="0" t="n">
        <f aca="false">C96-C95</f>
        <v>3</v>
      </c>
      <c r="E96" s="0" t="n">
        <v>55</v>
      </c>
      <c r="F96" s="0" t="n">
        <f aca="false">E96-E95</f>
        <v>0</v>
      </c>
      <c r="G96" s="0" t="n">
        <v>259</v>
      </c>
      <c r="H96" s="0" t="n">
        <v>1389</v>
      </c>
      <c r="I96" s="0" t="n">
        <v>6</v>
      </c>
      <c r="J96" s="0" t="n">
        <v>1284</v>
      </c>
      <c r="K96" s="0" t="n">
        <v>41</v>
      </c>
      <c r="L96" s="0" t="n">
        <v>55784</v>
      </c>
      <c r="M96" s="0" t="n">
        <v>42052</v>
      </c>
    </row>
    <row r="97" customFormat="false" ht="13.5" hidden="false" customHeight="false" outlineLevel="0" collapsed="false">
      <c r="A97" s="0" t="s">
        <v>116</v>
      </c>
      <c r="B97" s="1" t="n">
        <v>43957</v>
      </c>
      <c r="C97" s="0" t="n">
        <v>1711</v>
      </c>
      <c r="D97" s="0" t="n">
        <f aca="false">C97-C96</f>
        <v>8</v>
      </c>
      <c r="E97" s="0" t="n">
        <v>55</v>
      </c>
      <c r="F97" s="0" t="n">
        <f aca="false">E97-E96</f>
        <v>0</v>
      </c>
      <c r="G97" s="0" t="n">
        <v>261</v>
      </c>
      <c r="H97" s="0" t="n">
        <v>1395</v>
      </c>
      <c r="I97" s="0" t="n">
        <v>6</v>
      </c>
      <c r="J97" s="0" t="n">
        <v>1290</v>
      </c>
      <c r="K97" s="0" t="n">
        <v>41</v>
      </c>
      <c r="L97" s="0" t="n">
        <v>57423</v>
      </c>
      <c r="M97" s="0" t="n">
        <v>43288</v>
      </c>
    </row>
    <row r="98" customFormat="false" ht="13.5" hidden="false" customHeight="false" outlineLevel="0" collapsed="false">
      <c r="A98" s="0" t="s">
        <v>116</v>
      </c>
      <c r="B98" s="1" t="n">
        <v>43958</v>
      </c>
      <c r="C98" s="0" t="n">
        <v>1713</v>
      </c>
      <c r="D98" s="0" t="n">
        <f aca="false">C98-C97</f>
        <v>2</v>
      </c>
      <c r="E98" s="0" t="n">
        <v>55</v>
      </c>
      <c r="F98" s="0" t="n">
        <f aca="false">E98-E97</f>
        <v>0</v>
      </c>
      <c r="G98" s="0" t="n">
        <v>264</v>
      </c>
      <c r="H98" s="0" t="n">
        <v>1394</v>
      </c>
      <c r="I98" s="0" t="n">
        <v>4</v>
      </c>
      <c r="J98" s="0" t="n">
        <v>1291</v>
      </c>
      <c r="K98" s="0" t="n">
        <v>41</v>
      </c>
      <c r="L98" s="0" t="n">
        <v>58955</v>
      </c>
      <c r="M98" s="0" t="n">
        <v>44443</v>
      </c>
    </row>
    <row r="99" customFormat="false" ht="13.5" hidden="false" customHeight="false" outlineLevel="0" collapsed="false">
      <c r="A99" s="0" t="s">
        <v>116</v>
      </c>
      <c r="B99" s="1" t="n">
        <v>43959</v>
      </c>
      <c r="C99" s="0" t="n">
        <v>1720</v>
      </c>
      <c r="D99" s="0" t="n">
        <f aca="false">C99-C98</f>
        <v>7</v>
      </c>
      <c r="E99" s="0" t="n">
        <v>56</v>
      </c>
      <c r="F99" s="0" t="n">
        <f aca="false">E99-E98</f>
        <v>1</v>
      </c>
      <c r="G99" s="0" t="n">
        <v>273</v>
      </c>
      <c r="H99" s="0" t="n">
        <v>1391</v>
      </c>
      <c r="I99" s="0" t="n">
        <v>4</v>
      </c>
      <c r="J99" s="0" t="n">
        <v>1297</v>
      </c>
      <c r="K99" s="0" t="n">
        <v>42</v>
      </c>
      <c r="L99" s="0" t="n">
        <v>60530</v>
      </c>
      <c r="M99" s="0" t="n">
        <v>45630</v>
      </c>
    </row>
    <row r="100" customFormat="false" ht="13.5" hidden="false" customHeight="false" outlineLevel="0" collapsed="false">
      <c r="A100" s="0" t="s">
        <v>116</v>
      </c>
      <c r="B100" s="1" t="n">
        <v>43960</v>
      </c>
      <c r="C100" s="0" t="n">
        <v>1725</v>
      </c>
      <c r="D100" s="0" t="n">
        <f aca="false">C100-C99</f>
        <v>5</v>
      </c>
      <c r="E100" s="0" t="n">
        <v>56</v>
      </c>
      <c r="F100" s="0" t="n">
        <f aca="false">E100-E99</f>
        <v>0</v>
      </c>
      <c r="G100" s="0" t="n">
        <v>704</v>
      </c>
      <c r="H100" s="0" t="n">
        <v>965</v>
      </c>
      <c r="I100" s="0" t="n">
        <v>4</v>
      </c>
      <c r="J100" s="0" t="n">
        <v>1300</v>
      </c>
      <c r="K100" s="0" t="n">
        <v>42</v>
      </c>
      <c r="L100" s="0" t="n">
        <v>61767</v>
      </c>
      <c r="M100" s="0" t="n">
        <v>46563</v>
      </c>
    </row>
    <row r="101" customFormat="false" ht="13.5" hidden="false" customHeight="false" outlineLevel="0" collapsed="false">
      <c r="A101" s="0" t="s">
        <v>116</v>
      </c>
      <c r="B101" s="1" t="n">
        <v>43961</v>
      </c>
      <c r="C101" s="0" t="n">
        <v>1733</v>
      </c>
      <c r="D101" s="0" t="n">
        <f aca="false">C101-C100</f>
        <v>8</v>
      </c>
      <c r="E101" s="0" t="n">
        <v>60</v>
      </c>
      <c r="F101" s="0" t="n">
        <f aca="false">E101-E100</f>
        <v>4</v>
      </c>
      <c r="G101" s="0" t="n">
        <v>747</v>
      </c>
      <c r="H101" s="0" t="n">
        <v>926</v>
      </c>
      <c r="I101" s="0" t="n">
        <v>5</v>
      </c>
      <c r="J101" s="0" t="n">
        <v>1306</v>
      </c>
      <c r="K101" s="0" t="n">
        <v>45</v>
      </c>
      <c r="L101" s="0" t="n">
        <v>62720</v>
      </c>
      <c r="M101" s="0" t="n">
        <v>47281</v>
      </c>
    </row>
    <row r="102" customFormat="false" ht="13.5" hidden="false" customHeight="false" outlineLevel="0" collapsed="false">
      <c r="A102" s="0" t="s">
        <v>116</v>
      </c>
      <c r="B102" s="1" t="n">
        <v>43962</v>
      </c>
      <c r="C102" s="0" t="n">
        <v>1739</v>
      </c>
      <c r="D102" s="0" t="n">
        <f aca="false">C102-C101</f>
        <v>6</v>
      </c>
      <c r="E102" s="0" t="n">
        <v>60</v>
      </c>
      <c r="F102" s="0" t="n">
        <f aca="false">E102-E101</f>
        <v>0</v>
      </c>
      <c r="G102" s="0" t="n">
        <v>750</v>
      </c>
      <c r="H102" s="0" t="n">
        <v>929</v>
      </c>
      <c r="I102" s="0" t="n">
        <v>5</v>
      </c>
      <c r="J102" s="0" t="n">
        <v>1311</v>
      </c>
      <c r="K102" s="0" t="n">
        <v>45</v>
      </c>
      <c r="L102" s="0" t="n">
        <v>63372</v>
      </c>
      <c r="M102" s="0" t="n">
        <v>47773</v>
      </c>
    </row>
    <row r="103" customFormat="false" ht="13.5" hidden="false" customHeight="false" outlineLevel="0" collapsed="false">
      <c r="A103" s="0" t="s">
        <v>116</v>
      </c>
      <c r="B103" s="1" t="n">
        <v>43963</v>
      </c>
      <c r="C103" s="0" t="n">
        <v>1741</v>
      </c>
      <c r="D103" s="0" t="n">
        <f aca="false">C103-C102</f>
        <v>2</v>
      </c>
      <c r="E103" s="0" t="n">
        <v>61</v>
      </c>
      <c r="F103" s="0" t="n">
        <f aca="false">E103-E102</f>
        <v>1</v>
      </c>
      <c r="G103" s="0" t="n">
        <v>751</v>
      </c>
      <c r="H103" s="0" t="n">
        <v>929</v>
      </c>
      <c r="I103" s="0" t="n">
        <v>5</v>
      </c>
      <c r="J103" s="0" t="n">
        <v>1312</v>
      </c>
      <c r="K103" s="0" t="n">
        <v>46</v>
      </c>
      <c r="L103" s="0" t="n">
        <v>63964</v>
      </c>
      <c r="M103" s="0" t="n">
        <v>48219</v>
      </c>
    </row>
    <row r="104" customFormat="false" ht="13.5" hidden="false" customHeight="false" outlineLevel="0" collapsed="false">
      <c r="A104" s="0" t="s">
        <v>116</v>
      </c>
      <c r="B104" s="1" t="n">
        <v>43964</v>
      </c>
      <c r="C104" s="0" t="n">
        <v>1746</v>
      </c>
      <c r="D104" s="0" t="n">
        <f aca="false">C104-C103</f>
        <v>5</v>
      </c>
      <c r="E104" s="0" t="n">
        <v>61</v>
      </c>
      <c r="F104" s="0" t="n">
        <f aca="false">E104-E103</f>
        <v>0</v>
      </c>
      <c r="G104" s="0" t="n">
        <v>777</v>
      </c>
      <c r="H104" s="0" t="n">
        <v>908</v>
      </c>
      <c r="I104" s="0" t="n">
        <v>5</v>
      </c>
      <c r="J104" s="0" t="n">
        <v>1316</v>
      </c>
      <c r="K104" s="0" t="n">
        <v>46</v>
      </c>
      <c r="L104" s="0" t="n">
        <v>64975</v>
      </c>
      <c r="M104" s="0" t="n">
        <v>48981</v>
      </c>
    </row>
    <row r="105" customFormat="false" ht="13.5" hidden="false" customHeight="false" outlineLevel="0" collapsed="false">
      <c r="A105" s="0" t="s">
        <v>116</v>
      </c>
      <c r="B105" s="1" t="n">
        <v>43965</v>
      </c>
      <c r="C105" s="0" t="n">
        <v>1751</v>
      </c>
      <c r="D105" s="0" t="n">
        <f aca="false">C105-C104</f>
        <v>5</v>
      </c>
      <c r="E105" s="0" t="n">
        <v>61</v>
      </c>
      <c r="F105" s="0" t="n">
        <f aca="false">E105-E104</f>
        <v>0</v>
      </c>
      <c r="G105" s="0" t="n">
        <v>777</v>
      </c>
      <c r="H105" s="0" t="n">
        <v>913</v>
      </c>
      <c r="I105" s="0" t="n">
        <v>5</v>
      </c>
      <c r="J105" s="0" t="n">
        <v>1320</v>
      </c>
      <c r="K105" s="0" t="n">
        <v>46</v>
      </c>
      <c r="L105" s="0" t="n">
        <v>66102</v>
      </c>
      <c r="M105" s="0" t="n">
        <v>49831</v>
      </c>
    </row>
    <row r="106" customFormat="false" ht="13.5" hidden="false" customHeight="false" outlineLevel="0" collapsed="false">
      <c r="A106" s="0" t="s">
        <v>116</v>
      </c>
      <c r="B106" s="1" t="n">
        <v>43966</v>
      </c>
      <c r="C106" s="0" t="n">
        <v>1758</v>
      </c>
      <c r="D106" s="0" t="n">
        <f aca="false">C106-C105</f>
        <v>7</v>
      </c>
      <c r="E106" s="0" t="n">
        <v>62</v>
      </c>
      <c r="F106" s="0" t="n">
        <f aca="false">E106-E105</f>
        <v>1</v>
      </c>
      <c r="G106" s="0" t="n">
        <v>909</v>
      </c>
      <c r="H106" s="0" t="n">
        <v>787</v>
      </c>
      <c r="I106" s="0" t="n">
        <v>5</v>
      </c>
      <c r="J106" s="0" t="n">
        <v>1325</v>
      </c>
      <c r="K106" s="0" t="n">
        <v>47</v>
      </c>
      <c r="L106" s="0" t="n">
        <v>67130</v>
      </c>
      <c r="M106" s="0" t="n">
        <v>50606</v>
      </c>
    </row>
    <row r="107" customFormat="false" ht="13.5" hidden="false" customHeight="false" outlineLevel="0" collapsed="false">
      <c r="A107" s="0" t="s">
        <v>116</v>
      </c>
      <c r="B107" s="1" t="n">
        <v>43967</v>
      </c>
      <c r="C107" s="0" t="n">
        <v>1766</v>
      </c>
      <c r="D107" s="0" t="n">
        <f aca="false">C107-C106</f>
        <v>8</v>
      </c>
      <c r="E107" s="0" t="n">
        <v>63</v>
      </c>
      <c r="F107" s="0" t="n">
        <f aca="false">E107-E106</f>
        <v>1</v>
      </c>
      <c r="G107" s="0" t="n">
        <v>923</v>
      </c>
      <c r="H107" s="0" t="n">
        <v>780</v>
      </c>
      <c r="I107" s="0" t="n">
        <v>5</v>
      </c>
      <c r="J107" s="0" t="n">
        <v>1331</v>
      </c>
      <c r="K107" s="0" t="n">
        <v>47</v>
      </c>
      <c r="L107" s="0" t="n">
        <v>68097</v>
      </c>
      <c r="M107" s="0" t="n">
        <v>51339</v>
      </c>
    </row>
    <row r="108" customFormat="false" ht="13.5" hidden="false" customHeight="false" outlineLevel="0" collapsed="false">
      <c r="A108" s="0" t="s">
        <v>116</v>
      </c>
      <c r="B108" s="1" t="n">
        <v>43968</v>
      </c>
      <c r="C108" s="0" t="n">
        <v>1770</v>
      </c>
      <c r="D108" s="0" t="n">
        <f aca="false">C108-C107</f>
        <v>4</v>
      </c>
      <c r="E108" s="0" t="n">
        <v>63</v>
      </c>
      <c r="F108" s="0" t="n">
        <f aca="false">E108-E107</f>
        <v>0</v>
      </c>
      <c r="G108" s="0" t="n">
        <v>934</v>
      </c>
      <c r="H108" s="0" t="n">
        <v>773</v>
      </c>
      <c r="I108" s="0" t="n">
        <v>5</v>
      </c>
      <c r="J108" s="0" t="n">
        <v>1334</v>
      </c>
      <c r="K108" s="0" t="n">
        <v>47</v>
      </c>
      <c r="L108" s="0" t="n">
        <v>68840</v>
      </c>
      <c r="M108" s="0" t="n">
        <v>51899</v>
      </c>
    </row>
    <row r="109" customFormat="false" ht="13.5" hidden="false" customHeight="false" outlineLevel="0" collapsed="false">
      <c r="A109" s="0" t="s">
        <v>116</v>
      </c>
      <c r="B109" s="1" t="n">
        <v>43969</v>
      </c>
      <c r="C109" s="0" t="n">
        <v>1774</v>
      </c>
      <c r="D109" s="0" t="n">
        <f aca="false">C109-C108</f>
        <v>4</v>
      </c>
      <c r="E109" s="0" t="n">
        <v>63</v>
      </c>
      <c r="F109" s="0" t="n">
        <f aca="false">E109-E108</f>
        <v>0</v>
      </c>
      <c r="G109" s="0" t="n">
        <v>938</v>
      </c>
      <c r="H109" s="0" t="n">
        <v>773</v>
      </c>
      <c r="I109" s="0" t="n">
        <v>4</v>
      </c>
      <c r="J109" s="0" t="n">
        <v>1337</v>
      </c>
      <c r="K109" s="0" t="n">
        <v>47</v>
      </c>
      <c r="L109" s="0" t="n">
        <v>69520</v>
      </c>
      <c r="M109" s="0" t="n">
        <v>52411</v>
      </c>
    </row>
    <row r="110" customFormat="false" ht="13.5" hidden="false" customHeight="false" outlineLevel="0" collapsed="false">
      <c r="A110" s="0" t="s">
        <v>116</v>
      </c>
      <c r="B110" s="1" t="n">
        <v>43970</v>
      </c>
      <c r="C110" s="0" t="n">
        <v>1784</v>
      </c>
      <c r="D110" s="0" t="n">
        <f aca="false">C110-C109</f>
        <v>10</v>
      </c>
      <c r="E110" s="0" t="n">
        <v>64</v>
      </c>
      <c r="F110" s="0" t="n">
        <f aca="false">E110-E109</f>
        <v>1</v>
      </c>
      <c r="G110" s="0" t="n">
        <v>938</v>
      </c>
      <c r="H110" s="0" t="n">
        <v>782</v>
      </c>
      <c r="I110" s="0" t="n">
        <v>4</v>
      </c>
      <c r="J110" s="0" t="n">
        <v>1345</v>
      </c>
      <c r="K110" s="0" t="n">
        <v>48</v>
      </c>
      <c r="L110" s="0" t="n">
        <v>70188</v>
      </c>
      <c r="M110" s="0" t="n">
        <v>52915</v>
      </c>
    </row>
    <row r="111" customFormat="false" ht="13.5" hidden="false" customHeight="false" outlineLevel="0" collapsed="false">
      <c r="A111" s="0" t="s">
        <v>116</v>
      </c>
      <c r="B111" s="1" t="n">
        <v>43971</v>
      </c>
      <c r="C111" s="0" t="n">
        <v>1791</v>
      </c>
      <c r="D111" s="0" t="n">
        <f aca="false">C111-C110</f>
        <v>7</v>
      </c>
      <c r="E111" s="0" t="n">
        <v>64</v>
      </c>
      <c r="F111" s="0" t="n">
        <f aca="false">E111-E110</f>
        <v>0</v>
      </c>
      <c r="G111" s="0" t="n">
        <v>938</v>
      </c>
      <c r="H111" s="0" t="n">
        <v>789</v>
      </c>
      <c r="I111" s="0" t="n">
        <v>4</v>
      </c>
      <c r="J111" s="0" t="n">
        <v>1350</v>
      </c>
      <c r="K111" s="0" t="n">
        <v>48</v>
      </c>
      <c r="L111" s="0" t="n">
        <v>70188</v>
      </c>
      <c r="M111" s="0" t="n">
        <v>52915</v>
      </c>
    </row>
    <row r="112" customFormat="false" ht="13.5" hidden="false" customHeight="false" outlineLevel="0" collapsed="false">
      <c r="A112" s="0" t="s">
        <v>116</v>
      </c>
      <c r="B112" s="1" t="n">
        <v>43972</v>
      </c>
      <c r="C112" s="0" t="n">
        <v>1794</v>
      </c>
      <c r="D112" s="0" t="n">
        <f aca="false">C112-C111</f>
        <v>3</v>
      </c>
      <c r="E112" s="0" t="n">
        <v>64</v>
      </c>
      <c r="F112" s="0" t="n">
        <f aca="false">E112-E111</f>
        <v>0</v>
      </c>
      <c r="G112" s="0" t="n">
        <v>956</v>
      </c>
      <c r="H112" s="0" t="n">
        <v>774</v>
      </c>
      <c r="I112" s="0" t="n">
        <v>2</v>
      </c>
      <c r="J112" s="0" t="n">
        <v>1352</v>
      </c>
      <c r="K112" s="0" t="n">
        <v>48</v>
      </c>
      <c r="L112" s="0" t="n">
        <v>72464</v>
      </c>
      <c r="M112" s="0" t="n">
        <v>54631</v>
      </c>
    </row>
    <row r="113" customFormat="false" ht="13.5" hidden="false" customHeight="false" outlineLevel="0" collapsed="false">
      <c r="A113" s="0" t="s">
        <v>116</v>
      </c>
      <c r="B113" s="1" t="n">
        <v>43973</v>
      </c>
      <c r="C113" s="0" t="n">
        <v>1800</v>
      </c>
      <c r="D113" s="0" t="n">
        <f aca="false">C113-C112</f>
        <v>6</v>
      </c>
      <c r="E113" s="0" t="n">
        <v>64</v>
      </c>
      <c r="F113" s="0" t="n">
        <f aca="false">E113-E112</f>
        <v>0</v>
      </c>
      <c r="G113" s="0" t="n">
        <v>1488</v>
      </c>
      <c r="H113" s="0" t="n">
        <v>248</v>
      </c>
      <c r="I113" s="0" t="n">
        <v>2</v>
      </c>
      <c r="J113" s="0" t="n">
        <v>1357</v>
      </c>
      <c r="K113" s="0" t="n">
        <v>48</v>
      </c>
      <c r="L113" s="0" t="n">
        <v>73732</v>
      </c>
      <c r="M113" s="0" t="n">
        <v>55586</v>
      </c>
    </row>
    <row r="114" customFormat="false" ht="13.5" hidden="false" customHeight="false" outlineLevel="0" collapsed="false">
      <c r="A114" s="0" t="s">
        <v>116</v>
      </c>
      <c r="B114" s="1" t="n">
        <v>43974</v>
      </c>
      <c r="C114" s="0" t="n">
        <v>1807</v>
      </c>
      <c r="D114" s="0" t="n">
        <f aca="false">C114-C113</f>
        <v>7</v>
      </c>
      <c r="E114" s="0" t="n">
        <v>64</v>
      </c>
      <c r="F114" s="0" t="n">
        <f aca="false">E114-E113</f>
        <v>0</v>
      </c>
      <c r="G114" s="0" t="n">
        <v>1508</v>
      </c>
      <c r="H114" s="0" t="n">
        <v>235</v>
      </c>
      <c r="I114" s="0" t="n">
        <v>2</v>
      </c>
      <c r="J114" s="0" t="n">
        <v>1362</v>
      </c>
      <c r="K114" s="0" t="n">
        <v>48</v>
      </c>
      <c r="L114" s="0" t="n">
        <v>74604</v>
      </c>
      <c r="M114" s="0" t="n">
        <v>56244</v>
      </c>
    </row>
    <row r="115" customFormat="false" ht="13.5" hidden="false" customHeight="false" outlineLevel="0" collapsed="false">
      <c r="A115" s="0" t="s">
        <v>116</v>
      </c>
      <c r="B115" s="1" t="n">
        <v>43975</v>
      </c>
      <c r="C115" s="0" t="n">
        <v>1821</v>
      </c>
      <c r="D115" s="0" t="n">
        <f aca="false">C115-C114</f>
        <v>14</v>
      </c>
      <c r="E115" s="0" t="n">
        <v>64</v>
      </c>
      <c r="F115" s="0" t="n">
        <f aca="false">E115-E114</f>
        <v>0</v>
      </c>
      <c r="G115" s="0" t="n">
        <v>1526</v>
      </c>
      <c r="H115" s="0" t="n">
        <v>231</v>
      </c>
      <c r="I115" s="0" t="n">
        <v>2</v>
      </c>
      <c r="J115" s="0" t="n">
        <v>1373</v>
      </c>
      <c r="K115" s="0" t="n">
        <v>48</v>
      </c>
      <c r="L115" s="0" t="n">
        <v>75249</v>
      </c>
      <c r="M115" s="0" t="n">
        <v>56730</v>
      </c>
    </row>
    <row r="116" customFormat="false" ht="13.5" hidden="false" customHeight="false" outlineLevel="0" collapsed="false">
      <c r="A116" s="0" t="s">
        <v>116</v>
      </c>
      <c r="B116" s="1" t="n">
        <v>43976</v>
      </c>
      <c r="C116" s="0" t="n">
        <v>1823</v>
      </c>
      <c r="D116" s="0" t="n">
        <f aca="false">C116-C115</f>
        <v>2</v>
      </c>
      <c r="E116" s="0" t="n">
        <v>64</v>
      </c>
      <c r="F116" s="0" t="n">
        <f aca="false">E116-E115</f>
        <v>0</v>
      </c>
      <c r="G116" s="0" t="n">
        <v>1532</v>
      </c>
      <c r="H116" s="0" t="n">
        <v>227</v>
      </c>
      <c r="I116" s="0" t="n">
        <v>1</v>
      </c>
      <c r="J116" s="0" t="n">
        <v>1374</v>
      </c>
      <c r="K116" s="0" t="n">
        <v>48</v>
      </c>
      <c r="L116" s="0" t="n">
        <v>75779</v>
      </c>
      <c r="M116" s="0" t="n">
        <v>57129</v>
      </c>
    </row>
    <row r="117" customFormat="false" ht="13.5" hidden="false" customHeight="false" outlineLevel="0" collapsed="false">
      <c r="A117" s="0" t="s">
        <v>116</v>
      </c>
      <c r="B117" s="1" t="n">
        <v>43977</v>
      </c>
      <c r="C117" s="0" t="n">
        <v>1824</v>
      </c>
      <c r="D117" s="0" t="n">
        <f aca="false">C117-C116</f>
        <v>1</v>
      </c>
      <c r="E117" s="0" t="n">
        <v>65</v>
      </c>
      <c r="F117" s="0" t="n">
        <f aca="false">E117-E116</f>
        <v>1</v>
      </c>
      <c r="G117" s="0" t="n">
        <v>1538</v>
      </c>
      <c r="H117" s="0" t="n">
        <v>221</v>
      </c>
      <c r="I117" s="0" t="n">
        <v>1</v>
      </c>
      <c r="J117" s="0" t="n">
        <v>1375</v>
      </c>
      <c r="K117" s="0" t="n">
        <v>49</v>
      </c>
      <c r="L117" s="0" t="n">
        <v>75779</v>
      </c>
      <c r="M117" s="0" t="n">
        <v>57129</v>
      </c>
    </row>
    <row r="118" customFormat="false" ht="13.5" hidden="false" customHeight="false" outlineLevel="0" collapsed="false">
      <c r="A118" s="0" t="s">
        <v>116</v>
      </c>
      <c r="B118" s="1" t="n">
        <v>43978</v>
      </c>
      <c r="C118" s="0" t="n">
        <v>1834</v>
      </c>
      <c r="D118" s="0" t="n">
        <f aca="false">C118-C117</f>
        <v>10</v>
      </c>
      <c r="E118" s="0" t="n">
        <v>65</v>
      </c>
      <c r="F118" s="0" t="n">
        <f aca="false">E118-E117</f>
        <v>0</v>
      </c>
      <c r="G118" s="0" t="n">
        <v>1552</v>
      </c>
      <c r="H118" s="0" t="n">
        <v>217</v>
      </c>
      <c r="I118" s="0" t="n">
        <v>1</v>
      </c>
      <c r="J118" s="0" t="n">
        <v>1383</v>
      </c>
      <c r="K118" s="0" t="n">
        <v>49</v>
      </c>
      <c r="L118" s="0" t="n">
        <v>78085</v>
      </c>
      <c r="M118" s="0" t="n">
        <v>58868</v>
      </c>
    </row>
    <row r="119" customFormat="false" ht="13.5" hidden="false" customHeight="false" outlineLevel="0" collapsed="false">
      <c r="A119" s="0" t="s">
        <v>116</v>
      </c>
      <c r="B119" s="1" t="n">
        <v>43979</v>
      </c>
      <c r="C119" s="0" t="n">
        <v>1840</v>
      </c>
      <c r="D119" s="0" t="n">
        <f aca="false">C119-C118</f>
        <v>6</v>
      </c>
      <c r="E119" s="0" t="n">
        <v>66</v>
      </c>
      <c r="F119" s="0" t="n">
        <f aca="false">E119-E118</f>
        <v>1</v>
      </c>
      <c r="G119" s="0" t="n">
        <v>1561</v>
      </c>
      <c r="H119" s="0" t="n">
        <v>213</v>
      </c>
      <c r="I119" s="0" t="n">
        <v>0</v>
      </c>
      <c r="J119" s="0" t="n">
        <v>1387</v>
      </c>
      <c r="K119" s="0" t="n">
        <v>50</v>
      </c>
      <c r="L119" s="0" t="n">
        <v>79605</v>
      </c>
      <c r="M119" s="0" t="n">
        <v>60013</v>
      </c>
    </row>
    <row r="120" customFormat="false" ht="13.5" hidden="false" customHeight="false" outlineLevel="0" collapsed="false">
      <c r="A120" s="0" t="s">
        <v>116</v>
      </c>
      <c r="B120" s="1" t="n">
        <v>43980</v>
      </c>
      <c r="C120" s="0" t="n">
        <v>1851</v>
      </c>
      <c r="D120" s="0" t="n">
        <f aca="false">C120-C119</f>
        <v>11</v>
      </c>
      <c r="E120" s="0" t="n">
        <v>66</v>
      </c>
      <c r="F120" s="0" t="n">
        <f aca="false">E120-E119</f>
        <v>0</v>
      </c>
      <c r="G120" s="0" t="n">
        <v>1574</v>
      </c>
      <c r="H120" s="0" t="n">
        <v>211</v>
      </c>
      <c r="I120" s="0" t="n">
        <v>0</v>
      </c>
      <c r="J120" s="0" t="n">
        <v>1395</v>
      </c>
      <c r="K120" s="0" t="n">
        <v>50</v>
      </c>
      <c r="L120" s="0" t="n">
        <v>80724</v>
      </c>
      <c r="M120" s="0" t="n">
        <v>60857</v>
      </c>
    </row>
    <row r="121" customFormat="false" ht="13.5" hidden="false" customHeight="false" outlineLevel="0" collapsed="false">
      <c r="A121" s="0" t="s">
        <v>116</v>
      </c>
      <c r="B121" s="1" t="n">
        <v>43981</v>
      </c>
      <c r="C121" s="0" t="n">
        <v>1859</v>
      </c>
      <c r="D121" s="0" t="n">
        <f aca="false">C121-C120</f>
        <v>8</v>
      </c>
      <c r="E121" s="0" t="n">
        <v>67</v>
      </c>
      <c r="F121" s="0" t="n">
        <f aca="false">E121-E120</f>
        <v>1</v>
      </c>
      <c r="G121" s="0" t="n">
        <v>1610</v>
      </c>
      <c r="H121" s="0" t="n">
        <v>182</v>
      </c>
      <c r="I121" s="0" t="n">
        <v>0</v>
      </c>
      <c r="J121" s="0" t="n">
        <v>1401</v>
      </c>
      <c r="K121" s="0" t="n">
        <v>51</v>
      </c>
      <c r="L121" s="0" t="n">
        <v>81719</v>
      </c>
      <c r="M121" s="0" t="n">
        <v>61607</v>
      </c>
    </row>
    <row r="122" customFormat="false" ht="13.5" hidden="false" customHeight="false" outlineLevel="0" collapsed="false">
      <c r="A122" s="0" t="s">
        <v>116</v>
      </c>
      <c r="B122" s="1" t="n">
        <v>43982</v>
      </c>
      <c r="C122" s="0" t="n">
        <v>1865</v>
      </c>
      <c r="D122" s="0" t="n">
        <f aca="false">C122-C121</f>
        <v>6</v>
      </c>
      <c r="E122" s="0" t="n">
        <v>67</v>
      </c>
      <c r="F122" s="0" t="n">
        <f aca="false">E122-E121</f>
        <v>0</v>
      </c>
      <c r="G122" s="0" t="n">
        <v>1622</v>
      </c>
      <c r="H122" s="0" t="n">
        <v>176</v>
      </c>
      <c r="I122" s="0" t="n">
        <v>0</v>
      </c>
      <c r="J122" s="0" t="n">
        <v>1406</v>
      </c>
      <c r="K122" s="0" t="n">
        <v>51</v>
      </c>
      <c r="L122" s="0" t="n">
        <v>82747</v>
      </c>
      <c r="M122" s="0" t="n">
        <v>62382</v>
      </c>
    </row>
    <row r="123" customFormat="false" ht="13.5" hidden="false" customHeight="false" outlineLevel="0" collapsed="false">
      <c r="A123" s="0" t="s">
        <v>116</v>
      </c>
      <c r="B123" s="1" t="n">
        <v>43983</v>
      </c>
      <c r="C123" s="0" t="n">
        <v>1869</v>
      </c>
      <c r="D123" s="0" t="n">
        <f aca="false">C123-C122</f>
        <v>4</v>
      </c>
      <c r="E123" s="0" t="n">
        <v>68</v>
      </c>
      <c r="F123" s="0" t="n">
        <f aca="false">E123-E122</f>
        <v>1</v>
      </c>
      <c r="G123" s="0" t="n">
        <v>1624</v>
      </c>
      <c r="H123" s="0" t="n">
        <v>177</v>
      </c>
      <c r="I123" s="0" t="n">
        <v>0</v>
      </c>
      <c r="J123" s="0" t="n">
        <v>1409</v>
      </c>
      <c r="K123" s="0" t="n">
        <v>51</v>
      </c>
      <c r="L123" s="0" t="n">
        <v>83440</v>
      </c>
      <c r="M123" s="0" t="n">
        <v>62904</v>
      </c>
    </row>
    <row r="124" customFormat="false" ht="13.5" hidden="false" customHeight="false" outlineLevel="0" collapsed="false">
      <c r="A124" s="0" t="s">
        <v>116</v>
      </c>
      <c r="B124" s="1" t="n">
        <v>43984</v>
      </c>
      <c r="C124" s="0" t="n">
        <v>1870</v>
      </c>
      <c r="D124" s="0" t="n">
        <f aca="false">C124-C123</f>
        <v>1</v>
      </c>
      <c r="E124" s="0" t="n">
        <v>68</v>
      </c>
      <c r="F124" s="0" t="n">
        <f aca="false">E124-E123</f>
        <v>0</v>
      </c>
      <c r="G124" s="0" t="n">
        <v>1625</v>
      </c>
      <c r="H124" s="0" t="n">
        <v>177</v>
      </c>
      <c r="I124" s="0" t="n">
        <v>0</v>
      </c>
      <c r="J124" s="0" t="n">
        <v>1410</v>
      </c>
      <c r="K124" s="0" t="n">
        <v>51</v>
      </c>
      <c r="L124" s="0" t="n">
        <v>84156</v>
      </c>
      <c r="M124" s="0" t="n">
        <v>63444</v>
      </c>
    </row>
    <row r="125" customFormat="false" ht="13.5" hidden="false" customHeight="false" outlineLevel="0" collapsed="false">
      <c r="A125" s="0" t="s">
        <v>116</v>
      </c>
      <c r="B125" s="1" t="n">
        <v>43985</v>
      </c>
      <c r="C125" s="0" t="n">
        <v>1870</v>
      </c>
      <c r="D125" s="0" t="n">
        <f aca="false">C125-C124</f>
        <v>0</v>
      </c>
      <c r="E125" s="0" t="n">
        <v>68</v>
      </c>
      <c r="F125" s="0" t="n">
        <f aca="false">E125-E124</f>
        <v>0</v>
      </c>
      <c r="G125" s="0" t="n">
        <v>1632</v>
      </c>
      <c r="H125" s="0" t="n">
        <v>170</v>
      </c>
      <c r="I125" s="0" t="n">
        <v>0</v>
      </c>
      <c r="J125" s="0" t="n">
        <v>1410</v>
      </c>
      <c r="K125" s="0" t="n">
        <v>51</v>
      </c>
      <c r="L125" s="0" t="n">
        <v>85175</v>
      </c>
      <c r="M125" s="0" t="n">
        <v>64212</v>
      </c>
    </row>
    <row r="126" customFormat="false" ht="13.5" hidden="false" customHeight="false" outlineLevel="0" collapsed="false">
      <c r="A126" s="0" t="s">
        <v>116</v>
      </c>
      <c r="B126" s="1" t="n">
        <v>43986</v>
      </c>
      <c r="C126" s="0" t="n">
        <v>1880</v>
      </c>
      <c r="D126" s="0" t="n">
        <f aca="false">C126-C125</f>
        <v>10</v>
      </c>
      <c r="E126" s="0" t="n">
        <v>69</v>
      </c>
      <c r="F126" s="0" t="n">
        <f aca="false">E126-E125</f>
        <v>1</v>
      </c>
      <c r="G126" s="0" t="n">
        <v>1650</v>
      </c>
      <c r="H126" s="0" t="n">
        <v>161</v>
      </c>
      <c r="I126" s="0" t="n">
        <v>0</v>
      </c>
      <c r="J126" s="0" t="n">
        <v>1417</v>
      </c>
      <c r="K126" s="0" t="n">
        <v>52</v>
      </c>
      <c r="L126" s="0" t="n">
        <v>86000</v>
      </c>
      <c r="M126" s="0" t="n">
        <v>64834</v>
      </c>
    </row>
    <row r="127" customFormat="false" ht="13.5" hidden="false" customHeight="false" outlineLevel="0" collapsed="false">
      <c r="A127" s="0" t="s">
        <v>116</v>
      </c>
      <c r="B127" s="1" t="n">
        <v>43987</v>
      </c>
      <c r="C127" s="0" t="n">
        <v>1890</v>
      </c>
      <c r="D127" s="0" t="n">
        <f aca="false">C127-C126</f>
        <v>10</v>
      </c>
      <c r="E127" s="0" t="n">
        <v>69</v>
      </c>
      <c r="F127" s="0" t="n">
        <f aca="false">E127-E126</f>
        <v>0</v>
      </c>
      <c r="G127" s="0" t="n">
        <v>1663</v>
      </c>
      <c r="H127" s="0" t="n">
        <v>158</v>
      </c>
      <c r="I127" s="0" t="n">
        <v>0</v>
      </c>
      <c r="J127" s="0" t="n">
        <v>1425</v>
      </c>
      <c r="K127" s="0" t="n">
        <v>52</v>
      </c>
      <c r="L127" s="0" t="n">
        <v>87456</v>
      </c>
      <c r="M127" s="0" t="n">
        <v>65931</v>
      </c>
    </row>
    <row r="128" customFormat="false" ht="13.5" hidden="false" customHeight="false" outlineLevel="0" collapsed="false">
      <c r="A128" s="0" t="s">
        <v>116</v>
      </c>
      <c r="B128" s="1" t="n">
        <v>43988</v>
      </c>
      <c r="C128" s="0" t="n">
        <v>1910</v>
      </c>
      <c r="D128" s="0" t="n">
        <f aca="false">C128-C127</f>
        <v>20</v>
      </c>
      <c r="E128" s="0" t="n">
        <v>69</v>
      </c>
      <c r="F128" s="0" t="n">
        <f aca="false">E128-E127</f>
        <v>0</v>
      </c>
      <c r="G128" s="0" t="n">
        <v>1667</v>
      </c>
      <c r="H128" s="0" t="n">
        <v>174</v>
      </c>
      <c r="I128" s="0" t="n">
        <v>0</v>
      </c>
      <c r="J128" s="0" t="n">
        <v>1440</v>
      </c>
      <c r="K128" s="0" t="n">
        <v>52</v>
      </c>
      <c r="L128" s="0" t="n">
        <v>88000</v>
      </c>
      <c r="M128" s="0" t="n">
        <v>66341</v>
      </c>
    </row>
    <row r="129" customFormat="false" ht="13.5" hidden="false" customHeight="false" outlineLevel="0" collapsed="false">
      <c r="A129" s="0" t="s">
        <v>116</v>
      </c>
      <c r="B129" s="1" t="n">
        <v>43989</v>
      </c>
      <c r="C129" s="0" t="n">
        <v>1931</v>
      </c>
      <c r="D129" s="0" t="n">
        <f aca="false">C129-C128</f>
        <v>21</v>
      </c>
      <c r="E129" s="0" t="n">
        <v>69</v>
      </c>
      <c r="F129" s="0" t="n">
        <f aca="false">E129-E128</f>
        <v>0</v>
      </c>
      <c r="G129" s="0" t="n">
        <v>1675</v>
      </c>
      <c r="H129" s="0" t="n">
        <v>187</v>
      </c>
      <c r="I129" s="0" t="n">
        <v>0</v>
      </c>
      <c r="J129" s="0" t="n">
        <v>1456</v>
      </c>
      <c r="K129" s="0" t="n">
        <v>52</v>
      </c>
      <c r="L129" s="0" t="n">
        <v>89000</v>
      </c>
      <c r="M129" s="0" t="n">
        <v>67095</v>
      </c>
    </row>
    <row r="130" customFormat="false" ht="13.5" hidden="false" customHeight="false" outlineLevel="0" collapsed="false">
      <c r="A130" s="0" t="s">
        <v>116</v>
      </c>
      <c r="B130" s="1" t="n">
        <v>43990</v>
      </c>
      <c r="C130" s="0" t="n">
        <v>1939</v>
      </c>
      <c r="D130" s="0" t="n">
        <f aca="false">C130-C129</f>
        <v>8</v>
      </c>
      <c r="E130" s="0" t="n">
        <v>69</v>
      </c>
      <c r="F130" s="0" t="n">
        <f aca="false">E130-E129</f>
        <v>0</v>
      </c>
      <c r="G130" s="0" t="n">
        <v>1681</v>
      </c>
      <c r="H130" s="0" t="n">
        <v>189</v>
      </c>
      <c r="I130" s="0" t="n">
        <v>0</v>
      </c>
      <c r="J130" s="0" t="n">
        <v>1462</v>
      </c>
      <c r="K130" s="0" t="n">
        <v>52</v>
      </c>
      <c r="L130" s="0" t="n">
        <v>90000</v>
      </c>
      <c r="M130" s="0" t="n">
        <v>67849</v>
      </c>
    </row>
    <row r="131" customFormat="false" ht="13.5" hidden="false" customHeight="false" outlineLevel="0" collapsed="false">
      <c r="A131" s="0" t="s">
        <v>116</v>
      </c>
      <c r="B131" s="1" t="n">
        <v>43991</v>
      </c>
      <c r="C131" s="0" t="n">
        <v>1940</v>
      </c>
      <c r="D131" s="0" t="n">
        <f aca="false">C131-C130</f>
        <v>1</v>
      </c>
      <c r="E131" s="0" t="n">
        <v>69</v>
      </c>
      <c r="F131" s="0" t="n">
        <f aca="false">E131-E130</f>
        <v>0</v>
      </c>
      <c r="G131" s="0" t="n">
        <v>1683</v>
      </c>
      <c r="H131" s="0" t="n">
        <v>188</v>
      </c>
      <c r="I131" s="0" t="n">
        <v>0</v>
      </c>
      <c r="J131" s="0" t="n">
        <v>1463</v>
      </c>
      <c r="K131" s="0" t="n">
        <v>52</v>
      </c>
      <c r="L131" s="0" t="n">
        <v>90620</v>
      </c>
      <c r="M131" s="0" t="n">
        <v>68316</v>
      </c>
    </row>
    <row r="132" customFormat="false" ht="13.5" hidden="false" customHeight="false" outlineLevel="0" collapsed="false">
      <c r="A132" s="0" t="s">
        <v>116</v>
      </c>
      <c r="B132" s="1" t="n">
        <v>43992</v>
      </c>
      <c r="C132" s="0" t="n">
        <v>1947</v>
      </c>
      <c r="D132" s="0" t="n">
        <f aca="false">C132-C131</f>
        <v>7</v>
      </c>
      <c r="E132" s="0" t="n">
        <v>69</v>
      </c>
      <c r="F132" s="0" t="n">
        <f aca="false">E132-E131</f>
        <v>0</v>
      </c>
      <c r="G132" s="0" t="n">
        <v>1684</v>
      </c>
      <c r="H132" s="0" t="n">
        <v>194</v>
      </c>
      <c r="I132" s="0" t="n">
        <v>0</v>
      </c>
      <c r="J132" s="0" t="n">
        <v>1468</v>
      </c>
      <c r="K132" s="0" t="n">
        <v>52</v>
      </c>
      <c r="L132" s="0" t="n">
        <v>91000</v>
      </c>
      <c r="M132" s="0" t="n">
        <v>68602</v>
      </c>
    </row>
    <row r="133" customFormat="false" ht="13.5" hidden="false" customHeight="false" outlineLevel="0" collapsed="false">
      <c r="A133" s="0" t="s">
        <v>116</v>
      </c>
      <c r="B133" s="1" t="n">
        <v>43993</v>
      </c>
      <c r="C133" s="0" t="n">
        <v>1958</v>
      </c>
      <c r="D133" s="0" t="n">
        <f aca="false">C133-C132</f>
        <v>11</v>
      </c>
      <c r="E133" s="0" t="n">
        <v>69</v>
      </c>
      <c r="F133" s="0" t="n">
        <f aca="false">E133-E132</f>
        <v>0</v>
      </c>
      <c r="G133" s="0" t="n">
        <v>1690</v>
      </c>
      <c r="H133" s="0" t="n">
        <v>199</v>
      </c>
      <c r="I133" s="0" t="n">
        <v>0</v>
      </c>
      <c r="J133" s="0" t="n">
        <v>1476</v>
      </c>
      <c r="K133" s="0" t="n">
        <v>52</v>
      </c>
      <c r="L133" s="0" t="n">
        <v>92000</v>
      </c>
      <c r="M133" s="0" t="n">
        <v>69356</v>
      </c>
    </row>
    <row r="134" customFormat="false" ht="13.5" hidden="false" customHeight="false" outlineLevel="0" collapsed="false">
      <c r="A134" s="0" t="s">
        <v>116</v>
      </c>
      <c r="B134" s="1" t="n">
        <v>43994</v>
      </c>
      <c r="C134" s="0" t="n">
        <v>1965</v>
      </c>
      <c r="D134" s="0" t="n">
        <f aca="false">C134-C133</f>
        <v>7</v>
      </c>
      <c r="E134" s="0" t="n">
        <v>69</v>
      </c>
      <c r="F134" s="0" t="n">
        <f aca="false">E134-E133</f>
        <v>0</v>
      </c>
      <c r="G134" s="0" t="n">
        <v>1697</v>
      </c>
      <c r="H134" s="0" t="n">
        <v>199</v>
      </c>
      <c r="I134" s="0" t="n">
        <v>0</v>
      </c>
      <c r="J134" s="0" t="n">
        <v>1481</v>
      </c>
      <c r="K134" s="0" t="n">
        <v>52</v>
      </c>
      <c r="L134" s="0" t="n">
        <v>93837</v>
      </c>
      <c r="M134" s="0" t="n">
        <v>70741</v>
      </c>
    </row>
    <row r="135" customFormat="false" ht="13.5" hidden="false" customHeight="false" outlineLevel="0" collapsed="false">
      <c r="A135" s="0" t="s">
        <v>116</v>
      </c>
      <c r="B135" s="1" t="n">
        <v>43995</v>
      </c>
      <c r="C135" s="0" t="n">
        <v>1970</v>
      </c>
      <c r="D135" s="0" t="n">
        <f aca="false">C135-C134</f>
        <v>5</v>
      </c>
      <c r="E135" s="0" t="n">
        <v>69</v>
      </c>
      <c r="F135" s="0" t="n">
        <f aca="false">E135-E134</f>
        <v>0</v>
      </c>
      <c r="G135" s="0" t="n">
        <v>1703</v>
      </c>
      <c r="H135" s="0" t="n">
        <v>198</v>
      </c>
      <c r="I135" s="0" t="n">
        <v>0</v>
      </c>
      <c r="J135" s="0" t="n">
        <v>1485</v>
      </c>
      <c r="K135" s="0" t="n">
        <v>52</v>
      </c>
      <c r="L135" s="0" t="n">
        <v>94715</v>
      </c>
      <c r="M135" s="0" t="n">
        <v>71403</v>
      </c>
    </row>
    <row r="136" customFormat="false" ht="13.5" hidden="false" customHeight="false" outlineLevel="0" collapsed="false">
      <c r="A136" s="0" t="s">
        <v>116</v>
      </c>
      <c r="B136" s="1" t="n">
        <v>43996</v>
      </c>
      <c r="C136" s="0" t="n">
        <v>1973</v>
      </c>
      <c r="D136" s="0" t="n">
        <f aca="false">C136-C135</f>
        <v>3</v>
      </c>
      <c r="E136" s="0" t="n">
        <v>69</v>
      </c>
      <c r="F136" s="0" t="n">
        <f aca="false">E136-E135</f>
        <v>0</v>
      </c>
      <c r="G136" s="0" t="n">
        <v>1705</v>
      </c>
      <c r="H136" s="0" t="n">
        <v>199</v>
      </c>
      <c r="I136" s="0" t="n">
        <v>0</v>
      </c>
      <c r="J136" s="0" t="n">
        <v>1487</v>
      </c>
      <c r="K136" s="0" t="n">
        <v>52</v>
      </c>
      <c r="L136" s="0" t="n">
        <v>95000</v>
      </c>
      <c r="M136" s="0" t="n">
        <v>71617</v>
      </c>
    </row>
    <row r="137" customFormat="false" ht="13.5" hidden="false" customHeight="false" outlineLevel="0" collapsed="false">
      <c r="A137" s="0" t="s">
        <v>116</v>
      </c>
      <c r="B137" s="1" t="n">
        <v>43997</v>
      </c>
      <c r="C137" s="0" t="n">
        <v>1973</v>
      </c>
      <c r="D137" s="0" t="n">
        <f aca="false">C137-C136</f>
        <v>0</v>
      </c>
      <c r="E137" s="0" t="n">
        <v>69</v>
      </c>
      <c r="F137" s="0" t="n">
        <f aca="false">E137-E136</f>
        <v>0</v>
      </c>
      <c r="G137" s="0" t="n">
        <v>1705</v>
      </c>
      <c r="H137" s="0" t="n">
        <v>199</v>
      </c>
      <c r="I137" s="0" t="n">
        <v>0</v>
      </c>
      <c r="J137" s="0" t="n">
        <v>1487</v>
      </c>
      <c r="K137" s="0" t="n">
        <v>52</v>
      </c>
      <c r="L137" s="0" t="n">
        <v>95997</v>
      </c>
      <c r="M137" s="0" t="n">
        <v>72369</v>
      </c>
    </row>
    <row r="138" customFormat="false" ht="13.5" hidden="false" customHeight="false" outlineLevel="0" collapsed="false">
      <c r="A138" s="0" t="s">
        <v>116</v>
      </c>
      <c r="B138" s="1" t="n">
        <v>43998</v>
      </c>
      <c r="C138" s="0" t="n">
        <v>1974</v>
      </c>
      <c r="D138" s="0" t="n">
        <f aca="false">C138-C137</f>
        <v>1</v>
      </c>
      <c r="E138" s="0" t="n">
        <v>69</v>
      </c>
      <c r="F138" s="0" t="n">
        <f aca="false">E138-E137</f>
        <v>0</v>
      </c>
      <c r="G138" s="0" t="n">
        <v>1717</v>
      </c>
      <c r="H138" s="0" t="n">
        <v>188</v>
      </c>
      <c r="I138" s="0" t="n">
        <v>0</v>
      </c>
      <c r="J138" s="0" t="n">
        <v>1488</v>
      </c>
      <c r="K138" s="0" t="n">
        <v>52</v>
      </c>
      <c r="L138" s="0" t="n">
        <v>96638</v>
      </c>
      <c r="M138" s="0" t="n">
        <v>72852</v>
      </c>
    </row>
    <row r="139" customFormat="false" ht="13.5" hidden="false" customHeight="false" outlineLevel="0" collapsed="false">
      <c r="A139" s="0" t="s">
        <v>116</v>
      </c>
      <c r="B139" s="1" t="n">
        <v>43999</v>
      </c>
      <c r="C139" s="0" t="n">
        <v>1975</v>
      </c>
      <c r="D139" s="0" t="n">
        <f aca="false">C139-C138</f>
        <v>1</v>
      </c>
      <c r="E139" s="0" t="n">
        <v>69</v>
      </c>
      <c r="F139" s="0" t="n">
        <f aca="false">E139-E138</f>
        <v>0</v>
      </c>
      <c r="G139" s="0" t="n">
        <v>1728</v>
      </c>
      <c r="H139" s="0" t="n">
        <v>178</v>
      </c>
      <c r="I139" s="0" t="n">
        <v>0</v>
      </c>
      <c r="J139" s="0" t="n">
        <v>1489</v>
      </c>
      <c r="K139" s="0" t="n">
        <v>52</v>
      </c>
      <c r="L139" s="0" t="n">
        <v>97701</v>
      </c>
      <c r="M139" s="0" t="n">
        <v>73653</v>
      </c>
    </row>
    <row r="140" customFormat="false" ht="13.5" hidden="false" customHeight="false" outlineLevel="0" collapsed="false">
      <c r="A140" s="0" t="s">
        <v>116</v>
      </c>
      <c r="B140" s="1" t="n">
        <v>44000</v>
      </c>
      <c r="C140" s="0" t="n">
        <v>1977</v>
      </c>
      <c r="D140" s="0" t="n">
        <f aca="false">C140-C139</f>
        <v>2</v>
      </c>
      <c r="E140" s="0" t="n">
        <v>69</v>
      </c>
      <c r="F140" s="0" t="n">
        <f aca="false">E140-E139</f>
        <v>0</v>
      </c>
      <c r="G140" s="0" t="n">
        <v>1743</v>
      </c>
      <c r="H140" s="0" t="n">
        <v>165</v>
      </c>
      <c r="I140" s="0" t="n">
        <v>0</v>
      </c>
      <c r="J140" s="0" t="n">
        <v>1490</v>
      </c>
      <c r="K140" s="0" t="n">
        <v>52</v>
      </c>
      <c r="L140" s="0" t="n">
        <v>99000</v>
      </c>
      <c r="M140" s="0" t="n">
        <v>74632</v>
      </c>
    </row>
    <row r="141" customFormat="false" ht="13.5" hidden="false" customHeight="false" outlineLevel="0" collapsed="false">
      <c r="A141" s="0" t="s">
        <v>116</v>
      </c>
      <c r="B141" s="1" t="n">
        <v>44001</v>
      </c>
      <c r="C141" s="0" t="n">
        <v>1977</v>
      </c>
      <c r="D141" s="0" t="n">
        <f aca="false">C141-C140</f>
        <v>0</v>
      </c>
      <c r="E141" s="0" t="n">
        <v>69</v>
      </c>
      <c r="F141" s="0" t="n">
        <f aca="false">E141-E140</f>
        <v>0</v>
      </c>
      <c r="G141" s="0" t="n">
        <v>1748</v>
      </c>
      <c r="H141" s="0" t="n">
        <v>160</v>
      </c>
      <c r="I141" s="0" t="n">
        <v>0</v>
      </c>
      <c r="J141" s="0" t="n">
        <v>1490</v>
      </c>
      <c r="K141" s="0" t="n">
        <v>52</v>
      </c>
      <c r="L141" s="0" t="n">
        <v>100395</v>
      </c>
      <c r="M141" s="0" t="n">
        <v>75684</v>
      </c>
    </row>
    <row r="142" customFormat="false" ht="13.5" hidden="false" customHeight="false" outlineLevel="0" collapsed="false">
      <c r="A142" s="0" t="s">
        <v>116</v>
      </c>
      <c r="B142" s="1" t="n">
        <v>44002</v>
      </c>
      <c r="C142" s="0" t="n">
        <v>1979</v>
      </c>
      <c r="D142" s="0" t="n">
        <f aca="false">C142-C141</f>
        <v>2</v>
      </c>
      <c r="E142" s="0" t="n">
        <v>69</v>
      </c>
      <c r="F142" s="0" t="n">
        <f aca="false">E142-E141</f>
        <v>0</v>
      </c>
      <c r="G142" s="0" t="n">
        <v>1755</v>
      </c>
      <c r="H142" s="0" t="n">
        <v>155</v>
      </c>
      <c r="I142" s="0" t="n">
        <v>1</v>
      </c>
      <c r="J142" s="0" t="n">
        <v>1492</v>
      </c>
      <c r="K142" s="0" t="n">
        <v>52</v>
      </c>
      <c r="L142" s="0" t="n">
        <v>101748</v>
      </c>
      <c r="M142" s="0" t="n">
        <v>76704</v>
      </c>
    </row>
    <row r="143" customFormat="false" ht="13.5" hidden="false" customHeight="false" outlineLevel="0" collapsed="false">
      <c r="A143" s="0" t="s">
        <v>116</v>
      </c>
      <c r="B143" s="1" t="n">
        <v>44003</v>
      </c>
      <c r="C143" s="0" t="n">
        <v>1981</v>
      </c>
      <c r="D143" s="0" t="n">
        <f aca="false">C143-C142</f>
        <v>2</v>
      </c>
      <c r="E143" s="0" t="n">
        <v>69</v>
      </c>
      <c r="F143" s="0" t="n">
        <f aca="false">E143-E142</f>
        <v>0</v>
      </c>
      <c r="G143" s="0" t="n">
        <v>1758</v>
      </c>
      <c r="H143" s="0" t="n">
        <v>154</v>
      </c>
      <c r="I143" s="0" t="n">
        <v>1</v>
      </c>
      <c r="J143" s="0" t="n">
        <v>1493</v>
      </c>
      <c r="K143" s="0" t="n">
        <v>52</v>
      </c>
      <c r="L143" s="0" t="n">
        <v>102486</v>
      </c>
      <c r="M143" s="0" t="n">
        <v>77260</v>
      </c>
    </row>
    <row r="144" customFormat="false" ht="13.5" hidden="false" customHeight="false" outlineLevel="0" collapsed="false">
      <c r="A144" s="0" t="s">
        <v>116</v>
      </c>
      <c r="B144" s="1" t="n">
        <v>44004</v>
      </c>
      <c r="C144" s="0" t="n">
        <v>1981</v>
      </c>
      <c r="D144" s="0" t="n">
        <f aca="false">C144-C143</f>
        <v>0</v>
      </c>
      <c r="E144" s="0" t="n">
        <v>69</v>
      </c>
      <c r="F144" s="0" t="n">
        <f aca="false">E144-E143</f>
        <v>0</v>
      </c>
      <c r="G144" s="0" t="n">
        <v>1764</v>
      </c>
      <c r="H144" s="0" t="n">
        <v>148</v>
      </c>
      <c r="I144" s="0" t="n">
        <v>1</v>
      </c>
      <c r="J144" s="0" t="n">
        <v>1493</v>
      </c>
      <c r="K144" s="0" t="n">
        <v>52</v>
      </c>
      <c r="L144" s="0" t="n">
        <v>102925</v>
      </c>
      <c r="M144" s="0" t="n">
        <v>77591</v>
      </c>
    </row>
    <row r="145" customFormat="false" ht="13.5" hidden="false" customHeight="false" outlineLevel="0" collapsed="false">
      <c r="A145" s="0" t="s">
        <v>116</v>
      </c>
      <c r="B145" s="1" t="n">
        <v>44005</v>
      </c>
      <c r="C145" s="0" t="n">
        <v>1981</v>
      </c>
      <c r="D145" s="0" t="n">
        <f aca="false">C145-C144</f>
        <v>0</v>
      </c>
      <c r="E145" s="0" t="n">
        <v>69</v>
      </c>
      <c r="F145" s="0" t="n">
        <f aca="false">E145-E144</f>
        <v>0</v>
      </c>
      <c r="G145" s="0" t="n">
        <v>1765</v>
      </c>
      <c r="H145" s="0" t="n">
        <v>147</v>
      </c>
      <c r="I145" s="0" t="n">
        <v>1</v>
      </c>
      <c r="J145" s="0" t="n">
        <v>1493</v>
      </c>
      <c r="K145" s="0" t="n">
        <v>52</v>
      </c>
      <c r="L145" s="0" t="n">
        <v>103210</v>
      </c>
      <c r="M145" s="0" t="n">
        <v>77805</v>
      </c>
    </row>
    <row r="146" customFormat="false" ht="13.5" hidden="false" customHeight="false" outlineLevel="0" collapsed="false">
      <c r="A146" s="0" t="s">
        <v>116</v>
      </c>
      <c r="B146" s="1" t="n">
        <v>44006</v>
      </c>
      <c r="C146" s="0" t="n">
        <v>1982</v>
      </c>
      <c r="D146" s="0" t="n">
        <v>1</v>
      </c>
      <c r="E146" s="0" t="n">
        <v>69</v>
      </c>
      <c r="F146" s="0" t="n">
        <f aca="false">E146-E145</f>
        <v>0</v>
      </c>
      <c r="G146" s="0" t="n">
        <v>1771</v>
      </c>
      <c r="H146" s="0" t="n">
        <v>142</v>
      </c>
      <c r="I146" s="0" t="n">
        <v>1</v>
      </c>
      <c r="J146" s="0" t="n">
        <v>1494</v>
      </c>
      <c r="K146" s="0" t="n">
        <v>52</v>
      </c>
      <c r="L146" s="0" t="n">
        <v>103210</v>
      </c>
      <c r="M146" s="0" t="n">
        <v>77805</v>
      </c>
    </row>
    <row r="147" customFormat="false" ht="13.5" hidden="false" customHeight="false" outlineLevel="0" collapsed="false">
      <c r="A147" s="0" t="s">
        <v>116</v>
      </c>
      <c r="B147" s="1" t="n">
        <v>44007</v>
      </c>
      <c r="C147" s="0" t="n">
        <v>1983</v>
      </c>
      <c r="D147" s="0" t="n">
        <v>1</v>
      </c>
      <c r="E147" s="0" t="n">
        <v>69</v>
      </c>
      <c r="F147" s="0" t="n">
        <v>0</v>
      </c>
      <c r="G147" s="0" t="n">
        <v>1783</v>
      </c>
      <c r="H147" s="0" t="n">
        <v>131</v>
      </c>
      <c r="I147" s="0" t="n">
        <v>1</v>
      </c>
      <c r="J147" s="0" t="n">
        <v>1495</v>
      </c>
      <c r="K147" s="0" t="n">
        <v>52</v>
      </c>
      <c r="L147" s="0" t="n">
        <v>103950</v>
      </c>
      <c r="M147" s="0" t="n">
        <v>78363</v>
      </c>
    </row>
    <row r="148" customFormat="false" ht="13.5" hidden="false" customHeight="false" outlineLevel="0" collapsed="false">
      <c r="A148" s="0" t="s">
        <v>116</v>
      </c>
      <c r="B148" s="1" t="n">
        <v>44008</v>
      </c>
      <c r="C148" s="0" t="n">
        <v>1984</v>
      </c>
      <c r="D148" s="0" t="n">
        <v>1</v>
      </c>
      <c r="E148" s="0" t="n">
        <v>69</v>
      </c>
      <c r="F148" s="0" t="n">
        <v>0</v>
      </c>
      <c r="G148" s="0" t="n">
        <v>1790</v>
      </c>
      <c r="H148" s="0" t="n">
        <v>125</v>
      </c>
      <c r="I148" s="0" t="n">
        <v>1</v>
      </c>
      <c r="J148" s="0" t="n">
        <v>1496</v>
      </c>
      <c r="K148" s="0" t="n">
        <v>52</v>
      </c>
      <c r="L148" s="0" t="n">
        <v>104299</v>
      </c>
      <c r="M148" s="0" t="n">
        <v>78626</v>
      </c>
    </row>
    <row r="149" customFormat="false" ht="13.5" hidden="false" customHeight="false" outlineLevel="0" collapsed="false">
      <c r="A149" s="0" t="s">
        <v>116</v>
      </c>
      <c r="B149" s="1" t="n">
        <v>44009</v>
      </c>
      <c r="C149" s="0" t="n">
        <v>1986</v>
      </c>
      <c r="D149" s="0" t="n">
        <v>2</v>
      </c>
      <c r="E149" s="0" t="n">
        <v>69</v>
      </c>
      <c r="F149" s="0" t="n">
        <v>0</v>
      </c>
      <c r="G149" s="0" t="n">
        <v>1797</v>
      </c>
      <c r="H149" s="0" t="n">
        <v>120</v>
      </c>
      <c r="I149" s="0" t="n">
        <v>1</v>
      </c>
      <c r="J149" s="0" t="n">
        <v>1497</v>
      </c>
      <c r="K149" s="0" t="n">
        <v>52</v>
      </c>
      <c r="L149" s="0" t="n">
        <v>104299</v>
      </c>
      <c r="M149" s="0" t="n">
        <v>78626</v>
      </c>
    </row>
    <row r="150" customFormat="false" ht="13.5" hidden="false" customHeight="false" outlineLevel="0" collapsed="false">
      <c r="A150" s="0" t="s">
        <v>116</v>
      </c>
      <c r="B150" s="1" t="n">
        <v>44010</v>
      </c>
      <c r="C150" s="0" t="n">
        <v>1986</v>
      </c>
      <c r="D150" s="0" t="n">
        <v>0</v>
      </c>
      <c r="E150" s="0" t="n">
        <v>69</v>
      </c>
      <c r="F150" s="0" t="n">
        <v>0</v>
      </c>
      <c r="G150" s="0" t="n">
        <v>1812</v>
      </c>
      <c r="H150" s="0" t="n">
        <v>105</v>
      </c>
      <c r="I150" s="0" t="n">
        <v>0</v>
      </c>
      <c r="J150" s="0" t="n">
        <v>1497</v>
      </c>
      <c r="K150" s="0" t="n">
        <v>52</v>
      </c>
      <c r="L150" s="0" t="n">
        <v>105310</v>
      </c>
      <c r="M150" s="0" t="n">
        <v>79388</v>
      </c>
    </row>
    <row r="151" customFormat="false" ht="13.5" hidden="false" customHeight="false" outlineLevel="0" collapsed="false">
      <c r="A151" s="0" t="s">
        <v>116</v>
      </c>
      <c r="B151" s="1" t="n">
        <v>44011</v>
      </c>
      <c r="C151" s="0" t="n">
        <v>1987</v>
      </c>
      <c r="D151" s="0" t="n">
        <v>1</v>
      </c>
      <c r="E151" s="0" t="n">
        <v>69</v>
      </c>
      <c r="F151" s="0" t="n">
        <v>0</v>
      </c>
      <c r="G151" s="0" t="n">
        <v>1818</v>
      </c>
      <c r="H151" s="0" t="n">
        <v>100</v>
      </c>
      <c r="I151" s="0" t="n">
        <v>0</v>
      </c>
      <c r="J151" s="0" t="n">
        <v>1498</v>
      </c>
      <c r="K151" s="0" t="n">
        <v>52</v>
      </c>
      <c r="L151" s="0" t="n">
        <v>105676</v>
      </c>
      <c r="M151" s="0" t="n">
        <v>79663</v>
      </c>
    </row>
    <row r="152" customFormat="false" ht="13.5" hidden="false" customHeight="false" outlineLevel="0" collapsed="false">
      <c r="A152" s="0" t="s">
        <v>116</v>
      </c>
      <c r="B152" s="1" t="n">
        <v>44012</v>
      </c>
    </row>
    <row r="153" customFormat="false" ht="13.5" hidden="false" customHeight="false" outlineLevel="0" collapsed="false">
      <c r="A153" s="0" t="s">
        <v>116</v>
      </c>
      <c r="B153" s="1" t="n">
        <v>44013</v>
      </c>
    </row>
    <row r="154" customFormat="false" ht="13.5" hidden="false" customHeight="false" outlineLevel="0" collapsed="false">
      <c r="A154" s="0" t="s">
        <v>116</v>
      </c>
      <c r="B154" s="1" t="n">
        <v>44014</v>
      </c>
    </row>
    <row r="155" customFormat="false" ht="13.5" hidden="false" customHeight="false" outlineLevel="0" collapsed="false">
      <c r="A155" s="0" t="s">
        <v>116</v>
      </c>
      <c r="B155" s="1" t="n">
        <v>44015</v>
      </c>
    </row>
    <row r="156" customFormat="false" ht="13.5" hidden="false" customHeight="false" outlineLevel="0" collapsed="false">
      <c r="A156" s="0" t="s">
        <v>116</v>
      </c>
      <c r="B156" s="1" t="n">
        <v>44016</v>
      </c>
    </row>
    <row r="157" customFormat="false" ht="13.5" hidden="false" customHeight="false" outlineLevel="0" collapsed="false">
      <c r="A157" s="0" t="s">
        <v>116</v>
      </c>
      <c r="B157" s="1" t="n">
        <v>44017</v>
      </c>
    </row>
    <row r="158" customFormat="false" ht="13.5" hidden="false" customHeight="false" outlineLevel="0" collapsed="false">
      <c r="A158" s="0" t="s">
        <v>116</v>
      </c>
      <c r="B158" s="1" t="n">
        <v>44018</v>
      </c>
    </row>
    <row r="159" customFormat="false" ht="13.5" hidden="false" customHeight="false" outlineLevel="0" collapsed="false">
      <c r="A159" s="0" t="s">
        <v>116</v>
      </c>
      <c r="B159" s="1" t="n">
        <v>44019</v>
      </c>
    </row>
    <row r="160" customFormat="false" ht="13.5" hidden="false" customHeight="false" outlineLevel="0" collapsed="false">
      <c r="A160" s="0" t="s">
        <v>116</v>
      </c>
      <c r="B160" s="1" t="n">
        <v>44020</v>
      </c>
    </row>
    <row r="161" customFormat="false" ht="13.5" hidden="false" customHeight="false" outlineLevel="0" collapsed="false">
      <c r="A161" s="0" t="s">
        <v>116</v>
      </c>
      <c r="B161" s="1" t="n">
        <v>44021</v>
      </c>
    </row>
    <row r="162" customFormat="false" ht="13.5" hidden="false" customHeight="false" outlineLevel="0" collapsed="false">
      <c r="A162" s="0" t="s">
        <v>116</v>
      </c>
      <c r="B162" s="1" t="n">
        <v>44022</v>
      </c>
    </row>
    <row r="163" customFormat="false" ht="13.5" hidden="false" customHeight="false" outlineLevel="0" collapsed="false">
      <c r="A163" s="0" t="s">
        <v>116</v>
      </c>
      <c r="B163" s="1" t="n">
        <v>44023</v>
      </c>
    </row>
    <row r="164" customFormat="false" ht="13.5" hidden="false" customHeight="false" outlineLevel="0" collapsed="false">
      <c r="A164" s="0" t="s">
        <v>116</v>
      </c>
      <c r="B164" s="1" t="n">
        <v>44024</v>
      </c>
    </row>
    <row r="165" customFormat="false" ht="13.5" hidden="false" customHeight="false" outlineLevel="0" collapsed="false">
      <c r="A165" s="0" t="s">
        <v>116</v>
      </c>
      <c r="B165" s="1" t="n">
        <v>44025</v>
      </c>
    </row>
    <row r="166" customFormat="false" ht="13.5" hidden="false" customHeight="false" outlineLevel="0" collapsed="false">
      <c r="A166" s="0" t="s">
        <v>116</v>
      </c>
      <c r="B166" s="1" t="n">
        <v>44026</v>
      </c>
    </row>
    <row r="167" customFormat="false" ht="13.5" hidden="false" customHeight="false" outlineLevel="0" collapsed="false">
      <c r="A167" s="0" t="s">
        <v>116</v>
      </c>
      <c r="B167" s="1" t="n">
        <v>44027</v>
      </c>
    </row>
    <row r="168" customFormat="false" ht="13.5" hidden="false" customHeight="false" outlineLevel="0" collapsed="false">
      <c r="A168" s="0" t="s">
        <v>116</v>
      </c>
      <c r="B168" s="1" t="n">
        <v>44028</v>
      </c>
    </row>
    <row r="169" customFormat="false" ht="13.5" hidden="false" customHeight="false" outlineLevel="0" collapsed="false">
      <c r="A169" s="0" t="s">
        <v>116</v>
      </c>
      <c r="B169" s="1" t="n">
        <v>44029</v>
      </c>
    </row>
    <row r="170" customFormat="false" ht="13.5" hidden="false" customHeight="false" outlineLevel="0" collapsed="false">
      <c r="A170" s="0" t="s">
        <v>116</v>
      </c>
      <c r="B170" s="1" t="n">
        <v>44030</v>
      </c>
    </row>
    <row r="171" customFormat="false" ht="13.5" hidden="false" customHeight="false" outlineLevel="0" collapsed="false">
      <c r="A171" s="0" t="s">
        <v>116</v>
      </c>
      <c r="B171" s="1" t="n">
        <v>44031</v>
      </c>
    </row>
    <row r="172" customFormat="false" ht="13.5" hidden="false" customHeight="false" outlineLevel="0" collapsed="false">
      <c r="A172" s="0" t="s">
        <v>116</v>
      </c>
      <c r="B172" s="1" t="n">
        <v>44032</v>
      </c>
    </row>
    <row r="173" customFormat="false" ht="13.5" hidden="false" customHeight="false" outlineLevel="0" collapsed="false">
      <c r="A173" s="0" t="s">
        <v>116</v>
      </c>
      <c r="B173" s="1" t="n">
        <v>44033</v>
      </c>
    </row>
    <row r="174" customFormat="false" ht="13.5" hidden="false" customHeight="false" outlineLevel="0" collapsed="false">
      <c r="A174" s="0" t="s">
        <v>116</v>
      </c>
      <c r="B174" s="1" t="n">
        <v>44034</v>
      </c>
    </row>
    <row r="175" customFormat="false" ht="13.5" hidden="false" customHeight="false" outlineLevel="0" collapsed="false">
      <c r="A175" s="0" t="s">
        <v>116</v>
      </c>
      <c r="B175" s="1" t="n">
        <v>44035</v>
      </c>
    </row>
    <row r="176" customFormat="false" ht="13.5" hidden="false" customHeight="false" outlineLevel="0" collapsed="false">
      <c r="A176" s="0" t="s">
        <v>116</v>
      </c>
      <c r="B176" s="1" t="n">
        <v>44036</v>
      </c>
    </row>
    <row r="177" customFormat="false" ht="13.5" hidden="false" customHeight="false" outlineLevel="0" collapsed="false">
      <c r="A177" s="0" t="s">
        <v>116</v>
      </c>
      <c r="B177" s="1" t="n">
        <v>44037</v>
      </c>
    </row>
    <row r="178" customFormat="false" ht="13.5" hidden="false" customHeight="false" outlineLevel="0" collapsed="false">
      <c r="A178" s="0" t="s">
        <v>116</v>
      </c>
      <c r="B178" s="1" t="n">
        <v>44038</v>
      </c>
    </row>
    <row r="179" customFormat="false" ht="13.5" hidden="false" customHeight="false" outlineLevel="0" collapsed="false">
      <c r="A179" s="0" t="s">
        <v>116</v>
      </c>
      <c r="B179" s="1" t="n">
        <v>44039</v>
      </c>
    </row>
    <row r="180" customFormat="false" ht="13.5" hidden="false" customHeight="false" outlineLevel="0" collapsed="false">
      <c r="A180" s="0" t="s">
        <v>116</v>
      </c>
      <c r="B180" s="1" t="n">
        <v>44040</v>
      </c>
    </row>
    <row r="181" customFormat="false" ht="13.5" hidden="false" customHeight="false" outlineLevel="0" collapsed="false">
      <c r="A181" s="0" t="s">
        <v>116</v>
      </c>
      <c r="B181" s="1" t="n">
        <v>44041</v>
      </c>
    </row>
    <row r="182" customFormat="false" ht="13.5" hidden="false" customHeight="false" outlineLevel="0" collapsed="false">
      <c r="A182" s="0" t="s">
        <v>116</v>
      </c>
      <c r="B182" s="1" t="n">
        <v>44042</v>
      </c>
    </row>
    <row r="183" customFormat="false" ht="13.5" hidden="false" customHeight="false" outlineLevel="0" collapsed="false">
      <c r="A183" s="0" t="s">
        <v>116</v>
      </c>
      <c r="B183" s="1" t="n">
        <v>44043</v>
      </c>
    </row>
    <row r="184" customFormat="false" ht="13.5" hidden="false" customHeight="false" outlineLevel="0" collapsed="false">
      <c r="A184" s="0" t="s">
        <v>116</v>
      </c>
      <c r="B184" s="1" t="n">
        <v>44044</v>
      </c>
    </row>
    <row r="185" customFormat="false" ht="13.5" hidden="false" customHeight="false" outlineLevel="0" collapsed="false">
      <c r="A185" s="0" t="s">
        <v>116</v>
      </c>
      <c r="B185" s="1" t="n">
        <v>44045</v>
      </c>
    </row>
    <row r="186" customFormat="false" ht="13.5" hidden="false" customHeight="false" outlineLevel="0" collapsed="false">
      <c r="A186" s="0" t="s">
        <v>116</v>
      </c>
      <c r="B186" s="1" t="n">
        <v>44046</v>
      </c>
    </row>
    <row r="187" customFormat="false" ht="13.5" hidden="false" customHeight="false" outlineLevel="0" collapsed="false">
      <c r="A187" s="0" t="s">
        <v>116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1" colorId="64" zoomScale="100" zoomScaleNormal="100" zoomScalePageLayoutView="100" workbookViewId="0">
      <selection pane="topLeft" activeCell="B1" activeCellId="0" sqref="B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117</v>
      </c>
      <c r="B2" s="1" t="n">
        <v>43862</v>
      </c>
      <c r="C2" s="0" t="e">
        <f aca="false">#REF!</f>
        <v>#REF!</v>
      </c>
      <c r="D2" s="0" t="e">
        <f aca="false">#REF!</f>
        <v>#REF!</v>
      </c>
      <c r="E2" s="0" t="e">
        <f aca="false">#REF!</f>
        <v>#REF!</v>
      </c>
      <c r="F2" s="0" t="e">
        <f aca="false">#REF!</f>
        <v>#REF!</v>
      </c>
      <c r="G2" s="0" t="e">
        <f aca="false">#REF!</f>
        <v>#REF!</v>
      </c>
      <c r="H2" s="0" t="e">
        <f aca="false">#REF!</f>
        <v>#REF!</v>
      </c>
      <c r="I2" s="0" t="e">
        <f aca="false">#REF!</f>
        <v>#REF!</v>
      </c>
      <c r="J2" s="0" t="e">
        <f aca="false">#REF!</f>
        <v>#REF!</v>
      </c>
      <c r="K2" s="0" t="e">
        <f aca="false">#REF!</f>
        <v>#REF!</v>
      </c>
      <c r="L2" s="0" t="e">
        <f aca="false">#REF!</f>
        <v>#REF!</v>
      </c>
      <c r="M2" s="0" t="e">
        <f aca="false">#REF!</f>
        <v>#REF!</v>
      </c>
    </row>
    <row r="3" customFormat="false" ht="13.5" hidden="false" customHeight="false" outlineLevel="0" collapsed="false">
      <c r="A3" s="0" t="s">
        <v>117</v>
      </c>
      <c r="B3" s="1" t="n">
        <v>43863</v>
      </c>
      <c r="C3" s="0" t="e">
        <f aca="false">#REF!</f>
        <v>#REF!</v>
      </c>
      <c r="D3" s="0" t="e">
        <f aca="false">#REF!</f>
        <v>#REF!</v>
      </c>
      <c r="E3" s="0" t="e">
        <f aca="false">#REF!</f>
        <v>#REF!</v>
      </c>
      <c r="F3" s="0" t="e">
        <f aca="false">#REF!</f>
        <v>#REF!</v>
      </c>
      <c r="G3" s="0" t="e">
        <f aca="false">#REF!</f>
        <v>#REF!</v>
      </c>
      <c r="H3" s="0" t="e">
        <f aca="false">#REF!</f>
        <v>#REF!</v>
      </c>
      <c r="I3" s="0" t="e">
        <f aca="false">#REF!</f>
        <v>#REF!</v>
      </c>
      <c r="J3" s="0" t="e">
        <f aca="false">#REF!</f>
        <v>#REF!</v>
      </c>
      <c r="K3" s="0" t="e">
        <f aca="false">#REF!</f>
        <v>#REF!</v>
      </c>
      <c r="L3" s="0" t="e">
        <f aca="false">#REF!</f>
        <v>#REF!</v>
      </c>
      <c r="M3" s="0" t="e">
        <f aca="false">#REF!</f>
        <v>#REF!</v>
      </c>
    </row>
    <row r="4" customFormat="false" ht="13.5" hidden="false" customHeight="false" outlineLevel="0" collapsed="false">
      <c r="A4" s="0" t="s">
        <v>117</v>
      </c>
      <c r="B4" s="1" t="n">
        <v>43864</v>
      </c>
      <c r="C4" s="0" t="e">
        <f aca="false">#REF!</f>
        <v>#REF!</v>
      </c>
      <c r="D4" s="0" t="e">
        <f aca="false">#REF!</f>
        <v>#REF!</v>
      </c>
      <c r="E4" s="0" t="e">
        <f aca="false">#REF!</f>
        <v>#REF!</v>
      </c>
      <c r="F4" s="0" t="e">
        <f aca="false">#REF!</f>
        <v>#REF!</v>
      </c>
      <c r="G4" s="0" t="e">
        <f aca="false">#REF!</f>
        <v>#REF!</v>
      </c>
      <c r="H4" s="0" t="e">
        <f aca="false">#REF!</f>
        <v>#REF!</v>
      </c>
      <c r="I4" s="0" t="e">
        <f aca="false">#REF!</f>
        <v>#REF!</v>
      </c>
      <c r="J4" s="0" t="e">
        <f aca="false">#REF!</f>
        <v>#REF!</v>
      </c>
      <c r="K4" s="0" t="e">
        <f aca="false">#REF!</f>
        <v>#REF!</v>
      </c>
      <c r="L4" s="0" t="e">
        <f aca="false">#REF!</f>
        <v>#REF!</v>
      </c>
      <c r="M4" s="0" t="e">
        <f aca="false">#REF!</f>
        <v>#REF!</v>
      </c>
    </row>
    <row r="5" customFormat="false" ht="13.5" hidden="false" customHeight="false" outlineLevel="0" collapsed="false">
      <c r="A5" s="0" t="s">
        <v>117</v>
      </c>
      <c r="B5" s="1" t="n">
        <v>43865</v>
      </c>
      <c r="C5" s="0" t="e">
        <f aca="false">#REF!</f>
        <v>#REF!</v>
      </c>
      <c r="D5" s="0" t="e">
        <f aca="false">#REF!</f>
        <v>#REF!</v>
      </c>
      <c r="E5" s="0" t="e">
        <f aca="false">#REF!</f>
        <v>#REF!</v>
      </c>
      <c r="F5" s="0" t="e">
        <f aca="false">#REF!</f>
        <v>#REF!</v>
      </c>
      <c r="G5" s="0" t="e">
        <f aca="false">#REF!</f>
        <v>#REF!</v>
      </c>
      <c r="H5" s="0" t="e">
        <f aca="false">#REF!</f>
        <v>#REF!</v>
      </c>
      <c r="I5" s="0" t="e">
        <f aca="false">#REF!</f>
        <v>#REF!</v>
      </c>
      <c r="J5" s="0" t="e">
        <f aca="false">#REF!</f>
        <v>#REF!</v>
      </c>
      <c r="K5" s="0" t="e">
        <f aca="false">#REF!</f>
        <v>#REF!</v>
      </c>
      <c r="L5" s="0" t="e">
        <f aca="false">#REF!</f>
        <v>#REF!</v>
      </c>
      <c r="M5" s="0" t="e">
        <f aca="false">#REF!</f>
        <v>#REF!</v>
      </c>
    </row>
    <row r="6" customFormat="false" ht="13.5" hidden="false" customHeight="false" outlineLevel="0" collapsed="false">
      <c r="A6" s="0" t="s">
        <v>117</v>
      </c>
      <c r="B6" s="1" t="n">
        <v>43866</v>
      </c>
      <c r="C6" s="0" t="e">
        <f aca="false">#REF!</f>
        <v>#REF!</v>
      </c>
      <c r="D6" s="0" t="e">
        <f aca="false">#REF!</f>
        <v>#REF!</v>
      </c>
      <c r="E6" s="0" t="e">
        <f aca="false">#REF!</f>
        <v>#REF!</v>
      </c>
      <c r="F6" s="0" t="e">
        <f aca="false">#REF!</f>
        <v>#REF!</v>
      </c>
      <c r="G6" s="0" t="e">
        <f aca="false">#REF!</f>
        <v>#REF!</v>
      </c>
      <c r="H6" s="0" t="e">
        <f aca="false">#REF!</f>
        <v>#REF!</v>
      </c>
      <c r="I6" s="0" t="e">
        <f aca="false">#REF!</f>
        <v>#REF!</v>
      </c>
      <c r="J6" s="0" t="e">
        <f aca="false">#REF!</f>
        <v>#REF!</v>
      </c>
      <c r="K6" s="0" t="e">
        <f aca="false">#REF!</f>
        <v>#REF!</v>
      </c>
      <c r="L6" s="0" t="e">
        <f aca="false">#REF!</f>
        <v>#REF!</v>
      </c>
      <c r="M6" s="0" t="e">
        <f aca="false">#REF!</f>
        <v>#REF!</v>
      </c>
    </row>
    <row r="7" customFormat="false" ht="13.5" hidden="false" customHeight="false" outlineLevel="0" collapsed="false">
      <c r="A7" s="0" t="s">
        <v>117</v>
      </c>
      <c r="B7" s="1" t="n">
        <v>43867</v>
      </c>
      <c r="C7" s="0" t="e">
        <f aca="false">#REF!</f>
        <v>#REF!</v>
      </c>
      <c r="D7" s="0" t="e">
        <f aca="false">#REF!</f>
        <v>#REF!</v>
      </c>
      <c r="E7" s="0" t="e">
        <f aca="false">#REF!</f>
        <v>#REF!</v>
      </c>
      <c r="F7" s="0" t="e">
        <f aca="false">#REF!</f>
        <v>#REF!</v>
      </c>
      <c r="G7" s="0" t="e">
        <f aca="false">#REF!</f>
        <v>#REF!</v>
      </c>
      <c r="H7" s="0" t="e">
        <f aca="false">#REF!</f>
        <v>#REF!</v>
      </c>
      <c r="I7" s="0" t="e">
        <f aca="false">#REF!</f>
        <v>#REF!</v>
      </c>
      <c r="J7" s="0" t="e">
        <f aca="false">#REF!</f>
        <v>#REF!</v>
      </c>
      <c r="K7" s="0" t="e">
        <f aca="false">#REF!</f>
        <v>#REF!</v>
      </c>
      <c r="L7" s="0" t="e">
        <f aca="false">#REF!</f>
        <v>#REF!</v>
      </c>
      <c r="M7" s="0" t="e">
        <f aca="false">#REF!</f>
        <v>#REF!</v>
      </c>
    </row>
    <row r="8" customFormat="false" ht="13.5" hidden="false" customHeight="false" outlineLevel="0" collapsed="false">
      <c r="A8" s="0" t="s">
        <v>117</v>
      </c>
      <c r="B8" s="1" t="n">
        <v>43868</v>
      </c>
      <c r="C8" s="0" t="e">
        <f aca="false">#REF!</f>
        <v>#REF!</v>
      </c>
      <c r="D8" s="0" t="e">
        <f aca="false">#REF!</f>
        <v>#REF!</v>
      </c>
      <c r="E8" s="0" t="e">
        <f aca="false">#REF!</f>
        <v>#REF!</v>
      </c>
      <c r="F8" s="0" t="e">
        <f aca="false">#REF!</f>
        <v>#REF!</v>
      </c>
      <c r="G8" s="0" t="e">
        <f aca="false">#REF!</f>
        <v>#REF!</v>
      </c>
      <c r="H8" s="0" t="e">
        <f aca="false">#REF!</f>
        <v>#REF!</v>
      </c>
      <c r="I8" s="0" t="e">
        <f aca="false">#REF!</f>
        <v>#REF!</v>
      </c>
      <c r="J8" s="0" t="e">
        <f aca="false">#REF!</f>
        <v>#REF!</v>
      </c>
      <c r="K8" s="0" t="e">
        <f aca="false">#REF!</f>
        <v>#REF!</v>
      </c>
      <c r="L8" s="0" t="e">
        <f aca="false">#REF!</f>
        <v>#REF!</v>
      </c>
      <c r="M8" s="0" t="e">
        <f aca="false">#REF!</f>
        <v>#REF!</v>
      </c>
    </row>
    <row r="9" customFormat="false" ht="13.5" hidden="false" customHeight="false" outlineLevel="0" collapsed="false">
      <c r="A9" s="0" t="s">
        <v>117</v>
      </c>
      <c r="B9" s="1" t="n">
        <v>43869</v>
      </c>
      <c r="C9" s="0" t="e">
        <f aca="false">#REF!</f>
        <v>#REF!</v>
      </c>
      <c r="D9" s="0" t="e">
        <f aca="false">#REF!</f>
        <v>#REF!</v>
      </c>
      <c r="E9" s="0" t="e">
        <f aca="false">#REF!</f>
        <v>#REF!</v>
      </c>
      <c r="F9" s="0" t="e">
        <f aca="false">#REF!</f>
        <v>#REF!</v>
      </c>
      <c r="G9" s="0" t="e">
        <f aca="false">#REF!</f>
        <v>#REF!</v>
      </c>
      <c r="H9" s="0" t="e">
        <f aca="false">#REF!</f>
        <v>#REF!</v>
      </c>
      <c r="I9" s="0" t="e">
        <f aca="false">#REF!</f>
        <v>#REF!</v>
      </c>
      <c r="J9" s="0" t="e">
        <f aca="false">#REF!</f>
        <v>#REF!</v>
      </c>
      <c r="K9" s="0" t="e">
        <f aca="false">#REF!</f>
        <v>#REF!</v>
      </c>
      <c r="L9" s="0" t="e">
        <f aca="false">#REF!</f>
        <v>#REF!</v>
      </c>
      <c r="M9" s="0" t="e">
        <f aca="false">#REF!</f>
        <v>#REF!</v>
      </c>
    </row>
    <row r="10" customFormat="false" ht="13.5" hidden="false" customHeight="false" outlineLevel="0" collapsed="false">
      <c r="A10" s="0" t="s">
        <v>117</v>
      </c>
      <c r="B10" s="1" t="n">
        <v>43870</v>
      </c>
      <c r="C10" s="0" t="e">
        <f aca="false">#REF!</f>
        <v>#REF!</v>
      </c>
      <c r="D10" s="0" t="e">
        <f aca="false">#REF!</f>
        <v>#REF!</v>
      </c>
      <c r="E10" s="0" t="e">
        <f aca="false">#REF!</f>
        <v>#REF!</v>
      </c>
      <c r="F10" s="0" t="e">
        <f aca="false">#REF!</f>
        <v>#REF!</v>
      </c>
      <c r="G10" s="0" t="e">
        <f aca="false">#REF!</f>
        <v>#REF!</v>
      </c>
      <c r="H10" s="0" t="e">
        <f aca="false">#REF!</f>
        <v>#REF!</v>
      </c>
      <c r="I10" s="0" t="e">
        <f aca="false">#REF!</f>
        <v>#REF!</v>
      </c>
      <c r="J10" s="0" t="e">
        <f aca="false">#REF!</f>
        <v>#REF!</v>
      </c>
      <c r="K10" s="0" t="e">
        <f aca="false">#REF!</f>
        <v>#REF!</v>
      </c>
      <c r="L10" s="0" t="e">
        <f aca="false">#REF!</f>
        <v>#REF!</v>
      </c>
      <c r="M10" s="0" t="e">
        <f aca="false">#REF!</f>
        <v>#REF!</v>
      </c>
    </row>
    <row r="11" customFormat="false" ht="13.5" hidden="false" customHeight="false" outlineLevel="0" collapsed="false">
      <c r="A11" s="0" t="s">
        <v>117</v>
      </c>
      <c r="B11" s="1" t="n">
        <v>43871</v>
      </c>
      <c r="C11" s="0" t="e">
        <f aca="false">#REF!</f>
        <v>#REF!</v>
      </c>
      <c r="D11" s="0" t="e">
        <f aca="false">#REF!</f>
        <v>#REF!</v>
      </c>
      <c r="E11" s="0" t="e">
        <f aca="false">#REF!</f>
        <v>#REF!</v>
      </c>
      <c r="F11" s="0" t="e">
        <f aca="false">#REF!</f>
        <v>#REF!</v>
      </c>
      <c r="G11" s="0" t="e">
        <f aca="false">#REF!</f>
        <v>#REF!</v>
      </c>
      <c r="H11" s="0" t="e">
        <f aca="false">#REF!</f>
        <v>#REF!</v>
      </c>
      <c r="I11" s="0" t="e">
        <f aca="false">#REF!</f>
        <v>#REF!</v>
      </c>
      <c r="J11" s="0" t="e">
        <f aca="false">#REF!</f>
        <v>#REF!</v>
      </c>
      <c r="K11" s="0" t="e">
        <f aca="false">#REF!</f>
        <v>#REF!</v>
      </c>
      <c r="L11" s="0" t="e">
        <f aca="false">#REF!</f>
        <v>#REF!</v>
      </c>
      <c r="M11" s="0" t="e">
        <f aca="false">#REF!</f>
        <v>#REF!</v>
      </c>
    </row>
    <row r="12" customFormat="false" ht="13.5" hidden="false" customHeight="false" outlineLevel="0" collapsed="false">
      <c r="A12" s="0" t="s">
        <v>117</v>
      </c>
      <c r="B12" s="1" t="n">
        <v>43872</v>
      </c>
      <c r="C12" s="0" t="e">
        <f aca="false">#REF!</f>
        <v>#REF!</v>
      </c>
      <c r="D12" s="0" t="e">
        <f aca="false">#REF!</f>
        <v>#REF!</v>
      </c>
      <c r="E12" s="0" t="e">
        <f aca="false">#REF!</f>
        <v>#REF!</v>
      </c>
      <c r="F12" s="0" t="e">
        <f aca="false">#REF!</f>
        <v>#REF!</v>
      </c>
      <c r="G12" s="0" t="e">
        <f aca="false">#REF!</f>
        <v>#REF!</v>
      </c>
      <c r="H12" s="0" t="e">
        <f aca="false">#REF!</f>
        <v>#REF!</v>
      </c>
      <c r="I12" s="0" t="e">
        <f aca="false">#REF!</f>
        <v>#REF!</v>
      </c>
      <c r="J12" s="0" t="e">
        <f aca="false">#REF!</f>
        <v>#REF!</v>
      </c>
      <c r="K12" s="0" t="e">
        <f aca="false">#REF!</f>
        <v>#REF!</v>
      </c>
      <c r="L12" s="0" t="e">
        <f aca="false">#REF!</f>
        <v>#REF!</v>
      </c>
      <c r="M12" s="0" t="e">
        <f aca="false">#REF!</f>
        <v>#REF!</v>
      </c>
    </row>
    <row r="13" customFormat="false" ht="13.5" hidden="false" customHeight="false" outlineLevel="0" collapsed="false">
      <c r="A13" s="0" t="s">
        <v>117</v>
      </c>
      <c r="B13" s="1" t="n">
        <v>43873</v>
      </c>
      <c r="C13" s="0" t="e">
        <f aca="false">#REF!</f>
        <v>#REF!</v>
      </c>
      <c r="D13" s="0" t="e">
        <f aca="false">#REF!</f>
        <v>#REF!</v>
      </c>
      <c r="E13" s="0" t="e">
        <f aca="false">#REF!</f>
        <v>#REF!</v>
      </c>
      <c r="F13" s="0" t="e">
        <f aca="false">#REF!</f>
        <v>#REF!</v>
      </c>
      <c r="G13" s="0" t="e">
        <f aca="false">#REF!</f>
        <v>#REF!</v>
      </c>
      <c r="H13" s="0" t="e">
        <f aca="false">#REF!</f>
        <v>#REF!</v>
      </c>
      <c r="I13" s="0" t="e">
        <f aca="false">#REF!</f>
        <v>#REF!</v>
      </c>
      <c r="J13" s="0" t="e">
        <f aca="false">#REF!</f>
        <v>#REF!</v>
      </c>
      <c r="K13" s="0" t="e">
        <f aca="false">#REF!</f>
        <v>#REF!</v>
      </c>
      <c r="L13" s="0" t="e">
        <f aca="false">#REF!</f>
        <v>#REF!</v>
      </c>
      <c r="M13" s="0" t="e">
        <f aca="false">#REF!</f>
        <v>#REF!</v>
      </c>
    </row>
    <row r="14" customFormat="false" ht="13.5" hidden="false" customHeight="false" outlineLevel="0" collapsed="false">
      <c r="A14" s="0" t="s">
        <v>117</v>
      </c>
      <c r="B14" s="1" t="n">
        <v>43874</v>
      </c>
      <c r="C14" s="0" t="e">
        <f aca="false">#REF!</f>
        <v>#REF!</v>
      </c>
      <c r="D14" s="0" t="e">
        <f aca="false">#REF!</f>
        <v>#REF!</v>
      </c>
      <c r="E14" s="0" t="e">
        <f aca="false">#REF!</f>
        <v>#REF!</v>
      </c>
      <c r="F14" s="0" t="e">
        <f aca="false">#REF!</f>
        <v>#REF!</v>
      </c>
      <c r="G14" s="0" t="e">
        <f aca="false">#REF!</f>
        <v>#REF!</v>
      </c>
      <c r="H14" s="0" t="e">
        <f aca="false">#REF!</f>
        <v>#REF!</v>
      </c>
      <c r="I14" s="0" t="e">
        <f aca="false">#REF!</f>
        <v>#REF!</v>
      </c>
      <c r="J14" s="0" t="e">
        <f aca="false">#REF!</f>
        <v>#REF!</v>
      </c>
      <c r="K14" s="0" t="e">
        <f aca="false">#REF!</f>
        <v>#REF!</v>
      </c>
      <c r="L14" s="0" t="e">
        <f aca="false">#REF!</f>
        <v>#REF!</v>
      </c>
      <c r="M14" s="0" t="e">
        <f aca="false">#REF!</f>
        <v>#REF!</v>
      </c>
    </row>
    <row r="15" customFormat="false" ht="13.5" hidden="false" customHeight="false" outlineLevel="0" collapsed="false">
      <c r="A15" s="0" t="s">
        <v>117</v>
      </c>
      <c r="B15" s="1" t="n">
        <v>43875</v>
      </c>
      <c r="C15" s="0" t="e">
        <f aca="false">#REF!</f>
        <v>#REF!</v>
      </c>
      <c r="D15" s="0" t="e">
        <f aca="false">#REF!</f>
        <v>#REF!</v>
      </c>
      <c r="E15" s="0" t="e">
        <f aca="false">#REF!</f>
        <v>#REF!</v>
      </c>
      <c r="F15" s="0" t="e">
        <f aca="false">#REF!</f>
        <v>#REF!</v>
      </c>
      <c r="G15" s="0" t="e">
        <f aca="false">#REF!</f>
        <v>#REF!</v>
      </c>
      <c r="H15" s="0" t="e">
        <f aca="false">#REF!</f>
        <v>#REF!</v>
      </c>
      <c r="I15" s="0" t="e">
        <f aca="false">#REF!</f>
        <v>#REF!</v>
      </c>
      <c r="J15" s="0" t="e">
        <f aca="false">#REF!</f>
        <v>#REF!</v>
      </c>
      <c r="K15" s="0" t="e">
        <f aca="false">#REF!</f>
        <v>#REF!</v>
      </c>
      <c r="L15" s="0" t="e">
        <f aca="false">#REF!</f>
        <v>#REF!</v>
      </c>
      <c r="M15" s="0" t="e">
        <f aca="false">#REF!</f>
        <v>#REF!</v>
      </c>
    </row>
    <row r="16" customFormat="false" ht="13.5" hidden="false" customHeight="false" outlineLevel="0" collapsed="false">
      <c r="A16" s="0" t="s">
        <v>117</v>
      </c>
      <c r="B16" s="1" t="n">
        <v>43876</v>
      </c>
      <c r="C16" s="0" t="e">
        <f aca="false">#REF!</f>
        <v>#REF!</v>
      </c>
      <c r="D16" s="0" t="e">
        <f aca="false">#REF!</f>
        <v>#REF!</v>
      </c>
      <c r="E16" s="0" t="e">
        <f aca="false">#REF!</f>
        <v>#REF!</v>
      </c>
      <c r="F16" s="0" t="e">
        <f aca="false">#REF!</f>
        <v>#REF!</v>
      </c>
      <c r="G16" s="0" t="e">
        <f aca="false">#REF!</f>
        <v>#REF!</v>
      </c>
      <c r="H16" s="0" t="e">
        <f aca="false">#REF!</f>
        <v>#REF!</v>
      </c>
      <c r="I16" s="0" t="e">
        <f aca="false">#REF!</f>
        <v>#REF!</v>
      </c>
      <c r="J16" s="0" t="e">
        <f aca="false">#REF!</f>
        <v>#REF!</v>
      </c>
      <c r="K16" s="0" t="e">
        <f aca="false">#REF!</f>
        <v>#REF!</v>
      </c>
      <c r="L16" s="0" t="e">
        <f aca="false">#REF!</f>
        <v>#REF!</v>
      </c>
      <c r="M16" s="0" t="e">
        <f aca="false">#REF!</f>
        <v>#REF!</v>
      </c>
    </row>
    <row r="17" customFormat="false" ht="13.5" hidden="false" customHeight="false" outlineLevel="0" collapsed="false">
      <c r="A17" s="0" t="s">
        <v>117</v>
      </c>
      <c r="B17" s="1" t="n">
        <v>43877</v>
      </c>
      <c r="C17" s="0" t="e">
        <f aca="false">#REF!</f>
        <v>#REF!</v>
      </c>
      <c r="D17" s="0" t="e">
        <f aca="false">#REF!</f>
        <v>#REF!</v>
      </c>
      <c r="E17" s="0" t="e">
        <f aca="false">#REF!</f>
        <v>#REF!</v>
      </c>
      <c r="F17" s="0" t="e">
        <f aca="false">#REF!</f>
        <v>#REF!</v>
      </c>
      <c r="G17" s="0" t="e">
        <f aca="false">#REF!</f>
        <v>#REF!</v>
      </c>
      <c r="H17" s="0" t="e">
        <f aca="false">#REF!</f>
        <v>#REF!</v>
      </c>
      <c r="I17" s="0" t="e">
        <f aca="false">#REF!</f>
        <v>#REF!</v>
      </c>
      <c r="J17" s="0" t="e">
        <f aca="false">#REF!</f>
        <v>#REF!</v>
      </c>
      <c r="K17" s="0" t="e">
        <f aca="false">#REF!</f>
        <v>#REF!</v>
      </c>
      <c r="L17" s="0" t="e">
        <f aca="false">#REF!</f>
        <v>#REF!</v>
      </c>
      <c r="M17" s="0" t="e">
        <f aca="false">#REF!</f>
        <v>#REF!</v>
      </c>
    </row>
    <row r="18" customFormat="false" ht="13.5" hidden="false" customHeight="false" outlineLevel="0" collapsed="false">
      <c r="A18" s="0" t="s">
        <v>117</v>
      </c>
      <c r="B18" s="1" t="n">
        <v>43878</v>
      </c>
      <c r="C18" s="0" t="e">
        <f aca="false">#REF!</f>
        <v>#REF!</v>
      </c>
      <c r="D18" s="0" t="e">
        <f aca="false">#REF!</f>
        <v>#REF!</v>
      </c>
      <c r="E18" s="0" t="e">
        <f aca="false">#REF!</f>
        <v>#REF!</v>
      </c>
      <c r="F18" s="0" t="e">
        <f aca="false">#REF!</f>
        <v>#REF!</v>
      </c>
      <c r="G18" s="0" t="e">
        <f aca="false">#REF!</f>
        <v>#REF!</v>
      </c>
      <c r="H18" s="0" t="e">
        <f aca="false">#REF!</f>
        <v>#REF!</v>
      </c>
      <c r="I18" s="0" t="e">
        <f aca="false">#REF!</f>
        <v>#REF!</v>
      </c>
      <c r="J18" s="0" t="e">
        <f aca="false">#REF!</f>
        <v>#REF!</v>
      </c>
      <c r="K18" s="0" t="e">
        <f aca="false">#REF!</f>
        <v>#REF!</v>
      </c>
      <c r="L18" s="0" t="e">
        <f aca="false">#REF!</f>
        <v>#REF!</v>
      </c>
      <c r="M18" s="0" t="e">
        <f aca="false">#REF!</f>
        <v>#REF!</v>
      </c>
    </row>
    <row r="19" customFormat="false" ht="13.5" hidden="false" customHeight="false" outlineLevel="0" collapsed="false">
      <c r="A19" s="0" t="s">
        <v>117</v>
      </c>
      <c r="B19" s="1" t="n">
        <v>43879</v>
      </c>
      <c r="C19" s="0" t="e">
        <f aca="false">#REF!</f>
        <v>#REF!</v>
      </c>
      <c r="D19" s="0" t="e">
        <f aca="false">#REF!</f>
        <v>#REF!</v>
      </c>
      <c r="E19" s="0" t="e">
        <f aca="false">#REF!</f>
        <v>#REF!</v>
      </c>
      <c r="F19" s="0" t="e">
        <f aca="false">#REF!</f>
        <v>#REF!</v>
      </c>
      <c r="G19" s="0" t="e">
        <f aca="false">#REF!</f>
        <v>#REF!</v>
      </c>
      <c r="H19" s="0" t="e">
        <f aca="false">#REF!</f>
        <v>#REF!</v>
      </c>
      <c r="I19" s="0" t="e">
        <f aca="false">#REF!</f>
        <v>#REF!</v>
      </c>
      <c r="J19" s="0" t="e">
        <f aca="false">#REF!</f>
        <v>#REF!</v>
      </c>
      <c r="K19" s="0" t="e">
        <f aca="false">#REF!</f>
        <v>#REF!</v>
      </c>
      <c r="L19" s="0" t="e">
        <f aca="false">#REF!</f>
        <v>#REF!</v>
      </c>
      <c r="M19" s="0" t="e">
        <f aca="false">#REF!</f>
        <v>#REF!</v>
      </c>
    </row>
    <row r="20" customFormat="false" ht="13.5" hidden="false" customHeight="false" outlineLevel="0" collapsed="false">
      <c r="A20" s="0" t="s">
        <v>117</v>
      </c>
      <c r="B20" s="1" t="n">
        <v>43880</v>
      </c>
      <c r="C20" s="0" t="e">
        <f aca="false">#REF!</f>
        <v>#REF!</v>
      </c>
      <c r="D20" s="0" t="e">
        <f aca="false">#REF!</f>
        <v>#REF!</v>
      </c>
      <c r="E20" s="0" t="e">
        <f aca="false">#REF!</f>
        <v>#REF!</v>
      </c>
      <c r="F20" s="0" t="e">
        <f aca="false">#REF!</f>
        <v>#REF!</v>
      </c>
      <c r="G20" s="0" t="e">
        <f aca="false">#REF!</f>
        <v>#REF!</v>
      </c>
      <c r="H20" s="0" t="e">
        <f aca="false">#REF!</f>
        <v>#REF!</v>
      </c>
      <c r="I20" s="0" t="e">
        <f aca="false">#REF!</f>
        <v>#REF!</v>
      </c>
      <c r="J20" s="0" t="e">
        <f aca="false">#REF!</f>
        <v>#REF!</v>
      </c>
      <c r="K20" s="0" t="e">
        <f aca="false">#REF!</f>
        <v>#REF!</v>
      </c>
      <c r="L20" s="0" t="e">
        <f aca="false">#REF!</f>
        <v>#REF!</v>
      </c>
      <c r="M20" s="0" t="e">
        <f aca="false">#REF!</f>
        <v>#REF!</v>
      </c>
    </row>
    <row r="21" customFormat="false" ht="13.5" hidden="false" customHeight="false" outlineLevel="0" collapsed="false">
      <c r="A21" s="0" t="s">
        <v>117</v>
      </c>
      <c r="B21" s="1" t="n">
        <v>43881</v>
      </c>
      <c r="C21" s="0" t="e">
        <f aca="false">#REF!</f>
        <v>#REF!</v>
      </c>
      <c r="D21" s="0" t="e">
        <f aca="false">#REF!</f>
        <v>#REF!</v>
      </c>
      <c r="E21" s="0" t="e">
        <f aca="false">#REF!</f>
        <v>#REF!</v>
      </c>
      <c r="F21" s="0" t="e">
        <f aca="false">#REF!</f>
        <v>#REF!</v>
      </c>
      <c r="G21" s="0" t="e">
        <f aca="false">#REF!</f>
        <v>#REF!</v>
      </c>
      <c r="H21" s="0" t="e">
        <f aca="false">#REF!</f>
        <v>#REF!</v>
      </c>
      <c r="I21" s="0" t="e">
        <f aca="false">#REF!</f>
        <v>#REF!</v>
      </c>
      <c r="J21" s="0" t="e">
        <f aca="false">#REF!</f>
        <v>#REF!</v>
      </c>
      <c r="K21" s="0" t="e">
        <f aca="false">#REF!</f>
        <v>#REF!</v>
      </c>
      <c r="L21" s="0" t="e">
        <f aca="false">#REF!</f>
        <v>#REF!</v>
      </c>
      <c r="M21" s="0" t="e">
        <f aca="false">#REF!</f>
        <v>#REF!</v>
      </c>
    </row>
    <row r="22" customFormat="false" ht="13.5" hidden="false" customHeight="false" outlineLevel="0" collapsed="false">
      <c r="A22" s="0" t="s">
        <v>117</v>
      </c>
      <c r="B22" s="1" t="n">
        <v>43882</v>
      </c>
      <c r="C22" s="0" t="e">
        <f aca="false">#REF!</f>
        <v>#REF!</v>
      </c>
      <c r="D22" s="0" t="e">
        <f aca="false">#REF!</f>
        <v>#REF!</v>
      </c>
      <c r="E22" s="0" t="e">
        <f aca="false">#REF!</f>
        <v>#REF!</v>
      </c>
      <c r="F22" s="0" t="e">
        <f aca="false">#REF!</f>
        <v>#REF!</v>
      </c>
      <c r="G22" s="0" t="e">
        <f aca="false">#REF!</f>
        <v>#REF!</v>
      </c>
      <c r="H22" s="0" t="e">
        <f aca="false">#REF!</f>
        <v>#REF!</v>
      </c>
      <c r="I22" s="0" t="e">
        <f aca="false">#REF!</f>
        <v>#REF!</v>
      </c>
      <c r="J22" s="0" t="e">
        <f aca="false">#REF!</f>
        <v>#REF!</v>
      </c>
      <c r="K22" s="0" t="e">
        <f aca="false">#REF!</f>
        <v>#REF!</v>
      </c>
      <c r="L22" s="0" t="e">
        <f aca="false">#REF!</f>
        <v>#REF!</v>
      </c>
      <c r="M22" s="0" t="e">
        <f aca="false">#REF!</f>
        <v>#REF!</v>
      </c>
    </row>
    <row r="23" customFormat="false" ht="13.5" hidden="false" customHeight="false" outlineLevel="0" collapsed="false">
      <c r="A23" s="0" t="s">
        <v>117</v>
      </c>
      <c r="B23" s="1" t="n">
        <v>43883</v>
      </c>
      <c r="C23" s="0" t="e">
        <f aca="false">#REF!</f>
        <v>#REF!</v>
      </c>
      <c r="D23" s="0" t="e">
        <f aca="false">#REF!</f>
        <v>#REF!</v>
      </c>
      <c r="E23" s="0" t="e">
        <f aca="false">#REF!</f>
        <v>#REF!</v>
      </c>
      <c r="F23" s="0" t="e">
        <f aca="false">#REF!</f>
        <v>#REF!</v>
      </c>
      <c r="G23" s="0" t="e">
        <f aca="false">#REF!</f>
        <v>#REF!</v>
      </c>
      <c r="H23" s="0" t="e">
        <f aca="false">#REF!</f>
        <v>#REF!</v>
      </c>
      <c r="I23" s="0" t="e">
        <f aca="false">#REF!</f>
        <v>#REF!</v>
      </c>
      <c r="J23" s="0" t="e">
        <f aca="false">#REF!</f>
        <v>#REF!</v>
      </c>
      <c r="K23" s="0" t="e">
        <f aca="false">#REF!</f>
        <v>#REF!</v>
      </c>
      <c r="L23" s="0" t="e">
        <f aca="false">#REF!</f>
        <v>#REF!</v>
      </c>
      <c r="M23" s="0" t="e">
        <f aca="false">#REF!</f>
        <v>#REF!</v>
      </c>
    </row>
    <row r="24" customFormat="false" ht="13.5" hidden="false" customHeight="false" outlineLevel="0" collapsed="false">
      <c r="A24" s="0" t="s">
        <v>117</v>
      </c>
      <c r="B24" s="1" t="n">
        <v>43884</v>
      </c>
      <c r="C24" s="0" t="e">
        <f aca="false">#REF!</f>
        <v>#REF!</v>
      </c>
      <c r="D24" s="0" t="e">
        <f aca="false">#REF!</f>
        <v>#REF!</v>
      </c>
      <c r="E24" s="0" t="e">
        <f aca="false">#REF!</f>
        <v>#REF!</v>
      </c>
      <c r="F24" s="0" t="e">
        <f aca="false">#REF!</f>
        <v>#REF!</v>
      </c>
      <c r="G24" s="0" t="e">
        <f aca="false">#REF!</f>
        <v>#REF!</v>
      </c>
      <c r="H24" s="0" t="e">
        <f aca="false">#REF!</f>
        <v>#REF!</v>
      </c>
      <c r="I24" s="0" t="e">
        <f aca="false">#REF!</f>
        <v>#REF!</v>
      </c>
      <c r="J24" s="0" t="e">
        <f aca="false">#REF!</f>
        <v>#REF!</v>
      </c>
      <c r="K24" s="0" t="e">
        <f aca="false">#REF!</f>
        <v>#REF!</v>
      </c>
      <c r="L24" s="0" t="e">
        <f aca="false">#REF!</f>
        <v>#REF!</v>
      </c>
      <c r="M24" s="0" t="e">
        <f aca="false">#REF!</f>
        <v>#REF!</v>
      </c>
    </row>
    <row r="25" customFormat="false" ht="13.5" hidden="false" customHeight="false" outlineLevel="0" collapsed="false">
      <c r="A25" s="0" t="s">
        <v>117</v>
      </c>
      <c r="B25" s="1" t="n">
        <v>43885</v>
      </c>
      <c r="C25" s="0" t="e">
        <f aca="false">#REF!</f>
        <v>#REF!</v>
      </c>
      <c r="D25" s="0" t="e">
        <f aca="false">#REF!</f>
        <v>#REF!</v>
      </c>
      <c r="E25" s="0" t="e">
        <f aca="false">#REF!</f>
        <v>#REF!</v>
      </c>
      <c r="F25" s="0" t="e">
        <f aca="false">#REF!</f>
        <v>#REF!</v>
      </c>
      <c r="G25" s="0" t="e">
        <f aca="false">#REF!</f>
        <v>#REF!</v>
      </c>
      <c r="H25" s="0" t="e">
        <f aca="false">#REF!</f>
        <v>#REF!</v>
      </c>
      <c r="I25" s="0" t="e">
        <f aca="false">#REF!</f>
        <v>#REF!</v>
      </c>
      <c r="J25" s="0" t="e">
        <f aca="false">#REF!</f>
        <v>#REF!</v>
      </c>
      <c r="K25" s="0" t="e">
        <f aca="false">#REF!</f>
        <v>#REF!</v>
      </c>
      <c r="L25" s="0" t="e">
        <f aca="false">#REF!</f>
        <v>#REF!</v>
      </c>
      <c r="M25" s="0" t="e">
        <f aca="false">#REF!</f>
        <v>#REF!</v>
      </c>
    </row>
    <row r="26" customFormat="false" ht="13.5" hidden="false" customHeight="false" outlineLevel="0" collapsed="false">
      <c r="A26" s="0" t="s">
        <v>117</v>
      </c>
      <c r="B26" s="1" t="n">
        <v>43886</v>
      </c>
      <c r="C26" s="0" t="e">
        <f aca="false">#REF!</f>
        <v>#REF!</v>
      </c>
      <c r="D26" s="0" t="e">
        <f aca="false">#REF!</f>
        <v>#REF!</v>
      </c>
      <c r="E26" s="0" t="e">
        <f aca="false">#REF!</f>
        <v>#REF!</v>
      </c>
      <c r="F26" s="0" t="e">
        <f aca="false">#REF!</f>
        <v>#REF!</v>
      </c>
      <c r="G26" s="0" t="e">
        <f aca="false">#REF!</f>
        <v>#REF!</v>
      </c>
      <c r="H26" s="0" t="e">
        <f aca="false">#REF!</f>
        <v>#REF!</v>
      </c>
      <c r="I26" s="0" t="e">
        <f aca="false">#REF!</f>
        <v>#REF!</v>
      </c>
      <c r="J26" s="0" t="e">
        <f aca="false">#REF!</f>
        <v>#REF!</v>
      </c>
      <c r="K26" s="0" t="e">
        <f aca="false">#REF!</f>
        <v>#REF!</v>
      </c>
      <c r="L26" s="0" t="e">
        <f aca="false">#REF!</f>
        <v>#REF!</v>
      </c>
      <c r="M26" s="0" t="e">
        <f aca="false">#REF!</f>
        <v>#REF!</v>
      </c>
    </row>
    <row r="27" customFormat="false" ht="13.5" hidden="false" customHeight="false" outlineLevel="0" collapsed="false">
      <c r="A27" s="0" t="s">
        <v>117</v>
      </c>
      <c r="B27" s="1" t="n">
        <v>43887</v>
      </c>
      <c r="C27" s="0" t="e">
        <f aca="false">#REF!</f>
        <v>#REF!</v>
      </c>
      <c r="D27" s="0" t="e">
        <f aca="false">#REF!</f>
        <v>#REF!</v>
      </c>
      <c r="E27" s="0" t="e">
        <f aca="false">#REF!</f>
        <v>#REF!</v>
      </c>
      <c r="F27" s="0" t="e">
        <f aca="false">#REF!</f>
        <v>#REF!</v>
      </c>
      <c r="G27" s="0" t="e">
        <f aca="false">#REF!</f>
        <v>#REF!</v>
      </c>
      <c r="H27" s="0" t="e">
        <f aca="false">#REF!</f>
        <v>#REF!</v>
      </c>
      <c r="I27" s="0" t="e">
        <f aca="false">#REF!</f>
        <v>#REF!</v>
      </c>
      <c r="J27" s="0" t="e">
        <f aca="false">#REF!</f>
        <v>#REF!</v>
      </c>
      <c r="K27" s="0" t="e">
        <f aca="false">#REF!</f>
        <v>#REF!</v>
      </c>
      <c r="L27" s="0" t="e">
        <f aca="false">#REF!</f>
        <v>#REF!</v>
      </c>
      <c r="M27" s="0" t="e">
        <f aca="false">#REF!</f>
        <v>#REF!</v>
      </c>
    </row>
    <row r="28" customFormat="false" ht="13.5" hidden="false" customHeight="false" outlineLevel="0" collapsed="false">
      <c r="A28" s="0" t="s">
        <v>117</v>
      </c>
      <c r="B28" s="1" t="n">
        <v>43888</v>
      </c>
      <c r="C28" s="0" t="e">
        <f aca="false">#REF!</f>
        <v>#REF!</v>
      </c>
      <c r="D28" s="0" t="e">
        <f aca="false">#REF!</f>
        <v>#REF!</v>
      </c>
      <c r="E28" s="0" t="e">
        <f aca="false">#REF!</f>
        <v>#REF!</v>
      </c>
      <c r="F28" s="0" t="e">
        <f aca="false">#REF!</f>
        <v>#REF!</v>
      </c>
      <c r="G28" s="0" t="e">
        <f aca="false">#REF!</f>
        <v>#REF!</v>
      </c>
      <c r="H28" s="0" t="e">
        <f aca="false">#REF!</f>
        <v>#REF!</v>
      </c>
      <c r="I28" s="0" t="e">
        <f aca="false">#REF!</f>
        <v>#REF!</v>
      </c>
      <c r="J28" s="0" t="e">
        <f aca="false">#REF!</f>
        <v>#REF!</v>
      </c>
      <c r="K28" s="0" t="e">
        <f aca="false">#REF!</f>
        <v>#REF!</v>
      </c>
      <c r="L28" s="0" t="e">
        <f aca="false">#REF!</f>
        <v>#REF!</v>
      </c>
      <c r="M28" s="0" t="e">
        <f aca="false">#REF!</f>
        <v>#REF!</v>
      </c>
    </row>
    <row r="29" customFormat="false" ht="13.5" hidden="false" customHeight="false" outlineLevel="0" collapsed="false">
      <c r="A29" s="0" t="s">
        <v>117</v>
      </c>
      <c r="B29" s="1" t="n">
        <v>43889</v>
      </c>
      <c r="C29" s="0" t="e">
        <f aca="false">#REF!</f>
        <v>#REF!</v>
      </c>
      <c r="D29" s="0" t="e">
        <f aca="false">#REF!</f>
        <v>#REF!</v>
      </c>
      <c r="E29" s="0" t="e">
        <f aca="false">#REF!</f>
        <v>#REF!</v>
      </c>
      <c r="F29" s="0" t="e">
        <f aca="false">#REF!</f>
        <v>#REF!</v>
      </c>
      <c r="G29" s="0" t="e">
        <f aca="false">#REF!</f>
        <v>#REF!</v>
      </c>
      <c r="H29" s="0" t="e">
        <f aca="false">#REF!</f>
        <v>#REF!</v>
      </c>
      <c r="I29" s="0" t="e">
        <f aca="false">#REF!</f>
        <v>#REF!</v>
      </c>
      <c r="J29" s="0" t="e">
        <f aca="false">#REF!</f>
        <v>#REF!</v>
      </c>
      <c r="K29" s="0" t="e">
        <f aca="false">#REF!</f>
        <v>#REF!</v>
      </c>
      <c r="L29" s="0" t="e">
        <f aca="false">#REF!</f>
        <v>#REF!</v>
      </c>
      <c r="M29" s="0" t="e">
        <f aca="false">#REF!</f>
        <v>#REF!</v>
      </c>
    </row>
    <row r="30" customFormat="false" ht="13.5" hidden="false" customHeight="false" outlineLevel="0" collapsed="false">
      <c r="A30" s="0" t="s">
        <v>117</v>
      </c>
      <c r="B30" s="1" t="n">
        <v>43890</v>
      </c>
      <c r="C30" s="0" t="e">
        <f aca="false">#REF!</f>
        <v>#REF!</v>
      </c>
      <c r="D30" s="0" t="e">
        <f aca="false">#REF!</f>
        <v>#REF!</v>
      </c>
      <c r="E30" s="0" t="e">
        <f aca="false">#REF!</f>
        <v>#REF!</v>
      </c>
      <c r="F30" s="0" t="e">
        <f aca="false">#REF!</f>
        <v>#REF!</v>
      </c>
      <c r="G30" s="0" t="e">
        <f aca="false">#REF!</f>
        <v>#REF!</v>
      </c>
      <c r="H30" s="0" t="e">
        <f aca="false">#REF!</f>
        <v>#REF!</v>
      </c>
      <c r="I30" s="0" t="e">
        <f aca="false">#REF!</f>
        <v>#REF!</v>
      </c>
      <c r="J30" s="0" t="e">
        <f aca="false">#REF!</f>
        <v>#REF!</v>
      </c>
      <c r="K30" s="0" t="e">
        <f aca="false">#REF!</f>
        <v>#REF!</v>
      </c>
      <c r="L30" s="0" t="e">
        <f aca="false">#REF!</f>
        <v>#REF!</v>
      </c>
      <c r="M30" s="0" t="e">
        <f aca="false">#REF!</f>
        <v>#REF!</v>
      </c>
    </row>
    <row r="31" customFormat="false" ht="13.5" hidden="false" customHeight="false" outlineLevel="0" collapsed="false">
      <c r="A31" s="0" t="s">
        <v>117</v>
      </c>
      <c r="B31" s="1" t="n">
        <v>43891</v>
      </c>
      <c r="C31" s="0" t="e">
        <f aca="false">#REF!</f>
        <v>#REF!</v>
      </c>
      <c r="D31" s="0" t="e">
        <f aca="false">#REF!</f>
        <v>#REF!</v>
      </c>
      <c r="E31" s="0" t="e">
        <f aca="false">#REF!</f>
        <v>#REF!</v>
      </c>
      <c r="F31" s="0" t="e">
        <f aca="false">#REF!</f>
        <v>#REF!</v>
      </c>
      <c r="G31" s="0" t="e">
        <f aca="false">#REF!</f>
        <v>#REF!</v>
      </c>
      <c r="H31" s="0" t="e">
        <f aca="false">#REF!</f>
        <v>#REF!</v>
      </c>
      <c r="I31" s="0" t="e">
        <f aca="false">#REF!</f>
        <v>#REF!</v>
      </c>
      <c r="J31" s="0" t="e">
        <f aca="false">#REF!</f>
        <v>#REF!</v>
      </c>
      <c r="K31" s="0" t="e">
        <f aca="false">#REF!</f>
        <v>#REF!</v>
      </c>
      <c r="L31" s="0" t="e">
        <f aca="false">#REF!</f>
        <v>#REF!</v>
      </c>
      <c r="M31" s="0" t="e">
        <f aca="false">#REF!</f>
        <v>#REF!</v>
      </c>
    </row>
    <row r="32" customFormat="false" ht="13.5" hidden="false" customHeight="false" outlineLevel="0" collapsed="false">
      <c r="A32" s="0" t="s">
        <v>117</v>
      </c>
      <c r="B32" s="1" t="n">
        <v>43892</v>
      </c>
      <c r="C32" s="0" t="e">
        <f aca="false">#REF!</f>
        <v>#REF!</v>
      </c>
      <c r="D32" s="0" t="e">
        <f aca="false">#REF!</f>
        <v>#REF!</v>
      </c>
      <c r="E32" s="0" t="e">
        <f aca="false">#REF!</f>
        <v>#REF!</v>
      </c>
      <c r="F32" s="0" t="e">
        <f aca="false">#REF!</f>
        <v>#REF!</v>
      </c>
      <c r="G32" s="0" t="e">
        <f aca="false">#REF!</f>
        <v>#REF!</v>
      </c>
      <c r="H32" s="0" t="e">
        <f aca="false">#REF!</f>
        <v>#REF!</v>
      </c>
      <c r="I32" s="0" t="e">
        <f aca="false">#REF!</f>
        <v>#REF!</v>
      </c>
      <c r="J32" s="0" t="e">
        <f aca="false">#REF!</f>
        <v>#REF!</v>
      </c>
      <c r="K32" s="0" t="e">
        <f aca="false">#REF!</f>
        <v>#REF!</v>
      </c>
      <c r="L32" s="0" t="e">
        <f aca="false">#REF!</f>
        <v>#REF!</v>
      </c>
      <c r="M32" s="0" t="e">
        <f aca="false">#REF!</f>
        <v>#REF!</v>
      </c>
    </row>
    <row r="33" customFormat="false" ht="13.5" hidden="false" customHeight="false" outlineLevel="0" collapsed="false">
      <c r="A33" s="0" t="s">
        <v>117</v>
      </c>
      <c r="B33" s="1" t="n">
        <v>43893</v>
      </c>
      <c r="C33" s="0" t="e">
        <f aca="false">#REF!</f>
        <v>#REF!</v>
      </c>
      <c r="D33" s="0" t="e">
        <f aca="false">#REF!</f>
        <v>#REF!</v>
      </c>
      <c r="E33" s="0" t="e">
        <f aca="false">#REF!</f>
        <v>#REF!</v>
      </c>
      <c r="F33" s="0" t="e">
        <f aca="false">#REF!</f>
        <v>#REF!</v>
      </c>
      <c r="G33" s="0" t="e">
        <f aca="false">#REF!</f>
        <v>#REF!</v>
      </c>
      <c r="H33" s="0" t="e">
        <f aca="false">#REF!</f>
        <v>#REF!</v>
      </c>
      <c r="I33" s="0" t="e">
        <f aca="false">#REF!</f>
        <v>#REF!</v>
      </c>
      <c r="J33" s="0" t="e">
        <f aca="false">#REF!</f>
        <v>#REF!</v>
      </c>
      <c r="K33" s="0" t="e">
        <f aca="false">#REF!</f>
        <v>#REF!</v>
      </c>
      <c r="L33" s="0" t="e">
        <f aca="false">#REF!</f>
        <v>#REF!</v>
      </c>
      <c r="M33" s="0" t="e">
        <f aca="false">#REF!</f>
        <v>#REF!</v>
      </c>
    </row>
    <row r="34" customFormat="false" ht="13.5" hidden="false" customHeight="false" outlineLevel="0" collapsed="false">
      <c r="A34" s="0" t="s">
        <v>117</v>
      </c>
      <c r="B34" s="1" t="n">
        <v>43894</v>
      </c>
      <c r="C34" s="0" t="e">
        <f aca="false">#REF!</f>
        <v>#REF!</v>
      </c>
      <c r="D34" s="0" t="e">
        <f aca="false">#REF!</f>
        <v>#REF!</v>
      </c>
      <c r="E34" s="0" t="e">
        <f aca="false">#REF!</f>
        <v>#REF!</v>
      </c>
      <c r="F34" s="0" t="e">
        <f aca="false">#REF!</f>
        <v>#REF!</v>
      </c>
      <c r="G34" s="0" t="e">
        <f aca="false">#REF!</f>
        <v>#REF!</v>
      </c>
      <c r="H34" s="0" t="e">
        <f aca="false">#REF!</f>
        <v>#REF!</v>
      </c>
      <c r="I34" s="0" t="e">
        <f aca="false">#REF!</f>
        <v>#REF!</v>
      </c>
      <c r="J34" s="0" t="e">
        <f aca="false">#REF!</f>
        <v>#REF!</v>
      </c>
      <c r="K34" s="0" t="e">
        <f aca="false">#REF!</f>
        <v>#REF!</v>
      </c>
      <c r="L34" s="0" t="e">
        <f aca="false">#REF!</f>
        <v>#REF!</v>
      </c>
      <c r="M34" s="0" t="e">
        <f aca="false">#REF!</f>
        <v>#REF!</v>
      </c>
    </row>
    <row r="35" customFormat="false" ht="13.5" hidden="false" customHeight="false" outlineLevel="0" collapsed="false">
      <c r="A35" s="0" t="s">
        <v>117</v>
      </c>
      <c r="B35" s="1" t="n">
        <v>43895</v>
      </c>
      <c r="C35" s="0" t="e">
        <f aca="false">#REF!</f>
        <v>#REF!</v>
      </c>
      <c r="D35" s="0" t="e">
        <f aca="false">#REF!</f>
        <v>#REF!</v>
      </c>
      <c r="E35" s="0" t="e">
        <f aca="false">#REF!</f>
        <v>#REF!</v>
      </c>
      <c r="F35" s="0" t="e">
        <f aca="false">#REF!</f>
        <v>#REF!</v>
      </c>
      <c r="G35" s="0" t="e">
        <f aca="false">#REF!</f>
        <v>#REF!</v>
      </c>
      <c r="H35" s="0" t="e">
        <f aca="false">#REF!</f>
        <v>#REF!</v>
      </c>
      <c r="I35" s="0" t="e">
        <f aca="false">#REF!</f>
        <v>#REF!</v>
      </c>
      <c r="J35" s="0" t="e">
        <f aca="false">#REF!</f>
        <v>#REF!</v>
      </c>
      <c r="K35" s="0" t="e">
        <f aca="false">#REF!</f>
        <v>#REF!</v>
      </c>
      <c r="L35" s="0" t="e">
        <f aca="false">#REF!</f>
        <v>#REF!</v>
      </c>
      <c r="M35" s="0" t="e">
        <f aca="false">#REF!</f>
        <v>#REF!</v>
      </c>
    </row>
    <row r="36" customFormat="false" ht="13.5" hidden="false" customHeight="false" outlineLevel="0" collapsed="false">
      <c r="A36" s="0" t="s">
        <v>117</v>
      </c>
      <c r="B36" s="1" t="n">
        <v>43896</v>
      </c>
      <c r="C36" s="0" t="e">
        <f aca="false">#REF!</f>
        <v>#REF!</v>
      </c>
      <c r="D36" s="0" t="e">
        <f aca="false">#REF!</f>
        <v>#REF!</v>
      </c>
      <c r="E36" s="0" t="e">
        <f aca="false">#REF!</f>
        <v>#REF!</v>
      </c>
      <c r="F36" s="0" t="e">
        <f aca="false">#REF!</f>
        <v>#REF!</v>
      </c>
      <c r="G36" s="0" t="e">
        <f aca="false">#REF!</f>
        <v>#REF!</v>
      </c>
      <c r="H36" s="0" t="e">
        <f aca="false">#REF!</f>
        <v>#REF!</v>
      </c>
      <c r="I36" s="0" t="e">
        <f aca="false">#REF!</f>
        <v>#REF!</v>
      </c>
      <c r="J36" s="0" t="e">
        <f aca="false">#REF!</f>
        <v>#REF!</v>
      </c>
      <c r="K36" s="0" t="e">
        <f aca="false">#REF!</f>
        <v>#REF!</v>
      </c>
      <c r="L36" s="0" t="e">
        <f aca="false">#REF!</f>
        <v>#REF!</v>
      </c>
      <c r="M36" s="0" t="e">
        <f aca="false">#REF!</f>
        <v>#REF!</v>
      </c>
    </row>
    <row r="37" customFormat="false" ht="13.5" hidden="false" customHeight="false" outlineLevel="0" collapsed="false">
      <c r="A37" s="0" t="s">
        <v>117</v>
      </c>
      <c r="B37" s="1" t="n">
        <v>43897</v>
      </c>
      <c r="C37" s="0" t="e">
        <f aca="false">#REF!</f>
        <v>#REF!</v>
      </c>
      <c r="D37" s="0" t="e">
        <f aca="false">#REF!</f>
        <v>#REF!</v>
      </c>
      <c r="E37" s="0" t="e">
        <f aca="false">#REF!</f>
        <v>#REF!</v>
      </c>
      <c r="F37" s="0" t="e">
        <f aca="false">#REF!</f>
        <v>#REF!</v>
      </c>
      <c r="G37" s="0" t="e">
        <f aca="false">#REF!</f>
        <v>#REF!</v>
      </c>
      <c r="H37" s="0" t="e">
        <f aca="false">#REF!</f>
        <v>#REF!</v>
      </c>
      <c r="I37" s="0" t="e">
        <f aca="false">#REF!</f>
        <v>#REF!</v>
      </c>
      <c r="J37" s="0" t="e">
        <f aca="false">#REF!</f>
        <v>#REF!</v>
      </c>
      <c r="K37" s="0" t="e">
        <f aca="false">#REF!</f>
        <v>#REF!</v>
      </c>
      <c r="L37" s="0" t="e">
        <f aca="false">#REF!</f>
        <v>#REF!</v>
      </c>
      <c r="M37" s="0" t="e">
        <f aca="false">#REF!</f>
        <v>#REF!</v>
      </c>
    </row>
    <row r="38" customFormat="false" ht="13.5" hidden="false" customHeight="false" outlineLevel="0" collapsed="false">
      <c r="A38" s="0" t="s">
        <v>117</v>
      </c>
      <c r="B38" s="1" t="n">
        <v>43898</v>
      </c>
      <c r="C38" s="0" t="e">
        <f aca="false">#REF!</f>
        <v>#REF!</v>
      </c>
      <c r="D38" s="0" t="e">
        <f aca="false">#REF!</f>
        <v>#REF!</v>
      </c>
      <c r="E38" s="0" t="e">
        <f aca="false">#REF!</f>
        <v>#REF!</v>
      </c>
      <c r="F38" s="0" t="e">
        <f aca="false">#REF!</f>
        <v>#REF!</v>
      </c>
      <c r="G38" s="0" t="e">
        <f aca="false">#REF!</f>
        <v>#REF!</v>
      </c>
      <c r="H38" s="0" t="e">
        <f aca="false">#REF!</f>
        <v>#REF!</v>
      </c>
      <c r="I38" s="0" t="e">
        <f aca="false">#REF!</f>
        <v>#REF!</v>
      </c>
      <c r="J38" s="0" t="e">
        <f aca="false">#REF!</f>
        <v>#REF!</v>
      </c>
      <c r="K38" s="0" t="e">
        <f aca="false">#REF!</f>
        <v>#REF!</v>
      </c>
      <c r="L38" s="0" t="e">
        <f aca="false">#REF!</f>
        <v>#REF!</v>
      </c>
      <c r="M38" s="0" t="e">
        <f aca="false">#REF!</f>
        <v>#REF!</v>
      </c>
    </row>
    <row r="39" customFormat="false" ht="13.5" hidden="false" customHeight="false" outlineLevel="0" collapsed="false">
      <c r="A39" s="0" t="s">
        <v>117</v>
      </c>
      <c r="B39" s="1" t="n">
        <v>43899</v>
      </c>
      <c r="C39" s="0" t="e">
        <f aca="false">#REF!</f>
        <v>#REF!</v>
      </c>
      <c r="D39" s="0" t="e">
        <f aca="false">#REF!</f>
        <v>#REF!</v>
      </c>
      <c r="E39" s="0" t="e">
        <f aca="false">#REF!</f>
        <v>#REF!</v>
      </c>
      <c r="F39" s="0" t="e">
        <f aca="false">#REF!</f>
        <v>#REF!</v>
      </c>
      <c r="G39" s="0" t="e">
        <f aca="false">#REF!</f>
        <v>#REF!</v>
      </c>
      <c r="H39" s="0" t="e">
        <f aca="false">#REF!</f>
        <v>#REF!</v>
      </c>
      <c r="I39" s="0" t="e">
        <f aca="false">#REF!</f>
        <v>#REF!</v>
      </c>
      <c r="J39" s="0" t="e">
        <f aca="false">#REF!</f>
        <v>#REF!</v>
      </c>
      <c r="K39" s="0" t="e">
        <f aca="false">#REF!</f>
        <v>#REF!</v>
      </c>
      <c r="L39" s="0" t="e">
        <f aca="false">#REF!</f>
        <v>#REF!</v>
      </c>
      <c r="M39" s="0" t="e">
        <f aca="false">#REF!</f>
        <v>#REF!</v>
      </c>
    </row>
    <row r="40" customFormat="false" ht="13.5" hidden="false" customHeight="false" outlineLevel="0" collapsed="false">
      <c r="A40" s="0" t="s">
        <v>117</v>
      </c>
      <c r="B40" s="1" t="n">
        <v>43900</v>
      </c>
      <c r="C40" s="0" t="e">
        <f aca="false">#REF!</f>
        <v>#REF!</v>
      </c>
      <c r="D40" s="0" t="e">
        <f aca="false">#REF!</f>
        <v>#REF!</v>
      </c>
      <c r="E40" s="0" t="e">
        <f aca="false">#REF!</f>
        <v>#REF!</v>
      </c>
      <c r="F40" s="0" t="e">
        <f aca="false">#REF!</f>
        <v>#REF!</v>
      </c>
      <c r="G40" s="0" t="e">
        <f aca="false">#REF!</f>
        <v>#REF!</v>
      </c>
      <c r="H40" s="0" t="e">
        <f aca="false">#REF!</f>
        <v>#REF!</v>
      </c>
      <c r="I40" s="0" t="e">
        <f aca="false">#REF!</f>
        <v>#REF!</v>
      </c>
      <c r="J40" s="0" t="e">
        <f aca="false">#REF!</f>
        <v>#REF!</v>
      </c>
      <c r="K40" s="0" t="e">
        <f aca="false">#REF!</f>
        <v>#REF!</v>
      </c>
      <c r="L40" s="0" t="e">
        <f aca="false">#REF!</f>
        <v>#REF!</v>
      </c>
      <c r="M40" s="0" t="e">
        <f aca="false">#REF!</f>
        <v>#REF!</v>
      </c>
    </row>
    <row r="41" customFormat="false" ht="13.5" hidden="false" customHeight="false" outlineLevel="0" collapsed="false">
      <c r="A41" s="0" t="s">
        <v>117</v>
      </c>
      <c r="B41" s="1" t="n">
        <v>43901</v>
      </c>
      <c r="C41" s="0" t="e">
        <f aca="false">#REF!</f>
        <v>#REF!</v>
      </c>
      <c r="D41" s="0" t="e">
        <f aca="false">#REF!</f>
        <v>#REF!</v>
      </c>
      <c r="E41" s="0" t="e">
        <f aca="false">#REF!</f>
        <v>#REF!</v>
      </c>
      <c r="F41" s="0" t="e">
        <f aca="false">#REF!</f>
        <v>#REF!</v>
      </c>
      <c r="G41" s="0" t="e">
        <f aca="false">#REF!</f>
        <v>#REF!</v>
      </c>
      <c r="H41" s="0" t="e">
        <f aca="false">#REF!</f>
        <v>#REF!</v>
      </c>
      <c r="I41" s="0" t="e">
        <f aca="false">#REF!</f>
        <v>#REF!</v>
      </c>
      <c r="J41" s="0" t="e">
        <f aca="false">#REF!</f>
        <v>#REF!</v>
      </c>
      <c r="K41" s="0" t="e">
        <f aca="false">#REF!</f>
        <v>#REF!</v>
      </c>
      <c r="L41" s="0" t="e">
        <f aca="false">#REF!</f>
        <v>#REF!</v>
      </c>
      <c r="M41" s="0" t="e">
        <f aca="false">#REF!</f>
        <v>#REF!</v>
      </c>
    </row>
    <row r="42" customFormat="false" ht="13.5" hidden="false" customHeight="false" outlineLevel="0" collapsed="false">
      <c r="A42" s="0" t="s">
        <v>117</v>
      </c>
      <c r="B42" s="1" t="n">
        <v>43902</v>
      </c>
      <c r="C42" s="0" t="e">
        <f aca="false">#REF!</f>
        <v>#REF!</v>
      </c>
      <c r="D42" s="0" t="e">
        <f aca="false">#REF!</f>
        <v>#REF!</v>
      </c>
      <c r="E42" s="0" t="e">
        <f aca="false">#REF!</f>
        <v>#REF!</v>
      </c>
      <c r="F42" s="0" t="e">
        <f aca="false">#REF!</f>
        <v>#REF!</v>
      </c>
      <c r="G42" s="0" t="e">
        <f aca="false">#REF!</f>
        <v>#REF!</v>
      </c>
      <c r="H42" s="0" t="e">
        <f aca="false">#REF!</f>
        <v>#REF!</v>
      </c>
      <c r="I42" s="0" t="e">
        <f aca="false">#REF!</f>
        <v>#REF!</v>
      </c>
      <c r="J42" s="0" t="e">
        <f aca="false">#REF!</f>
        <v>#REF!</v>
      </c>
      <c r="K42" s="0" t="e">
        <f aca="false">#REF!</f>
        <v>#REF!</v>
      </c>
      <c r="L42" s="0" t="e">
        <f aca="false">#REF!</f>
        <v>#REF!</v>
      </c>
      <c r="M42" s="0" t="e">
        <f aca="false">#REF!</f>
        <v>#REF!</v>
      </c>
    </row>
    <row r="43" customFormat="false" ht="13.5" hidden="false" customHeight="false" outlineLevel="0" collapsed="false">
      <c r="A43" s="0" t="s">
        <v>117</v>
      </c>
      <c r="B43" s="1" t="n">
        <v>43903</v>
      </c>
      <c r="C43" s="0" t="e">
        <f aca="false">#REF!</f>
        <v>#REF!</v>
      </c>
      <c r="D43" s="0" t="e">
        <f aca="false">#REF!</f>
        <v>#REF!</v>
      </c>
      <c r="E43" s="0" t="e">
        <f aca="false">#REF!</f>
        <v>#REF!</v>
      </c>
      <c r="F43" s="0" t="e">
        <f aca="false">#REF!</f>
        <v>#REF!</v>
      </c>
      <c r="G43" s="0" t="e">
        <f aca="false">#REF!</f>
        <v>#REF!</v>
      </c>
      <c r="H43" s="0" t="e">
        <f aca="false">#REF!</f>
        <v>#REF!</v>
      </c>
      <c r="I43" s="0" t="e">
        <f aca="false">#REF!</f>
        <v>#REF!</v>
      </c>
      <c r="J43" s="0" t="e">
        <f aca="false">#REF!</f>
        <v>#REF!</v>
      </c>
      <c r="K43" s="0" t="e">
        <f aca="false">#REF!</f>
        <v>#REF!</v>
      </c>
      <c r="L43" s="0" t="e">
        <f aca="false">#REF!</f>
        <v>#REF!</v>
      </c>
      <c r="M43" s="0" t="e">
        <f aca="false">#REF!</f>
        <v>#REF!</v>
      </c>
    </row>
    <row r="44" customFormat="false" ht="13.5" hidden="false" customHeight="false" outlineLevel="0" collapsed="false">
      <c r="A44" s="0" t="s">
        <v>117</v>
      </c>
      <c r="B44" s="1" t="n">
        <v>43904</v>
      </c>
      <c r="C44" s="0" t="e">
        <f aca="false">#REF!</f>
        <v>#REF!</v>
      </c>
      <c r="D44" s="0" t="e">
        <f aca="false">#REF!</f>
        <v>#REF!</v>
      </c>
      <c r="E44" s="0" t="e">
        <f aca="false">#REF!</f>
        <v>#REF!</v>
      </c>
      <c r="F44" s="0" t="e">
        <f aca="false">#REF!</f>
        <v>#REF!</v>
      </c>
      <c r="G44" s="0" t="e">
        <f aca="false">#REF!</f>
        <v>#REF!</v>
      </c>
      <c r="H44" s="0" t="e">
        <f aca="false">#REF!</f>
        <v>#REF!</v>
      </c>
      <c r="I44" s="0" t="e">
        <f aca="false">#REF!</f>
        <v>#REF!</v>
      </c>
      <c r="J44" s="0" t="e">
        <f aca="false">#REF!</f>
        <v>#REF!</v>
      </c>
      <c r="K44" s="0" t="e">
        <f aca="false">#REF!</f>
        <v>#REF!</v>
      </c>
      <c r="L44" s="0" t="e">
        <f aca="false">#REF!</f>
        <v>#REF!</v>
      </c>
      <c r="M44" s="0" t="e">
        <f aca="false">#REF!</f>
        <v>#REF!</v>
      </c>
    </row>
    <row r="45" customFormat="false" ht="13.5" hidden="false" customHeight="false" outlineLevel="0" collapsed="false">
      <c r="A45" s="0" t="s">
        <v>117</v>
      </c>
      <c r="B45" s="1" t="n">
        <v>43905</v>
      </c>
      <c r="C45" s="0" t="e">
        <f aca="false">#REF!</f>
        <v>#REF!</v>
      </c>
      <c r="D45" s="0" t="e">
        <f aca="false">#REF!</f>
        <v>#REF!</v>
      </c>
      <c r="E45" s="0" t="e">
        <f aca="false">#REF!</f>
        <v>#REF!</v>
      </c>
      <c r="F45" s="0" t="e">
        <f aca="false">#REF!</f>
        <v>#REF!</v>
      </c>
      <c r="G45" s="0" t="e">
        <f aca="false">#REF!</f>
        <v>#REF!</v>
      </c>
      <c r="H45" s="0" t="e">
        <f aca="false">#REF!</f>
        <v>#REF!</v>
      </c>
      <c r="I45" s="0" t="e">
        <f aca="false">#REF!</f>
        <v>#REF!</v>
      </c>
      <c r="J45" s="0" t="e">
        <f aca="false">#REF!</f>
        <v>#REF!</v>
      </c>
      <c r="K45" s="0" t="e">
        <f aca="false">#REF!</f>
        <v>#REF!</v>
      </c>
      <c r="L45" s="0" t="e">
        <f aca="false">#REF!</f>
        <v>#REF!</v>
      </c>
      <c r="M45" s="0" t="e">
        <f aca="false">#REF!</f>
        <v>#REF!</v>
      </c>
    </row>
    <row r="46" customFormat="false" ht="13.5" hidden="false" customHeight="false" outlineLevel="0" collapsed="false">
      <c r="A46" s="0" t="s">
        <v>117</v>
      </c>
      <c r="B46" s="1" t="n">
        <v>43906</v>
      </c>
      <c r="C46" s="0" t="e">
        <f aca="false">#REF!</f>
        <v>#REF!</v>
      </c>
      <c r="D46" s="0" t="e">
        <f aca="false">#REF!</f>
        <v>#REF!</v>
      </c>
      <c r="E46" s="0" t="e">
        <f aca="false">#REF!</f>
        <v>#REF!</v>
      </c>
      <c r="F46" s="0" t="e">
        <f aca="false">#REF!</f>
        <v>#REF!</v>
      </c>
      <c r="G46" s="0" t="e">
        <f aca="false">#REF!</f>
        <v>#REF!</v>
      </c>
      <c r="H46" s="0" t="e">
        <f aca="false">#REF!</f>
        <v>#REF!</v>
      </c>
      <c r="I46" s="0" t="e">
        <f aca="false">#REF!</f>
        <v>#REF!</v>
      </c>
      <c r="J46" s="0" t="e">
        <f aca="false">#REF!</f>
        <v>#REF!</v>
      </c>
      <c r="K46" s="0" t="e">
        <f aca="false">#REF!</f>
        <v>#REF!</v>
      </c>
      <c r="L46" s="0" t="e">
        <f aca="false">#REF!</f>
        <v>#REF!</v>
      </c>
      <c r="M46" s="0" t="e">
        <f aca="false">#REF!</f>
        <v>#REF!</v>
      </c>
    </row>
    <row r="47" customFormat="false" ht="13.5" hidden="false" customHeight="false" outlineLevel="0" collapsed="false">
      <c r="A47" s="0" t="s">
        <v>117</v>
      </c>
      <c r="B47" s="1" t="n">
        <v>43907</v>
      </c>
      <c r="C47" s="0" t="e">
        <f aca="false">#REF!</f>
        <v>#REF!</v>
      </c>
      <c r="D47" s="0" t="e">
        <f aca="false">#REF!</f>
        <v>#REF!</v>
      </c>
      <c r="E47" s="0" t="e">
        <f aca="false">#REF!</f>
        <v>#REF!</v>
      </c>
      <c r="F47" s="0" t="e">
        <f aca="false">#REF!</f>
        <v>#REF!</v>
      </c>
      <c r="G47" s="0" t="e">
        <f aca="false">#REF!</f>
        <v>#REF!</v>
      </c>
      <c r="H47" s="0" t="e">
        <f aca="false">#REF!</f>
        <v>#REF!</v>
      </c>
      <c r="I47" s="0" t="e">
        <f aca="false">#REF!</f>
        <v>#REF!</v>
      </c>
      <c r="J47" s="0" t="e">
        <f aca="false">#REF!</f>
        <v>#REF!</v>
      </c>
      <c r="K47" s="0" t="e">
        <f aca="false">#REF!</f>
        <v>#REF!</v>
      </c>
      <c r="L47" s="0" t="e">
        <f aca="false">#REF!</f>
        <v>#REF!</v>
      </c>
      <c r="M47" s="0" t="e">
        <f aca="false">#REF!</f>
        <v>#REF!</v>
      </c>
    </row>
    <row r="48" customFormat="false" ht="13.5" hidden="false" customHeight="false" outlineLevel="0" collapsed="false">
      <c r="A48" s="0" t="s">
        <v>117</v>
      </c>
      <c r="B48" s="1" t="n">
        <v>43908</v>
      </c>
      <c r="C48" s="0" t="e">
        <f aca="false">#REF!</f>
        <v>#REF!</v>
      </c>
      <c r="D48" s="0" t="e">
        <f aca="false">#REF!</f>
        <v>#REF!</v>
      </c>
      <c r="E48" s="0" t="e">
        <f aca="false">#REF!</f>
        <v>#REF!</v>
      </c>
      <c r="F48" s="0" t="e">
        <f aca="false">#REF!</f>
        <v>#REF!</v>
      </c>
      <c r="G48" s="0" t="e">
        <f aca="false">#REF!</f>
        <v>#REF!</v>
      </c>
      <c r="H48" s="0" t="e">
        <f aca="false">#REF!</f>
        <v>#REF!</v>
      </c>
      <c r="I48" s="0" t="e">
        <f aca="false">#REF!</f>
        <v>#REF!</v>
      </c>
      <c r="J48" s="0" t="e">
        <f aca="false">#REF!</f>
        <v>#REF!</v>
      </c>
      <c r="K48" s="0" t="e">
        <f aca="false">#REF!</f>
        <v>#REF!</v>
      </c>
      <c r="L48" s="0" t="e">
        <f aca="false">#REF!</f>
        <v>#REF!</v>
      </c>
      <c r="M48" s="0" t="e">
        <f aca="false">#REF!</f>
        <v>#REF!</v>
      </c>
    </row>
    <row r="49" customFormat="false" ht="13.5" hidden="false" customHeight="false" outlineLevel="0" collapsed="false">
      <c r="A49" s="0" t="s">
        <v>117</v>
      </c>
      <c r="B49" s="1" t="n">
        <v>43909</v>
      </c>
      <c r="C49" s="0" t="e">
        <f aca="false">#REF!</f>
        <v>#REF!</v>
      </c>
      <c r="D49" s="0" t="e">
        <f aca="false">#REF!</f>
        <v>#REF!</v>
      </c>
      <c r="E49" s="0" t="e">
        <f aca="false">#REF!</f>
        <v>#REF!</v>
      </c>
      <c r="F49" s="0" t="e">
        <f aca="false">#REF!</f>
        <v>#REF!</v>
      </c>
      <c r="G49" s="0" t="e">
        <f aca="false">#REF!</f>
        <v>#REF!</v>
      </c>
      <c r="H49" s="0" t="e">
        <f aca="false">#REF!</f>
        <v>#REF!</v>
      </c>
      <c r="I49" s="0" t="e">
        <f aca="false">#REF!</f>
        <v>#REF!</v>
      </c>
      <c r="J49" s="0" t="e">
        <f aca="false">#REF!</f>
        <v>#REF!</v>
      </c>
      <c r="K49" s="0" t="e">
        <f aca="false">#REF!</f>
        <v>#REF!</v>
      </c>
      <c r="L49" s="0" t="e">
        <f aca="false">#REF!</f>
        <v>#REF!</v>
      </c>
      <c r="M49" s="0" t="e">
        <f aca="false">#REF!</f>
        <v>#REF!</v>
      </c>
    </row>
    <row r="50" customFormat="false" ht="13.5" hidden="false" customHeight="false" outlineLevel="0" collapsed="false">
      <c r="A50" s="0" t="s">
        <v>117</v>
      </c>
      <c r="B50" s="1" t="n">
        <v>43910</v>
      </c>
      <c r="C50" s="0" t="e">
        <f aca="false">#REF!</f>
        <v>#REF!</v>
      </c>
      <c r="D50" s="0" t="e">
        <f aca="false">#REF!</f>
        <v>#REF!</v>
      </c>
      <c r="E50" s="0" t="e">
        <f aca="false">#REF!</f>
        <v>#REF!</v>
      </c>
      <c r="F50" s="0" t="e">
        <f aca="false">#REF!</f>
        <v>#REF!</v>
      </c>
      <c r="G50" s="0" t="e">
        <f aca="false">#REF!</f>
        <v>#REF!</v>
      </c>
      <c r="H50" s="0" t="e">
        <f aca="false">#REF!</f>
        <v>#REF!</v>
      </c>
      <c r="I50" s="0" t="e">
        <f aca="false">#REF!</f>
        <v>#REF!</v>
      </c>
      <c r="J50" s="0" t="e">
        <f aca="false">#REF!</f>
        <v>#REF!</v>
      </c>
      <c r="K50" s="0" t="e">
        <f aca="false">#REF!</f>
        <v>#REF!</v>
      </c>
      <c r="L50" s="0" t="e">
        <f aca="false">#REF!</f>
        <v>#REF!</v>
      </c>
      <c r="M50" s="0" t="e">
        <f aca="false">#REF!</f>
        <v>#REF!</v>
      </c>
    </row>
    <row r="51" customFormat="false" ht="13.5" hidden="false" customHeight="false" outlineLevel="0" collapsed="false">
      <c r="A51" s="0" t="s">
        <v>117</v>
      </c>
      <c r="B51" s="1" t="n">
        <v>43911</v>
      </c>
      <c r="C51" s="0" t="e">
        <f aca="false">#REF!</f>
        <v>#REF!</v>
      </c>
      <c r="D51" s="0" t="e">
        <f aca="false">#REF!</f>
        <v>#REF!</v>
      </c>
      <c r="E51" s="0" t="e">
        <f aca="false">#REF!</f>
        <v>#REF!</v>
      </c>
      <c r="F51" s="0" t="e">
        <f aca="false">#REF!</f>
        <v>#REF!</v>
      </c>
      <c r="G51" s="0" t="e">
        <f aca="false">#REF!</f>
        <v>#REF!</v>
      </c>
      <c r="H51" s="0" t="e">
        <f aca="false">#REF!</f>
        <v>#REF!</v>
      </c>
      <c r="I51" s="0" t="e">
        <f aca="false">#REF!</f>
        <v>#REF!</v>
      </c>
      <c r="J51" s="0" t="e">
        <f aca="false">#REF!</f>
        <v>#REF!</v>
      </c>
      <c r="K51" s="0" t="e">
        <f aca="false">#REF!</f>
        <v>#REF!</v>
      </c>
      <c r="L51" s="0" t="e">
        <f aca="false">#REF!</f>
        <v>#REF!</v>
      </c>
      <c r="M51" s="0" t="e">
        <f aca="false">#REF!</f>
        <v>#REF!</v>
      </c>
    </row>
    <row r="52" customFormat="false" ht="13.5" hidden="false" customHeight="false" outlineLevel="0" collapsed="false">
      <c r="A52" s="0" t="s">
        <v>117</v>
      </c>
      <c r="B52" s="1" t="n">
        <v>43912</v>
      </c>
      <c r="C52" s="0" t="e">
        <f aca="false">#REF!</f>
        <v>#REF!</v>
      </c>
      <c r="D52" s="0" t="e">
        <f aca="false">#REF!</f>
        <v>#REF!</v>
      </c>
      <c r="E52" s="0" t="e">
        <f aca="false">#REF!</f>
        <v>#REF!</v>
      </c>
      <c r="F52" s="0" t="e">
        <f aca="false">#REF!</f>
        <v>#REF!</v>
      </c>
      <c r="G52" s="0" t="e">
        <f aca="false">#REF!</f>
        <v>#REF!</v>
      </c>
      <c r="H52" s="0" t="e">
        <f aca="false">#REF!</f>
        <v>#REF!</v>
      </c>
      <c r="I52" s="0" t="e">
        <f aca="false">#REF!</f>
        <v>#REF!</v>
      </c>
      <c r="J52" s="0" t="e">
        <f aca="false">#REF!</f>
        <v>#REF!</v>
      </c>
      <c r="K52" s="0" t="e">
        <f aca="false">#REF!</f>
        <v>#REF!</v>
      </c>
      <c r="L52" s="0" t="e">
        <f aca="false">#REF!</f>
        <v>#REF!</v>
      </c>
      <c r="M52" s="0" t="e">
        <f aca="false">#REF!</f>
        <v>#REF!</v>
      </c>
    </row>
    <row r="53" customFormat="false" ht="13.5" hidden="false" customHeight="false" outlineLevel="0" collapsed="false">
      <c r="A53" s="0" t="s">
        <v>117</v>
      </c>
      <c r="B53" s="1" t="n">
        <v>43913</v>
      </c>
      <c r="C53" s="0" t="e">
        <f aca="false">#REF!</f>
        <v>#REF!</v>
      </c>
      <c r="D53" s="0" t="e">
        <f aca="false">#REF!</f>
        <v>#REF!</v>
      </c>
      <c r="E53" s="0" t="e">
        <f aca="false">#REF!</f>
        <v>#REF!</v>
      </c>
      <c r="F53" s="0" t="e">
        <f aca="false">#REF!</f>
        <v>#REF!</v>
      </c>
      <c r="G53" s="0" t="e">
        <f aca="false">#REF!</f>
        <v>#REF!</v>
      </c>
      <c r="H53" s="0" t="e">
        <f aca="false">#REF!</f>
        <v>#REF!</v>
      </c>
      <c r="I53" s="0" t="e">
        <f aca="false">#REF!</f>
        <v>#REF!</v>
      </c>
      <c r="J53" s="0" t="e">
        <f aca="false">#REF!</f>
        <v>#REF!</v>
      </c>
      <c r="K53" s="0" t="e">
        <f aca="false">#REF!</f>
        <v>#REF!</v>
      </c>
      <c r="L53" s="0" t="e">
        <f aca="false">#REF!</f>
        <v>#REF!</v>
      </c>
      <c r="M53" s="0" t="e">
        <f aca="false">#REF!</f>
        <v>#REF!</v>
      </c>
    </row>
    <row r="54" customFormat="false" ht="13.5" hidden="false" customHeight="false" outlineLevel="0" collapsed="false">
      <c r="A54" s="0" t="s">
        <v>117</v>
      </c>
      <c r="B54" s="1" t="n">
        <v>43914</v>
      </c>
      <c r="C54" s="0" t="e">
        <f aca="false">#REF!</f>
        <v>#REF!</v>
      </c>
      <c r="D54" s="0" t="e">
        <f aca="false">#REF!</f>
        <v>#REF!</v>
      </c>
      <c r="E54" s="0" t="e">
        <f aca="false">#REF!</f>
        <v>#REF!</v>
      </c>
      <c r="F54" s="0" t="e">
        <f aca="false">#REF!</f>
        <v>#REF!</v>
      </c>
      <c r="G54" s="0" t="e">
        <f aca="false">#REF!</f>
        <v>#REF!</v>
      </c>
      <c r="H54" s="0" t="e">
        <f aca="false">#REF!</f>
        <v>#REF!</v>
      </c>
      <c r="I54" s="0" t="e">
        <f aca="false">#REF!</f>
        <v>#REF!</v>
      </c>
      <c r="J54" s="0" t="e">
        <f aca="false">#REF!</f>
        <v>#REF!</v>
      </c>
      <c r="K54" s="0" t="e">
        <f aca="false">#REF!</f>
        <v>#REF!</v>
      </c>
      <c r="L54" s="0" t="e">
        <f aca="false">#REF!</f>
        <v>#REF!</v>
      </c>
      <c r="M54" s="0" t="e">
        <f aca="false">#REF!</f>
        <v>#REF!</v>
      </c>
    </row>
    <row r="55" customFormat="false" ht="13.5" hidden="false" customHeight="false" outlineLevel="0" collapsed="false">
      <c r="A55" s="0" t="s">
        <v>117</v>
      </c>
      <c r="B55" s="1" t="n">
        <v>43915</v>
      </c>
      <c r="C55" s="0" t="e">
        <f aca="false">#REF!</f>
        <v>#REF!</v>
      </c>
      <c r="D55" s="0" t="e">
        <f aca="false">#REF!</f>
        <v>#REF!</v>
      </c>
      <c r="E55" s="0" t="e">
        <f aca="false">#REF!</f>
        <v>#REF!</v>
      </c>
      <c r="F55" s="0" t="e">
        <f aca="false">#REF!</f>
        <v>#REF!</v>
      </c>
      <c r="G55" s="0" t="e">
        <f aca="false">#REF!</f>
        <v>#REF!</v>
      </c>
      <c r="H55" s="0" t="e">
        <f aca="false">#REF!</f>
        <v>#REF!</v>
      </c>
      <c r="I55" s="0" t="e">
        <f aca="false">#REF!</f>
        <v>#REF!</v>
      </c>
      <c r="J55" s="0" t="e">
        <f aca="false">#REF!</f>
        <v>#REF!</v>
      </c>
      <c r="K55" s="0" t="e">
        <f aca="false">#REF!</f>
        <v>#REF!</v>
      </c>
      <c r="L55" s="0" t="e">
        <f aca="false">#REF!</f>
        <v>#REF!</v>
      </c>
      <c r="M55" s="0" t="e">
        <f aca="false">#REF!</f>
        <v>#REF!</v>
      </c>
    </row>
    <row r="56" customFormat="false" ht="13.5" hidden="false" customHeight="false" outlineLevel="0" collapsed="false">
      <c r="A56" s="0" t="s">
        <v>117</v>
      </c>
      <c r="B56" s="1" t="n">
        <v>43916</v>
      </c>
      <c r="C56" s="0" t="e">
        <f aca="false">#REF!</f>
        <v>#REF!</v>
      </c>
      <c r="D56" s="0" t="e">
        <f aca="false">#REF!</f>
        <v>#REF!</v>
      </c>
      <c r="E56" s="0" t="e">
        <f aca="false">#REF!</f>
        <v>#REF!</v>
      </c>
      <c r="F56" s="0" t="e">
        <f aca="false">#REF!</f>
        <v>#REF!</v>
      </c>
      <c r="G56" s="0" t="e">
        <f aca="false">#REF!</f>
        <v>#REF!</v>
      </c>
      <c r="H56" s="0" t="e">
        <f aca="false">#REF!</f>
        <v>#REF!</v>
      </c>
      <c r="I56" s="0" t="e">
        <f aca="false">#REF!</f>
        <v>#REF!</v>
      </c>
      <c r="J56" s="0" t="e">
        <f aca="false">#REF!</f>
        <v>#REF!</v>
      </c>
      <c r="K56" s="0" t="e">
        <f aca="false">#REF!</f>
        <v>#REF!</v>
      </c>
      <c r="L56" s="0" t="e">
        <f aca="false">#REF!</f>
        <v>#REF!</v>
      </c>
      <c r="M56" s="0" t="e">
        <f aca="false">#REF!</f>
        <v>#REF!</v>
      </c>
    </row>
    <row r="57" customFormat="false" ht="13.5" hidden="false" customHeight="false" outlineLevel="0" collapsed="false">
      <c r="A57" s="0" t="s">
        <v>117</v>
      </c>
      <c r="B57" s="1" t="n">
        <v>43917</v>
      </c>
      <c r="C57" s="0" t="e">
        <f aca="false">#REF!</f>
        <v>#REF!</v>
      </c>
      <c r="D57" s="0" t="e">
        <f aca="false">#REF!</f>
        <v>#REF!</v>
      </c>
      <c r="E57" s="0" t="e">
        <f aca="false">#REF!</f>
        <v>#REF!</v>
      </c>
      <c r="F57" s="0" t="e">
        <f aca="false">#REF!</f>
        <v>#REF!</v>
      </c>
      <c r="G57" s="0" t="e">
        <f aca="false">#REF!</f>
        <v>#REF!</v>
      </c>
      <c r="H57" s="0" t="e">
        <f aca="false">#REF!</f>
        <v>#REF!</v>
      </c>
      <c r="I57" s="0" t="e">
        <f aca="false">#REF!</f>
        <v>#REF!</v>
      </c>
      <c r="J57" s="0" t="e">
        <f aca="false">#REF!</f>
        <v>#REF!</v>
      </c>
      <c r="K57" s="0" t="e">
        <f aca="false">#REF!</f>
        <v>#REF!</v>
      </c>
      <c r="L57" s="0" t="e">
        <f aca="false">#REF!</f>
        <v>#REF!</v>
      </c>
      <c r="M57" s="0" t="e">
        <f aca="false">#REF!</f>
        <v>#REF!</v>
      </c>
    </row>
    <row r="58" customFormat="false" ht="13.5" hidden="false" customHeight="false" outlineLevel="0" collapsed="false">
      <c r="A58" s="0" t="s">
        <v>117</v>
      </c>
      <c r="B58" s="1" t="n">
        <v>43918</v>
      </c>
      <c r="C58" s="0" t="e">
        <f aca="false">#REF!</f>
        <v>#REF!</v>
      </c>
      <c r="D58" s="0" t="e">
        <f aca="false">#REF!</f>
        <v>#REF!</v>
      </c>
      <c r="E58" s="0" t="e">
        <f aca="false">#REF!</f>
        <v>#REF!</v>
      </c>
      <c r="F58" s="0" t="e">
        <f aca="false">#REF!</f>
        <v>#REF!</v>
      </c>
      <c r="G58" s="0" t="e">
        <f aca="false">#REF!</f>
        <v>#REF!</v>
      </c>
      <c r="H58" s="0" t="e">
        <f aca="false">#REF!</f>
        <v>#REF!</v>
      </c>
      <c r="I58" s="0" t="e">
        <f aca="false">#REF!</f>
        <v>#REF!</v>
      </c>
      <c r="J58" s="0" t="e">
        <f aca="false">#REF!</f>
        <v>#REF!</v>
      </c>
      <c r="K58" s="0" t="e">
        <f aca="false">#REF!</f>
        <v>#REF!</v>
      </c>
      <c r="L58" s="0" t="e">
        <f aca="false">#REF!</f>
        <v>#REF!</v>
      </c>
      <c r="M58" s="0" t="e">
        <f aca="false">#REF!</f>
        <v>#REF!</v>
      </c>
    </row>
    <row r="59" customFormat="false" ht="13.5" hidden="false" customHeight="false" outlineLevel="0" collapsed="false">
      <c r="A59" s="0" t="s">
        <v>117</v>
      </c>
      <c r="B59" s="1" t="n">
        <v>43919</v>
      </c>
      <c r="C59" s="0" t="e">
        <f aca="false">#REF!</f>
        <v>#REF!</v>
      </c>
      <c r="D59" s="0" t="e">
        <f aca="false">#REF!</f>
        <v>#REF!</v>
      </c>
      <c r="E59" s="0" t="e">
        <f aca="false">#REF!</f>
        <v>#REF!</v>
      </c>
      <c r="F59" s="0" t="e">
        <f aca="false">#REF!</f>
        <v>#REF!</v>
      </c>
      <c r="G59" s="0" t="e">
        <f aca="false">#REF!</f>
        <v>#REF!</v>
      </c>
      <c r="H59" s="0" t="e">
        <f aca="false">#REF!</f>
        <v>#REF!</v>
      </c>
      <c r="I59" s="0" t="e">
        <f aca="false">#REF!</f>
        <v>#REF!</v>
      </c>
      <c r="J59" s="0" t="e">
        <f aca="false">#REF!</f>
        <v>#REF!</v>
      </c>
      <c r="K59" s="0" t="e">
        <f aca="false">#REF!</f>
        <v>#REF!</v>
      </c>
      <c r="L59" s="0" t="e">
        <f aca="false">#REF!</f>
        <v>#REF!</v>
      </c>
      <c r="M59" s="0" t="e">
        <f aca="false">#REF!</f>
        <v>#REF!</v>
      </c>
    </row>
    <row r="60" customFormat="false" ht="13.5" hidden="false" customHeight="false" outlineLevel="0" collapsed="false">
      <c r="A60" s="0" t="s">
        <v>117</v>
      </c>
      <c r="B60" s="1" t="n">
        <v>43920</v>
      </c>
      <c r="C60" s="0" t="e">
        <f aca="false">#REF!</f>
        <v>#REF!</v>
      </c>
      <c r="D60" s="0" t="e">
        <f aca="false">#REF!</f>
        <v>#REF!</v>
      </c>
      <c r="E60" s="0" t="e">
        <f aca="false">#REF!</f>
        <v>#REF!</v>
      </c>
      <c r="F60" s="0" t="e">
        <f aca="false">#REF!</f>
        <v>#REF!</v>
      </c>
      <c r="G60" s="0" t="e">
        <f aca="false">#REF!</f>
        <v>#REF!</v>
      </c>
      <c r="H60" s="0" t="e">
        <f aca="false">#REF!</f>
        <v>#REF!</v>
      </c>
      <c r="I60" s="0" t="e">
        <f aca="false">#REF!</f>
        <v>#REF!</v>
      </c>
      <c r="J60" s="0" t="e">
        <f aca="false">#REF!</f>
        <v>#REF!</v>
      </c>
      <c r="K60" s="0" t="e">
        <f aca="false">#REF!</f>
        <v>#REF!</v>
      </c>
      <c r="L60" s="0" t="e">
        <f aca="false">#REF!</f>
        <v>#REF!</v>
      </c>
      <c r="M60" s="0" t="e">
        <f aca="false">#REF!</f>
        <v>#REF!</v>
      </c>
    </row>
    <row r="61" customFormat="false" ht="13.5" hidden="false" customHeight="false" outlineLevel="0" collapsed="false">
      <c r="A61" s="0" t="s">
        <v>117</v>
      </c>
      <c r="B61" s="1" t="n">
        <v>43921</v>
      </c>
      <c r="C61" s="0" t="e">
        <f aca="false">#REF!</f>
        <v>#REF!</v>
      </c>
      <c r="D61" s="0" t="e">
        <f aca="false">#REF!</f>
        <v>#REF!</v>
      </c>
      <c r="E61" s="0" t="e">
        <f aca="false">#REF!</f>
        <v>#REF!</v>
      </c>
      <c r="F61" s="0" t="e">
        <f aca="false">#REF!</f>
        <v>#REF!</v>
      </c>
      <c r="G61" s="0" t="e">
        <f aca="false">#REF!</f>
        <v>#REF!</v>
      </c>
      <c r="H61" s="0" t="e">
        <f aca="false">#REF!</f>
        <v>#REF!</v>
      </c>
      <c r="I61" s="0" t="e">
        <f aca="false">#REF!</f>
        <v>#REF!</v>
      </c>
      <c r="J61" s="0" t="e">
        <f aca="false">#REF!</f>
        <v>#REF!</v>
      </c>
      <c r="K61" s="0" t="e">
        <f aca="false">#REF!</f>
        <v>#REF!</v>
      </c>
      <c r="L61" s="0" t="e">
        <f aca="false">#REF!</f>
        <v>#REF!</v>
      </c>
      <c r="M61" s="0" t="e">
        <f aca="false">#REF!</f>
        <v>#REF!</v>
      </c>
    </row>
    <row r="62" customFormat="false" ht="13.5" hidden="false" customHeight="false" outlineLevel="0" collapsed="false">
      <c r="A62" s="0" t="s">
        <v>117</v>
      </c>
      <c r="B62" s="1" t="n">
        <v>43922</v>
      </c>
      <c r="C62" s="0" t="e">
        <f aca="false">#REF!</f>
        <v>#REF!</v>
      </c>
      <c r="D62" s="0" t="e">
        <f aca="false">#REF!</f>
        <v>#REF!</v>
      </c>
      <c r="E62" s="0" t="e">
        <f aca="false">#REF!</f>
        <v>#REF!</v>
      </c>
      <c r="F62" s="0" t="e">
        <f aca="false">#REF!</f>
        <v>#REF!</v>
      </c>
      <c r="G62" s="0" t="e">
        <f aca="false">#REF!</f>
        <v>#REF!</v>
      </c>
      <c r="H62" s="0" t="e">
        <f aca="false">#REF!</f>
        <v>#REF!</v>
      </c>
      <c r="I62" s="0" t="e">
        <f aca="false">#REF!</f>
        <v>#REF!</v>
      </c>
      <c r="J62" s="0" t="e">
        <f aca="false">#REF!</f>
        <v>#REF!</v>
      </c>
      <c r="K62" s="0" t="e">
        <f aca="false">#REF!</f>
        <v>#REF!</v>
      </c>
      <c r="L62" s="0" t="e">
        <f aca="false">#REF!</f>
        <v>#REF!</v>
      </c>
      <c r="M62" s="0" t="e">
        <f aca="false">#REF!</f>
        <v>#REF!</v>
      </c>
    </row>
    <row r="63" customFormat="false" ht="13.5" hidden="false" customHeight="false" outlineLevel="0" collapsed="false">
      <c r="A63" s="0" t="s">
        <v>117</v>
      </c>
      <c r="B63" s="1" t="n">
        <v>43923</v>
      </c>
      <c r="C63" s="0" t="e">
        <f aca="false">#REF!</f>
        <v>#REF!</v>
      </c>
      <c r="D63" s="0" t="e">
        <f aca="false">#REF!</f>
        <v>#REF!</v>
      </c>
      <c r="E63" s="0" t="e">
        <f aca="false">#REF!</f>
        <v>#REF!</v>
      </c>
      <c r="F63" s="0" t="e">
        <f aca="false">#REF!</f>
        <v>#REF!</v>
      </c>
      <c r="G63" s="0" t="e">
        <f aca="false">#REF!</f>
        <v>#REF!</v>
      </c>
      <c r="H63" s="0" t="e">
        <f aca="false">#REF!</f>
        <v>#REF!</v>
      </c>
      <c r="I63" s="0" t="e">
        <f aca="false">#REF!</f>
        <v>#REF!</v>
      </c>
      <c r="J63" s="0" t="e">
        <f aca="false">#REF!</f>
        <v>#REF!</v>
      </c>
      <c r="K63" s="0" t="e">
        <f aca="false">#REF!</f>
        <v>#REF!</v>
      </c>
      <c r="L63" s="0" t="e">
        <f aca="false">#REF!</f>
        <v>#REF!</v>
      </c>
      <c r="M63" s="0" t="e">
        <f aca="false">#REF!</f>
        <v>#REF!</v>
      </c>
    </row>
    <row r="64" customFormat="false" ht="13.5" hidden="false" customHeight="false" outlineLevel="0" collapsed="false">
      <c r="A64" s="0" t="s">
        <v>117</v>
      </c>
      <c r="B64" s="1" t="n">
        <v>43924</v>
      </c>
      <c r="C64" s="0" t="e">
        <f aca="false">#REF!</f>
        <v>#REF!</v>
      </c>
      <c r="D64" s="0" t="e">
        <f aca="false">#REF!</f>
        <v>#REF!</v>
      </c>
      <c r="E64" s="0" t="e">
        <f aca="false">#REF!</f>
        <v>#REF!</v>
      </c>
      <c r="F64" s="0" t="e">
        <f aca="false">#REF!</f>
        <v>#REF!</v>
      </c>
      <c r="G64" s="0" t="e">
        <f aca="false">#REF!</f>
        <v>#REF!</v>
      </c>
      <c r="H64" s="0" t="e">
        <f aca="false">#REF!</f>
        <v>#REF!</v>
      </c>
      <c r="I64" s="0" t="e">
        <f aca="false">#REF!</f>
        <v>#REF!</v>
      </c>
      <c r="J64" s="0" t="e">
        <f aca="false">#REF!</f>
        <v>#REF!</v>
      </c>
      <c r="K64" s="0" t="e">
        <f aca="false">#REF!</f>
        <v>#REF!</v>
      </c>
      <c r="L64" s="0" t="e">
        <f aca="false">#REF!</f>
        <v>#REF!</v>
      </c>
      <c r="M64" s="0" t="e">
        <f aca="false">#REF!</f>
        <v>#REF!</v>
      </c>
    </row>
    <row r="65" customFormat="false" ht="13.5" hidden="false" customHeight="false" outlineLevel="0" collapsed="false">
      <c r="A65" s="0" t="s">
        <v>117</v>
      </c>
      <c r="B65" s="1" t="n">
        <v>43925</v>
      </c>
      <c r="C65" s="0" t="e">
        <f aca="false">#REF!</f>
        <v>#REF!</v>
      </c>
      <c r="D65" s="0" t="e">
        <f aca="false">#REF!</f>
        <v>#REF!</v>
      </c>
      <c r="E65" s="0" t="e">
        <f aca="false">#REF!</f>
        <v>#REF!</v>
      </c>
      <c r="F65" s="0" t="e">
        <f aca="false">#REF!</f>
        <v>#REF!</v>
      </c>
      <c r="G65" s="0" t="e">
        <f aca="false">#REF!</f>
        <v>#REF!</v>
      </c>
      <c r="H65" s="0" t="e">
        <f aca="false">#REF!</f>
        <v>#REF!</v>
      </c>
      <c r="I65" s="0" t="e">
        <f aca="false">#REF!</f>
        <v>#REF!</v>
      </c>
      <c r="J65" s="0" t="e">
        <f aca="false">#REF!</f>
        <v>#REF!</v>
      </c>
      <c r="K65" s="0" t="e">
        <f aca="false">#REF!</f>
        <v>#REF!</v>
      </c>
      <c r="L65" s="0" t="e">
        <f aca="false">#REF!</f>
        <v>#REF!</v>
      </c>
      <c r="M65" s="0" t="e">
        <f aca="false">#REF!</f>
        <v>#REF!</v>
      </c>
    </row>
    <row r="66" customFormat="false" ht="13.5" hidden="false" customHeight="false" outlineLevel="0" collapsed="false">
      <c r="A66" s="0" t="s">
        <v>117</v>
      </c>
      <c r="B66" s="1" t="n">
        <v>43926</v>
      </c>
      <c r="C66" s="0" t="e">
        <f aca="false">#REF!</f>
        <v>#REF!</v>
      </c>
      <c r="D66" s="0" t="e">
        <f aca="false">#REF!</f>
        <v>#REF!</v>
      </c>
      <c r="E66" s="0" t="e">
        <f aca="false">#REF!</f>
        <v>#REF!</v>
      </c>
      <c r="F66" s="0" t="e">
        <f aca="false">#REF!</f>
        <v>#REF!</v>
      </c>
      <c r="G66" s="0" t="e">
        <f aca="false">#REF!</f>
        <v>#REF!</v>
      </c>
      <c r="H66" s="0" t="e">
        <f aca="false">#REF!</f>
        <v>#REF!</v>
      </c>
      <c r="I66" s="0" t="e">
        <f aca="false">#REF!</f>
        <v>#REF!</v>
      </c>
      <c r="J66" s="0" t="e">
        <f aca="false">#REF!</f>
        <v>#REF!</v>
      </c>
      <c r="K66" s="0" t="e">
        <f aca="false">#REF!</f>
        <v>#REF!</v>
      </c>
      <c r="L66" s="0" t="e">
        <f aca="false">#REF!</f>
        <v>#REF!</v>
      </c>
      <c r="M66" s="0" t="e">
        <f aca="false">#REF!</f>
        <v>#REF!</v>
      </c>
    </row>
    <row r="67" customFormat="false" ht="13.5" hidden="false" customHeight="false" outlineLevel="0" collapsed="false">
      <c r="A67" s="0" t="s">
        <v>117</v>
      </c>
      <c r="B67" s="1" t="n">
        <v>43927</v>
      </c>
      <c r="C67" s="0" t="e">
        <f aca="false">#REF!</f>
        <v>#REF!</v>
      </c>
      <c r="D67" s="0" t="e">
        <f aca="false">#REF!</f>
        <v>#REF!</v>
      </c>
      <c r="E67" s="0" t="e">
        <f aca="false">#REF!</f>
        <v>#REF!</v>
      </c>
      <c r="F67" s="0" t="e">
        <f aca="false">#REF!</f>
        <v>#REF!</v>
      </c>
      <c r="G67" s="0" t="e">
        <f aca="false">#REF!</f>
        <v>#REF!</v>
      </c>
      <c r="H67" s="0" t="e">
        <f aca="false">#REF!</f>
        <v>#REF!</v>
      </c>
      <c r="I67" s="0" t="e">
        <f aca="false">#REF!</f>
        <v>#REF!</v>
      </c>
      <c r="J67" s="0" t="e">
        <f aca="false">#REF!</f>
        <v>#REF!</v>
      </c>
      <c r="K67" s="0" t="e">
        <f aca="false">#REF!</f>
        <v>#REF!</v>
      </c>
      <c r="L67" s="0" t="e">
        <f aca="false">#REF!</f>
        <v>#REF!</v>
      </c>
      <c r="M67" s="0" t="e">
        <f aca="false">#REF!</f>
        <v>#REF!</v>
      </c>
    </row>
    <row r="68" customFormat="false" ht="13.5" hidden="false" customHeight="false" outlineLevel="0" collapsed="false">
      <c r="A68" s="0" t="s">
        <v>117</v>
      </c>
      <c r="B68" s="1" t="n">
        <v>43928</v>
      </c>
      <c r="C68" s="0" t="e">
        <f aca="false">#REF!</f>
        <v>#REF!</v>
      </c>
      <c r="D68" s="0" t="e">
        <f aca="false">#REF!</f>
        <v>#REF!</v>
      </c>
      <c r="E68" s="0" t="e">
        <f aca="false">#REF!</f>
        <v>#REF!</v>
      </c>
      <c r="F68" s="0" t="e">
        <f aca="false">#REF!</f>
        <v>#REF!</v>
      </c>
      <c r="G68" s="0" t="e">
        <f aca="false">#REF!</f>
        <v>#REF!</v>
      </c>
      <c r="H68" s="0" t="e">
        <f aca="false">#REF!</f>
        <v>#REF!</v>
      </c>
      <c r="I68" s="0" t="e">
        <f aca="false">#REF!</f>
        <v>#REF!</v>
      </c>
      <c r="J68" s="0" t="e">
        <f aca="false">#REF!</f>
        <v>#REF!</v>
      </c>
      <c r="K68" s="0" t="e">
        <f aca="false">#REF!</f>
        <v>#REF!</v>
      </c>
      <c r="L68" s="0" t="e">
        <f aca="false">#REF!</f>
        <v>#REF!</v>
      </c>
      <c r="M68" s="0" t="e">
        <f aca="false">#REF!</f>
        <v>#REF!</v>
      </c>
    </row>
    <row r="69" customFormat="false" ht="13.5" hidden="false" customHeight="false" outlineLevel="0" collapsed="false">
      <c r="A69" s="0" t="s">
        <v>117</v>
      </c>
      <c r="B69" s="1" t="n">
        <v>43929</v>
      </c>
      <c r="C69" s="0" t="e">
        <f aca="false">#REF!</f>
        <v>#REF!</v>
      </c>
      <c r="D69" s="0" t="e">
        <f aca="false">#REF!</f>
        <v>#REF!</v>
      </c>
      <c r="E69" s="0" t="e">
        <f aca="false">#REF!</f>
        <v>#REF!</v>
      </c>
      <c r="F69" s="0" t="e">
        <f aca="false">#REF!</f>
        <v>#REF!</v>
      </c>
      <c r="G69" s="0" t="e">
        <f aca="false">#REF!</f>
        <v>#REF!</v>
      </c>
      <c r="H69" s="0" t="e">
        <f aca="false">#REF!</f>
        <v>#REF!</v>
      </c>
      <c r="I69" s="0" t="e">
        <f aca="false">#REF!</f>
        <v>#REF!</v>
      </c>
      <c r="J69" s="0" t="e">
        <f aca="false">#REF!</f>
        <v>#REF!</v>
      </c>
      <c r="K69" s="0" t="e">
        <f aca="false">#REF!</f>
        <v>#REF!</v>
      </c>
      <c r="L69" s="0" t="e">
        <f aca="false">#REF!</f>
        <v>#REF!</v>
      </c>
      <c r="M69" s="0" t="e">
        <f aca="false">#REF!</f>
        <v>#REF!</v>
      </c>
    </row>
    <row r="70" customFormat="false" ht="13.5" hidden="false" customHeight="false" outlineLevel="0" collapsed="false">
      <c r="A70" s="0" t="s">
        <v>117</v>
      </c>
      <c r="B70" s="1" t="n">
        <v>43930</v>
      </c>
      <c r="C70" s="0" t="e">
        <f aca="false">#REF!</f>
        <v>#REF!</v>
      </c>
      <c r="D70" s="0" t="e">
        <f aca="false">#REF!</f>
        <v>#REF!</v>
      </c>
      <c r="E70" s="0" t="e">
        <f aca="false">#REF!</f>
        <v>#REF!</v>
      </c>
      <c r="F70" s="0" t="e">
        <f aca="false">#REF!</f>
        <v>#REF!</v>
      </c>
      <c r="G70" s="0" t="e">
        <f aca="false">#REF!</f>
        <v>#REF!</v>
      </c>
      <c r="H70" s="0" t="e">
        <f aca="false">#REF!</f>
        <v>#REF!</v>
      </c>
      <c r="I70" s="0" t="e">
        <f aca="false">#REF!</f>
        <v>#REF!</v>
      </c>
      <c r="J70" s="0" t="e">
        <f aca="false">#REF!</f>
        <v>#REF!</v>
      </c>
      <c r="K70" s="0" t="e">
        <f aca="false">#REF!</f>
        <v>#REF!</v>
      </c>
      <c r="L70" s="0" t="e">
        <f aca="false">#REF!</f>
        <v>#REF!</v>
      </c>
      <c r="M70" s="0" t="e">
        <f aca="false">#REF!</f>
        <v>#REF!</v>
      </c>
    </row>
    <row r="71" customFormat="false" ht="13.5" hidden="false" customHeight="false" outlineLevel="0" collapsed="false">
      <c r="A71" s="0" t="s">
        <v>117</v>
      </c>
      <c r="B71" s="1" t="n">
        <v>43931</v>
      </c>
      <c r="C71" s="0" t="e">
        <f aca="false">#REF!</f>
        <v>#REF!</v>
      </c>
      <c r="D71" s="0" t="e">
        <f aca="false">#REF!</f>
        <v>#REF!</v>
      </c>
      <c r="E71" s="0" t="e">
        <f aca="false">#REF!</f>
        <v>#REF!</v>
      </c>
      <c r="F71" s="0" t="e">
        <f aca="false">#REF!</f>
        <v>#REF!</v>
      </c>
      <c r="G71" s="0" t="e">
        <f aca="false">#REF!</f>
        <v>#REF!</v>
      </c>
      <c r="H71" s="0" t="e">
        <f aca="false">#REF!</f>
        <v>#REF!</v>
      </c>
      <c r="I71" s="0" t="e">
        <f aca="false">#REF!</f>
        <v>#REF!</v>
      </c>
      <c r="J71" s="0" t="e">
        <f aca="false">#REF!</f>
        <v>#REF!</v>
      </c>
      <c r="K71" s="0" t="e">
        <f aca="false">#REF!</f>
        <v>#REF!</v>
      </c>
      <c r="L71" s="0" t="e">
        <f aca="false">#REF!</f>
        <v>#REF!</v>
      </c>
      <c r="M71" s="0" t="e">
        <f aca="false">#REF!</f>
        <v>#REF!</v>
      </c>
    </row>
    <row r="72" customFormat="false" ht="13.5" hidden="false" customHeight="false" outlineLevel="0" collapsed="false">
      <c r="A72" s="0" t="s">
        <v>117</v>
      </c>
      <c r="B72" s="1" t="n">
        <v>43932</v>
      </c>
      <c r="C72" s="0" t="e">
        <f aca="false">#REF!</f>
        <v>#REF!</v>
      </c>
      <c r="D72" s="0" t="e">
        <f aca="false">#REF!</f>
        <v>#REF!</v>
      </c>
      <c r="E72" s="0" t="e">
        <f aca="false">#REF!</f>
        <v>#REF!</v>
      </c>
      <c r="F72" s="0" t="e">
        <f aca="false">#REF!</f>
        <v>#REF!</v>
      </c>
      <c r="G72" s="0" t="e">
        <f aca="false">#REF!</f>
        <v>#REF!</v>
      </c>
      <c r="H72" s="0" t="e">
        <f aca="false">#REF!</f>
        <v>#REF!</v>
      </c>
      <c r="I72" s="0" t="e">
        <f aca="false">#REF!</f>
        <v>#REF!</v>
      </c>
      <c r="J72" s="0" t="e">
        <f aca="false">#REF!</f>
        <v>#REF!</v>
      </c>
      <c r="K72" s="0" t="e">
        <f aca="false">#REF!</f>
        <v>#REF!</v>
      </c>
      <c r="L72" s="0" t="e">
        <f aca="false">#REF!</f>
        <v>#REF!</v>
      </c>
      <c r="M72" s="0" t="e">
        <f aca="false">#REF!</f>
        <v>#REF!</v>
      </c>
    </row>
    <row r="73" customFormat="false" ht="13.5" hidden="false" customHeight="false" outlineLevel="0" collapsed="false">
      <c r="A73" s="0" t="s">
        <v>117</v>
      </c>
      <c r="B73" s="1" t="n">
        <v>43933</v>
      </c>
      <c r="C73" s="0" t="e">
        <f aca="false">#REF!</f>
        <v>#REF!</v>
      </c>
      <c r="D73" s="0" t="e">
        <f aca="false">#REF!</f>
        <v>#REF!</v>
      </c>
      <c r="E73" s="0" t="e">
        <f aca="false">#REF!</f>
        <v>#REF!</v>
      </c>
      <c r="F73" s="0" t="e">
        <f aca="false">#REF!</f>
        <v>#REF!</v>
      </c>
      <c r="G73" s="0" t="e">
        <f aca="false">#REF!</f>
        <v>#REF!</v>
      </c>
      <c r="H73" s="0" t="e">
        <f aca="false">#REF!</f>
        <v>#REF!</v>
      </c>
      <c r="I73" s="0" t="e">
        <f aca="false">#REF!</f>
        <v>#REF!</v>
      </c>
      <c r="J73" s="0" t="e">
        <f aca="false">#REF!</f>
        <v>#REF!</v>
      </c>
      <c r="K73" s="0" t="e">
        <f aca="false">#REF!</f>
        <v>#REF!</v>
      </c>
      <c r="L73" s="0" t="e">
        <f aca="false">#REF!</f>
        <v>#REF!</v>
      </c>
      <c r="M73" s="0" t="e">
        <f aca="false">#REF!</f>
        <v>#REF!</v>
      </c>
    </row>
    <row r="74" customFormat="false" ht="13.5" hidden="false" customHeight="false" outlineLevel="0" collapsed="false">
      <c r="A74" s="0" t="s">
        <v>117</v>
      </c>
      <c r="B74" s="1" t="n">
        <v>43934</v>
      </c>
      <c r="C74" s="0" t="e">
        <f aca="false">#REF!</f>
        <v>#REF!</v>
      </c>
      <c r="D74" s="0" t="e">
        <f aca="false">#REF!</f>
        <v>#REF!</v>
      </c>
      <c r="E74" s="0" t="e">
        <f aca="false">#REF!</f>
        <v>#REF!</v>
      </c>
      <c r="F74" s="0" t="e">
        <f aca="false">#REF!</f>
        <v>#REF!</v>
      </c>
      <c r="G74" s="0" t="e">
        <f aca="false">#REF!</f>
        <v>#REF!</v>
      </c>
      <c r="H74" s="0" t="e">
        <f aca="false">#REF!</f>
        <v>#REF!</v>
      </c>
      <c r="I74" s="0" t="e">
        <f aca="false">#REF!</f>
        <v>#REF!</v>
      </c>
      <c r="J74" s="0" t="e">
        <f aca="false">#REF!</f>
        <v>#REF!</v>
      </c>
      <c r="K74" s="0" t="e">
        <f aca="false">#REF!</f>
        <v>#REF!</v>
      </c>
      <c r="L74" s="0" t="e">
        <f aca="false">#REF!</f>
        <v>#REF!</v>
      </c>
      <c r="M74" s="0" t="e">
        <f aca="false">#REF!</f>
        <v>#REF!</v>
      </c>
    </row>
    <row r="75" customFormat="false" ht="13.5" hidden="false" customHeight="false" outlineLevel="0" collapsed="false">
      <c r="A75" s="0" t="s">
        <v>117</v>
      </c>
      <c r="B75" s="1" t="n">
        <v>43935</v>
      </c>
      <c r="C75" s="0" t="e">
        <f aca="false">#REF!</f>
        <v>#REF!</v>
      </c>
      <c r="D75" s="0" t="e">
        <f aca="false">#REF!</f>
        <v>#REF!</v>
      </c>
      <c r="E75" s="0" t="e">
        <f aca="false">#REF!</f>
        <v>#REF!</v>
      </c>
      <c r="F75" s="0" t="e">
        <f aca="false">#REF!</f>
        <v>#REF!</v>
      </c>
      <c r="G75" s="0" t="e">
        <f aca="false">#REF!</f>
        <v>#REF!</v>
      </c>
      <c r="H75" s="0" t="e">
        <f aca="false">#REF!</f>
        <v>#REF!</v>
      </c>
      <c r="I75" s="0" t="e">
        <f aca="false">#REF!</f>
        <v>#REF!</v>
      </c>
      <c r="J75" s="0" t="e">
        <f aca="false">#REF!</f>
        <v>#REF!</v>
      </c>
      <c r="K75" s="0" t="e">
        <f aca="false">#REF!</f>
        <v>#REF!</v>
      </c>
      <c r="L75" s="0" t="e">
        <f aca="false">#REF!</f>
        <v>#REF!</v>
      </c>
      <c r="M75" s="0" t="e">
        <f aca="false">#REF!</f>
        <v>#REF!</v>
      </c>
    </row>
    <row r="76" customFormat="false" ht="13.5" hidden="false" customHeight="false" outlineLevel="0" collapsed="false">
      <c r="A76" s="0" t="s">
        <v>117</v>
      </c>
      <c r="B76" s="1" t="n">
        <v>43936</v>
      </c>
      <c r="C76" s="0" t="e">
        <f aca="false">#REF!</f>
        <v>#REF!</v>
      </c>
      <c r="D76" s="0" t="e">
        <f aca="false">#REF!</f>
        <v>#REF!</v>
      </c>
      <c r="E76" s="0" t="e">
        <f aca="false">#REF!</f>
        <v>#REF!</v>
      </c>
      <c r="F76" s="0" t="e">
        <f aca="false">#REF!</f>
        <v>#REF!</v>
      </c>
      <c r="G76" s="0" t="e">
        <f aca="false">#REF!</f>
        <v>#REF!</v>
      </c>
      <c r="H76" s="0" t="e">
        <f aca="false">#REF!</f>
        <v>#REF!</v>
      </c>
      <c r="I76" s="0" t="e">
        <f aca="false">#REF!</f>
        <v>#REF!</v>
      </c>
      <c r="J76" s="0" t="e">
        <f aca="false">#REF!</f>
        <v>#REF!</v>
      </c>
      <c r="K76" s="0" t="e">
        <f aca="false">#REF!</f>
        <v>#REF!</v>
      </c>
      <c r="L76" s="0" t="e">
        <f aca="false">#REF!</f>
        <v>#REF!</v>
      </c>
      <c r="M76" s="0" t="e">
        <f aca="false">#REF!</f>
        <v>#REF!</v>
      </c>
    </row>
    <row r="77" customFormat="false" ht="13.5" hidden="false" customHeight="false" outlineLevel="0" collapsed="false">
      <c r="A77" s="0" t="s">
        <v>117</v>
      </c>
      <c r="B77" s="1" t="n">
        <v>43937</v>
      </c>
      <c r="C77" s="0" t="e">
        <f aca="false">#REF!</f>
        <v>#REF!</v>
      </c>
      <c r="D77" s="0" t="e">
        <f aca="false">#REF!</f>
        <v>#REF!</v>
      </c>
      <c r="E77" s="0" t="e">
        <f aca="false">#REF!</f>
        <v>#REF!</v>
      </c>
      <c r="F77" s="0" t="e">
        <f aca="false">#REF!</f>
        <v>#REF!</v>
      </c>
      <c r="G77" s="0" t="e">
        <f aca="false">#REF!</f>
        <v>#REF!</v>
      </c>
      <c r="H77" s="0" t="e">
        <f aca="false">#REF!</f>
        <v>#REF!</v>
      </c>
      <c r="I77" s="0" t="e">
        <f aca="false">#REF!</f>
        <v>#REF!</v>
      </c>
      <c r="J77" s="0" t="e">
        <f aca="false">#REF!</f>
        <v>#REF!</v>
      </c>
      <c r="K77" s="0" t="e">
        <f aca="false">#REF!</f>
        <v>#REF!</v>
      </c>
      <c r="L77" s="0" t="e">
        <f aca="false">#REF!</f>
        <v>#REF!</v>
      </c>
      <c r="M77" s="0" t="e">
        <f aca="false">#REF!</f>
        <v>#REF!</v>
      </c>
    </row>
    <row r="78" customFormat="false" ht="13.5" hidden="false" customHeight="false" outlineLevel="0" collapsed="false">
      <c r="A78" s="0" t="s">
        <v>117</v>
      </c>
      <c r="B78" s="1" t="n">
        <v>43938</v>
      </c>
      <c r="C78" s="0" t="e">
        <f aca="false">#REF!</f>
        <v>#REF!</v>
      </c>
      <c r="D78" s="0" t="e">
        <f aca="false">#REF!</f>
        <v>#REF!</v>
      </c>
      <c r="E78" s="0" t="e">
        <f aca="false">#REF!</f>
        <v>#REF!</v>
      </c>
      <c r="F78" s="0" t="e">
        <f aca="false">#REF!</f>
        <v>#REF!</v>
      </c>
      <c r="G78" s="0" t="e">
        <f aca="false">#REF!</f>
        <v>#REF!</v>
      </c>
      <c r="H78" s="0" t="e">
        <f aca="false">#REF!</f>
        <v>#REF!</v>
      </c>
      <c r="I78" s="0" t="e">
        <f aca="false">#REF!</f>
        <v>#REF!</v>
      </c>
      <c r="J78" s="0" t="e">
        <f aca="false">#REF!</f>
        <v>#REF!</v>
      </c>
      <c r="K78" s="0" t="e">
        <f aca="false">#REF!</f>
        <v>#REF!</v>
      </c>
      <c r="L78" s="0" t="e">
        <f aca="false">#REF!</f>
        <v>#REF!</v>
      </c>
      <c r="M78" s="0" t="e">
        <f aca="false">#REF!</f>
        <v>#REF!</v>
      </c>
    </row>
    <row r="79" customFormat="false" ht="13.5" hidden="false" customHeight="false" outlineLevel="0" collapsed="false">
      <c r="A79" s="0" t="s">
        <v>117</v>
      </c>
      <c r="B79" s="1" t="n">
        <v>43939</v>
      </c>
      <c r="C79" s="0" t="e">
        <f aca="false">#REF!</f>
        <v>#REF!</v>
      </c>
      <c r="D79" s="0" t="e">
        <f aca="false">#REF!</f>
        <v>#REF!</v>
      </c>
      <c r="E79" s="0" t="e">
        <f aca="false">#REF!</f>
        <v>#REF!</v>
      </c>
      <c r="F79" s="0" t="e">
        <f aca="false">#REF!</f>
        <v>#REF!</v>
      </c>
      <c r="G79" s="0" t="e">
        <f aca="false">#REF!</f>
        <v>#REF!</v>
      </c>
      <c r="H79" s="0" t="e">
        <f aca="false">#REF!</f>
        <v>#REF!</v>
      </c>
      <c r="I79" s="0" t="e">
        <f aca="false">#REF!</f>
        <v>#REF!</v>
      </c>
      <c r="J79" s="0" t="e">
        <f aca="false">#REF!</f>
        <v>#REF!</v>
      </c>
      <c r="K79" s="0" t="e">
        <f aca="false">#REF!</f>
        <v>#REF!</v>
      </c>
      <c r="L79" s="0" t="e">
        <f aca="false">#REF!</f>
        <v>#REF!</v>
      </c>
      <c r="M79" s="0" t="e">
        <f aca="false">#REF!</f>
        <v>#REF!</v>
      </c>
    </row>
    <row r="80" customFormat="false" ht="13.5" hidden="false" customHeight="false" outlineLevel="0" collapsed="false">
      <c r="A80" s="0" t="s">
        <v>117</v>
      </c>
      <c r="B80" s="1" t="n">
        <v>43940</v>
      </c>
      <c r="C80" s="0" t="e">
        <f aca="false">#REF!</f>
        <v>#REF!</v>
      </c>
      <c r="D80" s="0" t="e">
        <f aca="false">#REF!</f>
        <v>#REF!</v>
      </c>
      <c r="E80" s="0" t="e">
        <f aca="false">#REF!</f>
        <v>#REF!</v>
      </c>
      <c r="F80" s="0" t="e">
        <f aca="false">#REF!</f>
        <v>#REF!</v>
      </c>
      <c r="G80" s="0" t="e">
        <f aca="false">#REF!</f>
        <v>#REF!</v>
      </c>
      <c r="H80" s="0" t="e">
        <f aca="false">#REF!</f>
        <v>#REF!</v>
      </c>
      <c r="I80" s="0" t="e">
        <f aca="false">#REF!</f>
        <v>#REF!</v>
      </c>
      <c r="J80" s="0" t="e">
        <f aca="false">#REF!</f>
        <v>#REF!</v>
      </c>
      <c r="K80" s="0" t="e">
        <f aca="false">#REF!</f>
        <v>#REF!</v>
      </c>
      <c r="L80" s="0" t="e">
        <f aca="false">#REF!</f>
        <v>#REF!</v>
      </c>
      <c r="M80" s="0" t="e">
        <f aca="false">#REF!</f>
        <v>#REF!</v>
      </c>
    </row>
    <row r="81" customFormat="false" ht="13.5" hidden="false" customHeight="false" outlineLevel="0" collapsed="false">
      <c r="A81" s="0" t="s">
        <v>117</v>
      </c>
      <c r="B81" s="1" t="n">
        <v>43941</v>
      </c>
      <c r="C81" s="0" t="e">
        <f aca="false">#REF!</f>
        <v>#REF!</v>
      </c>
      <c r="D81" s="0" t="e">
        <f aca="false">#REF!</f>
        <v>#REF!</v>
      </c>
      <c r="E81" s="0" t="e">
        <f aca="false">#REF!</f>
        <v>#REF!</v>
      </c>
      <c r="F81" s="0" t="e">
        <f aca="false">#REF!</f>
        <v>#REF!</v>
      </c>
      <c r="G81" s="0" t="e">
        <f aca="false">#REF!</f>
        <v>#REF!</v>
      </c>
      <c r="H81" s="0" t="e">
        <f aca="false">#REF!</f>
        <v>#REF!</v>
      </c>
      <c r="I81" s="0" t="e">
        <f aca="false">#REF!</f>
        <v>#REF!</v>
      </c>
      <c r="J81" s="0" t="e">
        <f aca="false">#REF!</f>
        <v>#REF!</v>
      </c>
      <c r="K81" s="0" t="e">
        <f aca="false">#REF!</f>
        <v>#REF!</v>
      </c>
      <c r="L81" s="0" t="e">
        <f aca="false">#REF!</f>
        <v>#REF!</v>
      </c>
      <c r="M81" s="0" t="e">
        <f aca="false">#REF!</f>
        <v>#REF!</v>
      </c>
    </row>
    <row r="82" customFormat="false" ht="13.5" hidden="false" customHeight="false" outlineLevel="0" collapsed="false">
      <c r="A82" s="0" t="s">
        <v>117</v>
      </c>
      <c r="B82" s="1" t="n">
        <v>43942</v>
      </c>
      <c r="C82" s="0" t="e">
        <f aca="false">#REF!</f>
        <v>#REF!</v>
      </c>
      <c r="D82" s="0" t="e">
        <f aca="false">#REF!</f>
        <v>#REF!</v>
      </c>
      <c r="E82" s="0" t="e">
        <f aca="false">#REF!</f>
        <v>#REF!</v>
      </c>
      <c r="F82" s="0" t="e">
        <f aca="false">#REF!</f>
        <v>#REF!</v>
      </c>
      <c r="G82" s="0" t="e">
        <f aca="false">#REF!</f>
        <v>#REF!</v>
      </c>
      <c r="H82" s="0" t="e">
        <f aca="false">#REF!</f>
        <v>#REF!</v>
      </c>
      <c r="I82" s="0" t="e">
        <f aca="false">#REF!</f>
        <v>#REF!</v>
      </c>
      <c r="J82" s="0" t="e">
        <f aca="false">#REF!</f>
        <v>#REF!</v>
      </c>
      <c r="K82" s="0" t="e">
        <f aca="false">#REF!</f>
        <v>#REF!</v>
      </c>
      <c r="L82" s="0" t="e">
        <f aca="false">#REF!</f>
        <v>#REF!</v>
      </c>
      <c r="M82" s="0" t="e">
        <f aca="false">#REF!</f>
        <v>#REF!</v>
      </c>
    </row>
    <row r="83" customFormat="false" ht="13.5" hidden="false" customHeight="false" outlineLevel="0" collapsed="false">
      <c r="A83" s="0" t="s">
        <v>117</v>
      </c>
      <c r="B83" s="1" t="n">
        <v>43943</v>
      </c>
      <c r="C83" s="0" t="e">
        <f aca="false">#REF!</f>
        <v>#REF!</v>
      </c>
      <c r="D83" s="0" t="e">
        <f aca="false">#REF!</f>
        <v>#REF!</v>
      </c>
      <c r="E83" s="0" t="e">
        <f aca="false">#REF!</f>
        <v>#REF!</v>
      </c>
      <c r="F83" s="0" t="e">
        <f aca="false">#REF!</f>
        <v>#REF!</v>
      </c>
      <c r="G83" s="0" t="e">
        <f aca="false">#REF!</f>
        <v>#REF!</v>
      </c>
      <c r="H83" s="0" t="e">
        <f aca="false">#REF!</f>
        <v>#REF!</v>
      </c>
      <c r="I83" s="0" t="e">
        <f aca="false">#REF!</f>
        <v>#REF!</v>
      </c>
      <c r="J83" s="0" t="e">
        <f aca="false">#REF!</f>
        <v>#REF!</v>
      </c>
      <c r="K83" s="0" t="e">
        <f aca="false">#REF!</f>
        <v>#REF!</v>
      </c>
      <c r="L83" s="0" t="e">
        <f aca="false">#REF!</f>
        <v>#REF!</v>
      </c>
      <c r="M83" s="0" t="e">
        <f aca="false">#REF!</f>
        <v>#REF!</v>
      </c>
    </row>
    <row r="84" customFormat="false" ht="13.5" hidden="false" customHeight="false" outlineLevel="0" collapsed="false">
      <c r="A84" s="0" t="s">
        <v>117</v>
      </c>
      <c r="B84" s="1" t="n">
        <v>43944</v>
      </c>
      <c r="C84" s="0" t="e">
        <f aca="false">#REF!</f>
        <v>#REF!</v>
      </c>
      <c r="D84" s="0" t="e">
        <f aca="false">#REF!</f>
        <v>#REF!</v>
      </c>
      <c r="E84" s="0" t="e">
        <f aca="false">#REF!</f>
        <v>#REF!</v>
      </c>
      <c r="F84" s="0" t="e">
        <f aca="false">#REF!</f>
        <v>#REF!</v>
      </c>
      <c r="G84" s="0" t="e">
        <f aca="false">#REF!</f>
        <v>#REF!</v>
      </c>
      <c r="H84" s="0" t="e">
        <f aca="false">#REF!</f>
        <v>#REF!</v>
      </c>
      <c r="I84" s="0" t="e">
        <f aca="false">#REF!</f>
        <v>#REF!</v>
      </c>
      <c r="J84" s="0" t="e">
        <f aca="false">#REF!</f>
        <v>#REF!</v>
      </c>
      <c r="K84" s="0" t="e">
        <f aca="false">#REF!</f>
        <v>#REF!</v>
      </c>
      <c r="L84" s="0" t="e">
        <f aca="false">#REF!</f>
        <v>#REF!</v>
      </c>
      <c r="M84" s="0" t="e">
        <f aca="false">#REF!</f>
        <v>#REF!</v>
      </c>
    </row>
    <row r="85" customFormat="false" ht="13.5" hidden="false" customHeight="false" outlineLevel="0" collapsed="false">
      <c r="A85" s="0" t="s">
        <v>117</v>
      </c>
      <c r="B85" s="1" t="n">
        <v>43945</v>
      </c>
      <c r="C85" s="0" t="e">
        <f aca="false">#REF!</f>
        <v>#REF!</v>
      </c>
      <c r="D85" s="0" t="e">
        <f aca="false">#REF!</f>
        <v>#REF!</v>
      </c>
      <c r="E85" s="0" t="e">
        <f aca="false">#REF!</f>
        <v>#REF!</v>
      </c>
      <c r="F85" s="0" t="e">
        <f aca="false">#REF!</f>
        <v>#REF!</v>
      </c>
      <c r="G85" s="0" t="e">
        <f aca="false">#REF!</f>
        <v>#REF!</v>
      </c>
      <c r="H85" s="0" t="e">
        <f aca="false">#REF!</f>
        <v>#REF!</v>
      </c>
      <c r="I85" s="0" t="e">
        <f aca="false">#REF!</f>
        <v>#REF!</v>
      </c>
      <c r="J85" s="0" t="e">
        <f aca="false">#REF!</f>
        <v>#REF!</v>
      </c>
      <c r="K85" s="0" t="e">
        <f aca="false">#REF!</f>
        <v>#REF!</v>
      </c>
      <c r="L85" s="0" t="e">
        <f aca="false">#REF!</f>
        <v>#REF!</v>
      </c>
      <c r="M85" s="0" t="e">
        <f aca="false">#REF!</f>
        <v>#REF!</v>
      </c>
    </row>
    <row r="86" customFormat="false" ht="13.5" hidden="false" customHeight="false" outlineLevel="0" collapsed="false">
      <c r="A86" s="0" t="s">
        <v>117</v>
      </c>
      <c r="B86" s="1" t="n">
        <v>43946</v>
      </c>
      <c r="C86" s="0" t="e">
        <f aca="false">#REF!</f>
        <v>#REF!</v>
      </c>
      <c r="D86" s="0" t="e">
        <f aca="false">#REF!</f>
        <v>#REF!</v>
      </c>
      <c r="E86" s="0" t="e">
        <f aca="false">#REF!</f>
        <v>#REF!</v>
      </c>
      <c r="F86" s="0" t="e">
        <f aca="false">#REF!</f>
        <v>#REF!</v>
      </c>
      <c r="G86" s="0" t="e">
        <f aca="false">#REF!</f>
        <v>#REF!</v>
      </c>
      <c r="H86" s="0" t="e">
        <f aca="false">#REF!</f>
        <v>#REF!</v>
      </c>
      <c r="I86" s="0" t="e">
        <f aca="false">#REF!</f>
        <v>#REF!</v>
      </c>
      <c r="J86" s="0" t="e">
        <f aca="false">#REF!</f>
        <v>#REF!</v>
      </c>
      <c r="K86" s="0" t="e">
        <f aca="false">#REF!</f>
        <v>#REF!</v>
      </c>
      <c r="L86" s="0" t="e">
        <f aca="false">#REF!</f>
        <v>#REF!</v>
      </c>
      <c r="M86" s="0" t="e">
        <f aca="false">#REF!</f>
        <v>#REF!</v>
      </c>
    </row>
    <row r="87" customFormat="false" ht="13.5" hidden="false" customHeight="false" outlineLevel="0" collapsed="false">
      <c r="A87" s="0" t="s">
        <v>117</v>
      </c>
      <c r="B87" s="1" t="n">
        <v>43947</v>
      </c>
      <c r="C87" s="0" t="e">
        <f aca="false">#REF!</f>
        <v>#REF!</v>
      </c>
      <c r="D87" s="0" t="e">
        <f aca="false">#REF!</f>
        <v>#REF!</v>
      </c>
      <c r="E87" s="0" t="e">
        <f aca="false">#REF!</f>
        <v>#REF!</v>
      </c>
      <c r="F87" s="0" t="e">
        <f aca="false">#REF!</f>
        <v>#REF!</v>
      </c>
      <c r="G87" s="0" t="e">
        <f aca="false">#REF!</f>
        <v>#REF!</v>
      </c>
      <c r="H87" s="0" t="e">
        <f aca="false">#REF!</f>
        <v>#REF!</v>
      </c>
      <c r="I87" s="0" t="e">
        <f aca="false">#REF!</f>
        <v>#REF!</v>
      </c>
      <c r="J87" s="0" t="e">
        <f aca="false">#REF!</f>
        <v>#REF!</v>
      </c>
      <c r="K87" s="0" t="e">
        <f aca="false">#REF!</f>
        <v>#REF!</v>
      </c>
      <c r="L87" s="0" t="e">
        <f aca="false">#REF!</f>
        <v>#REF!</v>
      </c>
      <c r="M87" s="0" t="e">
        <f aca="false">#REF!</f>
        <v>#REF!</v>
      </c>
    </row>
    <row r="88" customFormat="false" ht="13.5" hidden="false" customHeight="false" outlineLevel="0" collapsed="false">
      <c r="A88" s="0" t="s">
        <v>117</v>
      </c>
      <c r="B88" s="1" t="n">
        <v>43948</v>
      </c>
      <c r="C88" s="0" t="e">
        <f aca="false">#REF!</f>
        <v>#REF!</v>
      </c>
      <c r="D88" s="0" t="e">
        <f aca="false">#REF!</f>
        <v>#REF!</v>
      </c>
      <c r="E88" s="0" t="e">
        <f aca="false">#REF!</f>
        <v>#REF!</v>
      </c>
      <c r="F88" s="0" t="e">
        <f aca="false">#REF!</f>
        <v>#REF!</v>
      </c>
      <c r="G88" s="0" t="e">
        <f aca="false">#REF!</f>
        <v>#REF!</v>
      </c>
      <c r="H88" s="0" t="e">
        <f aca="false">#REF!</f>
        <v>#REF!</v>
      </c>
      <c r="I88" s="0" t="e">
        <f aca="false">#REF!</f>
        <v>#REF!</v>
      </c>
      <c r="J88" s="0" t="e">
        <f aca="false">#REF!</f>
        <v>#REF!</v>
      </c>
      <c r="K88" s="0" t="e">
        <f aca="false">#REF!</f>
        <v>#REF!</v>
      </c>
      <c r="L88" s="0" t="e">
        <f aca="false">#REF!</f>
        <v>#REF!</v>
      </c>
      <c r="M88" s="0" t="e">
        <f aca="false">#REF!</f>
        <v>#REF!</v>
      </c>
    </row>
    <row r="89" customFormat="false" ht="13.5" hidden="false" customHeight="false" outlineLevel="0" collapsed="false">
      <c r="A89" s="0" t="s">
        <v>117</v>
      </c>
      <c r="B89" s="1" t="n">
        <v>43949</v>
      </c>
      <c r="C89" s="0" t="e">
        <f aca="false">#REF!</f>
        <v>#REF!</v>
      </c>
      <c r="D89" s="0" t="e">
        <f aca="false">#REF!</f>
        <v>#REF!</v>
      </c>
      <c r="E89" s="0" t="e">
        <f aca="false">#REF!</f>
        <v>#REF!</v>
      </c>
      <c r="F89" s="0" t="e">
        <f aca="false">#REF!</f>
        <v>#REF!</v>
      </c>
      <c r="G89" s="0" t="e">
        <f aca="false">#REF!</f>
        <v>#REF!</v>
      </c>
      <c r="H89" s="0" t="e">
        <f aca="false">#REF!</f>
        <v>#REF!</v>
      </c>
      <c r="I89" s="0" t="e">
        <f aca="false">#REF!</f>
        <v>#REF!</v>
      </c>
      <c r="J89" s="0" t="e">
        <f aca="false">#REF!</f>
        <v>#REF!</v>
      </c>
      <c r="K89" s="0" t="e">
        <f aca="false">#REF!</f>
        <v>#REF!</v>
      </c>
      <c r="L89" s="0" t="e">
        <f aca="false">#REF!</f>
        <v>#REF!</v>
      </c>
      <c r="M89" s="0" t="e">
        <f aca="false">#REF!</f>
        <v>#REF!</v>
      </c>
    </row>
    <row r="90" customFormat="false" ht="13.5" hidden="false" customHeight="false" outlineLevel="0" collapsed="false">
      <c r="A90" s="0" t="s">
        <v>117</v>
      </c>
      <c r="B90" s="1" t="n">
        <v>43950</v>
      </c>
      <c r="C90" s="0" t="e">
        <f aca="false">#REF!</f>
        <v>#REF!</v>
      </c>
      <c r="D90" s="0" t="e">
        <f aca="false">#REF!</f>
        <v>#REF!</v>
      </c>
      <c r="E90" s="0" t="e">
        <f aca="false">#REF!</f>
        <v>#REF!</v>
      </c>
      <c r="F90" s="0" t="e">
        <f aca="false">#REF!</f>
        <v>#REF!</v>
      </c>
      <c r="G90" s="0" t="e">
        <f aca="false">#REF!</f>
        <v>#REF!</v>
      </c>
      <c r="H90" s="0" t="e">
        <f aca="false">#REF!</f>
        <v>#REF!</v>
      </c>
      <c r="I90" s="0" t="e">
        <f aca="false">#REF!</f>
        <v>#REF!</v>
      </c>
      <c r="J90" s="0" t="e">
        <f aca="false">#REF!</f>
        <v>#REF!</v>
      </c>
      <c r="K90" s="0" t="e">
        <f aca="false">#REF!</f>
        <v>#REF!</v>
      </c>
      <c r="L90" s="0" t="e">
        <f aca="false">#REF!</f>
        <v>#REF!</v>
      </c>
      <c r="M90" s="0" t="e">
        <f aca="false">#REF!</f>
        <v>#REF!</v>
      </c>
    </row>
    <row r="91" customFormat="false" ht="13.5" hidden="false" customHeight="false" outlineLevel="0" collapsed="false">
      <c r="A91" s="0" t="s">
        <v>117</v>
      </c>
      <c r="B91" s="1" t="n">
        <v>43951</v>
      </c>
      <c r="C91" s="0" t="e">
        <f aca="false">#REF!</f>
        <v>#REF!</v>
      </c>
      <c r="D91" s="0" t="e">
        <f aca="false">#REF!</f>
        <v>#REF!</v>
      </c>
      <c r="E91" s="0" t="e">
        <f aca="false">#REF!</f>
        <v>#REF!</v>
      </c>
      <c r="F91" s="0" t="e">
        <f aca="false">#REF!</f>
        <v>#REF!</v>
      </c>
      <c r="G91" s="0" t="e">
        <f aca="false">#REF!</f>
        <v>#REF!</v>
      </c>
      <c r="H91" s="0" t="e">
        <f aca="false">#REF!</f>
        <v>#REF!</v>
      </c>
      <c r="I91" s="0" t="e">
        <f aca="false">#REF!</f>
        <v>#REF!</v>
      </c>
      <c r="J91" s="0" t="e">
        <f aca="false">#REF!</f>
        <v>#REF!</v>
      </c>
      <c r="K91" s="0" t="e">
        <f aca="false">#REF!</f>
        <v>#REF!</v>
      </c>
      <c r="L91" s="0" t="e">
        <f aca="false">#REF!</f>
        <v>#REF!</v>
      </c>
      <c r="M91" s="0" t="e">
        <f aca="false">#REF!</f>
        <v>#REF!</v>
      </c>
    </row>
    <row r="92" customFormat="false" ht="13.5" hidden="false" customHeight="false" outlineLevel="0" collapsed="false">
      <c r="A92" s="0" t="s">
        <v>117</v>
      </c>
      <c r="B92" s="1" t="n">
        <v>43952</v>
      </c>
      <c r="C92" s="0" t="e">
        <f aca="false">#REF!</f>
        <v>#REF!</v>
      </c>
      <c r="D92" s="0" t="e">
        <f aca="false">#REF!</f>
        <v>#REF!</v>
      </c>
      <c r="E92" s="0" t="e">
        <f aca="false">#REF!</f>
        <v>#REF!</v>
      </c>
      <c r="F92" s="0" t="e">
        <f aca="false">#REF!</f>
        <v>#REF!</v>
      </c>
      <c r="G92" s="0" t="e">
        <f aca="false">#REF!</f>
        <v>#REF!</v>
      </c>
      <c r="H92" s="0" t="e">
        <f aca="false">#REF!</f>
        <v>#REF!</v>
      </c>
      <c r="I92" s="0" t="e">
        <f aca="false">#REF!</f>
        <v>#REF!</v>
      </c>
      <c r="J92" s="0" t="e">
        <f aca="false">#REF!</f>
        <v>#REF!</v>
      </c>
      <c r="K92" s="0" t="e">
        <f aca="false">#REF!</f>
        <v>#REF!</v>
      </c>
      <c r="L92" s="0" t="e">
        <f aca="false">#REF!</f>
        <v>#REF!</v>
      </c>
      <c r="M92" s="0" t="e">
        <f aca="false">#REF!</f>
        <v>#REF!</v>
      </c>
    </row>
    <row r="93" customFormat="false" ht="13.5" hidden="false" customHeight="false" outlineLevel="0" collapsed="false">
      <c r="A93" s="0" t="s">
        <v>117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117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117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117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117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117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117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117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117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117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117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117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117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117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117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117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117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117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117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117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117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117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117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117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117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117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117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117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117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117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117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117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117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117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117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117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117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117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117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117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117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117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117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117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117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117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117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117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117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117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117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117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117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117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117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117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117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117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117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117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117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117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117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117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117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117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117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117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117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117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117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117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117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117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117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117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117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117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117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117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117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117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117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117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117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117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117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117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117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117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117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117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117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117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117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6" colorId="64" zoomScale="100" zoomScaleNormal="100" zoomScalePageLayoutView="100" workbookViewId="0">
      <selection pane="topLeft" activeCell="K169" activeCellId="0" sqref="K169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118</v>
      </c>
      <c r="B2" s="1" t="n">
        <v>43862</v>
      </c>
    </row>
    <row r="3" customFormat="false" ht="13.5" hidden="false" customHeight="false" outlineLevel="0" collapsed="false">
      <c r="A3" s="0" t="s">
        <v>118</v>
      </c>
      <c r="B3" s="1" t="n">
        <v>43863</v>
      </c>
    </row>
    <row r="4" customFormat="false" ht="13.5" hidden="false" customHeight="false" outlineLevel="0" collapsed="false">
      <c r="A4" s="0" t="s">
        <v>118</v>
      </c>
      <c r="B4" s="1" t="n">
        <v>43864</v>
      </c>
    </row>
    <row r="5" customFormat="false" ht="13.5" hidden="false" customHeight="false" outlineLevel="0" collapsed="false">
      <c r="A5" s="0" t="s">
        <v>118</v>
      </c>
      <c r="B5" s="1" t="n">
        <v>43865</v>
      </c>
    </row>
    <row r="6" customFormat="false" ht="13.5" hidden="false" customHeight="false" outlineLevel="0" collapsed="false">
      <c r="A6" s="0" t="s">
        <v>118</v>
      </c>
      <c r="B6" s="1" t="n">
        <v>43866</v>
      </c>
    </row>
    <row r="7" customFormat="false" ht="13.5" hidden="false" customHeight="false" outlineLevel="0" collapsed="false">
      <c r="A7" s="0" t="s">
        <v>118</v>
      </c>
      <c r="B7" s="1" t="n">
        <v>43867</v>
      </c>
    </row>
    <row r="8" customFormat="false" ht="13.5" hidden="false" customHeight="false" outlineLevel="0" collapsed="false">
      <c r="A8" s="0" t="s">
        <v>118</v>
      </c>
      <c r="B8" s="1" t="n">
        <v>43868</v>
      </c>
    </row>
    <row r="9" customFormat="false" ht="13.5" hidden="false" customHeight="false" outlineLevel="0" collapsed="false">
      <c r="A9" s="0" t="s">
        <v>118</v>
      </c>
      <c r="B9" s="1" t="n">
        <v>43869</v>
      </c>
    </row>
    <row r="10" customFormat="false" ht="13.5" hidden="false" customHeight="false" outlineLevel="0" collapsed="false">
      <c r="A10" s="0" t="s">
        <v>118</v>
      </c>
      <c r="B10" s="1" t="n">
        <v>43870</v>
      </c>
    </row>
    <row r="11" customFormat="false" ht="13.5" hidden="false" customHeight="false" outlineLevel="0" collapsed="false">
      <c r="A11" s="0" t="s">
        <v>118</v>
      </c>
      <c r="B11" s="1" t="n">
        <v>43871</v>
      </c>
    </row>
    <row r="12" customFormat="false" ht="13.5" hidden="false" customHeight="false" outlineLevel="0" collapsed="false">
      <c r="A12" s="0" t="s">
        <v>118</v>
      </c>
      <c r="B12" s="1" t="n">
        <v>43872</v>
      </c>
    </row>
    <row r="13" customFormat="false" ht="13.5" hidden="false" customHeight="false" outlineLevel="0" collapsed="false">
      <c r="A13" s="0" t="s">
        <v>118</v>
      </c>
      <c r="B13" s="1" t="n">
        <v>43873</v>
      </c>
    </row>
    <row r="14" customFormat="false" ht="13.5" hidden="false" customHeight="false" outlineLevel="0" collapsed="false">
      <c r="A14" s="0" t="s">
        <v>118</v>
      </c>
      <c r="B14" s="1" t="n">
        <v>43874</v>
      </c>
    </row>
    <row r="15" customFormat="false" ht="13.5" hidden="false" customHeight="false" outlineLevel="0" collapsed="false">
      <c r="A15" s="0" t="s">
        <v>118</v>
      </c>
      <c r="B15" s="1" t="n">
        <v>43875</v>
      </c>
    </row>
    <row r="16" customFormat="false" ht="13.5" hidden="false" customHeight="false" outlineLevel="0" collapsed="false">
      <c r="A16" s="0" t="s">
        <v>118</v>
      </c>
      <c r="B16" s="1" t="n">
        <v>43876</v>
      </c>
    </row>
    <row r="17" customFormat="false" ht="13.5" hidden="false" customHeight="false" outlineLevel="0" collapsed="false">
      <c r="A17" s="0" t="s">
        <v>118</v>
      </c>
      <c r="B17" s="1" t="n">
        <v>43877</v>
      </c>
    </row>
    <row r="18" customFormat="false" ht="13.5" hidden="false" customHeight="false" outlineLevel="0" collapsed="false">
      <c r="A18" s="0" t="s">
        <v>118</v>
      </c>
      <c r="B18" s="1" t="n">
        <v>43878</v>
      </c>
    </row>
    <row r="19" customFormat="false" ht="13.5" hidden="false" customHeight="false" outlineLevel="0" collapsed="false">
      <c r="A19" s="0" t="s">
        <v>118</v>
      </c>
      <c r="B19" s="1" t="n">
        <v>43879</v>
      </c>
    </row>
    <row r="20" customFormat="false" ht="13.5" hidden="false" customHeight="false" outlineLevel="0" collapsed="false">
      <c r="A20" s="0" t="s">
        <v>118</v>
      </c>
      <c r="B20" s="1" t="n">
        <v>43880</v>
      </c>
    </row>
    <row r="21" customFormat="false" ht="13.5" hidden="false" customHeight="false" outlineLevel="0" collapsed="false">
      <c r="A21" s="0" t="s">
        <v>118</v>
      </c>
      <c r="B21" s="1" t="n">
        <v>43881</v>
      </c>
    </row>
    <row r="22" customFormat="false" ht="13.5" hidden="false" customHeight="false" outlineLevel="0" collapsed="false">
      <c r="A22" s="0" t="s">
        <v>118</v>
      </c>
      <c r="B22" s="1" t="n">
        <v>43882</v>
      </c>
    </row>
    <row r="23" customFormat="false" ht="13.5" hidden="false" customHeight="false" outlineLevel="0" collapsed="false">
      <c r="A23" s="0" t="s">
        <v>118</v>
      </c>
      <c r="B23" s="1" t="n">
        <v>43883</v>
      </c>
    </row>
    <row r="24" customFormat="false" ht="13.5" hidden="false" customHeight="false" outlineLevel="0" collapsed="false">
      <c r="A24" s="0" t="s">
        <v>118</v>
      </c>
      <c r="B24" s="1" t="n">
        <v>43884</v>
      </c>
    </row>
    <row r="25" customFormat="false" ht="13.5" hidden="false" customHeight="false" outlineLevel="0" collapsed="false">
      <c r="A25" s="0" t="s">
        <v>118</v>
      </c>
      <c r="B25" s="1" t="n">
        <v>43885</v>
      </c>
    </row>
    <row r="26" customFormat="false" ht="13.5" hidden="false" customHeight="false" outlineLevel="0" collapsed="false">
      <c r="A26" s="0" t="s">
        <v>118</v>
      </c>
      <c r="B26" s="1" t="n">
        <v>43886</v>
      </c>
    </row>
    <row r="27" customFormat="false" ht="13.5" hidden="false" customHeight="false" outlineLevel="0" collapsed="false">
      <c r="A27" s="0" t="s">
        <v>118</v>
      </c>
      <c r="B27" s="1" t="n">
        <v>43887</v>
      </c>
    </row>
    <row r="28" customFormat="false" ht="13.5" hidden="false" customHeight="false" outlineLevel="0" collapsed="false">
      <c r="A28" s="0" t="s">
        <v>118</v>
      </c>
      <c r="B28" s="1" t="n">
        <v>43888</v>
      </c>
    </row>
    <row r="29" customFormat="false" ht="13.5" hidden="false" customHeight="false" outlineLevel="0" collapsed="false">
      <c r="A29" s="0" t="s">
        <v>118</v>
      </c>
      <c r="B29" s="1" t="n">
        <v>43889</v>
      </c>
    </row>
    <row r="30" customFormat="false" ht="13.5" hidden="false" customHeight="false" outlineLevel="0" collapsed="false">
      <c r="A30" s="0" t="s">
        <v>118</v>
      </c>
      <c r="B30" s="1" t="n">
        <v>43890</v>
      </c>
    </row>
    <row r="31" customFormat="false" ht="13.5" hidden="false" customHeight="false" outlineLevel="0" collapsed="false">
      <c r="A31" s="0" t="s">
        <v>118</v>
      </c>
      <c r="B31" s="1" t="n">
        <v>43891</v>
      </c>
    </row>
    <row r="32" customFormat="false" ht="13.5" hidden="false" customHeight="false" outlineLevel="0" collapsed="false">
      <c r="A32" s="0" t="s">
        <v>118</v>
      </c>
      <c r="B32" s="1" t="n">
        <v>43892</v>
      </c>
    </row>
    <row r="33" customFormat="false" ht="13.5" hidden="false" customHeight="false" outlineLevel="0" collapsed="false">
      <c r="A33" s="0" t="s">
        <v>118</v>
      </c>
      <c r="B33" s="1" t="n">
        <v>43893</v>
      </c>
    </row>
    <row r="34" customFormat="false" ht="13.5" hidden="false" customHeight="false" outlineLevel="0" collapsed="false">
      <c r="A34" s="0" t="s">
        <v>118</v>
      </c>
      <c r="B34" s="1" t="n">
        <v>43894</v>
      </c>
    </row>
    <row r="35" customFormat="false" ht="13.5" hidden="false" customHeight="false" outlineLevel="0" collapsed="false">
      <c r="A35" s="0" t="s">
        <v>118</v>
      </c>
      <c r="B35" s="1" t="n">
        <v>43895</v>
      </c>
    </row>
    <row r="36" customFormat="false" ht="13.5" hidden="false" customHeight="false" outlineLevel="0" collapsed="false">
      <c r="A36" s="0" t="s">
        <v>118</v>
      </c>
      <c r="B36" s="1" t="n">
        <v>43896</v>
      </c>
    </row>
    <row r="37" customFormat="false" ht="13.5" hidden="false" customHeight="false" outlineLevel="0" collapsed="false">
      <c r="A37" s="0" t="s">
        <v>118</v>
      </c>
      <c r="B37" s="1" t="n">
        <v>43897</v>
      </c>
    </row>
    <row r="38" customFormat="false" ht="13.5" hidden="false" customHeight="false" outlineLevel="0" collapsed="false">
      <c r="A38" s="0" t="s">
        <v>118</v>
      </c>
      <c r="B38" s="1" t="n">
        <v>43898</v>
      </c>
    </row>
    <row r="39" customFormat="false" ht="13.5" hidden="false" customHeight="false" outlineLevel="0" collapsed="false">
      <c r="A39" s="0" t="s">
        <v>118</v>
      </c>
      <c r="B39" s="1" t="n">
        <v>43899</v>
      </c>
    </row>
    <row r="40" customFormat="false" ht="13.5" hidden="false" customHeight="false" outlineLevel="0" collapsed="false">
      <c r="A40" s="0" t="s">
        <v>118</v>
      </c>
      <c r="B40" s="1" t="n">
        <v>43900</v>
      </c>
    </row>
    <row r="41" customFormat="false" ht="13.5" hidden="false" customHeight="false" outlineLevel="0" collapsed="false">
      <c r="A41" s="0" t="s">
        <v>118</v>
      </c>
      <c r="B41" s="1" t="n">
        <v>43901</v>
      </c>
    </row>
    <row r="42" customFormat="false" ht="13.5" hidden="false" customHeight="false" outlineLevel="0" collapsed="false">
      <c r="A42" s="0" t="s">
        <v>118</v>
      </c>
      <c r="B42" s="1" t="n">
        <v>43902</v>
      </c>
    </row>
    <row r="43" customFormat="false" ht="13.5" hidden="false" customHeight="false" outlineLevel="0" collapsed="false">
      <c r="A43" s="0" t="s">
        <v>118</v>
      </c>
      <c r="B43" s="1" t="n">
        <v>43903</v>
      </c>
    </row>
    <row r="44" customFormat="false" ht="13.5" hidden="false" customHeight="false" outlineLevel="0" collapsed="false">
      <c r="A44" s="0" t="s">
        <v>118</v>
      </c>
      <c r="B44" s="1" t="n">
        <v>43904</v>
      </c>
    </row>
    <row r="45" customFormat="false" ht="13.5" hidden="false" customHeight="false" outlineLevel="0" collapsed="false">
      <c r="A45" s="0" t="s">
        <v>118</v>
      </c>
      <c r="B45" s="1" t="n">
        <v>43905</v>
      </c>
    </row>
    <row r="46" customFormat="false" ht="13.5" hidden="false" customHeight="false" outlineLevel="0" collapsed="false">
      <c r="A46" s="0" t="s">
        <v>118</v>
      </c>
      <c r="B46" s="1" t="n">
        <v>43906</v>
      </c>
    </row>
    <row r="47" customFormat="false" ht="13.5" hidden="false" customHeight="false" outlineLevel="0" collapsed="false">
      <c r="A47" s="0" t="s">
        <v>118</v>
      </c>
      <c r="B47" s="1" t="n">
        <v>43907</v>
      </c>
    </row>
    <row r="48" customFormat="false" ht="13.5" hidden="false" customHeight="false" outlineLevel="0" collapsed="false">
      <c r="A48" s="0" t="s">
        <v>118</v>
      </c>
      <c r="B48" s="1" t="n">
        <v>43908</v>
      </c>
    </row>
    <row r="49" customFormat="false" ht="13.5" hidden="false" customHeight="false" outlineLevel="0" collapsed="false">
      <c r="A49" s="0" t="s">
        <v>118</v>
      </c>
      <c r="B49" s="1" t="n">
        <v>43909</v>
      </c>
    </row>
    <row r="50" customFormat="false" ht="13.5" hidden="false" customHeight="false" outlineLevel="0" collapsed="false">
      <c r="A50" s="0" t="s">
        <v>118</v>
      </c>
      <c r="B50" s="1" t="n">
        <v>43910</v>
      </c>
      <c r="C50" s="0" t="n">
        <v>1</v>
      </c>
      <c r="D50" s="0" t="n">
        <f aca="false">C50-C49</f>
        <v>1</v>
      </c>
      <c r="H50" s="0" t="n">
        <v>1</v>
      </c>
      <c r="J50" s="0" t="n">
        <v>0.2</v>
      </c>
    </row>
    <row r="51" customFormat="false" ht="13.5" hidden="false" customHeight="false" outlineLevel="0" collapsed="false">
      <c r="A51" s="0" t="s">
        <v>118</v>
      </c>
      <c r="B51" s="1" t="n">
        <v>43911</v>
      </c>
      <c r="C51" s="0" t="n">
        <v>2</v>
      </c>
      <c r="D51" s="0" t="n">
        <f aca="false">C51-C50</f>
        <v>1</v>
      </c>
      <c r="H51" s="0" t="n">
        <v>2</v>
      </c>
      <c r="J51" s="0" t="n">
        <v>0.3</v>
      </c>
    </row>
    <row r="52" customFormat="false" ht="13.5" hidden="false" customHeight="false" outlineLevel="0" collapsed="false">
      <c r="A52" s="0" t="s">
        <v>118</v>
      </c>
      <c r="B52" s="1" t="n">
        <v>43912</v>
      </c>
      <c r="C52" s="0" t="n">
        <v>2</v>
      </c>
      <c r="D52" s="0" t="n">
        <f aca="false">C52-C51</f>
        <v>0</v>
      </c>
      <c r="H52" s="0" t="n">
        <v>2</v>
      </c>
      <c r="J52" s="0" t="n">
        <v>0.3</v>
      </c>
    </row>
    <row r="53" customFormat="false" ht="13.5" hidden="false" customHeight="false" outlineLevel="0" collapsed="false">
      <c r="A53" s="0" t="s">
        <v>118</v>
      </c>
      <c r="B53" s="1" t="n">
        <v>43913</v>
      </c>
      <c r="C53" s="0" t="n">
        <v>2</v>
      </c>
      <c r="D53" s="0" t="n">
        <f aca="false">C53-C52</f>
        <v>0</v>
      </c>
      <c r="H53" s="0" t="n">
        <v>2</v>
      </c>
      <c r="J53" s="0" t="n">
        <v>0.3</v>
      </c>
    </row>
    <row r="54" customFormat="false" ht="13.5" hidden="false" customHeight="false" outlineLevel="0" collapsed="false">
      <c r="A54" s="0" t="s">
        <v>118</v>
      </c>
      <c r="B54" s="1" t="n">
        <v>43914</v>
      </c>
      <c r="C54" s="0" t="n">
        <v>2</v>
      </c>
      <c r="D54" s="0" t="n">
        <f aca="false">C54-C53</f>
        <v>0</v>
      </c>
      <c r="H54" s="0" t="n">
        <v>2</v>
      </c>
      <c r="J54" s="0" t="n">
        <v>0.3</v>
      </c>
    </row>
    <row r="55" customFormat="false" ht="13.5" hidden="false" customHeight="false" outlineLevel="0" collapsed="false">
      <c r="A55" s="0" t="s">
        <v>118</v>
      </c>
      <c r="B55" s="1" t="n">
        <v>43915</v>
      </c>
      <c r="C55" s="0" t="n">
        <v>2</v>
      </c>
      <c r="D55" s="0" t="n">
        <f aca="false">C55-C54</f>
        <v>0</v>
      </c>
      <c r="H55" s="0" t="n">
        <v>2</v>
      </c>
      <c r="J55" s="0" t="n">
        <v>0.3</v>
      </c>
    </row>
    <row r="56" customFormat="false" ht="13.5" hidden="false" customHeight="false" outlineLevel="0" collapsed="false">
      <c r="A56" s="0" t="s">
        <v>118</v>
      </c>
      <c r="B56" s="1" t="n">
        <v>43916</v>
      </c>
      <c r="C56" s="0" t="n">
        <v>2</v>
      </c>
      <c r="D56" s="0" t="n">
        <f aca="false">C56-C55</f>
        <v>0</v>
      </c>
      <c r="H56" s="0" t="n">
        <v>2</v>
      </c>
      <c r="J56" s="0" t="n">
        <v>0.3</v>
      </c>
    </row>
    <row r="57" customFormat="false" ht="13.5" hidden="false" customHeight="false" outlineLevel="0" collapsed="false">
      <c r="A57" s="0" t="s">
        <v>118</v>
      </c>
      <c r="B57" s="1" t="n">
        <v>43917</v>
      </c>
      <c r="C57" s="0" t="n">
        <v>2</v>
      </c>
      <c r="D57" s="0" t="n">
        <f aca="false">C57-C56</f>
        <v>0</v>
      </c>
      <c r="H57" s="0" t="n">
        <v>2</v>
      </c>
      <c r="J57" s="0" t="n">
        <v>0.3</v>
      </c>
    </row>
    <row r="58" customFormat="false" ht="13.5" hidden="false" customHeight="false" outlineLevel="0" collapsed="false">
      <c r="A58" s="0" t="s">
        <v>118</v>
      </c>
      <c r="B58" s="1" t="n">
        <v>43918</v>
      </c>
      <c r="C58" s="0" t="n">
        <v>2</v>
      </c>
      <c r="D58" s="0" t="n">
        <f aca="false">C58-C57</f>
        <v>0</v>
      </c>
      <c r="E58" s="0" t="n">
        <v>1</v>
      </c>
      <c r="F58" s="0" t="n">
        <f aca="false">E58-E57</f>
        <v>1</v>
      </c>
      <c r="H58" s="0" t="n">
        <v>1</v>
      </c>
      <c r="J58" s="0" t="n">
        <v>0.3</v>
      </c>
      <c r="K58" s="0" t="n">
        <v>0.2</v>
      </c>
    </row>
    <row r="59" customFormat="false" ht="13.5" hidden="false" customHeight="false" outlineLevel="0" collapsed="false">
      <c r="A59" s="0" t="s">
        <v>118</v>
      </c>
      <c r="B59" s="1" t="n">
        <v>43919</v>
      </c>
      <c r="C59" s="0" t="n">
        <v>4</v>
      </c>
      <c r="D59" s="0" t="n">
        <f aca="false">C59-C58</f>
        <v>2</v>
      </c>
      <c r="E59" s="0" t="n">
        <v>1</v>
      </c>
      <c r="F59" s="0" t="n">
        <f aca="false">E59-E58</f>
        <v>0</v>
      </c>
      <c r="H59" s="0" t="n">
        <v>3</v>
      </c>
      <c r="J59" s="0" t="n">
        <v>0.6</v>
      </c>
      <c r="K59" s="0" t="n">
        <v>0.2</v>
      </c>
    </row>
    <row r="60" customFormat="false" ht="13.5" hidden="false" customHeight="false" outlineLevel="0" collapsed="false">
      <c r="A60" s="0" t="s">
        <v>118</v>
      </c>
      <c r="B60" s="1" t="n">
        <v>43920</v>
      </c>
      <c r="C60" s="0" t="n">
        <v>4</v>
      </c>
      <c r="D60" s="0" t="n">
        <f aca="false">C60-C59</f>
        <v>0</v>
      </c>
      <c r="E60" s="0" t="n">
        <v>1</v>
      </c>
      <c r="F60" s="0" t="n">
        <f aca="false">E60-E59</f>
        <v>0</v>
      </c>
      <c r="H60" s="0" t="n">
        <v>3</v>
      </c>
      <c r="J60" s="0" t="n">
        <v>0.6</v>
      </c>
      <c r="K60" s="0" t="n">
        <v>0.2</v>
      </c>
    </row>
    <row r="61" customFormat="false" ht="13.5" hidden="false" customHeight="false" outlineLevel="0" collapsed="false">
      <c r="A61" s="0" t="s">
        <v>118</v>
      </c>
      <c r="B61" s="1" t="n">
        <v>43921</v>
      </c>
      <c r="C61" s="0" t="n">
        <v>4</v>
      </c>
      <c r="D61" s="0" t="n">
        <f aca="false">C61-C60</f>
        <v>0</v>
      </c>
      <c r="E61" s="0" t="n">
        <v>1</v>
      </c>
      <c r="F61" s="0" t="n">
        <f aca="false">E61-E60</f>
        <v>0</v>
      </c>
      <c r="H61" s="0" t="n">
        <v>3</v>
      </c>
      <c r="J61" s="0" t="n">
        <v>0.6</v>
      </c>
      <c r="K61" s="0" t="n">
        <v>0.2</v>
      </c>
    </row>
    <row r="62" customFormat="false" ht="13.5" hidden="false" customHeight="false" outlineLevel="0" collapsed="false">
      <c r="A62" s="0" t="s">
        <v>118</v>
      </c>
      <c r="B62" s="1" t="n">
        <v>43922</v>
      </c>
      <c r="C62" s="0" t="n">
        <v>4</v>
      </c>
      <c r="D62" s="0" t="n">
        <f aca="false">C62-C61</f>
        <v>0</v>
      </c>
      <c r="E62" s="0" t="n">
        <v>1</v>
      </c>
      <c r="F62" s="0" t="n">
        <f aca="false">E62-E61</f>
        <v>0</v>
      </c>
      <c r="H62" s="0" t="n">
        <v>3</v>
      </c>
      <c r="J62" s="0" t="n">
        <v>0.6</v>
      </c>
      <c r="K62" s="0" t="n">
        <v>0.2</v>
      </c>
    </row>
    <row r="63" customFormat="false" ht="13.5" hidden="false" customHeight="false" outlineLevel="0" collapsed="false">
      <c r="A63" s="0" t="s">
        <v>118</v>
      </c>
      <c r="B63" s="1" t="n">
        <v>43923</v>
      </c>
      <c r="C63" s="0" t="n">
        <v>5</v>
      </c>
      <c r="D63" s="0" t="n">
        <f aca="false">C63-C62</f>
        <v>1</v>
      </c>
      <c r="E63" s="0" t="n">
        <v>1</v>
      </c>
      <c r="F63" s="0" t="n">
        <f aca="false">E63-E62</f>
        <v>0</v>
      </c>
      <c r="H63" s="0" t="n">
        <v>4</v>
      </c>
      <c r="J63" s="0" t="n">
        <v>0.8</v>
      </c>
      <c r="K63" s="0" t="n">
        <v>0.2</v>
      </c>
    </row>
    <row r="64" customFormat="false" ht="13.5" hidden="false" customHeight="false" outlineLevel="0" collapsed="false">
      <c r="A64" s="0" t="s">
        <v>118</v>
      </c>
      <c r="B64" s="1" t="n">
        <v>43924</v>
      </c>
      <c r="C64" s="0" t="n">
        <v>5</v>
      </c>
      <c r="D64" s="0" t="n">
        <f aca="false">C64-C63</f>
        <v>0</v>
      </c>
      <c r="E64" s="0" t="n">
        <v>1</v>
      </c>
      <c r="F64" s="0" t="n">
        <f aca="false">E64-E63</f>
        <v>0</v>
      </c>
      <c r="H64" s="0" t="n">
        <v>4</v>
      </c>
      <c r="J64" s="0" t="n">
        <v>0.8</v>
      </c>
      <c r="K64" s="0" t="n">
        <v>0.2</v>
      </c>
    </row>
    <row r="65" customFormat="false" ht="13.5" hidden="false" customHeight="false" outlineLevel="0" collapsed="false">
      <c r="A65" s="0" t="s">
        <v>118</v>
      </c>
      <c r="B65" s="1" t="n">
        <v>43925</v>
      </c>
      <c r="C65" s="0" t="n">
        <v>5</v>
      </c>
      <c r="D65" s="0" t="n">
        <f aca="false">C65-C64</f>
        <v>0</v>
      </c>
      <c r="E65" s="0" t="n">
        <v>1</v>
      </c>
      <c r="F65" s="0" t="n">
        <f aca="false">E65-E64</f>
        <v>0</v>
      </c>
      <c r="H65" s="0" t="n">
        <v>4</v>
      </c>
      <c r="J65" s="0" t="n">
        <v>0.8</v>
      </c>
      <c r="K65" s="0" t="n">
        <v>0.2</v>
      </c>
    </row>
    <row r="66" customFormat="false" ht="13.5" hidden="false" customHeight="false" outlineLevel="0" collapsed="false">
      <c r="A66" s="0" t="s">
        <v>118</v>
      </c>
      <c r="B66" s="1" t="n">
        <v>43926</v>
      </c>
      <c r="C66" s="0" t="n">
        <v>5</v>
      </c>
      <c r="D66" s="0" t="n">
        <f aca="false">C66-C65</f>
        <v>0</v>
      </c>
      <c r="E66" s="0" t="n">
        <v>1</v>
      </c>
      <c r="F66" s="0" t="n">
        <f aca="false">E66-E65</f>
        <v>0</v>
      </c>
      <c r="H66" s="0" t="n">
        <v>4</v>
      </c>
      <c r="J66" s="0" t="n">
        <v>0.8</v>
      </c>
      <c r="K66" s="0" t="n">
        <v>0.2</v>
      </c>
    </row>
    <row r="67" customFormat="false" ht="13.5" hidden="false" customHeight="false" outlineLevel="0" collapsed="false">
      <c r="A67" s="0" t="s">
        <v>118</v>
      </c>
      <c r="B67" s="1" t="n">
        <v>43927</v>
      </c>
      <c r="C67" s="0" t="n">
        <v>6</v>
      </c>
      <c r="D67" s="0" t="n">
        <f aca="false">C67-C66</f>
        <v>1</v>
      </c>
      <c r="E67" s="0" t="n">
        <v>1</v>
      </c>
      <c r="F67" s="0" t="n">
        <f aca="false">E67-E66</f>
        <v>0</v>
      </c>
      <c r="H67" s="0" t="n">
        <v>5</v>
      </c>
      <c r="J67" s="0" t="n">
        <v>0.9</v>
      </c>
      <c r="K67" s="0" t="n">
        <v>0.2</v>
      </c>
    </row>
    <row r="68" customFormat="false" ht="13.5" hidden="false" customHeight="false" outlineLevel="0" collapsed="false">
      <c r="A68" s="0" t="s">
        <v>118</v>
      </c>
      <c r="B68" s="1" t="n">
        <v>43928</v>
      </c>
      <c r="C68" s="0" t="n">
        <v>6</v>
      </c>
      <c r="D68" s="0" t="n">
        <f aca="false">C68-C67</f>
        <v>0</v>
      </c>
      <c r="E68" s="0" t="n">
        <v>1</v>
      </c>
      <c r="F68" s="0" t="n">
        <f aca="false">E68-E67</f>
        <v>0</v>
      </c>
      <c r="H68" s="0" t="n">
        <v>5</v>
      </c>
      <c r="J68" s="0" t="n">
        <v>0.9</v>
      </c>
      <c r="K68" s="0" t="n">
        <v>0.2</v>
      </c>
    </row>
    <row r="69" customFormat="false" ht="13.5" hidden="false" customHeight="false" outlineLevel="0" collapsed="false">
      <c r="A69" s="0" t="s">
        <v>118</v>
      </c>
      <c r="B69" s="1" t="n">
        <v>43929</v>
      </c>
      <c r="C69" s="0" t="n">
        <v>6</v>
      </c>
      <c r="D69" s="0" t="n">
        <f aca="false">C69-C68</f>
        <v>0</v>
      </c>
      <c r="E69" s="0" t="n">
        <v>1</v>
      </c>
      <c r="F69" s="0" t="n">
        <f aca="false">E69-E68</f>
        <v>0</v>
      </c>
      <c r="H69" s="0" t="n">
        <v>5</v>
      </c>
      <c r="J69" s="0" t="n">
        <v>0.9</v>
      </c>
      <c r="K69" s="0" t="n">
        <v>0.2</v>
      </c>
    </row>
    <row r="70" customFormat="false" ht="13.5" hidden="false" customHeight="false" outlineLevel="0" collapsed="false">
      <c r="A70" s="0" t="s">
        <v>118</v>
      </c>
      <c r="B70" s="1" t="n">
        <v>43930</v>
      </c>
      <c r="C70" s="0" t="n">
        <v>6</v>
      </c>
      <c r="D70" s="0" t="n">
        <f aca="false">C70-C69</f>
        <v>0</v>
      </c>
      <c r="E70" s="0" t="n">
        <v>1</v>
      </c>
      <c r="F70" s="0" t="n">
        <f aca="false">E70-E69</f>
        <v>0</v>
      </c>
      <c r="H70" s="0" t="n">
        <v>5</v>
      </c>
      <c r="J70" s="0" t="n">
        <v>0.9</v>
      </c>
      <c r="K70" s="0" t="n">
        <v>0.2</v>
      </c>
    </row>
    <row r="71" customFormat="false" ht="13.5" hidden="false" customHeight="false" outlineLevel="0" collapsed="false">
      <c r="A71" s="0" t="s">
        <v>118</v>
      </c>
      <c r="B71" s="1" t="n">
        <v>43931</v>
      </c>
      <c r="C71" s="0" t="n">
        <v>7</v>
      </c>
      <c r="D71" s="0" t="n">
        <f aca="false">C71-C70</f>
        <v>1</v>
      </c>
      <c r="E71" s="0" t="n">
        <v>1</v>
      </c>
      <c r="F71" s="0" t="n">
        <f aca="false">E71-E70</f>
        <v>0</v>
      </c>
      <c r="H71" s="0" t="n">
        <v>6</v>
      </c>
      <c r="J71" s="0" t="n">
        <v>1</v>
      </c>
      <c r="K71" s="0" t="n">
        <v>0.2</v>
      </c>
    </row>
    <row r="72" customFormat="false" ht="13.5" hidden="false" customHeight="false" outlineLevel="0" collapsed="false">
      <c r="A72" s="0" t="s">
        <v>118</v>
      </c>
      <c r="B72" s="1" t="n">
        <v>43932</v>
      </c>
      <c r="C72" s="0" t="n">
        <v>7</v>
      </c>
      <c r="D72" s="0" t="n">
        <f aca="false">C72-C71</f>
        <v>0</v>
      </c>
      <c r="E72" s="0" t="n">
        <v>1</v>
      </c>
      <c r="F72" s="0" t="n">
        <f aca="false">E72-E71</f>
        <v>0</v>
      </c>
      <c r="H72" s="0" t="n">
        <v>6</v>
      </c>
      <c r="J72" s="0" t="n">
        <v>1</v>
      </c>
      <c r="K72" s="0" t="n">
        <v>0.2</v>
      </c>
    </row>
    <row r="73" customFormat="false" ht="13.5" hidden="false" customHeight="false" outlineLevel="0" collapsed="false">
      <c r="A73" s="0" t="s">
        <v>118</v>
      </c>
      <c r="B73" s="1" t="n">
        <v>43933</v>
      </c>
      <c r="C73" s="0" t="n">
        <v>8</v>
      </c>
      <c r="D73" s="0" t="n">
        <f aca="false">C73-C72</f>
        <v>1</v>
      </c>
      <c r="E73" s="0" t="n">
        <v>1</v>
      </c>
      <c r="F73" s="0" t="n">
        <f aca="false">E73-E72</f>
        <v>0</v>
      </c>
      <c r="H73" s="0" t="n">
        <v>7</v>
      </c>
      <c r="J73" s="0" t="n">
        <v>1</v>
      </c>
      <c r="K73" s="0" t="n">
        <v>0.2</v>
      </c>
    </row>
    <row r="74" customFormat="false" ht="13.5" hidden="false" customHeight="false" outlineLevel="0" collapsed="false">
      <c r="A74" s="0" t="s">
        <v>118</v>
      </c>
      <c r="B74" s="1" t="n">
        <v>43934</v>
      </c>
      <c r="C74" s="0" t="n">
        <v>9</v>
      </c>
      <c r="D74" s="0" t="n">
        <f aca="false">C74-C73</f>
        <v>1</v>
      </c>
      <c r="E74" s="0" t="n">
        <v>1</v>
      </c>
      <c r="F74" s="0" t="n">
        <f aca="false">E74-E73</f>
        <v>0</v>
      </c>
      <c r="G74" s="0" t="n">
        <v>4</v>
      </c>
      <c r="H74" s="0" t="n">
        <v>4</v>
      </c>
      <c r="J74" s="0" t="n">
        <v>1</v>
      </c>
      <c r="K74" s="0" t="n">
        <v>0.2</v>
      </c>
    </row>
    <row r="75" customFormat="false" ht="13.5" hidden="false" customHeight="false" outlineLevel="0" collapsed="false">
      <c r="A75" s="0" t="s">
        <v>118</v>
      </c>
      <c r="B75" s="1" t="n">
        <v>43935</v>
      </c>
      <c r="C75" s="0" t="n">
        <v>9</v>
      </c>
      <c r="D75" s="0" t="n">
        <f aca="false">C75-C74</f>
        <v>0</v>
      </c>
      <c r="E75" s="0" t="n">
        <v>1</v>
      </c>
      <c r="F75" s="0" t="n">
        <f aca="false">E75-E74</f>
        <v>0</v>
      </c>
      <c r="G75" s="0" t="n">
        <v>4</v>
      </c>
      <c r="H75" s="0" t="n">
        <v>4</v>
      </c>
      <c r="I75" s="0" t="n">
        <v>0</v>
      </c>
      <c r="J75" s="0" t="n">
        <v>1</v>
      </c>
      <c r="K75" s="0" t="n">
        <v>0.2</v>
      </c>
    </row>
    <row r="76" customFormat="false" ht="13.5" hidden="false" customHeight="false" outlineLevel="0" collapsed="false">
      <c r="A76" s="0" t="s">
        <v>118</v>
      </c>
      <c r="B76" s="1" t="n">
        <v>43936</v>
      </c>
      <c r="C76" s="0" t="n">
        <v>9</v>
      </c>
      <c r="D76" s="0" t="n">
        <f aca="false">C76-C75</f>
        <v>0</v>
      </c>
      <c r="E76" s="0" t="n">
        <v>1</v>
      </c>
      <c r="F76" s="0" t="n">
        <f aca="false">E76-E75</f>
        <v>0</v>
      </c>
      <c r="G76" s="0" t="n">
        <v>4</v>
      </c>
      <c r="H76" s="0" t="n">
        <v>4</v>
      </c>
      <c r="I76" s="0" t="n">
        <v>0</v>
      </c>
      <c r="J76" s="0" t="n">
        <v>1</v>
      </c>
      <c r="K76" s="0" t="n">
        <v>0.2</v>
      </c>
    </row>
    <row r="77" customFormat="false" ht="13.5" hidden="false" customHeight="false" outlineLevel="0" collapsed="false">
      <c r="A77" s="0" t="s">
        <v>118</v>
      </c>
      <c r="B77" s="1" t="n">
        <v>43937</v>
      </c>
      <c r="C77" s="0" t="n">
        <v>9</v>
      </c>
      <c r="D77" s="0" t="n">
        <f aca="false">C77-C76</f>
        <v>0</v>
      </c>
      <c r="E77" s="0" t="n">
        <v>1</v>
      </c>
      <c r="F77" s="0" t="n">
        <f aca="false">E77-E76</f>
        <v>0</v>
      </c>
      <c r="G77" s="0" t="n">
        <v>4</v>
      </c>
      <c r="H77" s="0" t="n">
        <v>4</v>
      </c>
      <c r="I77" s="0" t="n">
        <v>0</v>
      </c>
      <c r="J77" s="0" t="n">
        <v>1</v>
      </c>
      <c r="K77" s="0" t="n">
        <v>0.2</v>
      </c>
    </row>
    <row r="78" customFormat="false" ht="13.5" hidden="false" customHeight="false" outlineLevel="0" collapsed="false">
      <c r="A78" s="0" t="s">
        <v>118</v>
      </c>
      <c r="B78" s="1" t="n">
        <v>43938</v>
      </c>
      <c r="C78" s="0" t="n">
        <v>9</v>
      </c>
      <c r="D78" s="0" t="n">
        <f aca="false">C78-C77</f>
        <v>0</v>
      </c>
      <c r="E78" s="0" t="n">
        <v>1</v>
      </c>
      <c r="F78" s="0" t="n">
        <f aca="false">E78-E77</f>
        <v>0</v>
      </c>
      <c r="G78" s="0" t="n">
        <v>4</v>
      </c>
      <c r="H78" s="0" t="n">
        <v>4</v>
      </c>
      <c r="I78" s="0" t="n">
        <v>0</v>
      </c>
      <c r="J78" s="0" t="n">
        <v>1</v>
      </c>
      <c r="K78" s="0" t="n">
        <v>0.2</v>
      </c>
    </row>
    <row r="79" customFormat="false" ht="13.5" hidden="false" customHeight="false" outlineLevel="0" collapsed="false">
      <c r="A79" s="0" t="s">
        <v>118</v>
      </c>
      <c r="B79" s="1" t="n">
        <v>43939</v>
      </c>
      <c r="C79" s="0" t="n">
        <v>9</v>
      </c>
      <c r="D79" s="0" t="n">
        <f aca="false">C79-C78</f>
        <v>0</v>
      </c>
      <c r="E79" s="0" t="n">
        <v>1</v>
      </c>
      <c r="F79" s="0" t="n">
        <f aca="false">E79-E78</f>
        <v>0</v>
      </c>
      <c r="G79" s="0" t="n">
        <v>4</v>
      </c>
      <c r="H79" s="0" t="n">
        <v>4</v>
      </c>
      <c r="I79" s="0" t="n">
        <v>0</v>
      </c>
      <c r="J79" s="0" t="n">
        <v>1</v>
      </c>
      <c r="K79" s="0" t="n">
        <v>0.2</v>
      </c>
    </row>
    <row r="80" customFormat="false" ht="13.5" hidden="false" customHeight="false" outlineLevel="0" collapsed="false">
      <c r="A80" s="0" t="s">
        <v>118</v>
      </c>
      <c r="B80" s="1" t="n">
        <v>43940</v>
      </c>
      <c r="C80" s="0" t="n">
        <v>9</v>
      </c>
      <c r="D80" s="0" t="n">
        <f aca="false">C80-C79</f>
        <v>0</v>
      </c>
      <c r="E80" s="0" t="n">
        <v>2</v>
      </c>
      <c r="F80" s="0" t="n">
        <f aca="false">E80-E79</f>
        <v>1</v>
      </c>
      <c r="G80" s="0" t="n">
        <v>6</v>
      </c>
      <c r="H80" s="0" t="n">
        <v>1</v>
      </c>
      <c r="I80" s="0" t="n">
        <v>0</v>
      </c>
      <c r="J80" s="0" t="n">
        <v>1</v>
      </c>
      <c r="K80" s="0" t="n">
        <v>0.3</v>
      </c>
    </row>
    <row r="81" customFormat="false" ht="13.5" hidden="false" customHeight="false" outlineLevel="0" collapsed="false">
      <c r="A81" s="0" t="s">
        <v>118</v>
      </c>
      <c r="B81" s="1" t="n">
        <v>43941</v>
      </c>
      <c r="C81" s="0" t="n">
        <v>10</v>
      </c>
      <c r="D81" s="0" t="n">
        <f aca="false">C81-C80</f>
        <v>1</v>
      </c>
      <c r="E81" s="0" t="n">
        <v>2</v>
      </c>
      <c r="F81" s="0" t="n">
        <f aca="false">E81-E80</f>
        <v>0</v>
      </c>
      <c r="G81" s="0" t="n">
        <v>6</v>
      </c>
      <c r="H81" s="0" t="n">
        <v>2</v>
      </c>
      <c r="I81" s="0" t="n">
        <v>0</v>
      </c>
      <c r="J81" s="0" t="n">
        <v>2</v>
      </c>
      <c r="K81" s="0" t="n">
        <v>0.3</v>
      </c>
    </row>
    <row r="82" customFormat="false" ht="13.5" hidden="false" customHeight="false" outlineLevel="0" collapsed="false">
      <c r="A82" s="0" t="s">
        <v>118</v>
      </c>
      <c r="B82" s="1" t="n">
        <v>43942</v>
      </c>
      <c r="C82" s="0" t="n">
        <v>10</v>
      </c>
      <c r="D82" s="0" t="n">
        <f aca="false">C82-C81</f>
        <v>0</v>
      </c>
      <c r="E82" s="0" t="n">
        <v>2</v>
      </c>
      <c r="F82" s="0" t="n">
        <f aca="false">E82-E81</f>
        <v>0</v>
      </c>
      <c r="G82" s="0" t="n">
        <v>6</v>
      </c>
      <c r="H82" s="0" t="n">
        <v>2</v>
      </c>
      <c r="I82" s="0" t="n">
        <v>0</v>
      </c>
      <c r="J82" s="0" t="n">
        <v>2</v>
      </c>
      <c r="K82" s="0" t="n">
        <v>0.3</v>
      </c>
    </row>
    <row r="83" customFormat="false" ht="13.5" hidden="false" customHeight="false" outlineLevel="0" collapsed="false">
      <c r="A83" s="0" t="s">
        <v>118</v>
      </c>
      <c r="B83" s="1" t="n">
        <v>43943</v>
      </c>
      <c r="C83" s="0" t="n">
        <v>10</v>
      </c>
      <c r="D83" s="0" t="n">
        <f aca="false">C83-C82</f>
        <v>0</v>
      </c>
      <c r="E83" s="0" t="n">
        <v>2</v>
      </c>
      <c r="F83" s="0" t="n">
        <f aca="false">E83-E82</f>
        <v>0</v>
      </c>
      <c r="G83" s="0" t="n">
        <v>7</v>
      </c>
      <c r="H83" s="0" t="n">
        <v>1</v>
      </c>
      <c r="I83" s="0" t="n">
        <v>0</v>
      </c>
      <c r="J83" s="0" t="n">
        <v>2</v>
      </c>
      <c r="K83" s="0" t="n">
        <v>0.3</v>
      </c>
    </row>
    <row r="84" customFormat="false" ht="13.5" hidden="false" customHeight="false" outlineLevel="0" collapsed="false">
      <c r="A84" s="0" t="s">
        <v>118</v>
      </c>
      <c r="B84" s="1" t="n">
        <v>43944</v>
      </c>
      <c r="C84" s="0" t="n">
        <v>10</v>
      </c>
      <c r="D84" s="0" t="n">
        <f aca="false">C84-C83</f>
        <v>0</v>
      </c>
      <c r="E84" s="0" t="n">
        <v>2</v>
      </c>
      <c r="F84" s="0" t="n">
        <f aca="false">E84-E83</f>
        <v>0</v>
      </c>
      <c r="G84" s="0" t="n">
        <v>7</v>
      </c>
      <c r="H84" s="0" t="n">
        <v>1</v>
      </c>
      <c r="I84" s="0" t="n">
        <v>0</v>
      </c>
      <c r="J84" s="0" t="n">
        <v>2</v>
      </c>
      <c r="K84" s="0" t="n">
        <v>0.3</v>
      </c>
    </row>
    <row r="85" customFormat="false" ht="13.5" hidden="false" customHeight="false" outlineLevel="0" collapsed="false">
      <c r="A85" s="0" t="s">
        <v>118</v>
      </c>
      <c r="B85" s="1" t="n">
        <v>43945</v>
      </c>
      <c r="C85" s="0" t="n">
        <v>11</v>
      </c>
      <c r="D85" s="0" t="n">
        <f aca="false">C85-C84</f>
        <v>1</v>
      </c>
      <c r="E85" s="0" t="n">
        <v>3</v>
      </c>
      <c r="F85" s="0" t="n">
        <f aca="false">E85-E84</f>
        <v>1</v>
      </c>
      <c r="G85" s="0" t="n">
        <v>7</v>
      </c>
      <c r="H85" s="0" t="n">
        <v>1</v>
      </c>
      <c r="I85" s="0" t="n">
        <v>0</v>
      </c>
      <c r="J85" s="0" t="n">
        <v>2</v>
      </c>
      <c r="K85" s="0" t="n">
        <v>0.5</v>
      </c>
    </row>
    <row r="86" customFormat="false" ht="13.5" hidden="false" customHeight="false" outlineLevel="0" collapsed="false">
      <c r="A86" s="0" t="s">
        <v>118</v>
      </c>
      <c r="B86" s="1" t="n">
        <v>43946</v>
      </c>
      <c r="C86" s="0" t="n">
        <v>11</v>
      </c>
      <c r="D86" s="0" t="n">
        <f aca="false">C86-C85</f>
        <v>0</v>
      </c>
      <c r="E86" s="0" t="n">
        <v>3</v>
      </c>
      <c r="F86" s="0" t="n">
        <f aca="false">E86-E85</f>
        <v>0</v>
      </c>
      <c r="G86" s="0" t="n">
        <v>7</v>
      </c>
      <c r="H86" s="0" t="n">
        <v>1</v>
      </c>
      <c r="I86" s="0" t="n">
        <v>0</v>
      </c>
      <c r="J86" s="0" t="n">
        <v>2</v>
      </c>
      <c r="K86" s="0" t="n">
        <v>0.5</v>
      </c>
    </row>
    <row r="87" customFormat="false" ht="13.5" hidden="false" customHeight="false" outlineLevel="0" collapsed="false">
      <c r="A87" s="0" t="s">
        <v>118</v>
      </c>
      <c r="B87" s="1" t="n">
        <v>43947</v>
      </c>
      <c r="C87" s="0" t="n">
        <v>12</v>
      </c>
      <c r="D87" s="0" t="n">
        <f aca="false">C87-C86</f>
        <v>1</v>
      </c>
      <c r="E87" s="0" t="n">
        <v>3</v>
      </c>
      <c r="F87" s="0" t="n">
        <f aca="false">E87-E86</f>
        <v>0</v>
      </c>
      <c r="G87" s="0" t="n">
        <v>7</v>
      </c>
      <c r="H87" s="0" t="n">
        <v>2</v>
      </c>
      <c r="I87" s="0" t="n">
        <v>0</v>
      </c>
      <c r="J87" s="0" t="n">
        <v>2</v>
      </c>
      <c r="K87" s="0" t="n">
        <v>0.5</v>
      </c>
    </row>
    <row r="88" customFormat="false" ht="13.5" hidden="false" customHeight="false" outlineLevel="0" collapsed="false">
      <c r="A88" s="0" t="s">
        <v>118</v>
      </c>
      <c r="B88" s="1" t="n">
        <v>43948</v>
      </c>
      <c r="C88" s="0" t="n">
        <v>13</v>
      </c>
      <c r="D88" s="0" t="n">
        <f aca="false">C88-C87</f>
        <v>1</v>
      </c>
      <c r="E88" s="0" t="n">
        <v>3</v>
      </c>
      <c r="F88" s="0" t="n">
        <f aca="false">E88-E87</f>
        <v>0</v>
      </c>
      <c r="G88" s="0" t="n">
        <v>7</v>
      </c>
      <c r="H88" s="0" t="n">
        <v>3</v>
      </c>
      <c r="I88" s="0" t="n">
        <v>0</v>
      </c>
      <c r="J88" s="0" t="n">
        <v>2</v>
      </c>
      <c r="K88" s="0" t="n">
        <v>0.5</v>
      </c>
    </row>
    <row r="89" customFormat="false" ht="13.5" hidden="false" customHeight="false" outlineLevel="0" collapsed="false">
      <c r="A89" s="0" t="s">
        <v>118</v>
      </c>
      <c r="B89" s="1" t="n">
        <v>43949</v>
      </c>
      <c r="C89" s="0" t="n">
        <v>13</v>
      </c>
      <c r="D89" s="0" t="n">
        <f aca="false">C89-C88</f>
        <v>0</v>
      </c>
      <c r="E89" s="0" t="n">
        <v>3</v>
      </c>
      <c r="F89" s="0" t="n">
        <f aca="false">E89-E88</f>
        <v>0</v>
      </c>
      <c r="G89" s="0" t="n">
        <v>7</v>
      </c>
      <c r="H89" s="0" t="n">
        <v>3</v>
      </c>
      <c r="I89" s="0" t="n">
        <v>0</v>
      </c>
      <c r="J89" s="0" t="n">
        <v>2</v>
      </c>
      <c r="K89" s="0" t="n">
        <v>0.5</v>
      </c>
    </row>
    <row r="90" customFormat="false" ht="13.5" hidden="false" customHeight="false" outlineLevel="0" collapsed="false">
      <c r="A90" s="0" t="s">
        <v>118</v>
      </c>
      <c r="B90" s="1" t="n">
        <v>43950</v>
      </c>
      <c r="C90" s="0" t="n">
        <v>13</v>
      </c>
      <c r="D90" s="0" t="n">
        <f aca="false">C90-C89</f>
        <v>0</v>
      </c>
      <c r="E90" s="0" t="n">
        <v>3</v>
      </c>
      <c r="F90" s="0" t="n">
        <f aca="false">E90-E89</f>
        <v>0</v>
      </c>
      <c r="G90" s="0" t="n">
        <v>7</v>
      </c>
      <c r="H90" s="0" t="n">
        <v>3</v>
      </c>
      <c r="I90" s="0" t="n">
        <v>0</v>
      </c>
      <c r="J90" s="0" t="n">
        <v>2</v>
      </c>
      <c r="K90" s="0" t="n">
        <v>0.5</v>
      </c>
    </row>
    <row r="91" customFormat="false" ht="13.5" hidden="false" customHeight="false" outlineLevel="0" collapsed="false">
      <c r="A91" s="0" t="s">
        <v>118</v>
      </c>
      <c r="B91" s="1" t="n">
        <v>43951</v>
      </c>
      <c r="C91" s="0" t="n">
        <v>13</v>
      </c>
      <c r="D91" s="0" t="n">
        <f aca="false">C91-C90</f>
        <v>0</v>
      </c>
      <c r="E91" s="0" t="n">
        <v>3</v>
      </c>
      <c r="F91" s="0" t="n">
        <f aca="false">E91-E90</f>
        <v>0</v>
      </c>
      <c r="G91" s="0" t="n">
        <v>7</v>
      </c>
      <c r="H91" s="0" t="n">
        <v>3</v>
      </c>
      <c r="I91" s="0" t="n">
        <v>0</v>
      </c>
      <c r="J91" s="0" t="n">
        <v>2</v>
      </c>
      <c r="K91" s="0" t="n">
        <v>0.5</v>
      </c>
    </row>
    <row r="92" customFormat="false" ht="13.5" hidden="false" customHeight="false" outlineLevel="0" collapsed="false">
      <c r="A92" s="0" t="s">
        <v>118</v>
      </c>
      <c r="B92" s="1" t="n">
        <v>43952</v>
      </c>
      <c r="C92" s="0" t="n">
        <v>14</v>
      </c>
      <c r="D92" s="0" t="n">
        <f aca="false">C92-C91</f>
        <v>1</v>
      </c>
      <c r="E92" s="0" t="n">
        <v>3</v>
      </c>
      <c r="F92" s="0" t="n">
        <f aca="false">E92-E91</f>
        <v>0</v>
      </c>
      <c r="G92" s="0" t="n">
        <v>7</v>
      </c>
      <c r="H92" s="0" t="n">
        <v>4</v>
      </c>
      <c r="I92" s="0" t="n">
        <v>0</v>
      </c>
      <c r="J92" s="0" t="n">
        <v>2</v>
      </c>
      <c r="K92" s="0" t="n">
        <v>0.5</v>
      </c>
    </row>
    <row r="93" customFormat="false" ht="13.5" hidden="false" customHeight="false" outlineLevel="0" collapsed="false">
      <c r="A93" s="0" t="s">
        <v>118</v>
      </c>
      <c r="B93" s="1" t="n">
        <v>43953</v>
      </c>
      <c r="C93" s="0" t="n">
        <v>14</v>
      </c>
      <c r="D93" s="0" t="n">
        <f aca="false">C93-C92</f>
        <v>0</v>
      </c>
      <c r="E93" s="0" t="n">
        <v>3</v>
      </c>
      <c r="F93" s="0" t="n">
        <f aca="false">E93-E92</f>
        <v>0</v>
      </c>
      <c r="G93" s="0" t="n">
        <v>7</v>
      </c>
      <c r="H93" s="0" t="n">
        <v>4</v>
      </c>
      <c r="I93" s="0" t="n">
        <v>0</v>
      </c>
      <c r="J93" s="0" t="n">
        <v>2</v>
      </c>
      <c r="K93" s="0" t="n">
        <v>0.5</v>
      </c>
    </row>
    <row r="94" customFormat="false" ht="13.5" hidden="false" customHeight="false" outlineLevel="0" collapsed="false">
      <c r="A94" s="0" t="s">
        <v>118</v>
      </c>
      <c r="B94" s="1" t="n">
        <v>43954</v>
      </c>
      <c r="C94" s="0" t="n">
        <v>14</v>
      </c>
      <c r="D94" s="0" t="n">
        <f aca="false">C94-C93</f>
        <v>0</v>
      </c>
      <c r="E94" s="0" t="n">
        <v>3</v>
      </c>
      <c r="F94" s="0" t="n">
        <f aca="false">E94-E93</f>
        <v>0</v>
      </c>
      <c r="G94" s="0" t="n">
        <v>7</v>
      </c>
      <c r="H94" s="0" t="n">
        <v>4</v>
      </c>
      <c r="I94" s="0" t="n">
        <v>0</v>
      </c>
      <c r="J94" s="0" t="n">
        <v>2</v>
      </c>
      <c r="K94" s="0" t="n">
        <v>0.5</v>
      </c>
    </row>
    <row r="95" customFormat="false" ht="13.5" hidden="false" customHeight="false" outlineLevel="0" collapsed="false">
      <c r="A95" s="0" t="s">
        <v>118</v>
      </c>
      <c r="B95" s="1" t="n">
        <v>43955</v>
      </c>
      <c r="C95" s="0" t="n">
        <v>14</v>
      </c>
      <c r="D95" s="0" t="n">
        <f aca="false">C95-C94</f>
        <v>0</v>
      </c>
      <c r="E95" s="0" t="n">
        <v>3</v>
      </c>
      <c r="F95" s="0" t="n">
        <f aca="false">E95-E94</f>
        <v>0</v>
      </c>
      <c r="G95" s="0" t="n">
        <v>7</v>
      </c>
      <c r="H95" s="0" t="n">
        <v>4</v>
      </c>
      <c r="I95" s="0" t="n">
        <v>0</v>
      </c>
      <c r="J95" s="0" t="n">
        <v>2</v>
      </c>
      <c r="K95" s="0" t="n">
        <v>0.5</v>
      </c>
    </row>
    <row r="96" customFormat="false" ht="13.5" hidden="false" customHeight="false" outlineLevel="0" collapsed="false">
      <c r="A96" s="0" t="s">
        <v>118</v>
      </c>
      <c r="B96" s="1" t="n">
        <v>43956</v>
      </c>
      <c r="C96" s="0" t="n">
        <v>15</v>
      </c>
      <c r="D96" s="0" t="n">
        <f aca="false">C96-C95</f>
        <v>1</v>
      </c>
      <c r="E96" s="0" t="n">
        <v>5</v>
      </c>
      <c r="F96" s="0" t="n">
        <f aca="false">E96-E95</f>
        <v>2</v>
      </c>
      <c r="G96" s="0" t="n">
        <v>7</v>
      </c>
      <c r="H96" s="0" t="n">
        <v>3</v>
      </c>
      <c r="I96" s="0" t="n">
        <v>0</v>
      </c>
      <c r="J96" s="0" t="n">
        <v>2</v>
      </c>
      <c r="K96" s="0" t="n">
        <v>0.8</v>
      </c>
    </row>
    <row r="97" customFormat="false" ht="13.5" hidden="false" customHeight="false" outlineLevel="0" collapsed="false">
      <c r="A97" s="0" t="s">
        <v>118</v>
      </c>
      <c r="B97" s="1" t="n">
        <v>43957</v>
      </c>
      <c r="C97" s="0" t="n">
        <v>16</v>
      </c>
      <c r="D97" s="0" t="n">
        <f aca="false">C97-C96</f>
        <v>1</v>
      </c>
      <c r="E97" s="0" t="n">
        <v>5</v>
      </c>
      <c r="F97" s="0" t="n">
        <f aca="false">E97-E96</f>
        <v>0</v>
      </c>
      <c r="G97" s="0" t="n">
        <v>7</v>
      </c>
      <c r="H97" s="0" t="n">
        <v>4</v>
      </c>
      <c r="I97" s="0" t="n">
        <v>0</v>
      </c>
      <c r="J97" s="0" t="n">
        <v>2</v>
      </c>
      <c r="K97" s="0" t="n">
        <v>0.8</v>
      </c>
    </row>
    <row r="98" customFormat="false" ht="13.5" hidden="false" customHeight="false" outlineLevel="0" collapsed="false">
      <c r="A98" s="0" t="s">
        <v>118</v>
      </c>
      <c r="B98" s="1" t="n">
        <v>43958</v>
      </c>
      <c r="C98" s="0" t="n">
        <v>16</v>
      </c>
      <c r="D98" s="0" t="n">
        <f aca="false">C98-C97</f>
        <v>0</v>
      </c>
      <c r="E98" s="0" t="n">
        <v>5</v>
      </c>
      <c r="F98" s="0" t="n">
        <f aca="false">E98-E97</f>
        <v>0</v>
      </c>
      <c r="G98" s="0" t="n">
        <v>7</v>
      </c>
      <c r="H98" s="0" t="n">
        <v>4</v>
      </c>
      <c r="I98" s="0" t="n">
        <v>0</v>
      </c>
      <c r="J98" s="0" t="n">
        <v>2</v>
      </c>
      <c r="K98" s="0" t="n">
        <v>0.8</v>
      </c>
    </row>
    <row r="99" customFormat="false" ht="13.5" hidden="false" customHeight="false" outlineLevel="0" collapsed="false">
      <c r="A99" s="0" t="s">
        <v>118</v>
      </c>
      <c r="B99" s="1" t="n">
        <v>43959</v>
      </c>
      <c r="C99" s="0" t="n">
        <v>16</v>
      </c>
      <c r="D99" s="0" t="n">
        <f aca="false">C99-C98</f>
        <v>0</v>
      </c>
      <c r="E99" s="0" t="n">
        <v>5</v>
      </c>
      <c r="F99" s="0" t="n">
        <f aca="false">E99-E98</f>
        <v>0</v>
      </c>
      <c r="G99" s="0" t="n">
        <v>7</v>
      </c>
      <c r="H99" s="0" t="n">
        <v>4</v>
      </c>
      <c r="I99" s="0" t="n">
        <v>0</v>
      </c>
      <c r="J99" s="0" t="n">
        <v>2</v>
      </c>
      <c r="K99" s="0" t="n">
        <v>0.8</v>
      </c>
    </row>
    <row r="100" customFormat="false" ht="13.5" hidden="false" customHeight="false" outlineLevel="0" collapsed="false">
      <c r="A100" s="0" t="s">
        <v>118</v>
      </c>
      <c r="B100" s="1" t="n">
        <v>43960</v>
      </c>
      <c r="C100" s="0" t="n">
        <v>16</v>
      </c>
      <c r="D100" s="0" t="n">
        <f aca="false">C100-C99</f>
        <v>0</v>
      </c>
      <c r="E100" s="0" t="n">
        <v>5</v>
      </c>
      <c r="F100" s="0" t="n">
        <f aca="false">E100-E99</f>
        <v>0</v>
      </c>
      <c r="G100" s="0" t="n">
        <v>7</v>
      </c>
      <c r="H100" s="0" t="n">
        <v>4</v>
      </c>
      <c r="I100" s="0" t="n">
        <v>0</v>
      </c>
      <c r="J100" s="0" t="n">
        <v>2</v>
      </c>
      <c r="K100" s="0" t="n">
        <v>0.8</v>
      </c>
    </row>
    <row r="101" customFormat="false" ht="13.5" hidden="false" customHeight="false" outlineLevel="0" collapsed="false">
      <c r="A101" s="0" t="s">
        <v>118</v>
      </c>
      <c r="B101" s="1" t="n">
        <v>43961</v>
      </c>
      <c r="C101" s="0" t="n">
        <v>16</v>
      </c>
      <c r="D101" s="0" t="n">
        <f aca="false">C101-C100</f>
        <v>0</v>
      </c>
      <c r="E101" s="0" t="n">
        <v>5</v>
      </c>
      <c r="F101" s="0" t="n">
        <f aca="false">E101-E100</f>
        <v>0</v>
      </c>
      <c r="G101" s="0" t="n">
        <v>7</v>
      </c>
      <c r="H101" s="0" t="n">
        <v>4</v>
      </c>
      <c r="I101" s="0" t="n">
        <v>0</v>
      </c>
      <c r="J101" s="0" t="n">
        <v>2</v>
      </c>
      <c r="K101" s="0" t="n">
        <v>0.8</v>
      </c>
    </row>
    <row r="102" customFormat="false" ht="13.5" hidden="false" customHeight="false" outlineLevel="0" collapsed="false">
      <c r="A102" s="0" t="s">
        <v>118</v>
      </c>
      <c r="B102" s="1" t="n">
        <v>43962</v>
      </c>
      <c r="C102" s="0" t="n">
        <v>16</v>
      </c>
      <c r="D102" s="0" t="n">
        <f aca="false">C102-C101</f>
        <v>0</v>
      </c>
      <c r="E102" s="0" t="n">
        <v>5</v>
      </c>
      <c r="F102" s="0" t="n">
        <f aca="false">E102-E101</f>
        <v>0</v>
      </c>
      <c r="G102" s="0" t="n">
        <v>7</v>
      </c>
      <c r="H102" s="0" t="n">
        <v>4</v>
      </c>
      <c r="I102" s="0" t="n">
        <v>0</v>
      </c>
      <c r="J102" s="0" t="n">
        <v>2</v>
      </c>
      <c r="K102" s="0" t="n">
        <v>0.8</v>
      </c>
    </row>
    <row r="103" customFormat="false" ht="13.5" hidden="false" customHeight="false" outlineLevel="0" collapsed="false">
      <c r="A103" s="0" t="s">
        <v>118</v>
      </c>
      <c r="B103" s="1" t="n">
        <v>43963</v>
      </c>
      <c r="C103" s="0" t="n">
        <v>16</v>
      </c>
      <c r="D103" s="0" t="n">
        <f aca="false">C103-C102</f>
        <v>0</v>
      </c>
      <c r="E103" s="0" t="n">
        <v>5</v>
      </c>
      <c r="F103" s="0" t="n">
        <f aca="false">E103-E102</f>
        <v>0</v>
      </c>
      <c r="G103" s="0" t="n">
        <v>7</v>
      </c>
      <c r="H103" s="0" t="n">
        <v>4</v>
      </c>
      <c r="I103" s="0" t="n">
        <v>0</v>
      </c>
      <c r="J103" s="0" t="n">
        <v>2</v>
      </c>
      <c r="K103" s="0" t="n">
        <v>0.8</v>
      </c>
    </row>
    <row r="104" customFormat="false" ht="13.5" hidden="false" customHeight="false" outlineLevel="0" collapsed="false">
      <c r="A104" s="0" t="s">
        <v>118</v>
      </c>
      <c r="B104" s="1" t="n">
        <v>43964</v>
      </c>
      <c r="C104" s="0" t="n">
        <v>25</v>
      </c>
      <c r="D104" s="0" t="n">
        <f aca="false">C104-C103</f>
        <v>9</v>
      </c>
      <c r="E104" s="0" t="n">
        <v>8</v>
      </c>
      <c r="F104" s="0" t="n">
        <f aca="false">E104-E103</f>
        <v>3</v>
      </c>
      <c r="G104" s="0" t="n">
        <v>7</v>
      </c>
      <c r="H104" s="0" t="n">
        <v>10</v>
      </c>
      <c r="I104" s="0" t="n">
        <v>0</v>
      </c>
      <c r="J104" s="0" t="n">
        <v>4</v>
      </c>
      <c r="K104" s="0" t="n">
        <v>1</v>
      </c>
    </row>
    <row r="105" customFormat="false" ht="13.5" hidden="false" customHeight="false" outlineLevel="0" collapsed="false">
      <c r="A105" s="0" t="s">
        <v>118</v>
      </c>
      <c r="B105" s="1" t="n">
        <v>43965</v>
      </c>
      <c r="C105" s="0" t="n">
        <v>25</v>
      </c>
      <c r="D105" s="0" t="n">
        <f aca="false">C105-C104</f>
        <v>0</v>
      </c>
      <c r="E105" s="0" t="n">
        <v>8</v>
      </c>
      <c r="F105" s="0" t="n">
        <f aca="false">E105-E104</f>
        <v>0</v>
      </c>
      <c r="G105" s="0" t="n">
        <v>7</v>
      </c>
      <c r="H105" s="0" t="n">
        <v>10</v>
      </c>
      <c r="I105" s="0" t="n">
        <v>0</v>
      </c>
      <c r="J105" s="0" t="n">
        <v>4</v>
      </c>
      <c r="K105" s="0" t="n">
        <v>1</v>
      </c>
    </row>
    <row r="106" customFormat="false" ht="13.5" hidden="false" customHeight="false" outlineLevel="0" collapsed="false">
      <c r="A106" s="0" t="s">
        <v>118</v>
      </c>
      <c r="B106" s="1" t="n">
        <v>43966</v>
      </c>
      <c r="C106" s="0" t="n">
        <v>25</v>
      </c>
      <c r="D106" s="0" t="n">
        <f aca="false">C106-C105</f>
        <v>0</v>
      </c>
      <c r="E106" s="0" t="n">
        <v>8</v>
      </c>
      <c r="F106" s="0" t="n">
        <f aca="false">E106-E105</f>
        <v>0</v>
      </c>
      <c r="G106" s="0" t="n">
        <v>7</v>
      </c>
      <c r="H106" s="0" t="n">
        <v>10</v>
      </c>
      <c r="I106" s="0" t="n">
        <v>0</v>
      </c>
      <c r="J106" s="0" t="n">
        <v>4</v>
      </c>
      <c r="K106" s="0" t="n">
        <v>1</v>
      </c>
    </row>
    <row r="107" customFormat="false" ht="13.5" hidden="false" customHeight="false" outlineLevel="0" collapsed="false">
      <c r="A107" s="0" t="s">
        <v>118</v>
      </c>
      <c r="B107" s="1" t="n">
        <v>43967</v>
      </c>
      <c r="C107" s="0" t="n">
        <v>25</v>
      </c>
      <c r="D107" s="0" t="n">
        <f aca="false">C107-C106</f>
        <v>0</v>
      </c>
      <c r="E107" s="0" t="n">
        <v>8</v>
      </c>
      <c r="F107" s="0" t="n">
        <f aca="false">E107-E106</f>
        <v>0</v>
      </c>
      <c r="G107" s="0" t="n">
        <v>7</v>
      </c>
      <c r="H107" s="0" t="n">
        <v>10</v>
      </c>
      <c r="I107" s="0" t="n">
        <v>0</v>
      </c>
      <c r="J107" s="0" t="n">
        <v>4</v>
      </c>
      <c r="K107" s="0" t="n">
        <v>1</v>
      </c>
    </row>
    <row r="108" customFormat="false" ht="13.5" hidden="false" customHeight="false" outlineLevel="0" collapsed="false">
      <c r="A108" s="0" t="s">
        <v>118</v>
      </c>
      <c r="B108" s="1" t="n">
        <v>43968</v>
      </c>
      <c r="C108" s="0" t="n">
        <v>25</v>
      </c>
      <c r="D108" s="0" t="n">
        <f aca="false">C108-C107</f>
        <v>0</v>
      </c>
      <c r="E108" s="0" t="n">
        <v>8</v>
      </c>
      <c r="F108" s="0" t="n">
        <f aca="false">E108-E107</f>
        <v>0</v>
      </c>
      <c r="G108" s="0" t="n">
        <v>7</v>
      </c>
      <c r="H108" s="0" t="n">
        <v>10</v>
      </c>
      <c r="I108" s="0" t="n">
        <v>0</v>
      </c>
      <c r="J108" s="0" t="n">
        <v>4</v>
      </c>
      <c r="K108" s="0" t="n">
        <v>1</v>
      </c>
    </row>
    <row r="109" customFormat="false" ht="13.5" hidden="false" customHeight="false" outlineLevel="0" collapsed="false">
      <c r="A109" s="0" t="s">
        <v>118</v>
      </c>
      <c r="B109" s="1" t="n">
        <v>43969</v>
      </c>
      <c r="C109" s="0" t="n">
        <v>25</v>
      </c>
      <c r="D109" s="0" t="n">
        <f aca="false">C109-C108</f>
        <v>0</v>
      </c>
      <c r="E109" s="0" t="n">
        <v>8</v>
      </c>
      <c r="F109" s="0" t="n">
        <f aca="false">E109-E108</f>
        <v>0</v>
      </c>
      <c r="G109" s="0" t="n">
        <v>7</v>
      </c>
      <c r="H109" s="0" t="n">
        <v>10</v>
      </c>
      <c r="I109" s="0" t="n">
        <v>0</v>
      </c>
      <c r="J109" s="0" t="n">
        <v>4</v>
      </c>
      <c r="K109" s="0" t="n">
        <v>1</v>
      </c>
    </row>
    <row r="110" customFormat="false" ht="13.5" hidden="false" customHeight="false" outlineLevel="0" collapsed="false">
      <c r="A110" s="0" t="s">
        <v>118</v>
      </c>
      <c r="B110" s="1" t="n">
        <v>43970</v>
      </c>
      <c r="C110" s="0" t="n">
        <v>25</v>
      </c>
      <c r="D110" s="0" t="n">
        <f aca="false">C110-C109</f>
        <v>0</v>
      </c>
      <c r="E110" s="0" t="n">
        <v>8</v>
      </c>
      <c r="F110" s="0" t="n">
        <f aca="false">E110-E109</f>
        <v>0</v>
      </c>
      <c r="G110" s="0" t="n">
        <v>7</v>
      </c>
      <c r="H110" s="0" t="n">
        <v>10</v>
      </c>
      <c r="I110" s="0" t="n">
        <v>0</v>
      </c>
      <c r="J110" s="0" t="n">
        <v>4</v>
      </c>
      <c r="K110" s="0" t="n">
        <v>1</v>
      </c>
    </row>
    <row r="111" customFormat="false" ht="13.5" hidden="false" customHeight="false" outlineLevel="0" collapsed="false">
      <c r="A111" s="0" t="s">
        <v>118</v>
      </c>
      <c r="B111" s="1" t="n">
        <v>43971</v>
      </c>
      <c r="C111" s="0" t="n">
        <v>254</v>
      </c>
      <c r="D111" s="0" t="n">
        <f aca="false">C111-C110</f>
        <v>229</v>
      </c>
      <c r="E111" s="0" t="n">
        <v>17</v>
      </c>
      <c r="F111" s="0" t="n">
        <f aca="false">E111-E110</f>
        <v>9</v>
      </c>
      <c r="G111" s="0" t="n">
        <v>199</v>
      </c>
      <c r="H111" s="0" t="n">
        <v>38</v>
      </c>
      <c r="I111" s="0" t="n">
        <v>0</v>
      </c>
      <c r="J111" s="0" t="n">
        <v>38</v>
      </c>
      <c r="K111" s="0" t="n">
        <v>3</v>
      </c>
    </row>
    <row r="112" customFormat="false" ht="13.5" hidden="false" customHeight="false" outlineLevel="0" collapsed="false">
      <c r="A112" s="0" t="s">
        <v>118</v>
      </c>
      <c r="B112" s="1" t="n">
        <v>43972</v>
      </c>
      <c r="C112" s="0" t="n">
        <v>254</v>
      </c>
      <c r="D112" s="0" t="n">
        <f aca="false">C112-C111</f>
        <v>0</v>
      </c>
      <c r="E112" s="0" t="n">
        <v>17</v>
      </c>
      <c r="F112" s="0" t="n">
        <f aca="false">E112-E111</f>
        <v>0</v>
      </c>
      <c r="G112" s="0" t="n">
        <v>199</v>
      </c>
      <c r="H112" s="0" t="n">
        <v>38</v>
      </c>
      <c r="I112" s="0" t="n">
        <v>0</v>
      </c>
      <c r="J112" s="0" t="n">
        <v>38</v>
      </c>
      <c r="K112" s="0" t="n">
        <v>3</v>
      </c>
    </row>
    <row r="113" customFormat="false" ht="13.5" hidden="false" customHeight="false" outlineLevel="0" collapsed="false">
      <c r="A113" s="0" t="s">
        <v>118</v>
      </c>
      <c r="B113" s="1" t="n">
        <v>43973</v>
      </c>
      <c r="C113" s="0" t="n">
        <v>279</v>
      </c>
      <c r="D113" s="0" t="n">
        <f aca="false">C113-C112</f>
        <v>25</v>
      </c>
      <c r="E113" s="0" t="n">
        <v>17</v>
      </c>
      <c r="F113" s="0" t="n">
        <f aca="false">E113-E112</f>
        <v>0</v>
      </c>
      <c r="G113" s="0" t="n">
        <v>199</v>
      </c>
      <c r="H113" s="0" t="n">
        <v>63</v>
      </c>
      <c r="I113" s="0" t="n">
        <v>0</v>
      </c>
      <c r="J113" s="0" t="n">
        <v>42</v>
      </c>
      <c r="K113" s="0" t="n">
        <v>3</v>
      </c>
    </row>
    <row r="114" customFormat="false" ht="13.5" hidden="false" customHeight="false" outlineLevel="0" collapsed="false">
      <c r="A114" s="0" t="s">
        <v>118</v>
      </c>
      <c r="B114" s="1" t="n">
        <v>43974</v>
      </c>
      <c r="C114" s="0" t="n">
        <v>279</v>
      </c>
      <c r="D114" s="0" t="n">
        <f aca="false">C114-C113</f>
        <v>0</v>
      </c>
      <c r="E114" s="0" t="n">
        <v>17</v>
      </c>
      <c r="F114" s="0" t="n">
        <f aca="false">E114-E113</f>
        <v>0</v>
      </c>
      <c r="G114" s="0" t="n">
        <v>199</v>
      </c>
      <c r="H114" s="0" t="n">
        <v>63</v>
      </c>
      <c r="I114" s="0" t="n">
        <v>0</v>
      </c>
      <c r="J114" s="0" t="n">
        <v>42</v>
      </c>
      <c r="K114" s="0" t="n">
        <v>3</v>
      </c>
    </row>
    <row r="115" customFormat="false" ht="13.5" hidden="false" customHeight="false" outlineLevel="0" collapsed="false">
      <c r="A115" s="0" t="s">
        <v>118</v>
      </c>
      <c r="B115" s="1" t="n">
        <v>43975</v>
      </c>
      <c r="C115" s="0" t="n">
        <v>279</v>
      </c>
      <c r="D115" s="0" t="n">
        <f aca="false">C115-C114</f>
        <v>0</v>
      </c>
      <c r="E115" s="0" t="n">
        <v>17</v>
      </c>
      <c r="F115" s="0" t="n">
        <f aca="false">E115-E114</f>
        <v>0</v>
      </c>
      <c r="G115" s="0" t="n">
        <v>199</v>
      </c>
      <c r="H115" s="0" t="n">
        <v>63</v>
      </c>
      <c r="I115" s="0" t="n">
        <v>0</v>
      </c>
      <c r="J115" s="0" t="n">
        <v>42</v>
      </c>
      <c r="K115" s="0" t="n">
        <v>3</v>
      </c>
    </row>
    <row r="116" customFormat="false" ht="13.5" hidden="false" customHeight="false" outlineLevel="0" collapsed="false">
      <c r="A116" s="0" t="s">
        <v>118</v>
      </c>
      <c r="B116" s="1" t="n">
        <v>43976</v>
      </c>
      <c r="C116" s="0" t="n">
        <v>279</v>
      </c>
      <c r="D116" s="0" t="n">
        <f aca="false">C116-C115</f>
        <v>0</v>
      </c>
      <c r="E116" s="0" t="n">
        <v>17</v>
      </c>
      <c r="F116" s="0" t="n">
        <f aca="false">E116-E115</f>
        <v>0</v>
      </c>
      <c r="G116" s="0" t="n">
        <v>199</v>
      </c>
      <c r="H116" s="0" t="n">
        <v>63</v>
      </c>
      <c r="I116" s="0" t="n">
        <v>0</v>
      </c>
      <c r="J116" s="0" t="n">
        <v>42</v>
      </c>
      <c r="K116" s="0" t="n">
        <v>3</v>
      </c>
    </row>
    <row r="117" customFormat="false" ht="13.5" hidden="false" customHeight="false" outlineLevel="0" collapsed="false">
      <c r="A117" s="0" t="s">
        <v>118</v>
      </c>
      <c r="B117" s="1" t="n">
        <v>43977</v>
      </c>
      <c r="C117" s="0" t="n">
        <v>279</v>
      </c>
      <c r="D117" s="0" t="n">
        <f aca="false">C117-C116</f>
        <v>0</v>
      </c>
      <c r="E117" s="0" t="n">
        <v>17</v>
      </c>
      <c r="F117" s="0" t="n">
        <f aca="false">E117-E116</f>
        <v>0</v>
      </c>
      <c r="G117" s="0" t="n">
        <v>199</v>
      </c>
      <c r="H117" s="0" t="n">
        <v>63</v>
      </c>
      <c r="I117" s="0" t="n">
        <v>0</v>
      </c>
      <c r="J117" s="0" t="n">
        <v>42</v>
      </c>
      <c r="K117" s="0" t="n">
        <v>3</v>
      </c>
    </row>
    <row r="118" customFormat="false" ht="13.5" hidden="false" customHeight="false" outlineLevel="0" collapsed="false">
      <c r="A118" s="0" t="s">
        <v>118</v>
      </c>
      <c r="B118" s="1" t="n">
        <v>43978</v>
      </c>
      <c r="C118" s="0" t="n">
        <v>759</v>
      </c>
      <c r="D118" s="0" t="n">
        <f aca="false">C118-C117</f>
        <v>480</v>
      </c>
      <c r="E118" s="0" t="n">
        <v>35</v>
      </c>
      <c r="F118" s="0" t="n">
        <f aca="false">E118-E117</f>
        <v>18</v>
      </c>
      <c r="G118" s="0" t="n">
        <v>370</v>
      </c>
      <c r="H118" s="0" t="n">
        <v>354</v>
      </c>
      <c r="I118" s="0" t="n">
        <v>0</v>
      </c>
      <c r="J118" s="0" t="n">
        <v>115</v>
      </c>
      <c r="K118" s="0" t="n">
        <v>5</v>
      </c>
    </row>
    <row r="119" customFormat="false" ht="13.5" hidden="false" customHeight="false" outlineLevel="0" collapsed="false">
      <c r="A119" s="0" t="s">
        <v>118</v>
      </c>
      <c r="B119" s="1" t="n">
        <v>43979</v>
      </c>
      <c r="C119" s="0" t="n">
        <v>759</v>
      </c>
      <c r="D119" s="0" t="n">
        <f aca="false">C119-C118</f>
        <v>0</v>
      </c>
      <c r="E119" s="0" t="n">
        <v>35</v>
      </c>
      <c r="F119" s="0" t="n">
        <f aca="false">E119-E118</f>
        <v>0</v>
      </c>
      <c r="G119" s="0" t="n">
        <v>370</v>
      </c>
      <c r="H119" s="0" t="n">
        <v>354</v>
      </c>
      <c r="I119" s="0" t="n">
        <v>0</v>
      </c>
      <c r="J119" s="0" t="n">
        <v>115</v>
      </c>
      <c r="K119" s="0" t="n">
        <v>5</v>
      </c>
    </row>
    <row r="120" customFormat="false" ht="13.5" hidden="false" customHeight="false" outlineLevel="0" collapsed="false">
      <c r="A120" s="0" t="s">
        <v>118</v>
      </c>
      <c r="B120" s="1" t="n">
        <v>43980</v>
      </c>
      <c r="C120" s="0" t="n">
        <v>759</v>
      </c>
      <c r="D120" s="0" t="n">
        <f aca="false">C120-C119</f>
        <v>0</v>
      </c>
      <c r="E120" s="0" t="n">
        <v>35</v>
      </c>
      <c r="F120" s="0" t="n">
        <f aca="false">E120-E119</f>
        <v>0</v>
      </c>
      <c r="G120" s="0" t="n">
        <v>370</v>
      </c>
      <c r="H120" s="0" t="n">
        <v>354</v>
      </c>
      <c r="I120" s="0" t="n">
        <v>0</v>
      </c>
      <c r="J120" s="0" t="n">
        <v>115</v>
      </c>
      <c r="K120" s="0" t="n">
        <v>5</v>
      </c>
    </row>
    <row r="121" customFormat="false" ht="13.5" hidden="false" customHeight="false" outlineLevel="0" collapsed="false">
      <c r="A121" s="0" t="s">
        <v>118</v>
      </c>
      <c r="B121" s="1" t="n">
        <v>43981</v>
      </c>
      <c r="C121" s="0" t="n">
        <v>759</v>
      </c>
      <c r="D121" s="0" t="n">
        <f aca="false">C121-C120</f>
        <v>0</v>
      </c>
      <c r="E121" s="0" t="n">
        <v>35</v>
      </c>
      <c r="F121" s="0" t="n">
        <f aca="false">E121-E120</f>
        <v>0</v>
      </c>
      <c r="G121" s="0" t="n">
        <v>370</v>
      </c>
      <c r="H121" s="0" t="n">
        <v>354</v>
      </c>
      <c r="I121" s="0" t="n">
        <v>0</v>
      </c>
      <c r="J121" s="0" t="n">
        <v>115</v>
      </c>
      <c r="K121" s="0" t="n">
        <v>5</v>
      </c>
    </row>
    <row r="122" customFormat="false" ht="13.5" hidden="false" customHeight="false" outlineLevel="0" collapsed="false">
      <c r="A122" s="0" t="s">
        <v>118</v>
      </c>
      <c r="B122" s="1" t="n">
        <v>43982</v>
      </c>
      <c r="C122" s="0" t="n">
        <v>759</v>
      </c>
      <c r="D122" s="0" t="n">
        <f aca="false">C122-C121</f>
        <v>0</v>
      </c>
      <c r="E122" s="0" t="n">
        <v>35</v>
      </c>
      <c r="F122" s="0" t="n">
        <f aca="false">E122-E121</f>
        <v>0</v>
      </c>
      <c r="G122" s="0" t="n">
        <v>370</v>
      </c>
      <c r="H122" s="0" t="n">
        <v>354</v>
      </c>
      <c r="I122" s="0" t="n">
        <v>0</v>
      </c>
      <c r="J122" s="0" t="n">
        <v>115</v>
      </c>
      <c r="K122" s="0" t="n">
        <v>5</v>
      </c>
    </row>
    <row r="123" customFormat="false" ht="13.5" hidden="false" customHeight="false" outlineLevel="0" collapsed="false">
      <c r="A123" s="0" t="s">
        <v>118</v>
      </c>
      <c r="B123" s="1" t="n">
        <v>43983</v>
      </c>
      <c r="C123" s="0" t="n">
        <v>759</v>
      </c>
      <c r="D123" s="0" t="n">
        <f aca="false">C123-C122</f>
        <v>0</v>
      </c>
      <c r="E123" s="0" t="n">
        <v>35</v>
      </c>
      <c r="F123" s="0" t="n">
        <f aca="false">E123-E122</f>
        <v>0</v>
      </c>
      <c r="G123" s="0" t="n">
        <v>370</v>
      </c>
      <c r="H123" s="0" t="n">
        <v>354</v>
      </c>
      <c r="I123" s="0" t="n">
        <v>0</v>
      </c>
      <c r="J123" s="0" t="n">
        <v>115</v>
      </c>
      <c r="K123" s="0" t="n">
        <v>5</v>
      </c>
    </row>
    <row r="124" customFormat="false" ht="13.5" hidden="false" customHeight="false" outlineLevel="0" collapsed="false">
      <c r="A124" s="0" t="s">
        <v>118</v>
      </c>
      <c r="B124" s="1" t="n">
        <v>43984</v>
      </c>
      <c r="C124" s="0" t="n">
        <v>759</v>
      </c>
      <c r="D124" s="0" t="n">
        <f aca="false">C124-C123</f>
        <v>0</v>
      </c>
      <c r="E124" s="0" t="n">
        <v>35</v>
      </c>
      <c r="F124" s="0" t="n">
        <f aca="false">E124-E123</f>
        <v>0</v>
      </c>
      <c r="G124" s="0" t="n">
        <v>370</v>
      </c>
      <c r="H124" s="0" t="n">
        <v>354</v>
      </c>
      <c r="I124" s="0" t="n">
        <v>0</v>
      </c>
      <c r="J124" s="0" t="n">
        <v>115</v>
      </c>
      <c r="K124" s="0" t="n">
        <v>5</v>
      </c>
    </row>
    <row r="125" customFormat="false" ht="13.5" hidden="false" customHeight="false" outlineLevel="0" collapsed="false">
      <c r="A125" s="0" t="s">
        <v>118</v>
      </c>
      <c r="B125" s="1" t="n">
        <v>43985</v>
      </c>
      <c r="C125" s="0" t="n">
        <v>1118</v>
      </c>
      <c r="D125" s="0" t="n">
        <f aca="false">C125-C124</f>
        <v>359</v>
      </c>
      <c r="E125" s="0" t="n">
        <v>46</v>
      </c>
      <c r="F125" s="0" t="n">
        <f aca="false">E125-E124</f>
        <v>11</v>
      </c>
      <c r="G125" s="0" t="n">
        <v>370</v>
      </c>
      <c r="H125" s="0" t="n">
        <v>702</v>
      </c>
      <c r="I125" s="0" t="n">
        <v>0</v>
      </c>
      <c r="J125" s="0" t="n">
        <v>169</v>
      </c>
      <c r="K125" s="0" t="n">
        <v>7</v>
      </c>
    </row>
    <row r="126" customFormat="false" ht="13.5" hidden="false" customHeight="false" outlineLevel="0" collapsed="false">
      <c r="A126" s="0" t="s">
        <v>118</v>
      </c>
      <c r="B126" s="1" t="n">
        <v>43986</v>
      </c>
      <c r="C126" s="0" t="n">
        <v>1118</v>
      </c>
      <c r="D126" s="0" t="n">
        <f aca="false">C126-C125</f>
        <v>0</v>
      </c>
      <c r="E126" s="0" t="n">
        <v>46</v>
      </c>
      <c r="F126" s="0" t="n">
        <f aca="false">E126-E125</f>
        <v>0</v>
      </c>
      <c r="G126" s="0" t="n">
        <v>370</v>
      </c>
      <c r="H126" s="0" t="n">
        <v>702</v>
      </c>
      <c r="I126" s="0" t="n">
        <v>0</v>
      </c>
      <c r="J126" s="0" t="n">
        <v>169</v>
      </c>
      <c r="K126" s="0" t="n">
        <v>7</v>
      </c>
    </row>
    <row r="127" customFormat="false" ht="13.5" hidden="false" customHeight="false" outlineLevel="0" collapsed="false">
      <c r="A127" s="0" t="s">
        <v>118</v>
      </c>
      <c r="B127" s="1" t="n">
        <v>43987</v>
      </c>
      <c r="C127" s="0" t="n">
        <v>1118</v>
      </c>
      <c r="D127" s="0" t="n">
        <f aca="false">C127-C126</f>
        <v>0</v>
      </c>
      <c r="E127" s="0" t="n">
        <v>46</v>
      </c>
      <c r="F127" s="0" t="n">
        <f aca="false">E127-E126</f>
        <v>0</v>
      </c>
      <c r="G127" s="0" t="n">
        <v>370</v>
      </c>
      <c r="H127" s="0" t="n">
        <v>702</v>
      </c>
      <c r="I127" s="0" t="n">
        <v>0</v>
      </c>
      <c r="J127" s="0" t="n">
        <v>169</v>
      </c>
      <c r="K127" s="0" t="n">
        <v>7</v>
      </c>
    </row>
    <row r="128" customFormat="false" ht="13.5" hidden="false" customHeight="false" outlineLevel="0" collapsed="false">
      <c r="A128" s="0" t="s">
        <v>118</v>
      </c>
      <c r="B128" s="1" t="n">
        <v>43988</v>
      </c>
      <c r="C128" s="0" t="n">
        <v>1118</v>
      </c>
      <c r="D128" s="0" t="n">
        <f aca="false">C128-C127</f>
        <v>0</v>
      </c>
      <c r="E128" s="0" t="n">
        <v>46</v>
      </c>
      <c r="F128" s="0" t="n">
        <f aca="false">E128-E127</f>
        <v>0</v>
      </c>
      <c r="G128" s="0" t="n">
        <v>370</v>
      </c>
      <c r="H128" s="0" t="n">
        <v>702</v>
      </c>
      <c r="I128" s="0" t="n">
        <v>0</v>
      </c>
      <c r="J128" s="0" t="n">
        <v>169</v>
      </c>
      <c r="K128" s="0" t="n">
        <v>7</v>
      </c>
    </row>
    <row r="129" customFormat="false" ht="13.5" hidden="false" customHeight="false" outlineLevel="0" collapsed="false">
      <c r="A129" s="0" t="s">
        <v>118</v>
      </c>
      <c r="B129" s="1" t="n">
        <v>43989</v>
      </c>
      <c r="C129" s="0" t="n">
        <v>1118</v>
      </c>
      <c r="D129" s="0" t="n">
        <f aca="false">C129-C128</f>
        <v>0</v>
      </c>
      <c r="E129" s="0" t="n">
        <v>46</v>
      </c>
      <c r="F129" s="0" t="n">
        <f aca="false">E129-E128</f>
        <v>0</v>
      </c>
      <c r="G129" s="0" t="n">
        <v>370</v>
      </c>
      <c r="H129" s="0" t="n">
        <v>702</v>
      </c>
      <c r="I129" s="0" t="n">
        <v>0</v>
      </c>
      <c r="J129" s="0" t="n">
        <v>169</v>
      </c>
      <c r="K129" s="0" t="n">
        <v>7</v>
      </c>
    </row>
    <row r="130" customFormat="false" ht="13.5" hidden="false" customHeight="false" outlineLevel="0" collapsed="false">
      <c r="A130" s="0" t="s">
        <v>118</v>
      </c>
      <c r="B130" s="1" t="n">
        <v>43990</v>
      </c>
      <c r="C130" s="0" t="n">
        <v>1118</v>
      </c>
      <c r="D130" s="0" t="n">
        <f aca="false">C130-C129</f>
        <v>0</v>
      </c>
      <c r="E130" s="0" t="n">
        <v>46</v>
      </c>
      <c r="F130" s="0" t="n">
        <f aca="false">E130-E129</f>
        <v>0</v>
      </c>
      <c r="G130" s="0" t="n">
        <v>370</v>
      </c>
      <c r="H130" s="0" t="n">
        <v>702</v>
      </c>
      <c r="I130" s="0" t="n">
        <v>0</v>
      </c>
      <c r="J130" s="0" t="n">
        <v>169</v>
      </c>
      <c r="K130" s="0" t="n">
        <v>7</v>
      </c>
    </row>
    <row r="131" customFormat="false" ht="13.5" hidden="false" customHeight="false" outlineLevel="0" collapsed="false">
      <c r="A131" s="0" t="s">
        <v>118</v>
      </c>
      <c r="B131" s="1" t="n">
        <v>43991</v>
      </c>
      <c r="C131" s="0" t="n">
        <v>1118</v>
      </c>
      <c r="D131" s="0" t="n">
        <f aca="false">C131-C130</f>
        <v>0</v>
      </c>
      <c r="E131" s="0" t="n">
        <v>46</v>
      </c>
      <c r="F131" s="0" t="n">
        <f aca="false">E131-E130</f>
        <v>0</v>
      </c>
      <c r="G131" s="0" t="n">
        <v>370</v>
      </c>
      <c r="H131" s="0" t="n">
        <v>702</v>
      </c>
      <c r="I131" s="0" t="n">
        <v>0</v>
      </c>
      <c r="J131" s="0" t="n">
        <v>169</v>
      </c>
      <c r="K131" s="0" t="n">
        <v>7</v>
      </c>
    </row>
    <row r="132" customFormat="false" ht="13.5" hidden="false" customHeight="false" outlineLevel="0" collapsed="false">
      <c r="A132" s="0" t="s">
        <v>118</v>
      </c>
      <c r="B132" s="1" t="n">
        <v>43992</v>
      </c>
      <c r="C132" s="0" t="n">
        <v>1464</v>
      </c>
      <c r="D132" s="0" t="n">
        <f aca="false">C132-C131</f>
        <v>346</v>
      </c>
      <c r="E132" s="0" t="n">
        <v>55</v>
      </c>
      <c r="F132" s="0" t="n">
        <f aca="false">E132-E131</f>
        <v>9</v>
      </c>
      <c r="G132" s="0" t="n">
        <v>370</v>
      </c>
      <c r="H132" s="0" t="n">
        <v>1039</v>
      </c>
      <c r="I132" s="0" t="n">
        <v>0</v>
      </c>
      <c r="J132" s="0" t="n">
        <v>221</v>
      </c>
      <c r="K132" s="0" t="n">
        <v>8</v>
      </c>
    </row>
    <row r="133" customFormat="false" ht="13.5" hidden="false" customHeight="false" outlineLevel="0" collapsed="false">
      <c r="A133" s="0" t="s">
        <v>118</v>
      </c>
      <c r="B133" s="1" t="n">
        <v>43993</v>
      </c>
      <c r="C133" s="0" t="n">
        <v>1464</v>
      </c>
      <c r="D133" s="0" t="n">
        <f aca="false">C133-C132</f>
        <v>0</v>
      </c>
      <c r="E133" s="0" t="n">
        <v>55</v>
      </c>
      <c r="F133" s="0" t="n">
        <f aca="false">E133-E132</f>
        <v>0</v>
      </c>
      <c r="G133" s="0" t="n">
        <v>953</v>
      </c>
      <c r="H133" s="0" t="n">
        <v>456</v>
      </c>
      <c r="I133" s="0" t="n">
        <v>0</v>
      </c>
      <c r="J133" s="0" t="n">
        <v>221</v>
      </c>
      <c r="K133" s="0" t="n">
        <v>8</v>
      </c>
    </row>
    <row r="134" customFormat="false" ht="13.5" hidden="false" customHeight="false" outlineLevel="0" collapsed="false">
      <c r="A134" s="0" t="s">
        <v>118</v>
      </c>
      <c r="B134" s="1" t="n">
        <v>43994</v>
      </c>
      <c r="C134" s="0" t="n">
        <v>1464</v>
      </c>
      <c r="D134" s="0" t="n">
        <f aca="false">C134-C133</f>
        <v>0</v>
      </c>
      <c r="E134" s="0" t="n">
        <v>55</v>
      </c>
      <c r="F134" s="0" t="n">
        <f aca="false">E134-E133</f>
        <v>0</v>
      </c>
      <c r="G134" s="0" t="n">
        <v>953</v>
      </c>
      <c r="H134" s="0" t="n">
        <v>456</v>
      </c>
      <c r="I134" s="0" t="n">
        <v>0</v>
      </c>
      <c r="J134" s="0" t="n">
        <v>221</v>
      </c>
      <c r="K134" s="0" t="n">
        <v>8</v>
      </c>
    </row>
    <row r="135" customFormat="false" ht="13.5" hidden="false" customHeight="false" outlineLevel="0" collapsed="false">
      <c r="A135" s="0" t="s">
        <v>118</v>
      </c>
      <c r="B135" s="1" t="n">
        <v>43995</v>
      </c>
      <c r="C135" s="0" t="n">
        <v>1464</v>
      </c>
      <c r="D135" s="0" t="n">
        <f aca="false">C135-C134</f>
        <v>0</v>
      </c>
      <c r="E135" s="0" t="n">
        <v>55</v>
      </c>
      <c r="F135" s="0" t="n">
        <f aca="false">E135-E134</f>
        <v>0</v>
      </c>
      <c r="G135" s="0" t="n">
        <v>953</v>
      </c>
      <c r="H135" s="0" t="n">
        <v>456</v>
      </c>
      <c r="I135" s="0" t="n">
        <v>0</v>
      </c>
      <c r="J135" s="0" t="n">
        <v>221</v>
      </c>
      <c r="K135" s="0" t="n">
        <v>8</v>
      </c>
    </row>
    <row r="136" customFormat="false" ht="13.5" hidden="false" customHeight="false" outlineLevel="0" collapsed="false">
      <c r="A136" s="0" t="s">
        <v>118</v>
      </c>
      <c r="B136" s="1" t="n">
        <v>43996</v>
      </c>
      <c r="C136" s="0" t="n">
        <v>1464</v>
      </c>
      <c r="D136" s="0" t="n">
        <f aca="false">C136-C135</f>
        <v>0</v>
      </c>
      <c r="E136" s="0" t="n">
        <v>55</v>
      </c>
      <c r="F136" s="0" t="n">
        <f aca="false">E136-E135</f>
        <v>0</v>
      </c>
      <c r="G136" s="0" t="n">
        <v>953</v>
      </c>
      <c r="H136" s="0" t="n">
        <v>456</v>
      </c>
      <c r="I136" s="0" t="n">
        <v>0</v>
      </c>
      <c r="J136" s="0" t="n">
        <v>221</v>
      </c>
      <c r="K136" s="0" t="n">
        <v>8</v>
      </c>
    </row>
    <row r="137" customFormat="false" ht="13.5" hidden="false" customHeight="false" outlineLevel="0" collapsed="false">
      <c r="A137" s="0" t="s">
        <v>118</v>
      </c>
      <c r="B137" s="1" t="n">
        <v>43997</v>
      </c>
      <c r="C137" s="0" t="n">
        <v>1464</v>
      </c>
      <c r="D137" s="0" t="n">
        <f aca="false">C137-C136</f>
        <v>0</v>
      </c>
      <c r="E137" s="0" t="n">
        <v>55</v>
      </c>
      <c r="F137" s="0" t="n">
        <f aca="false">E137-E136</f>
        <v>0</v>
      </c>
      <c r="G137" s="0" t="n">
        <v>953</v>
      </c>
      <c r="H137" s="0" t="n">
        <v>456</v>
      </c>
      <c r="I137" s="0" t="n">
        <v>0</v>
      </c>
      <c r="J137" s="0" t="n">
        <v>221</v>
      </c>
      <c r="K137" s="0" t="n">
        <v>8</v>
      </c>
    </row>
    <row r="138" customFormat="false" ht="13.5" hidden="false" customHeight="false" outlineLevel="0" collapsed="false">
      <c r="A138" s="0" t="s">
        <v>118</v>
      </c>
      <c r="B138" s="1" t="n">
        <v>43998</v>
      </c>
      <c r="C138" s="0" t="n">
        <v>1464</v>
      </c>
      <c r="D138" s="0" t="n">
        <f aca="false">C138-C137</f>
        <v>0</v>
      </c>
      <c r="E138" s="0" t="n">
        <v>55</v>
      </c>
      <c r="F138" s="0" t="n">
        <f aca="false">E138-E137</f>
        <v>0</v>
      </c>
      <c r="G138" s="0" t="n">
        <v>953</v>
      </c>
      <c r="H138" s="0" t="n">
        <v>456</v>
      </c>
      <c r="I138" s="0" t="n">
        <v>0</v>
      </c>
      <c r="J138" s="0" t="n">
        <v>221</v>
      </c>
      <c r="K138" s="0" t="n">
        <v>8</v>
      </c>
    </row>
    <row r="139" customFormat="false" ht="13.5" hidden="false" customHeight="false" outlineLevel="0" collapsed="false">
      <c r="A139" s="0" t="s">
        <v>118</v>
      </c>
      <c r="B139" s="1" t="n">
        <v>43999</v>
      </c>
      <c r="C139" s="0" t="n">
        <v>1823</v>
      </c>
      <c r="D139" s="0" t="n">
        <f aca="false">C139-C138</f>
        <v>359</v>
      </c>
      <c r="E139" s="0" t="n">
        <v>64</v>
      </c>
      <c r="F139" s="0" t="n">
        <f aca="false">E139-E138</f>
        <v>9</v>
      </c>
      <c r="G139" s="0" t="n">
        <v>1238</v>
      </c>
      <c r="H139" s="0" t="n">
        <v>521</v>
      </c>
      <c r="I139" s="0" t="n">
        <v>0</v>
      </c>
      <c r="J139" s="0" t="n">
        <v>275</v>
      </c>
      <c r="K139" s="0" t="n">
        <v>10</v>
      </c>
    </row>
    <row r="140" customFormat="false" ht="13.5" hidden="false" customHeight="false" outlineLevel="0" collapsed="false">
      <c r="A140" s="0" t="s">
        <v>118</v>
      </c>
      <c r="B140" s="1" t="n">
        <v>44000</v>
      </c>
      <c r="C140" s="0" t="n">
        <v>1823</v>
      </c>
      <c r="D140" s="0" t="n">
        <f aca="false">C140-C139</f>
        <v>0</v>
      </c>
      <c r="E140" s="0" t="n">
        <v>64</v>
      </c>
      <c r="F140" s="0" t="n">
        <f aca="false">E140-E139</f>
        <v>0</v>
      </c>
      <c r="G140" s="0" t="n">
        <v>1238</v>
      </c>
      <c r="H140" s="0" t="n">
        <v>521</v>
      </c>
      <c r="I140" s="0" t="n">
        <v>0</v>
      </c>
      <c r="J140" s="0" t="n">
        <v>275</v>
      </c>
      <c r="K140" s="0" t="n">
        <v>10</v>
      </c>
    </row>
    <row r="141" customFormat="false" ht="13.5" hidden="false" customHeight="false" outlineLevel="0" collapsed="false">
      <c r="A141" s="0" t="s">
        <v>118</v>
      </c>
      <c r="B141" s="1" t="n">
        <v>44001</v>
      </c>
      <c r="C141" s="0" t="n">
        <v>1823</v>
      </c>
      <c r="D141" s="0" t="n">
        <f aca="false">C141-C140</f>
        <v>0</v>
      </c>
      <c r="E141" s="0" t="n">
        <v>64</v>
      </c>
      <c r="F141" s="0" t="n">
        <f aca="false">E141-E140</f>
        <v>0</v>
      </c>
      <c r="G141" s="0" t="n">
        <v>1238</v>
      </c>
      <c r="H141" s="0" t="n">
        <v>521</v>
      </c>
      <c r="I141" s="0" t="n">
        <v>0</v>
      </c>
      <c r="J141" s="0" t="n">
        <v>275</v>
      </c>
      <c r="K141" s="0" t="n">
        <v>10</v>
      </c>
    </row>
    <row r="142" customFormat="false" ht="13.5" hidden="false" customHeight="false" outlineLevel="0" collapsed="false">
      <c r="A142" s="0" t="s">
        <v>118</v>
      </c>
      <c r="B142" s="1" t="n">
        <v>44002</v>
      </c>
      <c r="C142" s="0" t="n">
        <v>1823</v>
      </c>
      <c r="D142" s="0" t="n">
        <f aca="false">C142-C141</f>
        <v>0</v>
      </c>
      <c r="E142" s="0" t="n">
        <v>64</v>
      </c>
      <c r="F142" s="0" t="n">
        <f aca="false">E142-E141</f>
        <v>0</v>
      </c>
      <c r="G142" s="0" t="n">
        <v>1238</v>
      </c>
      <c r="H142" s="0" t="n">
        <v>521</v>
      </c>
      <c r="I142" s="0" t="n">
        <v>0</v>
      </c>
      <c r="J142" s="0" t="n">
        <v>275</v>
      </c>
      <c r="K142" s="0" t="n">
        <v>10</v>
      </c>
    </row>
    <row r="143" customFormat="false" ht="13.5" hidden="false" customHeight="false" outlineLevel="0" collapsed="false">
      <c r="A143" s="0" t="s">
        <v>118</v>
      </c>
      <c r="B143" s="1" t="n">
        <v>44003</v>
      </c>
      <c r="C143" s="0" t="n">
        <v>1823</v>
      </c>
      <c r="D143" s="0" t="n">
        <f aca="false">C143-C142</f>
        <v>0</v>
      </c>
      <c r="E143" s="0" t="n">
        <v>64</v>
      </c>
      <c r="F143" s="0" t="n">
        <v>0</v>
      </c>
      <c r="G143" s="0" t="n">
        <v>1238</v>
      </c>
      <c r="H143" s="0" t="n">
        <v>521</v>
      </c>
      <c r="I143" s="0" t="n">
        <v>0</v>
      </c>
      <c r="J143" s="0" t="n">
        <v>275</v>
      </c>
      <c r="K143" s="0" t="n">
        <v>10</v>
      </c>
    </row>
    <row r="144" customFormat="false" ht="13.5" hidden="false" customHeight="false" outlineLevel="0" collapsed="false">
      <c r="A144" s="0" t="s">
        <v>118</v>
      </c>
      <c r="B144" s="1" t="n">
        <v>44004</v>
      </c>
      <c r="C144" s="0" t="n">
        <v>1823</v>
      </c>
      <c r="D144" s="0" t="n">
        <f aca="false">C144-C143</f>
        <v>0</v>
      </c>
      <c r="E144" s="0" t="n">
        <v>64</v>
      </c>
      <c r="F144" s="0" t="n">
        <v>0</v>
      </c>
      <c r="G144" s="0" t="n">
        <v>1238</v>
      </c>
      <c r="H144" s="0" t="n">
        <v>521</v>
      </c>
      <c r="I144" s="0" t="n">
        <v>0</v>
      </c>
      <c r="J144" s="0" t="n">
        <v>275</v>
      </c>
      <c r="K144" s="0" t="n">
        <v>10</v>
      </c>
    </row>
    <row r="145" customFormat="false" ht="13.5" hidden="false" customHeight="false" outlineLevel="0" collapsed="false">
      <c r="A145" s="0" t="s">
        <v>118</v>
      </c>
      <c r="B145" s="1" t="n">
        <v>44005</v>
      </c>
      <c r="C145" s="0" t="n">
        <v>1823</v>
      </c>
      <c r="D145" s="0" t="n">
        <f aca="false">C145-C144</f>
        <v>0</v>
      </c>
      <c r="E145" s="0" t="n">
        <v>64</v>
      </c>
      <c r="F145" s="0" t="n">
        <v>0</v>
      </c>
      <c r="G145" s="0" t="n">
        <v>1238</v>
      </c>
      <c r="H145" s="0" t="n">
        <v>521</v>
      </c>
      <c r="I145" s="0" t="n">
        <v>0</v>
      </c>
      <c r="J145" s="0" t="n">
        <v>275</v>
      </c>
      <c r="K145" s="0" t="n">
        <v>10</v>
      </c>
    </row>
    <row r="146" customFormat="false" ht="13.5" hidden="false" customHeight="false" outlineLevel="0" collapsed="false">
      <c r="A146" s="0" t="s">
        <v>118</v>
      </c>
      <c r="B146" s="1" t="n">
        <v>44006</v>
      </c>
      <c r="C146" s="0" t="n">
        <v>1823</v>
      </c>
      <c r="D146" s="0" t="n">
        <f aca="false">C146-C145</f>
        <v>0</v>
      </c>
      <c r="E146" s="0" t="n">
        <v>64</v>
      </c>
      <c r="F146" s="0" t="n">
        <v>0</v>
      </c>
      <c r="G146" s="0" t="n">
        <v>1238</v>
      </c>
      <c r="H146" s="0" t="n">
        <v>521</v>
      </c>
      <c r="I146" s="0" t="n">
        <v>0</v>
      </c>
      <c r="J146" s="0" t="n">
        <v>275</v>
      </c>
      <c r="K146" s="0" t="n">
        <v>10</v>
      </c>
    </row>
    <row r="147" customFormat="false" ht="13.5" hidden="false" customHeight="false" outlineLevel="0" collapsed="false">
      <c r="A147" s="0" t="s">
        <v>118</v>
      </c>
      <c r="B147" s="1" t="n">
        <v>44007</v>
      </c>
      <c r="C147" s="0" t="n">
        <v>2170</v>
      </c>
      <c r="D147" s="0" t="n">
        <f aca="false">C147-C146</f>
        <v>347</v>
      </c>
      <c r="E147" s="0" t="n">
        <v>74</v>
      </c>
      <c r="F147" s="0" t="n">
        <v>10</v>
      </c>
      <c r="G147" s="0" t="n">
        <v>1238</v>
      </c>
      <c r="H147" s="0" t="n">
        <v>858</v>
      </c>
      <c r="I147" s="0" t="n">
        <v>0</v>
      </c>
      <c r="J147" s="0" t="n">
        <v>328</v>
      </c>
      <c r="K147" s="0" t="n">
        <v>11</v>
      </c>
    </row>
    <row r="148" customFormat="false" ht="13.5" hidden="false" customHeight="false" outlineLevel="0" collapsed="false">
      <c r="A148" s="0" t="s">
        <v>118</v>
      </c>
      <c r="B148" s="1" t="n">
        <v>44008</v>
      </c>
      <c r="C148" s="0" t="n">
        <v>2170</v>
      </c>
      <c r="D148" s="0" t="n">
        <v>0</v>
      </c>
      <c r="E148" s="0" t="n">
        <v>74</v>
      </c>
      <c r="F148" s="0" t="n">
        <v>0</v>
      </c>
      <c r="G148" s="0" t="n">
        <v>1238</v>
      </c>
      <c r="H148" s="0" t="n">
        <v>858</v>
      </c>
      <c r="I148" s="0" t="n">
        <v>0</v>
      </c>
      <c r="J148" s="0" t="n">
        <v>328</v>
      </c>
      <c r="K148" s="0" t="n">
        <v>11</v>
      </c>
    </row>
    <row r="149" customFormat="false" ht="13.5" hidden="false" customHeight="false" outlineLevel="0" collapsed="false">
      <c r="A149" s="0" t="s">
        <v>118</v>
      </c>
      <c r="B149" s="1" t="n">
        <v>44009</v>
      </c>
      <c r="C149" s="0" t="n">
        <v>2170</v>
      </c>
      <c r="D149" s="0" t="n">
        <v>0</v>
      </c>
      <c r="E149" s="0" t="n">
        <v>74</v>
      </c>
      <c r="F149" s="0" t="n">
        <v>0</v>
      </c>
      <c r="G149" s="0" t="n">
        <v>1238</v>
      </c>
      <c r="H149" s="0" t="n">
        <v>858</v>
      </c>
      <c r="I149" s="0" t="n">
        <v>0</v>
      </c>
      <c r="J149" s="0" t="n">
        <v>328</v>
      </c>
      <c r="K149" s="0" t="n">
        <v>11</v>
      </c>
    </row>
    <row r="150" customFormat="false" ht="13.5" hidden="false" customHeight="false" outlineLevel="0" collapsed="false">
      <c r="A150" s="0" t="s">
        <v>118</v>
      </c>
      <c r="B150" s="1" t="n">
        <v>44010</v>
      </c>
      <c r="C150" s="0" t="n">
        <v>2170</v>
      </c>
      <c r="D150" s="0" t="n">
        <v>0</v>
      </c>
      <c r="E150" s="0" t="n">
        <v>74</v>
      </c>
      <c r="F150" s="0" t="n">
        <v>0</v>
      </c>
      <c r="G150" s="0" t="n">
        <v>1238</v>
      </c>
      <c r="H150" s="0" t="n">
        <v>858</v>
      </c>
      <c r="I150" s="0" t="n">
        <v>0</v>
      </c>
      <c r="J150" s="0" t="n">
        <v>328</v>
      </c>
      <c r="K150" s="0" t="n">
        <v>11</v>
      </c>
    </row>
    <row r="151" customFormat="false" ht="13.5" hidden="false" customHeight="false" outlineLevel="0" collapsed="false">
      <c r="A151" s="0" t="s">
        <v>118</v>
      </c>
      <c r="B151" s="1" t="n">
        <v>44011</v>
      </c>
      <c r="C151" s="0" t="n">
        <v>2170</v>
      </c>
      <c r="D151" s="0" t="n">
        <v>0</v>
      </c>
      <c r="E151" s="0" t="n">
        <v>74</v>
      </c>
      <c r="F151" s="0" t="n">
        <v>0</v>
      </c>
      <c r="G151" s="0" t="n">
        <v>1238</v>
      </c>
      <c r="H151" s="0" t="n">
        <v>858</v>
      </c>
      <c r="I151" s="0" t="n">
        <v>0</v>
      </c>
      <c r="J151" s="0" t="n">
        <v>328</v>
      </c>
      <c r="K151" s="0" t="n">
        <v>11</v>
      </c>
    </row>
    <row r="152" customFormat="false" ht="13.5" hidden="false" customHeight="false" outlineLevel="0" collapsed="false">
      <c r="A152" s="0" t="s">
        <v>118</v>
      </c>
      <c r="B152" s="1" t="n">
        <v>44012</v>
      </c>
    </row>
    <row r="153" customFormat="false" ht="13.5" hidden="false" customHeight="false" outlineLevel="0" collapsed="false">
      <c r="A153" s="0" t="s">
        <v>118</v>
      </c>
      <c r="B153" s="1" t="n">
        <v>44013</v>
      </c>
    </row>
    <row r="154" customFormat="false" ht="13.5" hidden="false" customHeight="false" outlineLevel="0" collapsed="false">
      <c r="A154" s="0" t="s">
        <v>118</v>
      </c>
      <c r="B154" s="1" t="n">
        <v>44014</v>
      </c>
    </row>
    <row r="155" customFormat="false" ht="13.5" hidden="false" customHeight="false" outlineLevel="0" collapsed="false">
      <c r="A155" s="0" t="s">
        <v>118</v>
      </c>
      <c r="B155" s="1" t="n">
        <v>44015</v>
      </c>
    </row>
    <row r="156" customFormat="false" ht="13.5" hidden="false" customHeight="false" outlineLevel="0" collapsed="false">
      <c r="A156" s="0" t="s">
        <v>118</v>
      </c>
      <c r="B156" s="1" t="n">
        <v>44016</v>
      </c>
    </row>
    <row r="157" customFormat="false" ht="13.5" hidden="false" customHeight="false" outlineLevel="0" collapsed="false">
      <c r="A157" s="0" t="s">
        <v>118</v>
      </c>
      <c r="B157" s="1" t="n">
        <v>44017</v>
      </c>
    </row>
    <row r="158" customFormat="false" ht="13.5" hidden="false" customHeight="false" outlineLevel="0" collapsed="false">
      <c r="A158" s="0" t="s">
        <v>118</v>
      </c>
      <c r="B158" s="1" t="n">
        <v>44018</v>
      </c>
    </row>
    <row r="159" customFormat="false" ht="13.5" hidden="false" customHeight="false" outlineLevel="0" collapsed="false">
      <c r="A159" s="0" t="s">
        <v>118</v>
      </c>
      <c r="B159" s="1" t="n">
        <v>44019</v>
      </c>
    </row>
    <row r="160" customFormat="false" ht="13.5" hidden="false" customHeight="false" outlineLevel="0" collapsed="false">
      <c r="A160" s="0" t="s">
        <v>118</v>
      </c>
      <c r="B160" s="1" t="n">
        <v>44020</v>
      </c>
    </row>
    <row r="161" customFormat="false" ht="13.5" hidden="false" customHeight="false" outlineLevel="0" collapsed="false">
      <c r="A161" s="0" t="s">
        <v>118</v>
      </c>
      <c r="B161" s="1" t="n">
        <v>44021</v>
      </c>
    </row>
    <row r="162" customFormat="false" ht="13.5" hidden="false" customHeight="false" outlineLevel="0" collapsed="false">
      <c r="A162" s="0" t="s">
        <v>118</v>
      </c>
      <c r="B162" s="1" t="n">
        <v>44022</v>
      </c>
    </row>
    <row r="163" customFormat="false" ht="13.5" hidden="false" customHeight="false" outlineLevel="0" collapsed="false">
      <c r="A163" s="0" t="s">
        <v>118</v>
      </c>
      <c r="B163" s="1" t="n">
        <v>44023</v>
      </c>
    </row>
    <row r="164" customFormat="false" ht="13.5" hidden="false" customHeight="false" outlineLevel="0" collapsed="false">
      <c r="A164" s="0" t="s">
        <v>118</v>
      </c>
      <c r="B164" s="1" t="n">
        <v>44024</v>
      </c>
    </row>
    <row r="165" customFormat="false" ht="13.5" hidden="false" customHeight="false" outlineLevel="0" collapsed="false">
      <c r="A165" s="0" t="s">
        <v>118</v>
      </c>
      <c r="B165" s="1" t="n">
        <v>44025</v>
      </c>
    </row>
    <row r="166" customFormat="false" ht="13.5" hidden="false" customHeight="false" outlineLevel="0" collapsed="false">
      <c r="A166" s="0" t="s">
        <v>118</v>
      </c>
      <c r="B166" s="1" t="n">
        <v>44026</v>
      </c>
    </row>
    <row r="167" customFormat="false" ht="13.5" hidden="false" customHeight="false" outlineLevel="0" collapsed="false">
      <c r="A167" s="0" t="s">
        <v>118</v>
      </c>
      <c r="B167" s="1" t="n">
        <v>44027</v>
      </c>
    </row>
    <row r="168" customFormat="false" ht="13.5" hidden="false" customHeight="false" outlineLevel="0" collapsed="false">
      <c r="A168" s="0" t="s">
        <v>118</v>
      </c>
      <c r="B168" s="1" t="n">
        <v>44028</v>
      </c>
    </row>
    <row r="169" customFormat="false" ht="13.5" hidden="false" customHeight="false" outlineLevel="0" collapsed="false">
      <c r="A169" s="0" t="s">
        <v>118</v>
      </c>
      <c r="B169" s="1" t="n">
        <v>44029</v>
      </c>
    </row>
    <row r="170" customFormat="false" ht="13.5" hidden="false" customHeight="false" outlineLevel="0" collapsed="false">
      <c r="A170" s="0" t="s">
        <v>118</v>
      </c>
      <c r="B170" s="1" t="n">
        <v>44030</v>
      </c>
    </row>
    <row r="171" customFormat="false" ht="13.5" hidden="false" customHeight="false" outlineLevel="0" collapsed="false">
      <c r="A171" s="0" t="s">
        <v>118</v>
      </c>
      <c r="B171" s="1" t="n">
        <v>44031</v>
      </c>
    </row>
    <row r="172" customFormat="false" ht="13.5" hidden="false" customHeight="false" outlineLevel="0" collapsed="false">
      <c r="A172" s="0" t="s">
        <v>118</v>
      </c>
      <c r="B172" s="1" t="n">
        <v>44032</v>
      </c>
    </row>
    <row r="173" customFormat="false" ht="13.5" hidden="false" customHeight="false" outlineLevel="0" collapsed="false">
      <c r="A173" s="0" t="s">
        <v>118</v>
      </c>
      <c r="B173" s="1" t="n">
        <v>44033</v>
      </c>
    </row>
    <row r="174" customFormat="false" ht="13.5" hidden="false" customHeight="false" outlineLevel="0" collapsed="false">
      <c r="A174" s="0" t="s">
        <v>118</v>
      </c>
      <c r="B174" s="1" t="n">
        <v>44034</v>
      </c>
    </row>
    <row r="175" customFormat="false" ht="13.5" hidden="false" customHeight="false" outlineLevel="0" collapsed="false">
      <c r="A175" s="0" t="s">
        <v>118</v>
      </c>
      <c r="B175" s="1" t="n">
        <v>44035</v>
      </c>
    </row>
    <row r="176" customFormat="false" ht="13.5" hidden="false" customHeight="false" outlineLevel="0" collapsed="false">
      <c r="A176" s="0" t="s">
        <v>118</v>
      </c>
      <c r="B176" s="1" t="n">
        <v>44036</v>
      </c>
    </row>
    <row r="177" customFormat="false" ht="13.5" hidden="false" customHeight="false" outlineLevel="0" collapsed="false">
      <c r="A177" s="0" t="s">
        <v>118</v>
      </c>
      <c r="B177" s="1" t="n">
        <v>44037</v>
      </c>
    </row>
    <row r="178" customFormat="false" ht="13.5" hidden="false" customHeight="false" outlineLevel="0" collapsed="false">
      <c r="A178" s="0" t="s">
        <v>118</v>
      </c>
      <c r="B178" s="1" t="n">
        <v>44038</v>
      </c>
    </row>
    <row r="179" customFormat="false" ht="13.5" hidden="false" customHeight="false" outlineLevel="0" collapsed="false">
      <c r="A179" s="0" t="s">
        <v>118</v>
      </c>
      <c r="B179" s="1" t="n">
        <v>44039</v>
      </c>
    </row>
    <row r="180" customFormat="false" ht="13.5" hidden="false" customHeight="false" outlineLevel="0" collapsed="false">
      <c r="A180" s="0" t="s">
        <v>118</v>
      </c>
      <c r="B180" s="1" t="n">
        <v>44040</v>
      </c>
    </row>
    <row r="181" customFormat="false" ht="13.5" hidden="false" customHeight="false" outlineLevel="0" collapsed="false">
      <c r="A181" s="0" t="s">
        <v>118</v>
      </c>
      <c r="B181" s="1" t="n">
        <v>44041</v>
      </c>
    </row>
    <row r="182" customFormat="false" ht="13.5" hidden="false" customHeight="false" outlineLevel="0" collapsed="false">
      <c r="A182" s="0" t="s">
        <v>118</v>
      </c>
      <c r="B182" s="1" t="n">
        <v>44042</v>
      </c>
    </row>
    <row r="183" customFormat="false" ht="13.5" hidden="false" customHeight="false" outlineLevel="0" collapsed="false">
      <c r="A183" s="0" t="s">
        <v>118</v>
      </c>
      <c r="B183" s="1" t="n">
        <v>44043</v>
      </c>
    </row>
    <row r="184" customFormat="false" ht="13.5" hidden="false" customHeight="false" outlineLevel="0" collapsed="false">
      <c r="A184" s="0" t="s">
        <v>118</v>
      </c>
      <c r="B184" s="1" t="n">
        <v>44044</v>
      </c>
    </row>
    <row r="185" customFormat="false" ht="13.5" hidden="false" customHeight="false" outlineLevel="0" collapsed="false">
      <c r="A185" s="0" t="s">
        <v>118</v>
      </c>
      <c r="B185" s="1" t="n">
        <v>44045</v>
      </c>
    </row>
    <row r="186" customFormat="false" ht="13.5" hidden="false" customHeight="false" outlineLevel="0" collapsed="false">
      <c r="A186" s="0" t="s">
        <v>118</v>
      </c>
      <c r="B186" s="1" t="n">
        <v>44046</v>
      </c>
    </row>
    <row r="187" customFormat="false" ht="13.5" hidden="false" customHeight="false" outlineLevel="0" collapsed="false">
      <c r="A187" s="0" t="s">
        <v>118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1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119</v>
      </c>
      <c r="B2" s="1" t="n">
        <v>43862</v>
      </c>
    </row>
    <row r="3" customFormat="false" ht="13.5" hidden="false" customHeight="false" outlineLevel="0" collapsed="false">
      <c r="A3" s="0" t="s">
        <v>119</v>
      </c>
      <c r="B3" s="1" t="n">
        <v>43863</v>
      </c>
    </row>
    <row r="4" customFormat="false" ht="13.5" hidden="false" customHeight="false" outlineLevel="0" collapsed="false">
      <c r="A4" s="0" t="s">
        <v>119</v>
      </c>
      <c r="B4" s="1" t="n">
        <v>43864</v>
      </c>
    </row>
    <row r="5" customFormat="false" ht="13.5" hidden="false" customHeight="false" outlineLevel="0" collapsed="false">
      <c r="A5" s="0" t="s">
        <v>119</v>
      </c>
      <c r="B5" s="1" t="n">
        <v>43865</v>
      </c>
    </row>
    <row r="6" customFormat="false" ht="13.5" hidden="false" customHeight="false" outlineLevel="0" collapsed="false">
      <c r="A6" s="0" t="s">
        <v>119</v>
      </c>
      <c r="B6" s="1" t="n">
        <v>43866</v>
      </c>
    </row>
    <row r="7" customFormat="false" ht="13.5" hidden="false" customHeight="false" outlineLevel="0" collapsed="false">
      <c r="A7" s="0" t="s">
        <v>119</v>
      </c>
      <c r="B7" s="1" t="n">
        <v>43867</v>
      </c>
    </row>
    <row r="8" customFormat="false" ht="13.5" hidden="false" customHeight="false" outlineLevel="0" collapsed="false">
      <c r="A8" s="0" t="s">
        <v>119</v>
      </c>
      <c r="B8" s="1" t="n">
        <v>43868</v>
      </c>
    </row>
    <row r="9" customFormat="false" ht="13.5" hidden="false" customHeight="false" outlineLevel="0" collapsed="false">
      <c r="A9" s="0" t="s">
        <v>119</v>
      </c>
      <c r="B9" s="1" t="n">
        <v>43869</v>
      </c>
    </row>
    <row r="10" customFormat="false" ht="13.5" hidden="false" customHeight="false" outlineLevel="0" collapsed="false">
      <c r="A10" s="0" t="s">
        <v>119</v>
      </c>
      <c r="B10" s="1" t="n">
        <v>43870</v>
      </c>
    </row>
    <row r="11" customFormat="false" ht="13.5" hidden="false" customHeight="false" outlineLevel="0" collapsed="false">
      <c r="A11" s="0" t="s">
        <v>119</v>
      </c>
      <c r="B11" s="1" t="n">
        <v>43871</v>
      </c>
    </row>
    <row r="12" customFormat="false" ht="13.5" hidden="false" customHeight="false" outlineLevel="0" collapsed="false">
      <c r="A12" s="0" t="s">
        <v>119</v>
      </c>
      <c r="B12" s="1" t="n">
        <v>43872</v>
      </c>
    </row>
    <row r="13" customFormat="false" ht="13.5" hidden="false" customHeight="false" outlineLevel="0" collapsed="false">
      <c r="A13" s="0" t="s">
        <v>119</v>
      </c>
      <c r="B13" s="1" t="n">
        <v>43873</v>
      </c>
    </row>
    <row r="14" customFormat="false" ht="13.5" hidden="false" customHeight="false" outlineLevel="0" collapsed="false">
      <c r="A14" s="0" t="s">
        <v>119</v>
      </c>
      <c r="B14" s="1" t="n">
        <v>43874</v>
      </c>
    </row>
    <row r="15" customFormat="false" ht="13.5" hidden="false" customHeight="false" outlineLevel="0" collapsed="false">
      <c r="A15" s="0" t="s">
        <v>119</v>
      </c>
      <c r="B15" s="1" t="n">
        <v>43875</v>
      </c>
    </row>
    <row r="16" customFormat="false" ht="13.5" hidden="false" customHeight="false" outlineLevel="0" collapsed="false">
      <c r="A16" s="0" t="s">
        <v>119</v>
      </c>
      <c r="B16" s="1" t="n">
        <v>43876</v>
      </c>
    </row>
    <row r="17" customFormat="false" ht="13.5" hidden="false" customHeight="false" outlineLevel="0" collapsed="false">
      <c r="A17" s="0" t="s">
        <v>119</v>
      </c>
      <c r="B17" s="1" t="n">
        <v>43877</v>
      </c>
    </row>
    <row r="18" customFormat="false" ht="13.5" hidden="false" customHeight="false" outlineLevel="0" collapsed="false">
      <c r="A18" s="0" t="s">
        <v>119</v>
      </c>
      <c r="B18" s="1" t="n">
        <v>43878</v>
      </c>
    </row>
    <row r="19" customFormat="false" ht="13.5" hidden="false" customHeight="false" outlineLevel="0" collapsed="false">
      <c r="A19" s="0" t="s">
        <v>119</v>
      </c>
      <c r="B19" s="1" t="n">
        <v>43879</v>
      </c>
    </row>
    <row r="20" customFormat="false" ht="13.5" hidden="false" customHeight="false" outlineLevel="0" collapsed="false">
      <c r="A20" s="0" t="s">
        <v>119</v>
      </c>
      <c r="B20" s="1" t="n">
        <v>43880</v>
      </c>
    </row>
    <row r="21" customFormat="false" ht="13.5" hidden="false" customHeight="false" outlineLevel="0" collapsed="false">
      <c r="A21" s="0" t="s">
        <v>119</v>
      </c>
      <c r="B21" s="1" t="n">
        <v>43881</v>
      </c>
    </row>
    <row r="22" customFormat="false" ht="13.5" hidden="false" customHeight="false" outlineLevel="0" collapsed="false">
      <c r="A22" s="0" t="s">
        <v>119</v>
      </c>
      <c r="B22" s="1" t="n">
        <v>43882</v>
      </c>
    </row>
    <row r="23" customFormat="false" ht="13.5" hidden="false" customHeight="false" outlineLevel="0" collapsed="false">
      <c r="A23" s="0" t="s">
        <v>119</v>
      </c>
      <c r="B23" s="1" t="n">
        <v>43883</v>
      </c>
    </row>
    <row r="24" customFormat="false" ht="13.5" hidden="false" customHeight="false" outlineLevel="0" collapsed="false">
      <c r="A24" s="0" t="s">
        <v>119</v>
      </c>
      <c r="B24" s="1" t="n">
        <v>43884</v>
      </c>
    </row>
    <row r="25" customFormat="false" ht="13.5" hidden="false" customHeight="false" outlineLevel="0" collapsed="false">
      <c r="A25" s="0" t="s">
        <v>119</v>
      </c>
      <c r="B25" s="1" t="n">
        <v>43885</v>
      </c>
    </row>
    <row r="26" customFormat="false" ht="13.5" hidden="false" customHeight="false" outlineLevel="0" collapsed="false">
      <c r="A26" s="0" t="s">
        <v>119</v>
      </c>
      <c r="B26" s="1" t="n">
        <v>43886</v>
      </c>
    </row>
    <row r="27" customFormat="false" ht="13.5" hidden="false" customHeight="false" outlineLevel="0" collapsed="false">
      <c r="A27" s="0" t="s">
        <v>119</v>
      </c>
      <c r="B27" s="1" t="n">
        <v>43887</v>
      </c>
    </row>
    <row r="28" customFormat="false" ht="13.5" hidden="false" customHeight="false" outlineLevel="0" collapsed="false">
      <c r="A28" s="0" t="s">
        <v>119</v>
      </c>
      <c r="B28" s="1" t="n">
        <v>43888</v>
      </c>
    </row>
    <row r="29" customFormat="false" ht="13.5" hidden="false" customHeight="false" outlineLevel="0" collapsed="false">
      <c r="A29" s="0" t="s">
        <v>119</v>
      </c>
      <c r="B29" s="1" t="n">
        <v>43889</v>
      </c>
    </row>
    <row r="30" customFormat="false" ht="13.5" hidden="false" customHeight="false" outlineLevel="0" collapsed="false">
      <c r="A30" s="0" t="s">
        <v>119</v>
      </c>
      <c r="B30" s="1" t="n">
        <v>43890</v>
      </c>
    </row>
    <row r="31" customFormat="false" ht="13.5" hidden="false" customHeight="false" outlineLevel="0" collapsed="false">
      <c r="A31" s="0" t="s">
        <v>119</v>
      </c>
      <c r="B31" s="1" t="n">
        <v>43891</v>
      </c>
    </row>
    <row r="32" customFormat="false" ht="13.5" hidden="false" customHeight="false" outlineLevel="0" collapsed="false">
      <c r="A32" s="0" t="s">
        <v>119</v>
      </c>
      <c r="B32" s="1" t="n">
        <v>43892</v>
      </c>
    </row>
    <row r="33" customFormat="false" ht="13.5" hidden="false" customHeight="false" outlineLevel="0" collapsed="false">
      <c r="A33" s="0" t="s">
        <v>119</v>
      </c>
      <c r="B33" s="1" t="n">
        <v>43893</v>
      </c>
    </row>
    <row r="34" customFormat="false" ht="13.5" hidden="false" customHeight="false" outlineLevel="0" collapsed="false">
      <c r="A34" s="0" t="s">
        <v>119</v>
      </c>
      <c r="B34" s="1" t="n">
        <v>43894</v>
      </c>
    </row>
    <row r="35" customFormat="false" ht="13.5" hidden="false" customHeight="false" outlineLevel="0" collapsed="false">
      <c r="A35" s="0" t="s">
        <v>119</v>
      </c>
      <c r="B35" s="1" t="n">
        <v>43895</v>
      </c>
    </row>
    <row r="36" customFormat="false" ht="13.5" hidden="false" customHeight="false" outlineLevel="0" collapsed="false">
      <c r="A36" s="0" t="s">
        <v>119</v>
      </c>
      <c r="B36" s="1" t="n">
        <v>43896</v>
      </c>
    </row>
    <row r="37" customFormat="false" ht="13.5" hidden="false" customHeight="false" outlineLevel="0" collapsed="false">
      <c r="A37" s="0" t="s">
        <v>119</v>
      </c>
      <c r="B37" s="1" t="n">
        <v>43897</v>
      </c>
    </row>
    <row r="38" customFormat="false" ht="13.5" hidden="false" customHeight="false" outlineLevel="0" collapsed="false">
      <c r="A38" s="0" t="s">
        <v>119</v>
      </c>
      <c r="B38" s="1" t="n">
        <v>43898</v>
      </c>
    </row>
    <row r="39" customFormat="false" ht="13.5" hidden="false" customHeight="false" outlineLevel="0" collapsed="false">
      <c r="A39" s="0" t="s">
        <v>119</v>
      </c>
      <c r="B39" s="1" t="n">
        <v>43899</v>
      </c>
    </row>
    <row r="40" customFormat="false" ht="13.5" hidden="false" customHeight="false" outlineLevel="0" collapsed="false">
      <c r="A40" s="0" t="s">
        <v>119</v>
      </c>
      <c r="B40" s="1" t="n">
        <v>43900</v>
      </c>
    </row>
    <row r="41" customFormat="false" ht="13.5" hidden="false" customHeight="false" outlineLevel="0" collapsed="false">
      <c r="A41" s="0" t="s">
        <v>119</v>
      </c>
      <c r="B41" s="1" t="n">
        <v>43901</v>
      </c>
    </row>
    <row r="42" customFormat="false" ht="13.5" hidden="false" customHeight="false" outlineLevel="0" collapsed="false">
      <c r="A42" s="0" t="s">
        <v>119</v>
      </c>
      <c r="B42" s="1" t="n">
        <v>43902</v>
      </c>
    </row>
    <row r="43" customFormat="false" ht="13.5" hidden="false" customHeight="false" outlineLevel="0" collapsed="false">
      <c r="A43" s="0" t="s">
        <v>119</v>
      </c>
      <c r="B43" s="1" t="n">
        <v>43903</v>
      </c>
    </row>
    <row r="44" customFormat="false" ht="13.5" hidden="false" customHeight="false" outlineLevel="0" collapsed="false">
      <c r="A44" s="0" t="s">
        <v>119</v>
      </c>
      <c r="B44" s="1" t="n">
        <v>43904</v>
      </c>
    </row>
    <row r="45" customFormat="false" ht="13.5" hidden="false" customHeight="false" outlineLevel="0" collapsed="false">
      <c r="A45" s="0" t="s">
        <v>119</v>
      </c>
      <c r="B45" s="1" t="n">
        <v>43905</v>
      </c>
    </row>
    <row r="46" customFormat="false" ht="13.5" hidden="false" customHeight="false" outlineLevel="0" collapsed="false">
      <c r="A46" s="0" t="s">
        <v>119</v>
      </c>
      <c r="B46" s="1" t="n">
        <v>43906</v>
      </c>
    </row>
    <row r="47" customFormat="false" ht="13.5" hidden="false" customHeight="false" outlineLevel="0" collapsed="false">
      <c r="A47" s="0" t="s">
        <v>119</v>
      </c>
      <c r="B47" s="1" t="n">
        <v>43907</v>
      </c>
    </row>
    <row r="48" customFormat="false" ht="13.5" hidden="false" customHeight="false" outlineLevel="0" collapsed="false">
      <c r="A48" s="0" t="s">
        <v>119</v>
      </c>
      <c r="B48" s="1" t="n">
        <v>43908</v>
      </c>
    </row>
    <row r="49" customFormat="false" ht="13.5" hidden="false" customHeight="false" outlineLevel="0" collapsed="false">
      <c r="A49" s="0" t="s">
        <v>119</v>
      </c>
      <c r="B49" s="1" t="n">
        <v>43909</v>
      </c>
    </row>
    <row r="50" customFormat="false" ht="13.5" hidden="false" customHeight="false" outlineLevel="0" collapsed="false">
      <c r="A50" s="0" t="s">
        <v>119</v>
      </c>
      <c r="B50" s="1" t="n">
        <v>43910</v>
      </c>
    </row>
    <row r="51" customFormat="false" ht="13.5" hidden="false" customHeight="false" outlineLevel="0" collapsed="false">
      <c r="A51" s="0" t="s">
        <v>119</v>
      </c>
      <c r="B51" s="1" t="n">
        <v>43911</v>
      </c>
    </row>
    <row r="52" customFormat="false" ht="13.5" hidden="false" customHeight="false" outlineLevel="0" collapsed="false">
      <c r="A52" s="0" t="s">
        <v>119</v>
      </c>
      <c r="B52" s="1" t="n">
        <v>43912</v>
      </c>
    </row>
    <row r="53" customFormat="false" ht="13.5" hidden="false" customHeight="false" outlineLevel="0" collapsed="false">
      <c r="A53" s="0" t="s">
        <v>119</v>
      </c>
      <c r="B53" s="1" t="n">
        <v>43913</v>
      </c>
    </row>
    <row r="54" customFormat="false" ht="13.5" hidden="false" customHeight="false" outlineLevel="0" collapsed="false">
      <c r="A54" s="0" t="s">
        <v>119</v>
      </c>
      <c r="B54" s="1" t="n">
        <v>43914</v>
      </c>
    </row>
    <row r="55" customFormat="false" ht="13.5" hidden="false" customHeight="false" outlineLevel="0" collapsed="false">
      <c r="A55" s="0" t="s">
        <v>119</v>
      </c>
      <c r="B55" s="1" t="n">
        <v>43915</v>
      </c>
    </row>
    <row r="56" customFormat="false" ht="13.5" hidden="false" customHeight="false" outlineLevel="0" collapsed="false">
      <c r="A56" s="0" t="s">
        <v>119</v>
      </c>
      <c r="B56" s="1" t="n">
        <v>43916</v>
      </c>
      <c r="C56" s="0" t="n">
        <v>2</v>
      </c>
      <c r="D56" s="0" t="n">
        <f aca="false">C56-C55</f>
        <v>2</v>
      </c>
      <c r="H56" s="0" t="n">
        <v>2</v>
      </c>
      <c r="J56" s="0" t="n">
        <v>0.1</v>
      </c>
    </row>
    <row r="57" customFormat="false" ht="13.5" hidden="false" customHeight="false" outlineLevel="0" collapsed="false">
      <c r="A57" s="0" t="s">
        <v>119</v>
      </c>
      <c r="B57" s="1" t="n">
        <v>43917</v>
      </c>
      <c r="C57" s="0" t="n">
        <v>4</v>
      </c>
      <c r="D57" s="0" t="n">
        <f aca="false">C57-C56</f>
        <v>2</v>
      </c>
      <c r="H57" s="0" t="n">
        <v>4</v>
      </c>
      <c r="J57" s="0" t="n">
        <v>0.2</v>
      </c>
    </row>
    <row r="58" customFormat="false" ht="13.5" hidden="false" customHeight="false" outlineLevel="0" collapsed="false">
      <c r="A58" s="0" t="s">
        <v>119</v>
      </c>
      <c r="B58" s="1" t="n">
        <v>43918</v>
      </c>
      <c r="C58" s="0" t="n">
        <v>11</v>
      </c>
      <c r="D58" s="0" t="n">
        <f aca="false">C58-C57</f>
        <v>7</v>
      </c>
      <c r="H58" s="0" t="n">
        <v>11</v>
      </c>
      <c r="J58" s="0" t="n">
        <v>0.5</v>
      </c>
    </row>
    <row r="59" customFormat="false" ht="13.5" hidden="false" customHeight="false" outlineLevel="0" collapsed="false">
      <c r="A59" s="0" t="s">
        <v>119</v>
      </c>
      <c r="B59" s="1" t="n">
        <v>43919</v>
      </c>
      <c r="C59" s="0" t="n">
        <v>18</v>
      </c>
      <c r="D59" s="0" t="n">
        <f aca="false">C59-C58</f>
        <v>7</v>
      </c>
      <c r="H59" s="0" t="n">
        <v>18</v>
      </c>
      <c r="J59" s="0" t="n">
        <v>0.9</v>
      </c>
    </row>
    <row r="60" customFormat="false" ht="13.5" hidden="false" customHeight="false" outlineLevel="0" collapsed="false">
      <c r="A60" s="0" t="s">
        <v>119</v>
      </c>
      <c r="B60" s="1" t="n">
        <v>43920</v>
      </c>
      <c r="C60" s="0" t="n">
        <v>18</v>
      </c>
      <c r="D60" s="0" t="n">
        <f aca="false">C60-C59</f>
        <v>0</v>
      </c>
      <c r="E60" s="0" t="n">
        <v>1</v>
      </c>
      <c r="F60" s="0" t="n">
        <f aca="false">E60-E59</f>
        <v>1</v>
      </c>
      <c r="H60" s="0" t="n">
        <v>17</v>
      </c>
      <c r="J60" s="0" t="n">
        <v>0.9</v>
      </c>
      <c r="K60" s="0" t="n">
        <v>0.05</v>
      </c>
    </row>
    <row r="61" customFormat="false" ht="13.5" hidden="false" customHeight="false" outlineLevel="0" collapsed="false">
      <c r="A61" s="0" t="s">
        <v>119</v>
      </c>
      <c r="B61" s="1" t="n">
        <v>43921</v>
      </c>
      <c r="C61" s="0" t="n">
        <v>25</v>
      </c>
      <c r="D61" s="0" t="n">
        <f aca="false">C61-C60</f>
        <v>7</v>
      </c>
      <c r="E61" s="0" t="n">
        <v>2</v>
      </c>
      <c r="F61" s="0" t="n">
        <f aca="false">E61-E60</f>
        <v>1</v>
      </c>
      <c r="H61" s="0" t="n">
        <v>23</v>
      </c>
      <c r="J61" s="0" t="n">
        <v>1</v>
      </c>
      <c r="K61" s="0" t="n">
        <v>0.1</v>
      </c>
    </row>
    <row r="62" customFormat="false" ht="13.5" hidden="false" customHeight="false" outlineLevel="0" collapsed="false">
      <c r="A62" s="0" t="s">
        <v>119</v>
      </c>
      <c r="B62" s="1" t="n">
        <v>43922</v>
      </c>
      <c r="C62" s="0" t="n">
        <v>28</v>
      </c>
      <c r="D62" s="0" t="n">
        <f aca="false">C62-C61</f>
        <v>3</v>
      </c>
      <c r="E62" s="0" t="n">
        <v>2</v>
      </c>
      <c r="F62" s="0" t="n">
        <f aca="false">E62-E61</f>
        <v>0</v>
      </c>
      <c r="H62" s="0" t="n">
        <v>26</v>
      </c>
      <c r="J62" s="0" t="n">
        <v>1</v>
      </c>
      <c r="K62" s="0" t="n">
        <v>0.1</v>
      </c>
    </row>
    <row r="63" customFormat="false" ht="13.5" hidden="false" customHeight="false" outlineLevel="0" collapsed="false">
      <c r="A63" s="0" t="s">
        <v>119</v>
      </c>
      <c r="B63" s="1" t="n">
        <v>43923</v>
      </c>
      <c r="C63" s="0" t="n">
        <v>31</v>
      </c>
      <c r="D63" s="0" t="n">
        <f aca="false">C63-C62</f>
        <v>3</v>
      </c>
      <c r="E63" s="0" t="n">
        <v>3</v>
      </c>
      <c r="F63" s="0" t="n">
        <f aca="false">E63-E62</f>
        <v>1</v>
      </c>
      <c r="H63" s="0" t="n">
        <v>28</v>
      </c>
      <c r="J63" s="0" t="n">
        <v>2</v>
      </c>
      <c r="K63" s="0" t="n">
        <v>0.1</v>
      </c>
    </row>
    <row r="64" customFormat="false" ht="13.5" hidden="false" customHeight="false" outlineLevel="0" collapsed="false">
      <c r="A64" s="0" t="s">
        <v>119</v>
      </c>
      <c r="B64" s="1" t="n">
        <v>43924</v>
      </c>
      <c r="C64" s="0" t="n">
        <v>36</v>
      </c>
      <c r="D64" s="0" t="n">
        <f aca="false">C64-C63</f>
        <v>5</v>
      </c>
      <c r="E64" s="0" t="n">
        <v>3</v>
      </c>
      <c r="F64" s="0" t="n">
        <f aca="false">E64-E63</f>
        <v>0</v>
      </c>
      <c r="H64" s="0" t="n">
        <v>33</v>
      </c>
      <c r="J64" s="0" t="n">
        <v>2</v>
      </c>
      <c r="K64" s="0" t="n">
        <v>0.1</v>
      </c>
    </row>
    <row r="65" customFormat="false" ht="13.5" hidden="false" customHeight="false" outlineLevel="0" collapsed="false">
      <c r="A65" s="0" t="s">
        <v>119</v>
      </c>
      <c r="B65" s="1" t="n">
        <v>43925</v>
      </c>
      <c r="C65" s="0" t="n">
        <v>39</v>
      </c>
      <c r="D65" s="0" t="n">
        <f aca="false">C65-C64</f>
        <v>3</v>
      </c>
      <c r="E65" s="0" t="n">
        <v>3</v>
      </c>
      <c r="F65" s="0" t="n">
        <f aca="false">E65-E64</f>
        <v>0</v>
      </c>
      <c r="H65" s="0" t="n">
        <v>36</v>
      </c>
      <c r="J65" s="0" t="n">
        <v>2</v>
      </c>
      <c r="K65" s="0" t="n">
        <v>0.1</v>
      </c>
    </row>
    <row r="66" customFormat="false" ht="13.5" hidden="false" customHeight="false" outlineLevel="0" collapsed="false">
      <c r="A66" s="0" t="s">
        <v>119</v>
      </c>
      <c r="B66" s="1" t="n">
        <v>43926</v>
      </c>
      <c r="C66" s="0" t="n">
        <v>41</v>
      </c>
      <c r="D66" s="0" t="n">
        <f aca="false">C66-C65</f>
        <v>2</v>
      </c>
      <c r="E66" s="0" t="n">
        <v>3</v>
      </c>
      <c r="F66" s="0" t="n">
        <f aca="false">E66-E65</f>
        <v>0</v>
      </c>
      <c r="G66" s="0" t="n">
        <v>1</v>
      </c>
      <c r="H66" s="0" t="n">
        <v>37</v>
      </c>
      <c r="J66" s="0" t="n">
        <v>2</v>
      </c>
      <c r="K66" s="0" t="n">
        <v>0.1</v>
      </c>
    </row>
    <row r="67" customFormat="false" ht="13.5" hidden="false" customHeight="false" outlineLevel="0" collapsed="false">
      <c r="A67" s="0" t="s">
        <v>119</v>
      </c>
      <c r="B67" s="1" t="n">
        <v>43927</v>
      </c>
      <c r="C67" s="0" t="n">
        <v>45</v>
      </c>
      <c r="D67" s="0" t="n">
        <f aca="false">C67-C66</f>
        <v>4</v>
      </c>
      <c r="E67" s="0" t="n">
        <v>5</v>
      </c>
      <c r="F67" s="0" t="n">
        <f aca="false">E67-E66</f>
        <v>2</v>
      </c>
      <c r="G67" s="0" t="n">
        <v>1</v>
      </c>
      <c r="H67" s="0" t="n">
        <v>39</v>
      </c>
      <c r="J67" s="0" t="n">
        <v>2</v>
      </c>
      <c r="K67" s="0" t="n">
        <v>0.2</v>
      </c>
    </row>
    <row r="68" customFormat="false" ht="13.5" hidden="false" customHeight="false" outlineLevel="0" collapsed="false">
      <c r="A68" s="0" t="s">
        <v>119</v>
      </c>
      <c r="B68" s="1" t="n">
        <v>43928</v>
      </c>
      <c r="C68" s="0" t="n">
        <v>47</v>
      </c>
      <c r="D68" s="0" t="n">
        <f aca="false">C68-C67</f>
        <v>2</v>
      </c>
      <c r="E68" s="0" t="n">
        <v>5</v>
      </c>
      <c r="F68" s="0" t="n">
        <f aca="false">E68-E67</f>
        <v>0</v>
      </c>
      <c r="G68" s="0" t="n">
        <v>9</v>
      </c>
      <c r="H68" s="0" t="n">
        <v>33</v>
      </c>
      <c r="J68" s="0" t="n">
        <v>2</v>
      </c>
      <c r="K68" s="0" t="n">
        <v>0.2</v>
      </c>
    </row>
    <row r="69" customFormat="false" ht="13.5" hidden="false" customHeight="false" outlineLevel="0" collapsed="false">
      <c r="A69" s="0" t="s">
        <v>119</v>
      </c>
      <c r="B69" s="1" t="n">
        <v>43929</v>
      </c>
      <c r="C69" s="0" t="n">
        <v>56</v>
      </c>
      <c r="D69" s="0" t="n">
        <f aca="false">C69-C68</f>
        <v>9</v>
      </c>
      <c r="E69" s="0" t="n">
        <v>5</v>
      </c>
      <c r="F69" s="0" t="n">
        <f aca="false">E69-E68</f>
        <v>0</v>
      </c>
      <c r="G69" s="0" t="n">
        <v>12</v>
      </c>
      <c r="H69" s="0" t="n">
        <v>39</v>
      </c>
      <c r="J69" s="0" t="n">
        <v>3</v>
      </c>
      <c r="K69" s="0" t="n">
        <v>0.2</v>
      </c>
    </row>
    <row r="70" customFormat="false" ht="13.5" hidden="false" customHeight="false" outlineLevel="0" collapsed="false">
      <c r="A70" s="0" t="s">
        <v>119</v>
      </c>
      <c r="B70" s="1" t="n">
        <v>43930</v>
      </c>
      <c r="C70" s="0" t="n">
        <v>59</v>
      </c>
      <c r="D70" s="0" t="n">
        <f aca="false">C70-C69</f>
        <v>3</v>
      </c>
      <c r="E70" s="0" t="n">
        <v>7</v>
      </c>
      <c r="F70" s="0" t="n">
        <f aca="false">E70-E69</f>
        <v>2</v>
      </c>
      <c r="G70" s="0" t="n">
        <v>16</v>
      </c>
      <c r="H70" s="0" t="n">
        <v>36</v>
      </c>
      <c r="J70" s="0" t="n">
        <v>3</v>
      </c>
      <c r="K70" s="0" t="n">
        <v>0.3</v>
      </c>
    </row>
    <row r="71" customFormat="false" ht="13.5" hidden="false" customHeight="false" outlineLevel="0" collapsed="false">
      <c r="A71" s="0" t="s">
        <v>119</v>
      </c>
      <c r="B71" s="1" t="n">
        <v>43931</v>
      </c>
      <c r="C71" s="0" t="n">
        <v>74</v>
      </c>
      <c r="D71" s="0" t="n">
        <f aca="false">C71-C70</f>
        <v>15</v>
      </c>
      <c r="E71" s="0" t="n">
        <v>7</v>
      </c>
      <c r="F71" s="0" t="n">
        <f aca="false">E71-E70</f>
        <v>0</v>
      </c>
      <c r="G71" s="0" t="n">
        <v>22</v>
      </c>
      <c r="H71" s="0" t="n">
        <v>45</v>
      </c>
      <c r="J71" s="0" t="n">
        <v>4</v>
      </c>
      <c r="K71" s="0" t="n">
        <v>0.3</v>
      </c>
    </row>
    <row r="72" customFormat="false" ht="13.5" hidden="false" customHeight="false" outlineLevel="0" collapsed="false">
      <c r="A72" s="0" t="s">
        <v>119</v>
      </c>
      <c r="B72" s="1" t="n">
        <v>43932</v>
      </c>
      <c r="C72" s="0" t="n">
        <v>87</v>
      </c>
      <c r="D72" s="0" t="n">
        <f aca="false">C72-C71</f>
        <v>13</v>
      </c>
      <c r="E72" s="0" t="n">
        <v>7</v>
      </c>
      <c r="F72" s="0" t="n">
        <f aca="false">E72-E71</f>
        <v>0</v>
      </c>
      <c r="G72" s="0" t="n">
        <v>22</v>
      </c>
      <c r="H72" s="0" t="n">
        <v>58</v>
      </c>
      <c r="J72" s="0" t="n">
        <v>4</v>
      </c>
      <c r="K72" s="0" t="n">
        <v>0.3</v>
      </c>
    </row>
    <row r="73" customFormat="false" ht="13.5" hidden="false" customHeight="false" outlineLevel="0" collapsed="false">
      <c r="A73" s="0" t="s">
        <v>119</v>
      </c>
      <c r="B73" s="1" t="n">
        <v>43933</v>
      </c>
      <c r="C73" s="0" t="n">
        <v>87</v>
      </c>
      <c r="D73" s="0" t="n">
        <f aca="false">C73-C72</f>
        <v>0</v>
      </c>
      <c r="E73" s="0" t="n">
        <v>7</v>
      </c>
      <c r="F73" s="0" t="n">
        <f aca="false">E73-E72</f>
        <v>0</v>
      </c>
      <c r="G73" s="0" t="n">
        <v>22</v>
      </c>
      <c r="H73" s="0" t="n">
        <v>58</v>
      </c>
      <c r="J73" s="0" t="n">
        <v>4</v>
      </c>
      <c r="K73" s="0" t="n">
        <v>0.3</v>
      </c>
    </row>
    <row r="74" customFormat="false" ht="13.5" hidden="false" customHeight="false" outlineLevel="0" collapsed="false">
      <c r="A74" s="0" t="s">
        <v>119</v>
      </c>
      <c r="B74" s="1" t="n">
        <v>43934</v>
      </c>
      <c r="C74" s="0" t="n">
        <v>105</v>
      </c>
      <c r="D74" s="0" t="n">
        <f aca="false">C74-C73</f>
        <v>18</v>
      </c>
      <c r="E74" s="0" t="n">
        <v>9</v>
      </c>
      <c r="F74" s="0" t="n">
        <f aca="false">E74-E73</f>
        <v>2</v>
      </c>
      <c r="G74" s="0" t="n">
        <v>22</v>
      </c>
      <c r="H74" s="0" t="n">
        <v>74</v>
      </c>
      <c r="J74" s="0" t="n">
        <v>5</v>
      </c>
      <c r="K74" s="0" t="n">
        <v>0.4</v>
      </c>
    </row>
    <row r="75" customFormat="false" ht="13.5" hidden="false" customHeight="false" outlineLevel="0" collapsed="false">
      <c r="A75" s="0" t="s">
        <v>119</v>
      </c>
      <c r="B75" s="1" t="n">
        <v>43935</v>
      </c>
      <c r="C75" s="0" t="n">
        <v>123</v>
      </c>
      <c r="D75" s="0" t="n">
        <f aca="false">C75-C74</f>
        <v>18</v>
      </c>
      <c r="E75" s="0" t="n">
        <v>10</v>
      </c>
      <c r="F75" s="0" t="n">
        <f aca="false">E75-E74</f>
        <v>1</v>
      </c>
      <c r="G75" s="0" t="n">
        <v>26</v>
      </c>
      <c r="H75" s="0" t="n">
        <v>87</v>
      </c>
      <c r="I75" s="0" t="n">
        <v>0</v>
      </c>
      <c r="J75" s="0" t="n">
        <v>6</v>
      </c>
      <c r="K75" s="0" t="n">
        <v>0.5</v>
      </c>
    </row>
    <row r="76" customFormat="false" ht="13.5" hidden="false" customHeight="false" outlineLevel="0" collapsed="false">
      <c r="A76" s="0" t="s">
        <v>119</v>
      </c>
      <c r="B76" s="1" t="n">
        <v>43936</v>
      </c>
      <c r="C76" s="0" t="n">
        <v>144</v>
      </c>
      <c r="D76" s="0" t="n">
        <f aca="false">C76-C75</f>
        <v>21</v>
      </c>
      <c r="E76" s="0" t="n">
        <v>13</v>
      </c>
      <c r="F76" s="0" t="n">
        <f aca="false">E76-E75</f>
        <v>3</v>
      </c>
      <c r="G76" s="0" t="n">
        <v>34</v>
      </c>
      <c r="H76" s="0" t="n">
        <v>97</v>
      </c>
      <c r="I76" s="0" t="n">
        <v>0</v>
      </c>
      <c r="J76" s="0" t="n">
        <v>7</v>
      </c>
      <c r="K76" s="0" t="n">
        <v>0.6</v>
      </c>
    </row>
    <row r="77" customFormat="false" ht="13.5" hidden="false" customHeight="false" outlineLevel="0" collapsed="false">
      <c r="A77" s="0" t="s">
        <v>119</v>
      </c>
      <c r="B77" s="1" t="n">
        <v>43937</v>
      </c>
      <c r="C77" s="0" t="n">
        <v>148</v>
      </c>
      <c r="D77" s="0" t="n">
        <f aca="false">C77-C76</f>
        <v>4</v>
      </c>
      <c r="E77" s="0" t="n">
        <v>13</v>
      </c>
      <c r="F77" s="0" t="n">
        <f aca="false">E77-E76</f>
        <v>0</v>
      </c>
      <c r="G77" s="0" t="n">
        <v>34</v>
      </c>
      <c r="H77" s="0" t="n">
        <v>101</v>
      </c>
      <c r="I77" s="0" t="n">
        <v>0</v>
      </c>
      <c r="J77" s="0" t="n">
        <v>7</v>
      </c>
      <c r="K77" s="0" t="n">
        <v>0.6</v>
      </c>
    </row>
    <row r="78" customFormat="false" ht="13.5" hidden="false" customHeight="false" outlineLevel="0" collapsed="false">
      <c r="A78" s="0" t="s">
        <v>119</v>
      </c>
      <c r="B78" s="1" t="n">
        <v>43938</v>
      </c>
      <c r="C78" s="0" t="n">
        <v>171</v>
      </c>
      <c r="D78" s="0" t="n">
        <f aca="false">C78-C77</f>
        <v>23</v>
      </c>
      <c r="E78" s="0" t="n">
        <v>13</v>
      </c>
      <c r="F78" s="0" t="n">
        <f aca="false">E78-E77</f>
        <v>0</v>
      </c>
      <c r="G78" s="0" t="n">
        <v>34</v>
      </c>
      <c r="H78" s="0" t="n">
        <v>124</v>
      </c>
      <c r="I78" s="0" t="n">
        <v>0</v>
      </c>
      <c r="J78" s="0" t="n">
        <v>8</v>
      </c>
      <c r="K78" s="0" t="n">
        <v>0.6</v>
      </c>
    </row>
    <row r="79" customFormat="false" ht="13.5" hidden="false" customHeight="false" outlineLevel="0" collapsed="false">
      <c r="A79" s="0" t="s">
        <v>119</v>
      </c>
      <c r="B79" s="1" t="n">
        <v>43939</v>
      </c>
      <c r="C79" s="0" t="n">
        <v>171</v>
      </c>
      <c r="D79" s="0" t="n">
        <f aca="false">C79-C78</f>
        <v>0</v>
      </c>
      <c r="E79" s="0" t="n">
        <v>13</v>
      </c>
      <c r="F79" s="0" t="n">
        <f aca="false">E79-E78</f>
        <v>0</v>
      </c>
      <c r="G79" s="0" t="n">
        <v>34</v>
      </c>
      <c r="H79" s="0" t="n">
        <v>124</v>
      </c>
      <c r="I79" s="0" t="n">
        <v>0</v>
      </c>
      <c r="J79" s="0" t="n">
        <v>8</v>
      </c>
      <c r="K79" s="0" t="n">
        <v>0.6</v>
      </c>
    </row>
    <row r="80" customFormat="false" ht="13.5" hidden="false" customHeight="false" outlineLevel="0" collapsed="false">
      <c r="A80" s="0" t="s">
        <v>119</v>
      </c>
      <c r="B80" s="1" t="n">
        <v>43940</v>
      </c>
      <c r="C80" s="0" t="n">
        <v>216</v>
      </c>
      <c r="D80" s="0" t="n">
        <f aca="false">C80-C79</f>
        <v>45</v>
      </c>
      <c r="E80" s="0" t="n">
        <v>13</v>
      </c>
      <c r="F80" s="0" t="n">
        <f aca="false">E80-E79</f>
        <v>0</v>
      </c>
      <c r="G80" s="0" t="n">
        <v>41</v>
      </c>
      <c r="H80" s="0" t="n">
        <v>162</v>
      </c>
      <c r="I80" s="0" t="n">
        <v>0</v>
      </c>
      <c r="J80" s="0" t="n">
        <v>11</v>
      </c>
      <c r="K80" s="0" t="n">
        <v>0.6</v>
      </c>
    </row>
    <row r="81" customFormat="false" ht="13.5" hidden="false" customHeight="false" outlineLevel="0" collapsed="false">
      <c r="A81" s="0" t="s">
        <v>119</v>
      </c>
      <c r="B81" s="1" t="n">
        <v>43941</v>
      </c>
      <c r="C81" s="0" t="n">
        <v>224</v>
      </c>
      <c r="D81" s="0" t="n">
        <f aca="false">C81-C80</f>
        <v>8</v>
      </c>
      <c r="E81" s="0" t="n">
        <v>14</v>
      </c>
      <c r="F81" s="0" t="n">
        <f aca="false">E81-E80</f>
        <v>1</v>
      </c>
      <c r="G81" s="0" t="n">
        <v>42</v>
      </c>
      <c r="H81" s="0" t="n">
        <v>168</v>
      </c>
      <c r="I81" s="0" t="n">
        <v>0</v>
      </c>
      <c r="J81" s="0" t="n">
        <v>11</v>
      </c>
      <c r="K81" s="0" t="n">
        <v>0.7</v>
      </c>
    </row>
    <row r="82" customFormat="false" ht="13.5" hidden="false" customHeight="false" outlineLevel="0" collapsed="false">
      <c r="A82" s="0" t="s">
        <v>119</v>
      </c>
      <c r="B82" s="1" t="n">
        <v>43942</v>
      </c>
      <c r="C82" s="0" t="n">
        <v>224</v>
      </c>
      <c r="D82" s="0" t="n">
        <f aca="false">C82-C81</f>
        <v>0</v>
      </c>
      <c r="E82" s="0" t="n">
        <v>14</v>
      </c>
      <c r="F82" s="0" t="n">
        <f aca="false">E82-E81</f>
        <v>0</v>
      </c>
      <c r="G82" s="0" t="n">
        <v>42</v>
      </c>
      <c r="H82" s="0" t="n">
        <v>168</v>
      </c>
      <c r="I82" s="0" t="n">
        <v>0</v>
      </c>
      <c r="J82" s="0" t="n">
        <v>11</v>
      </c>
      <c r="K82" s="0" t="n">
        <v>0.7</v>
      </c>
    </row>
    <row r="83" customFormat="false" ht="13.5" hidden="false" customHeight="false" outlineLevel="0" collapsed="false">
      <c r="A83" s="0" t="s">
        <v>119</v>
      </c>
      <c r="B83" s="1" t="n">
        <v>43943</v>
      </c>
      <c r="C83" s="0" t="n">
        <v>258</v>
      </c>
      <c r="D83" s="0" t="n">
        <f aca="false">C83-C82</f>
        <v>34</v>
      </c>
      <c r="E83" s="0" t="n">
        <v>14</v>
      </c>
      <c r="F83" s="0" t="n">
        <f aca="false">E83-E82</f>
        <v>0</v>
      </c>
      <c r="G83" s="0" t="n">
        <v>57</v>
      </c>
      <c r="H83" s="0" t="n">
        <v>187</v>
      </c>
      <c r="I83" s="0" t="n">
        <v>0</v>
      </c>
      <c r="J83" s="0" t="n">
        <v>13</v>
      </c>
      <c r="K83" s="0" t="n">
        <v>0.7</v>
      </c>
    </row>
    <row r="84" customFormat="false" ht="13.5" hidden="false" customHeight="false" outlineLevel="0" collapsed="false">
      <c r="A84" s="0" t="s">
        <v>119</v>
      </c>
      <c r="B84" s="1" t="n">
        <v>43944</v>
      </c>
      <c r="C84" s="0" t="n">
        <v>293</v>
      </c>
      <c r="D84" s="0" t="n">
        <f aca="false">C84-C83</f>
        <v>35</v>
      </c>
      <c r="E84" s="0" t="n">
        <v>17</v>
      </c>
      <c r="F84" s="0" t="n">
        <f aca="false">E84-E83</f>
        <v>3</v>
      </c>
      <c r="G84" s="0" t="n">
        <v>73</v>
      </c>
      <c r="H84" s="0" t="n">
        <v>203</v>
      </c>
      <c r="I84" s="0" t="n">
        <v>0</v>
      </c>
      <c r="J84" s="0" t="n">
        <v>14</v>
      </c>
      <c r="K84" s="0" t="n">
        <v>0.8</v>
      </c>
      <c r="L84" s="0" t="n">
        <v>2023</v>
      </c>
      <c r="M84" s="0" t="n">
        <v>100</v>
      </c>
    </row>
    <row r="85" customFormat="false" ht="13.5" hidden="false" customHeight="false" outlineLevel="0" collapsed="false">
      <c r="A85" s="0" t="s">
        <v>119</v>
      </c>
      <c r="B85" s="1" t="n">
        <v>43945</v>
      </c>
      <c r="C85" s="0" t="n">
        <v>309</v>
      </c>
      <c r="D85" s="0" t="n">
        <f aca="false">C85-C84</f>
        <v>16</v>
      </c>
      <c r="E85" s="0" t="n">
        <v>21</v>
      </c>
      <c r="F85" s="0" t="n">
        <f aca="false">E85-E84</f>
        <v>4</v>
      </c>
      <c r="G85" s="0" t="n">
        <v>77</v>
      </c>
      <c r="H85" s="0" t="n">
        <v>211</v>
      </c>
      <c r="I85" s="0" t="n">
        <v>0</v>
      </c>
      <c r="J85" s="0" t="n">
        <v>15</v>
      </c>
      <c r="K85" s="0" t="n">
        <v>1</v>
      </c>
      <c r="L85" s="0" t="n">
        <v>2023</v>
      </c>
      <c r="M85" s="0" t="n">
        <v>100</v>
      </c>
    </row>
    <row r="86" customFormat="false" ht="13.5" hidden="false" customHeight="false" outlineLevel="0" collapsed="false">
      <c r="A86" s="0" t="s">
        <v>119</v>
      </c>
      <c r="B86" s="1" t="n">
        <v>43946</v>
      </c>
      <c r="C86" s="0" t="n">
        <v>328</v>
      </c>
      <c r="D86" s="0" t="n">
        <f aca="false">C86-C85</f>
        <v>19</v>
      </c>
      <c r="E86" s="0" t="n">
        <v>16</v>
      </c>
      <c r="F86" s="0" t="n">
        <f aca="false">E86-E85</f>
        <v>-5</v>
      </c>
      <c r="G86" s="0" t="n">
        <v>8</v>
      </c>
      <c r="H86" s="0" t="n">
        <v>304</v>
      </c>
      <c r="I86" s="0" t="n">
        <v>2</v>
      </c>
      <c r="J86" s="0" t="n">
        <v>21</v>
      </c>
      <c r="K86" s="0" t="n">
        <v>1</v>
      </c>
    </row>
    <row r="87" customFormat="false" ht="13.5" hidden="false" customHeight="false" outlineLevel="0" collapsed="false">
      <c r="A87" s="0" t="s">
        <v>119</v>
      </c>
      <c r="B87" s="1" t="n">
        <v>43947</v>
      </c>
      <c r="C87" s="0" t="n">
        <v>370</v>
      </c>
      <c r="D87" s="0" t="n">
        <f aca="false">C87-C86</f>
        <v>42</v>
      </c>
      <c r="E87" s="0" t="n">
        <v>21</v>
      </c>
      <c r="F87" s="0" t="n">
        <f aca="false">E87-E86</f>
        <v>5</v>
      </c>
      <c r="G87" s="0" t="n">
        <v>91</v>
      </c>
      <c r="H87" s="0" t="n">
        <v>258</v>
      </c>
      <c r="I87" s="0" t="n">
        <v>0</v>
      </c>
      <c r="J87" s="0" t="n">
        <v>18</v>
      </c>
      <c r="K87" s="0" t="n">
        <v>1</v>
      </c>
      <c r="L87" s="0" t="n">
        <v>2172</v>
      </c>
      <c r="M87" s="0" t="n">
        <v>107</v>
      </c>
    </row>
    <row r="88" customFormat="false" ht="13.5" hidden="false" customHeight="false" outlineLevel="0" collapsed="false">
      <c r="A88" s="0" t="s">
        <v>119</v>
      </c>
      <c r="B88" s="1" t="n">
        <v>43948</v>
      </c>
      <c r="C88" s="0" t="n">
        <v>389</v>
      </c>
      <c r="D88" s="0" t="n">
        <f aca="false">C88-C87</f>
        <v>19</v>
      </c>
      <c r="E88" s="0" t="n">
        <v>23</v>
      </c>
      <c r="F88" s="0" t="n">
        <f aca="false">E88-E87</f>
        <v>2</v>
      </c>
      <c r="G88" s="0" t="n">
        <v>112</v>
      </c>
      <c r="H88" s="0" t="n">
        <v>254</v>
      </c>
      <c r="I88" s="0" t="n">
        <v>0</v>
      </c>
      <c r="J88" s="0" t="n">
        <v>19</v>
      </c>
      <c r="K88" s="0" t="n">
        <v>1</v>
      </c>
      <c r="L88" s="0" t="n">
        <v>2172</v>
      </c>
      <c r="M88" s="0" t="n">
        <v>107</v>
      </c>
    </row>
    <row r="89" customFormat="false" ht="13.5" hidden="false" customHeight="false" outlineLevel="0" collapsed="false">
      <c r="A89" s="0" t="s">
        <v>119</v>
      </c>
      <c r="B89" s="1" t="n">
        <v>43949</v>
      </c>
      <c r="C89" s="0" t="n">
        <v>408</v>
      </c>
      <c r="D89" s="0" t="n">
        <f aca="false">C89-C88</f>
        <v>19</v>
      </c>
      <c r="E89" s="0" t="n">
        <v>23</v>
      </c>
      <c r="F89" s="0" t="n">
        <f aca="false">E89-E88</f>
        <v>0</v>
      </c>
      <c r="G89" s="0" t="n">
        <v>113</v>
      </c>
      <c r="H89" s="0" t="n">
        <v>272</v>
      </c>
      <c r="I89" s="0" t="n">
        <v>0</v>
      </c>
      <c r="J89" s="0" t="n">
        <v>20</v>
      </c>
      <c r="K89" s="0" t="n">
        <v>1</v>
      </c>
      <c r="L89" s="0" t="n">
        <v>2172</v>
      </c>
      <c r="M89" s="0" t="n">
        <v>107</v>
      </c>
    </row>
    <row r="90" customFormat="false" ht="13.5" hidden="false" customHeight="false" outlineLevel="0" collapsed="false">
      <c r="A90" s="0" t="s">
        <v>119</v>
      </c>
      <c r="B90" s="1" t="n">
        <v>43950</v>
      </c>
      <c r="C90" s="0" t="n">
        <v>424</v>
      </c>
      <c r="D90" s="0" t="n">
        <f aca="false">C90-C89</f>
        <v>16</v>
      </c>
      <c r="E90" s="0" t="n">
        <v>24</v>
      </c>
      <c r="F90" s="0" t="n">
        <f aca="false">E90-E89</f>
        <v>1</v>
      </c>
      <c r="G90" s="0" t="n">
        <v>122</v>
      </c>
      <c r="H90" s="0" t="n">
        <v>278</v>
      </c>
      <c r="I90" s="0" t="n">
        <v>0</v>
      </c>
      <c r="J90" s="0" t="n">
        <v>21</v>
      </c>
      <c r="K90" s="0" t="n">
        <v>1</v>
      </c>
      <c r="L90" s="0" t="n">
        <v>2172</v>
      </c>
      <c r="M90" s="0" t="n">
        <v>107</v>
      </c>
    </row>
    <row r="91" customFormat="false" ht="13.5" hidden="false" customHeight="false" outlineLevel="0" collapsed="false">
      <c r="A91" s="0" t="s">
        <v>119</v>
      </c>
      <c r="B91" s="1" t="n">
        <v>43951</v>
      </c>
      <c r="C91" s="0" t="n">
        <v>582</v>
      </c>
      <c r="D91" s="0" t="n">
        <f aca="false">C91-C90</f>
        <v>158</v>
      </c>
      <c r="E91" s="0" t="n">
        <v>28</v>
      </c>
      <c r="F91" s="0" t="n">
        <f aca="false">E91-E90</f>
        <v>4</v>
      </c>
      <c r="G91" s="0" t="n">
        <v>20</v>
      </c>
      <c r="H91" s="0" t="n">
        <v>534</v>
      </c>
      <c r="I91" s="0" t="n">
        <v>2</v>
      </c>
      <c r="J91" s="0" t="n">
        <v>37</v>
      </c>
      <c r="K91" s="0" t="n">
        <v>2</v>
      </c>
    </row>
    <row r="92" customFormat="false" ht="13.5" hidden="false" customHeight="false" outlineLevel="0" collapsed="false">
      <c r="A92" s="0" t="s">
        <v>119</v>
      </c>
      <c r="B92" s="1" t="n">
        <v>43952</v>
      </c>
      <c r="C92" s="0" t="n">
        <v>490</v>
      </c>
      <c r="D92" s="0" t="n">
        <f aca="false">C92-C91</f>
        <v>-92</v>
      </c>
      <c r="E92" s="0" t="n">
        <v>26</v>
      </c>
      <c r="F92" s="0" t="n">
        <f aca="false">E92-E91</f>
        <v>-2</v>
      </c>
      <c r="G92" s="0" t="n">
        <v>135</v>
      </c>
      <c r="H92" s="0" t="n">
        <v>329</v>
      </c>
      <c r="I92" s="0" t="n">
        <v>0</v>
      </c>
      <c r="J92" s="0" t="n">
        <v>24</v>
      </c>
      <c r="K92" s="0" t="n">
        <v>1</v>
      </c>
      <c r="L92" s="0" t="n">
        <v>2172</v>
      </c>
      <c r="M92" s="0" t="n">
        <v>107</v>
      </c>
    </row>
    <row r="93" customFormat="false" ht="13.5" hidden="false" customHeight="false" outlineLevel="0" collapsed="false">
      <c r="A93" s="0" t="s">
        <v>119</v>
      </c>
      <c r="B93" s="1" t="n">
        <v>43953</v>
      </c>
      <c r="C93" s="0" t="n">
        <v>508</v>
      </c>
      <c r="D93" s="0" t="n">
        <f aca="false">C93-C92</f>
        <v>18</v>
      </c>
      <c r="E93" s="0" t="n">
        <v>26</v>
      </c>
      <c r="F93" s="0" t="n">
        <f aca="false">E93-E92</f>
        <v>0</v>
      </c>
      <c r="G93" s="0" t="n">
        <v>196</v>
      </c>
      <c r="H93" s="0" t="n">
        <v>286</v>
      </c>
      <c r="I93" s="0" t="n">
        <v>0</v>
      </c>
      <c r="J93" s="0" t="n">
        <v>25</v>
      </c>
      <c r="K93" s="0" t="n">
        <v>1</v>
      </c>
      <c r="L93" s="0" t="n">
        <v>2172</v>
      </c>
      <c r="M93" s="0" t="n">
        <v>107</v>
      </c>
    </row>
    <row r="94" customFormat="false" ht="13.5" hidden="false" customHeight="false" outlineLevel="0" collapsed="false">
      <c r="A94" s="0" t="s">
        <v>119</v>
      </c>
      <c r="B94" s="1" t="n">
        <v>43954</v>
      </c>
      <c r="C94" s="0" t="n">
        <v>544</v>
      </c>
      <c r="D94" s="0" t="n">
        <f aca="false">C94-C93</f>
        <v>36</v>
      </c>
      <c r="E94" s="0" t="n">
        <v>26</v>
      </c>
      <c r="F94" s="0" t="n">
        <f aca="false">E94-E93</f>
        <v>0</v>
      </c>
      <c r="G94" s="0" t="n">
        <v>206</v>
      </c>
      <c r="H94" s="0" t="n">
        <v>312</v>
      </c>
      <c r="I94" s="0" t="n">
        <v>0</v>
      </c>
      <c r="J94" s="0" t="n">
        <v>27</v>
      </c>
      <c r="K94" s="0" t="n">
        <v>1</v>
      </c>
      <c r="L94" s="0" t="n">
        <v>2172</v>
      </c>
      <c r="M94" s="0" t="n">
        <v>107</v>
      </c>
    </row>
    <row r="95" customFormat="false" ht="13.5" hidden="false" customHeight="false" outlineLevel="0" collapsed="false">
      <c r="A95" s="0" t="s">
        <v>119</v>
      </c>
      <c r="B95" s="1" t="n">
        <v>43955</v>
      </c>
      <c r="C95" s="0" t="n">
        <v>563</v>
      </c>
      <c r="D95" s="0" t="n">
        <f aca="false">C95-C94</f>
        <v>19</v>
      </c>
      <c r="E95" s="0" t="n">
        <v>27</v>
      </c>
      <c r="F95" s="0" t="n">
        <f aca="false">E95-E94</f>
        <v>1</v>
      </c>
      <c r="G95" s="0" t="n">
        <v>213</v>
      </c>
      <c r="H95" s="0" t="n">
        <v>323</v>
      </c>
      <c r="I95" s="0" t="n">
        <v>0</v>
      </c>
      <c r="J95" s="0" t="n">
        <v>28</v>
      </c>
      <c r="K95" s="0" t="n">
        <v>1</v>
      </c>
      <c r="L95" s="0" t="n">
        <v>2172</v>
      </c>
      <c r="M95" s="0" t="n">
        <v>107</v>
      </c>
    </row>
    <row r="96" customFormat="false" ht="13.5" hidden="false" customHeight="false" outlineLevel="0" collapsed="false">
      <c r="A96" s="0" t="s">
        <v>119</v>
      </c>
      <c r="B96" s="1" t="n">
        <v>43956</v>
      </c>
      <c r="C96" s="0" t="n">
        <v>580</v>
      </c>
      <c r="D96" s="0" t="n">
        <f aca="false">C96-C95</f>
        <v>17</v>
      </c>
      <c r="E96" s="0" t="n">
        <v>29</v>
      </c>
      <c r="F96" s="0" t="n">
        <f aca="false">E96-E95</f>
        <v>2</v>
      </c>
      <c r="G96" s="0" t="n">
        <v>223</v>
      </c>
      <c r="H96" s="0" t="n">
        <v>328</v>
      </c>
      <c r="I96" s="0" t="n">
        <v>0</v>
      </c>
      <c r="J96" s="0" t="n">
        <v>29</v>
      </c>
      <c r="K96" s="0" t="n">
        <v>1</v>
      </c>
      <c r="L96" s="0" t="n">
        <v>2172</v>
      </c>
      <c r="M96" s="0" t="n">
        <v>107</v>
      </c>
    </row>
    <row r="97" customFormat="false" ht="13.5" hidden="false" customHeight="false" outlineLevel="0" collapsed="false">
      <c r="A97" s="0" t="s">
        <v>119</v>
      </c>
      <c r="B97" s="1" t="n">
        <v>43957</v>
      </c>
      <c r="C97" s="0" t="n">
        <v>612</v>
      </c>
      <c r="D97" s="0" t="n">
        <f aca="false">C97-C96</f>
        <v>32</v>
      </c>
      <c r="E97" s="0" t="n">
        <v>32</v>
      </c>
      <c r="F97" s="0" t="n">
        <f aca="false">E97-E96</f>
        <v>3</v>
      </c>
      <c r="G97" s="0" t="n">
        <v>228</v>
      </c>
      <c r="H97" s="0" t="n">
        <v>352</v>
      </c>
      <c r="I97" s="0" t="n">
        <v>0</v>
      </c>
      <c r="J97" s="0" t="n">
        <v>30</v>
      </c>
      <c r="K97" s="0" t="n">
        <v>2</v>
      </c>
      <c r="L97" s="0" t="n">
        <v>2172</v>
      </c>
      <c r="M97" s="0" t="n">
        <v>107</v>
      </c>
    </row>
    <row r="98" customFormat="false" ht="13.5" hidden="false" customHeight="false" outlineLevel="0" collapsed="false">
      <c r="A98" s="0" t="s">
        <v>119</v>
      </c>
      <c r="B98" s="1" t="n">
        <v>43958</v>
      </c>
      <c r="C98" s="0" t="n">
        <v>631</v>
      </c>
      <c r="D98" s="0" t="n">
        <f aca="false">C98-C97</f>
        <v>19</v>
      </c>
      <c r="E98" s="0" t="n">
        <v>32</v>
      </c>
      <c r="F98" s="0" t="n">
        <f aca="false">E98-E97</f>
        <v>0</v>
      </c>
      <c r="G98" s="0" t="n">
        <v>261</v>
      </c>
      <c r="H98" s="0" t="n">
        <v>338</v>
      </c>
      <c r="I98" s="0" t="n">
        <v>0</v>
      </c>
      <c r="J98" s="0" t="n">
        <v>31</v>
      </c>
      <c r="K98" s="0" t="n">
        <v>2</v>
      </c>
      <c r="L98" s="0" t="n">
        <v>2172</v>
      </c>
      <c r="M98" s="0" t="n">
        <v>107</v>
      </c>
    </row>
    <row r="99" customFormat="false" ht="13.5" hidden="false" customHeight="false" outlineLevel="0" collapsed="false">
      <c r="A99" s="0" t="s">
        <v>119</v>
      </c>
      <c r="B99" s="1" t="n">
        <v>43959</v>
      </c>
      <c r="C99" s="0" t="n">
        <v>650</v>
      </c>
      <c r="D99" s="0" t="n">
        <f aca="false">C99-C98</f>
        <v>19</v>
      </c>
      <c r="E99" s="0" t="n">
        <v>32</v>
      </c>
      <c r="F99" s="0" t="n">
        <f aca="false">E99-E98</f>
        <v>0</v>
      </c>
      <c r="G99" s="0" t="n">
        <v>271</v>
      </c>
      <c r="H99" s="0" t="n">
        <v>347</v>
      </c>
      <c r="I99" s="0" t="n">
        <v>0</v>
      </c>
      <c r="J99" s="0" t="n">
        <v>32</v>
      </c>
      <c r="K99" s="0" t="n">
        <v>2</v>
      </c>
      <c r="L99" s="0" t="n">
        <v>2172</v>
      </c>
      <c r="M99" s="0" t="n">
        <v>107</v>
      </c>
    </row>
    <row r="100" customFormat="false" ht="13.5" hidden="false" customHeight="false" outlineLevel="0" collapsed="false">
      <c r="A100" s="0" t="s">
        <v>119</v>
      </c>
      <c r="B100" s="1" t="n">
        <v>43960</v>
      </c>
      <c r="C100" s="0" t="n">
        <v>668</v>
      </c>
      <c r="D100" s="0" t="n">
        <f aca="false">C100-C99</f>
        <v>18</v>
      </c>
      <c r="E100" s="0" t="n">
        <v>35</v>
      </c>
      <c r="F100" s="0" t="n">
        <f aca="false">E100-E99</f>
        <v>3</v>
      </c>
      <c r="G100" s="0" t="n">
        <v>285</v>
      </c>
      <c r="H100" s="0" t="n">
        <v>348</v>
      </c>
      <c r="I100" s="0" t="n">
        <v>0</v>
      </c>
      <c r="J100" s="0" t="n">
        <v>33</v>
      </c>
      <c r="K100" s="0" t="n">
        <v>2</v>
      </c>
      <c r="L100" s="0" t="n">
        <v>2172</v>
      </c>
      <c r="M100" s="0" t="n">
        <v>107</v>
      </c>
    </row>
    <row r="101" customFormat="false" ht="13.5" hidden="false" customHeight="false" outlineLevel="0" collapsed="false">
      <c r="A101" s="0" t="s">
        <v>119</v>
      </c>
      <c r="B101" s="1" t="n">
        <v>43961</v>
      </c>
      <c r="C101" s="0" t="n">
        <v>692</v>
      </c>
      <c r="D101" s="0" t="n">
        <f aca="false">C101-C100</f>
        <v>24</v>
      </c>
      <c r="E101" s="0" t="n">
        <v>37</v>
      </c>
      <c r="F101" s="0" t="n">
        <f aca="false">E101-E100</f>
        <v>2</v>
      </c>
      <c r="G101" s="0" t="n">
        <v>298</v>
      </c>
      <c r="H101" s="0" t="n">
        <v>357</v>
      </c>
      <c r="I101" s="0" t="n">
        <v>0</v>
      </c>
      <c r="J101" s="0" t="n">
        <v>34</v>
      </c>
      <c r="K101" s="0" t="n">
        <v>2</v>
      </c>
      <c r="L101" s="0" t="n">
        <v>2172</v>
      </c>
      <c r="M101" s="0" t="n">
        <v>107</v>
      </c>
    </row>
    <row r="102" customFormat="false" ht="13.5" hidden="false" customHeight="false" outlineLevel="0" collapsed="false">
      <c r="A102" s="0" t="s">
        <v>119</v>
      </c>
      <c r="B102" s="1" t="n">
        <v>43962</v>
      </c>
      <c r="C102" s="0" t="n">
        <v>704</v>
      </c>
      <c r="D102" s="0" t="n">
        <f aca="false">C102-C101</f>
        <v>12</v>
      </c>
      <c r="E102" s="0" t="n">
        <v>38</v>
      </c>
      <c r="F102" s="0" t="n">
        <f aca="false">E102-E101</f>
        <v>1</v>
      </c>
      <c r="G102" s="0" t="n">
        <v>351</v>
      </c>
      <c r="H102" s="0" t="n">
        <v>315</v>
      </c>
      <c r="I102" s="0" t="n">
        <v>0</v>
      </c>
      <c r="J102" s="0" t="n">
        <v>35</v>
      </c>
      <c r="K102" s="0" t="n">
        <v>2</v>
      </c>
      <c r="L102" s="0" t="n">
        <v>2172</v>
      </c>
      <c r="M102" s="0" t="n">
        <v>107</v>
      </c>
    </row>
    <row r="103" customFormat="false" ht="13.5" hidden="false" customHeight="false" outlineLevel="0" collapsed="false">
      <c r="A103" s="0" t="s">
        <v>119</v>
      </c>
      <c r="B103" s="1" t="n">
        <v>43963</v>
      </c>
      <c r="C103" s="0" t="n">
        <v>712</v>
      </c>
      <c r="D103" s="0" t="n">
        <f aca="false">C103-C102</f>
        <v>8</v>
      </c>
      <c r="E103" s="0" t="n">
        <v>39</v>
      </c>
      <c r="F103" s="0" t="n">
        <f aca="false">E103-E102</f>
        <v>1</v>
      </c>
      <c r="G103" s="0" t="n">
        <v>377</v>
      </c>
      <c r="H103" s="0" t="n">
        <v>296</v>
      </c>
      <c r="I103" s="0" t="n">
        <v>0</v>
      </c>
      <c r="J103" s="0" t="n">
        <v>35</v>
      </c>
      <c r="K103" s="0" t="n">
        <v>2</v>
      </c>
      <c r="L103" s="0" t="n">
        <v>2172</v>
      </c>
      <c r="M103" s="0" t="n">
        <v>107</v>
      </c>
    </row>
    <row r="104" customFormat="false" ht="13.5" hidden="false" customHeight="false" outlineLevel="0" collapsed="false">
      <c r="A104" s="0" t="s">
        <v>119</v>
      </c>
      <c r="B104" s="1" t="n">
        <v>43964</v>
      </c>
      <c r="C104" s="0" t="n">
        <v>730</v>
      </c>
      <c r="D104" s="0" t="n">
        <f aca="false">C104-C103</f>
        <v>18</v>
      </c>
      <c r="E104" s="0" t="n">
        <v>40</v>
      </c>
      <c r="F104" s="0" t="n">
        <f aca="false">E104-E103</f>
        <v>1</v>
      </c>
      <c r="G104" s="0" t="n">
        <v>398</v>
      </c>
      <c r="H104" s="0" t="n">
        <v>292</v>
      </c>
      <c r="I104" s="0" t="n">
        <v>0</v>
      </c>
      <c r="J104" s="0" t="n">
        <v>36</v>
      </c>
      <c r="K104" s="0" t="n">
        <v>2</v>
      </c>
      <c r="L104" s="0" t="n">
        <v>2498</v>
      </c>
      <c r="M104" s="0" t="n">
        <v>123</v>
      </c>
    </row>
    <row r="105" customFormat="false" ht="13.5" hidden="false" customHeight="false" outlineLevel="0" collapsed="false">
      <c r="A105" s="0" t="s">
        <v>119</v>
      </c>
      <c r="B105" s="1" t="n">
        <v>43965</v>
      </c>
      <c r="C105" s="0" t="n">
        <v>758</v>
      </c>
      <c r="D105" s="0" t="n">
        <f aca="false">C105-C104</f>
        <v>28</v>
      </c>
      <c r="E105" s="0" t="n">
        <v>44</v>
      </c>
      <c r="F105" s="0" t="n">
        <f aca="false">E105-E104</f>
        <v>4</v>
      </c>
      <c r="G105" s="0" t="n">
        <v>412</v>
      </c>
      <c r="H105" s="0" t="n">
        <v>302</v>
      </c>
      <c r="I105" s="0" t="n">
        <v>0</v>
      </c>
      <c r="J105" s="0" t="n">
        <v>37</v>
      </c>
      <c r="K105" s="0" t="n">
        <v>2</v>
      </c>
      <c r="L105" s="0" t="n">
        <v>2498</v>
      </c>
      <c r="M105" s="0" t="n">
        <v>123</v>
      </c>
    </row>
    <row r="106" customFormat="false" ht="13.5" hidden="false" customHeight="false" outlineLevel="0" collapsed="false">
      <c r="A106" s="0" t="s">
        <v>119</v>
      </c>
      <c r="B106" s="1" t="n">
        <v>43966</v>
      </c>
      <c r="C106" s="0" t="n">
        <v>779</v>
      </c>
      <c r="D106" s="0" t="n">
        <f aca="false">C106-C105</f>
        <v>21</v>
      </c>
      <c r="E106" s="0" t="n">
        <v>46</v>
      </c>
      <c r="F106" s="0" t="n">
        <f aca="false">E106-E105</f>
        <v>2</v>
      </c>
      <c r="G106" s="0" t="n">
        <v>436</v>
      </c>
      <c r="H106" s="0" t="n">
        <v>297</v>
      </c>
      <c r="I106" s="0" t="n">
        <v>0</v>
      </c>
      <c r="J106" s="0" t="n">
        <v>38</v>
      </c>
      <c r="K106" s="0" t="n">
        <v>2</v>
      </c>
      <c r="L106" s="0" t="n">
        <v>2498</v>
      </c>
      <c r="M106" s="0" t="n">
        <v>123</v>
      </c>
    </row>
    <row r="107" customFormat="false" ht="13.5" hidden="false" customHeight="false" outlineLevel="0" collapsed="false">
      <c r="A107" s="0" t="s">
        <v>119</v>
      </c>
      <c r="B107" s="1" t="n">
        <v>43967</v>
      </c>
      <c r="C107" s="0" t="n">
        <v>806</v>
      </c>
      <c r="D107" s="0" t="n">
        <f aca="false">C107-C106</f>
        <v>27</v>
      </c>
      <c r="E107" s="0" t="n">
        <v>46</v>
      </c>
      <c r="F107" s="0" t="n">
        <f aca="false">E107-E106</f>
        <v>0</v>
      </c>
      <c r="G107" s="0" t="n">
        <v>455</v>
      </c>
      <c r="H107" s="0" t="n">
        <v>305</v>
      </c>
      <c r="I107" s="0" t="n">
        <v>0</v>
      </c>
      <c r="J107" s="0" t="n">
        <v>40</v>
      </c>
      <c r="K107" s="0" t="n">
        <v>2</v>
      </c>
      <c r="L107" s="0" t="n">
        <v>2498</v>
      </c>
      <c r="M107" s="0" t="n">
        <v>124</v>
      </c>
    </row>
    <row r="108" customFormat="false" ht="13.5" hidden="false" customHeight="false" outlineLevel="0" collapsed="false">
      <c r="A108" s="0" t="s">
        <v>119</v>
      </c>
      <c r="B108" s="1" t="n">
        <v>43968</v>
      </c>
      <c r="C108" s="0" t="n">
        <v>835</v>
      </c>
      <c r="D108" s="0" t="n">
        <f aca="false">C108-C107</f>
        <v>29</v>
      </c>
      <c r="E108" s="0" t="n">
        <v>48</v>
      </c>
      <c r="F108" s="0" t="n">
        <f aca="false">E108-E107</f>
        <v>2</v>
      </c>
      <c r="G108" s="0" t="n">
        <v>479</v>
      </c>
      <c r="H108" s="0" t="n">
        <v>308</v>
      </c>
      <c r="I108" s="0" t="n">
        <v>0</v>
      </c>
      <c r="J108" s="0" t="n">
        <v>41</v>
      </c>
      <c r="K108" s="0" t="n">
        <v>2</v>
      </c>
      <c r="L108" s="0" t="n">
        <v>3264</v>
      </c>
      <c r="M108" s="0" t="n">
        <v>162</v>
      </c>
    </row>
    <row r="109" customFormat="false" ht="13.5" hidden="false" customHeight="false" outlineLevel="0" collapsed="false">
      <c r="A109" s="0" t="s">
        <v>119</v>
      </c>
      <c r="B109" s="1" t="n">
        <v>43969</v>
      </c>
      <c r="C109" s="0" t="n">
        <v>860</v>
      </c>
      <c r="D109" s="0" t="n">
        <f aca="false">C109-C108</f>
        <v>25</v>
      </c>
      <c r="E109" s="0" t="n">
        <v>52</v>
      </c>
      <c r="F109" s="0" t="n">
        <f aca="false">E109-E108</f>
        <v>4</v>
      </c>
      <c r="G109" s="0" t="n">
        <v>494</v>
      </c>
      <c r="H109" s="0" t="n">
        <v>314</v>
      </c>
      <c r="I109" s="0" t="n">
        <v>0</v>
      </c>
      <c r="J109" s="0" t="n">
        <v>43</v>
      </c>
      <c r="K109" s="0" t="n">
        <v>3</v>
      </c>
      <c r="L109" s="0" t="n">
        <v>3383</v>
      </c>
      <c r="M109" s="0" t="n">
        <v>168</v>
      </c>
    </row>
    <row r="110" customFormat="false" ht="13.5" hidden="false" customHeight="false" outlineLevel="0" collapsed="false">
      <c r="A110" s="0" t="s">
        <v>119</v>
      </c>
      <c r="B110" s="1" t="n">
        <v>43970</v>
      </c>
      <c r="C110" s="0" t="n">
        <v>874</v>
      </c>
      <c r="D110" s="0" t="n">
        <f aca="false">C110-C109</f>
        <v>14</v>
      </c>
      <c r="E110" s="0" t="n">
        <v>52</v>
      </c>
      <c r="F110" s="0" t="n">
        <f aca="false">E110-E109</f>
        <v>0</v>
      </c>
      <c r="G110" s="0" t="n">
        <v>512</v>
      </c>
      <c r="H110" s="0" t="n">
        <v>310</v>
      </c>
      <c r="I110" s="0" t="n">
        <v>0</v>
      </c>
      <c r="J110" s="0" t="n">
        <v>43</v>
      </c>
      <c r="K110" s="0" t="n">
        <v>3</v>
      </c>
      <c r="L110" s="0" t="n">
        <v>3483</v>
      </c>
      <c r="M110" s="0" t="n">
        <v>173</v>
      </c>
    </row>
    <row r="111" customFormat="false" ht="13.5" hidden="false" customHeight="false" outlineLevel="0" collapsed="false">
      <c r="A111" s="0" t="s">
        <v>119</v>
      </c>
      <c r="B111" s="1" t="n">
        <v>43971</v>
      </c>
      <c r="C111" s="0" t="n">
        <v>901</v>
      </c>
      <c r="D111" s="0" t="n">
        <f aca="false">C111-C110</f>
        <v>27</v>
      </c>
      <c r="E111" s="0" t="n">
        <v>53</v>
      </c>
      <c r="F111" s="0" t="n">
        <f aca="false">E111-E110</f>
        <v>1</v>
      </c>
      <c r="G111" s="0" t="n">
        <v>529</v>
      </c>
      <c r="H111" s="0" t="n">
        <v>319</v>
      </c>
      <c r="I111" s="0" t="n">
        <v>0</v>
      </c>
      <c r="J111" s="0" t="n">
        <v>45</v>
      </c>
      <c r="K111" s="0" t="n">
        <v>3</v>
      </c>
      <c r="L111" s="0" t="n">
        <v>3483</v>
      </c>
      <c r="M111" s="0" t="n">
        <v>173</v>
      </c>
    </row>
    <row r="112" customFormat="false" ht="13.5" hidden="false" customHeight="false" outlineLevel="0" collapsed="false">
      <c r="A112" s="0" t="s">
        <v>119</v>
      </c>
      <c r="B112" s="1" t="n">
        <v>43972</v>
      </c>
      <c r="C112" s="0" t="n">
        <v>931</v>
      </c>
      <c r="D112" s="0" t="n">
        <f aca="false">C112-C111</f>
        <v>30</v>
      </c>
      <c r="E112" s="0" t="n">
        <v>55</v>
      </c>
      <c r="F112" s="0" t="n">
        <f aca="false">E112-E111</f>
        <v>2</v>
      </c>
      <c r="G112" s="0" t="n">
        <v>543</v>
      </c>
      <c r="H112" s="0" t="n">
        <v>333</v>
      </c>
      <c r="I112" s="0" t="n">
        <v>0</v>
      </c>
      <c r="J112" s="0" t="n">
        <v>46</v>
      </c>
      <c r="K112" s="0" t="n">
        <v>3</v>
      </c>
      <c r="L112" s="0" t="n">
        <v>3483</v>
      </c>
      <c r="M112" s="0" t="n">
        <v>173</v>
      </c>
    </row>
    <row r="113" customFormat="false" ht="13.5" hidden="false" customHeight="false" outlineLevel="0" collapsed="false">
      <c r="A113" s="0" t="s">
        <v>119</v>
      </c>
      <c r="B113" s="1" t="n">
        <v>43973</v>
      </c>
      <c r="C113" s="0" t="n">
        <v>931</v>
      </c>
      <c r="D113" s="0" t="n">
        <f aca="false">C113-C112</f>
        <v>0</v>
      </c>
      <c r="E113" s="0" t="n">
        <v>55</v>
      </c>
      <c r="F113" s="0" t="n">
        <f aca="false">E113-E112</f>
        <v>0</v>
      </c>
      <c r="G113" s="0" t="n">
        <v>543</v>
      </c>
      <c r="H113" s="0" t="n">
        <v>333</v>
      </c>
      <c r="I113" s="0" t="n">
        <v>0</v>
      </c>
      <c r="J113" s="0" t="n">
        <v>46</v>
      </c>
      <c r="K113" s="0" t="n">
        <v>3</v>
      </c>
      <c r="L113" s="0" t="n">
        <v>3483</v>
      </c>
      <c r="M113" s="0" t="n">
        <v>173</v>
      </c>
    </row>
    <row r="114" customFormat="false" ht="13.5" hidden="false" customHeight="false" outlineLevel="0" collapsed="false">
      <c r="A114" s="0" t="s">
        <v>119</v>
      </c>
      <c r="B114" s="1" t="n">
        <v>43974</v>
      </c>
      <c r="C114" s="0" t="n">
        <v>969</v>
      </c>
      <c r="D114" s="0" t="n">
        <f aca="false">C114-C113</f>
        <v>38</v>
      </c>
      <c r="E114" s="0" t="n">
        <v>62</v>
      </c>
      <c r="F114" s="0" t="n">
        <f aca="false">E114-E113</f>
        <v>7</v>
      </c>
      <c r="G114" s="0" t="n">
        <v>560</v>
      </c>
      <c r="H114" s="0" t="n">
        <v>347</v>
      </c>
      <c r="I114" s="0" t="n">
        <v>0</v>
      </c>
      <c r="J114" s="0" t="n">
        <v>48</v>
      </c>
      <c r="K114" s="0" t="n">
        <v>3</v>
      </c>
      <c r="L114" s="0" t="n">
        <v>3483</v>
      </c>
      <c r="M114" s="0" t="n">
        <v>173</v>
      </c>
    </row>
    <row r="115" customFormat="false" ht="13.5" hidden="false" customHeight="false" outlineLevel="0" collapsed="false">
      <c r="A115" s="0" t="s">
        <v>119</v>
      </c>
      <c r="B115" s="1" t="n">
        <v>43975</v>
      </c>
      <c r="C115" s="0" t="n">
        <v>1015</v>
      </c>
      <c r="D115" s="0" t="n">
        <f aca="false">C115-C114</f>
        <v>46</v>
      </c>
      <c r="E115" s="0" t="n">
        <v>63</v>
      </c>
      <c r="F115" s="0" t="n">
        <f aca="false">E115-E114</f>
        <v>1</v>
      </c>
      <c r="G115" s="0" t="n">
        <v>574</v>
      </c>
      <c r="H115" s="0" t="n">
        <v>378</v>
      </c>
      <c r="I115" s="0" t="n">
        <v>0</v>
      </c>
      <c r="J115" s="0" t="n">
        <v>50</v>
      </c>
      <c r="K115" s="0" t="n">
        <v>3</v>
      </c>
      <c r="L115" s="0" t="n">
        <v>3483</v>
      </c>
      <c r="M115" s="0" t="n">
        <v>173</v>
      </c>
    </row>
    <row r="116" customFormat="false" ht="13.5" hidden="false" customHeight="false" outlineLevel="0" collapsed="false">
      <c r="A116" s="0" t="s">
        <v>119</v>
      </c>
      <c r="B116" s="1" t="n">
        <v>43976</v>
      </c>
      <c r="C116" s="0" t="n">
        <v>1030</v>
      </c>
      <c r="D116" s="0" t="n">
        <f aca="false">C116-C115</f>
        <v>15</v>
      </c>
      <c r="E116" s="0" t="n">
        <v>65</v>
      </c>
      <c r="F116" s="0" t="n">
        <f aca="false">E116-E115</f>
        <v>2</v>
      </c>
      <c r="G116" s="0" t="n">
        <v>597</v>
      </c>
      <c r="H116" s="0" t="n">
        <v>368</v>
      </c>
      <c r="I116" s="0" t="n">
        <v>0</v>
      </c>
      <c r="J116" s="0" t="n">
        <v>51</v>
      </c>
      <c r="K116" s="0" t="n">
        <v>3</v>
      </c>
      <c r="L116" s="0" t="n">
        <v>3483</v>
      </c>
      <c r="M116" s="0" t="n">
        <v>173</v>
      </c>
    </row>
    <row r="117" customFormat="false" ht="13.5" hidden="false" customHeight="false" outlineLevel="0" collapsed="false">
      <c r="A117" s="0" t="s">
        <v>119</v>
      </c>
      <c r="B117" s="1" t="n">
        <v>43977</v>
      </c>
      <c r="C117" s="0" t="n">
        <v>1059</v>
      </c>
      <c r="D117" s="0" t="n">
        <f aca="false">C117-C116</f>
        <v>29</v>
      </c>
      <c r="E117" s="0" t="n">
        <v>67</v>
      </c>
      <c r="F117" s="0" t="n">
        <f aca="false">E117-E116</f>
        <v>2</v>
      </c>
      <c r="G117" s="0" t="n">
        <v>604</v>
      </c>
      <c r="H117" s="0" t="n">
        <v>388</v>
      </c>
      <c r="I117" s="0" t="n">
        <v>0</v>
      </c>
      <c r="J117" s="0" t="n">
        <v>52</v>
      </c>
      <c r="K117" s="0" t="n">
        <v>3</v>
      </c>
      <c r="L117" s="0" t="n">
        <v>3483</v>
      </c>
      <c r="M117" s="0" t="n">
        <v>173</v>
      </c>
    </row>
    <row r="118" customFormat="false" ht="13.5" hidden="false" customHeight="false" outlineLevel="0" collapsed="false">
      <c r="A118" s="0" t="s">
        <v>119</v>
      </c>
      <c r="B118" s="1" t="n">
        <v>43978</v>
      </c>
      <c r="C118" s="0" t="n">
        <v>1077</v>
      </c>
      <c r="D118" s="0" t="n">
        <f aca="false">C118-C117</f>
        <v>18</v>
      </c>
      <c r="E118" s="0" t="n">
        <v>70</v>
      </c>
      <c r="F118" s="0" t="n">
        <f aca="false">E118-E117</f>
        <v>3</v>
      </c>
      <c r="G118" s="0" t="n">
        <v>617</v>
      </c>
      <c r="H118" s="0" t="n">
        <v>390</v>
      </c>
      <c r="I118" s="0" t="n">
        <v>0</v>
      </c>
      <c r="J118" s="0" t="n">
        <v>53</v>
      </c>
      <c r="K118" s="0" t="n">
        <v>3</v>
      </c>
      <c r="L118" s="0" t="n">
        <v>3483</v>
      </c>
      <c r="M118" s="0" t="n">
        <v>173</v>
      </c>
    </row>
    <row r="119" customFormat="false" ht="13.5" hidden="false" customHeight="false" outlineLevel="0" collapsed="false">
      <c r="A119" s="0" t="s">
        <v>119</v>
      </c>
      <c r="B119" s="1" t="n">
        <v>43979</v>
      </c>
      <c r="C119" s="0" t="n">
        <v>1116</v>
      </c>
      <c r="D119" s="0" t="n">
        <f aca="false">C119-C118</f>
        <v>39</v>
      </c>
      <c r="E119" s="0" t="n">
        <v>70</v>
      </c>
      <c r="F119" s="0" t="n">
        <f aca="false">E119-E118</f>
        <v>0</v>
      </c>
      <c r="G119" s="0" t="n">
        <v>632</v>
      </c>
      <c r="H119" s="0" t="n">
        <v>414</v>
      </c>
      <c r="I119" s="0" t="n">
        <v>0</v>
      </c>
      <c r="J119" s="0" t="n">
        <v>55</v>
      </c>
      <c r="K119" s="0" t="n">
        <v>3</v>
      </c>
      <c r="L119" s="0" t="n">
        <v>3483</v>
      </c>
      <c r="M119" s="0" t="n">
        <v>173</v>
      </c>
    </row>
    <row r="120" customFormat="false" ht="13.5" hidden="false" customHeight="false" outlineLevel="0" collapsed="false">
      <c r="A120" s="0" t="s">
        <v>119</v>
      </c>
      <c r="B120" s="1" t="n">
        <v>43980</v>
      </c>
      <c r="C120" s="0" t="n">
        <v>1194</v>
      </c>
      <c r="D120" s="0" t="n">
        <f aca="false">C120-C119</f>
        <v>78</v>
      </c>
      <c r="E120" s="0" t="n">
        <v>72</v>
      </c>
      <c r="F120" s="0" t="n">
        <f aca="false">E120-E119</f>
        <v>2</v>
      </c>
      <c r="G120" s="0" t="n">
        <v>652</v>
      </c>
      <c r="H120" s="0" t="n">
        <v>470</v>
      </c>
      <c r="I120" s="0" t="n">
        <v>0</v>
      </c>
      <c r="J120" s="0" t="n">
        <v>59</v>
      </c>
      <c r="K120" s="0" t="n">
        <v>4</v>
      </c>
      <c r="L120" s="0" t="n">
        <v>3483</v>
      </c>
      <c r="M120" s="0" t="n">
        <v>173</v>
      </c>
    </row>
    <row r="121" customFormat="false" ht="13.5" hidden="false" customHeight="false" outlineLevel="0" collapsed="false">
      <c r="A121" s="0" t="s">
        <v>119</v>
      </c>
      <c r="B121" s="1" t="n">
        <v>43981</v>
      </c>
      <c r="C121" s="0" t="n">
        <v>1226</v>
      </c>
      <c r="D121" s="0" t="n">
        <f aca="false">C121-C120</f>
        <v>32</v>
      </c>
      <c r="E121" s="0" t="n">
        <v>73</v>
      </c>
      <c r="F121" s="0" t="n">
        <f aca="false">E121-E120</f>
        <v>1</v>
      </c>
      <c r="G121" s="0" t="n">
        <v>669</v>
      </c>
      <c r="H121" s="0" t="n">
        <v>484</v>
      </c>
      <c r="I121" s="0" t="n">
        <v>0</v>
      </c>
      <c r="J121" s="0" t="n">
        <v>61</v>
      </c>
      <c r="K121" s="0" t="n">
        <v>4</v>
      </c>
      <c r="L121" s="0" t="n">
        <v>3483</v>
      </c>
      <c r="M121" s="0" t="n">
        <v>173</v>
      </c>
    </row>
    <row r="122" customFormat="false" ht="13.5" hidden="false" customHeight="false" outlineLevel="0" collapsed="false">
      <c r="A122" s="0" t="s">
        <v>119</v>
      </c>
      <c r="B122" s="1" t="n">
        <v>43982</v>
      </c>
      <c r="C122" s="0" t="n">
        <v>1250</v>
      </c>
      <c r="D122" s="0" t="n">
        <f aca="false">C122-C121</f>
        <v>24</v>
      </c>
      <c r="E122" s="0" t="n">
        <v>76</v>
      </c>
      <c r="F122" s="0" t="n">
        <f aca="false">E122-E121</f>
        <v>3</v>
      </c>
      <c r="G122" s="0" t="n">
        <v>696</v>
      </c>
      <c r="H122" s="0" t="n">
        <v>478</v>
      </c>
      <c r="I122" s="0" t="n">
        <v>0</v>
      </c>
      <c r="J122" s="0" t="n">
        <v>62</v>
      </c>
      <c r="K122" s="0" t="n">
        <v>4</v>
      </c>
      <c r="L122" s="0" t="n">
        <v>3483</v>
      </c>
      <c r="M122" s="0" t="n">
        <v>172</v>
      </c>
    </row>
    <row r="123" customFormat="false" ht="13.5" hidden="false" customHeight="false" outlineLevel="0" collapsed="false">
      <c r="A123" s="0" t="s">
        <v>119</v>
      </c>
      <c r="B123" s="1" t="n">
        <v>43983</v>
      </c>
      <c r="C123" s="0" t="n">
        <v>1265</v>
      </c>
      <c r="D123" s="0" t="n">
        <f aca="false">C123-C122</f>
        <v>15</v>
      </c>
      <c r="E123" s="0" t="n">
        <v>77</v>
      </c>
      <c r="F123" s="0" t="n">
        <f aca="false">E123-E122</f>
        <v>1</v>
      </c>
      <c r="G123" s="0" t="n">
        <v>716</v>
      </c>
      <c r="H123" s="0" t="n">
        <v>472</v>
      </c>
      <c r="I123" s="0" t="n">
        <v>0</v>
      </c>
      <c r="J123" s="0" t="n">
        <v>63</v>
      </c>
      <c r="K123" s="0" t="n">
        <v>4</v>
      </c>
      <c r="L123" s="0" t="n">
        <v>3483</v>
      </c>
      <c r="M123" s="0" t="n">
        <v>172</v>
      </c>
    </row>
    <row r="124" customFormat="false" ht="13.5" hidden="false" customHeight="false" outlineLevel="0" collapsed="false">
      <c r="A124" s="0" t="s">
        <v>119</v>
      </c>
      <c r="B124" s="1" t="n">
        <v>43984</v>
      </c>
      <c r="C124" s="0" t="n">
        <v>1315</v>
      </c>
      <c r="D124" s="0" t="n">
        <f aca="false">C124-C123</f>
        <v>50</v>
      </c>
      <c r="E124" s="0" t="n">
        <v>78</v>
      </c>
      <c r="F124" s="0" t="n">
        <f aca="false">E124-E123</f>
        <v>1</v>
      </c>
      <c r="G124" s="0" t="n">
        <v>744</v>
      </c>
      <c r="H124" s="0" t="n">
        <v>493</v>
      </c>
      <c r="I124" s="0" t="n">
        <v>0</v>
      </c>
      <c r="J124" s="0" t="n">
        <v>65</v>
      </c>
      <c r="K124" s="0" t="n">
        <v>4</v>
      </c>
      <c r="L124" s="0" t="n">
        <v>3483</v>
      </c>
      <c r="M124" s="0" t="n">
        <v>172</v>
      </c>
    </row>
    <row r="125" customFormat="false" ht="13.5" hidden="false" customHeight="false" outlineLevel="0" collapsed="false">
      <c r="A125" s="0" t="s">
        <v>119</v>
      </c>
      <c r="B125" s="1" t="n">
        <v>43985</v>
      </c>
      <c r="C125" s="0" t="n">
        <v>1351</v>
      </c>
      <c r="D125" s="0" t="n">
        <f aca="false">C125-C124</f>
        <v>36</v>
      </c>
      <c r="E125" s="0" t="n">
        <v>78</v>
      </c>
      <c r="F125" s="0" t="n">
        <f aca="false">E125-E124</f>
        <v>0</v>
      </c>
      <c r="G125" s="0" t="n">
        <v>769</v>
      </c>
      <c r="H125" s="0" t="n">
        <v>504</v>
      </c>
      <c r="I125" s="0" t="n">
        <v>0</v>
      </c>
      <c r="J125" s="0" t="n">
        <v>67</v>
      </c>
      <c r="K125" s="0" t="n">
        <v>4</v>
      </c>
      <c r="L125" s="0" t="n">
        <v>3483</v>
      </c>
      <c r="M125" s="0" t="n">
        <v>172</v>
      </c>
    </row>
    <row r="126" customFormat="false" ht="13.5" hidden="false" customHeight="false" outlineLevel="0" collapsed="false">
      <c r="A126" s="0" t="s">
        <v>119</v>
      </c>
      <c r="B126" s="1" t="n">
        <v>43986</v>
      </c>
      <c r="C126" s="0" t="n">
        <v>1386</v>
      </c>
      <c r="D126" s="0" t="n">
        <f aca="false">C126-C125</f>
        <v>35</v>
      </c>
      <c r="E126" s="0" t="n">
        <v>79</v>
      </c>
      <c r="F126" s="0" t="n">
        <f aca="false">E126-E125</f>
        <v>1</v>
      </c>
      <c r="G126" s="0" t="n">
        <v>788</v>
      </c>
      <c r="H126" s="0" t="n">
        <v>519</v>
      </c>
      <c r="I126" s="0" t="n">
        <v>0</v>
      </c>
      <c r="J126" s="0" t="n">
        <v>69</v>
      </c>
      <c r="K126" s="0" t="n">
        <v>4</v>
      </c>
      <c r="L126" s="0" t="n">
        <v>3483</v>
      </c>
      <c r="M126" s="0" t="n">
        <v>172</v>
      </c>
    </row>
    <row r="127" customFormat="false" ht="13.5" hidden="false" customHeight="false" outlineLevel="0" collapsed="false">
      <c r="A127" s="0" t="s">
        <v>119</v>
      </c>
      <c r="B127" s="1" t="n">
        <v>43987</v>
      </c>
      <c r="C127" s="0" t="n">
        <v>1461</v>
      </c>
      <c r="D127" s="0" t="n">
        <f aca="false">C127-C126</f>
        <v>75</v>
      </c>
      <c r="E127" s="0" t="n">
        <v>85</v>
      </c>
      <c r="F127" s="0" t="n">
        <f aca="false">E127-E126</f>
        <v>6</v>
      </c>
      <c r="G127" s="0" t="n">
        <v>806</v>
      </c>
      <c r="H127" s="0" t="n">
        <v>570</v>
      </c>
      <c r="I127" s="0" t="n">
        <v>0</v>
      </c>
      <c r="J127" s="0" t="n">
        <v>72</v>
      </c>
      <c r="K127" s="0" t="n">
        <v>4</v>
      </c>
      <c r="L127" s="0" t="n">
        <v>3483</v>
      </c>
      <c r="M127" s="0" t="n">
        <v>172</v>
      </c>
    </row>
    <row r="128" customFormat="false" ht="13.5" hidden="false" customHeight="false" outlineLevel="0" collapsed="false">
      <c r="A128" s="0" t="s">
        <v>119</v>
      </c>
      <c r="B128" s="1" t="n">
        <v>43988</v>
      </c>
      <c r="C128" s="0" t="n">
        <v>1485</v>
      </c>
      <c r="D128" s="0" t="n">
        <f aca="false">C128-C127</f>
        <v>24</v>
      </c>
      <c r="E128" s="0" t="n">
        <v>85</v>
      </c>
      <c r="F128" s="0" t="n">
        <v>0</v>
      </c>
      <c r="G128" s="0" t="n">
        <v>816</v>
      </c>
      <c r="H128" s="0" t="n">
        <v>582</v>
      </c>
      <c r="I128" s="0" t="n">
        <v>0</v>
      </c>
      <c r="J128" s="0" t="n">
        <v>74</v>
      </c>
      <c r="K128" s="0" t="n">
        <v>4</v>
      </c>
      <c r="L128" s="0" t="n">
        <v>3483</v>
      </c>
      <c r="M128" s="0" t="n">
        <v>172</v>
      </c>
    </row>
    <row r="129" customFormat="false" ht="13.5" hidden="false" customHeight="false" outlineLevel="0" collapsed="false">
      <c r="A129" s="0" t="s">
        <v>119</v>
      </c>
      <c r="B129" s="1" t="n">
        <v>43989</v>
      </c>
      <c r="C129" s="0" t="n">
        <v>1523</v>
      </c>
      <c r="D129" s="0" t="n">
        <f aca="false">C129-C128</f>
        <v>38</v>
      </c>
      <c r="E129" s="0" t="n">
        <v>85</v>
      </c>
      <c r="F129" s="0" t="n">
        <v>0</v>
      </c>
      <c r="G129" s="0" t="n">
        <v>845</v>
      </c>
      <c r="H129" s="0" t="n">
        <v>588</v>
      </c>
      <c r="I129" s="0" t="n">
        <v>0</v>
      </c>
      <c r="J129" s="0" t="n">
        <v>75</v>
      </c>
      <c r="K129" s="0" t="n">
        <v>4</v>
      </c>
      <c r="L129" s="0" t="n">
        <v>3483</v>
      </c>
      <c r="M129" s="0" t="n">
        <v>172</v>
      </c>
    </row>
    <row r="130" customFormat="false" ht="13.5" hidden="false" customHeight="false" outlineLevel="0" collapsed="false">
      <c r="A130" s="0" t="s">
        <v>119</v>
      </c>
      <c r="B130" s="1" t="n">
        <v>43990</v>
      </c>
      <c r="C130" s="0" t="n">
        <v>1533</v>
      </c>
      <c r="D130" s="0" t="n">
        <f aca="false">C130-C129</f>
        <v>10</v>
      </c>
      <c r="E130" s="0" t="n">
        <v>85</v>
      </c>
      <c r="F130" s="0" t="n">
        <v>0</v>
      </c>
      <c r="G130" s="0" t="n">
        <v>873</v>
      </c>
      <c r="H130" s="0" t="n">
        <v>570</v>
      </c>
      <c r="I130" s="0" t="n">
        <v>0</v>
      </c>
      <c r="J130" s="0" t="n">
        <v>76</v>
      </c>
      <c r="K130" s="0" t="n">
        <v>4</v>
      </c>
      <c r="L130" s="0" t="n">
        <v>3483</v>
      </c>
      <c r="M130" s="0" t="n">
        <v>172</v>
      </c>
    </row>
    <row r="131" customFormat="false" ht="13.5" hidden="false" customHeight="false" outlineLevel="0" collapsed="false">
      <c r="A131" s="0" t="s">
        <v>119</v>
      </c>
      <c r="B131" s="1" t="n">
        <v>43991</v>
      </c>
      <c r="C131" s="0" t="n">
        <v>1547</v>
      </c>
      <c r="D131" s="0" t="n">
        <f aca="false">C131-C130</f>
        <v>14</v>
      </c>
      <c r="E131" s="0" t="n">
        <v>85</v>
      </c>
      <c r="F131" s="0" t="n">
        <v>0</v>
      </c>
      <c r="G131" s="0" t="n">
        <v>916</v>
      </c>
      <c r="H131" s="0" t="n">
        <v>539</v>
      </c>
      <c r="I131" s="0" t="n">
        <v>0</v>
      </c>
      <c r="J131" s="0" t="n">
        <v>77</v>
      </c>
      <c r="K131" s="0" t="n">
        <v>5</v>
      </c>
      <c r="L131" s="0" t="n">
        <v>3483</v>
      </c>
      <c r="M131" s="0" t="n">
        <v>172</v>
      </c>
    </row>
    <row r="132" customFormat="false" ht="13.5" hidden="false" customHeight="false" outlineLevel="0" collapsed="false">
      <c r="A132" s="0" t="s">
        <v>119</v>
      </c>
      <c r="B132" s="1" t="n">
        <v>43992</v>
      </c>
      <c r="C132" s="0" t="n">
        <v>1586</v>
      </c>
      <c r="D132" s="0" t="n">
        <f aca="false">C132-C131</f>
        <v>39</v>
      </c>
      <c r="E132" s="0" t="n">
        <v>85</v>
      </c>
      <c r="F132" s="0" t="n">
        <v>0</v>
      </c>
      <c r="G132" s="0" t="n">
        <v>931</v>
      </c>
      <c r="H132" s="0" t="n">
        <v>561</v>
      </c>
      <c r="I132" s="0" t="n">
        <v>0</v>
      </c>
      <c r="J132" s="0" t="n">
        <v>78</v>
      </c>
      <c r="K132" s="0" t="n">
        <v>5</v>
      </c>
      <c r="L132" s="0" t="n">
        <v>3483</v>
      </c>
      <c r="M132" s="0" t="n">
        <v>172</v>
      </c>
    </row>
    <row r="133" customFormat="false" ht="13.5" hidden="false" customHeight="false" outlineLevel="0" collapsed="false">
      <c r="A133" s="0" t="s">
        <v>119</v>
      </c>
      <c r="B133" s="1" t="n">
        <v>43993</v>
      </c>
      <c r="C133" s="0" t="n">
        <v>2452</v>
      </c>
      <c r="D133" s="0" t="n">
        <f aca="false">C133-C132</f>
        <v>866</v>
      </c>
      <c r="E133" s="0" t="n">
        <v>85</v>
      </c>
      <c r="F133" s="0" t="n">
        <v>0</v>
      </c>
      <c r="G133" s="0" t="n">
        <v>506</v>
      </c>
      <c r="H133" s="0" t="n">
        <v>1861</v>
      </c>
      <c r="I133" s="0" t="n">
        <v>2</v>
      </c>
      <c r="J133" s="0" t="n">
        <v>155</v>
      </c>
      <c r="K133" s="0" t="n">
        <v>5</v>
      </c>
    </row>
    <row r="134" customFormat="false" ht="13.5" hidden="false" customHeight="false" outlineLevel="0" collapsed="false">
      <c r="A134" s="0" t="s">
        <v>119</v>
      </c>
      <c r="B134" s="1" t="n">
        <v>43994</v>
      </c>
      <c r="C134" s="0" t="n">
        <v>2513</v>
      </c>
      <c r="D134" s="0" t="n">
        <f aca="false">C134-C133</f>
        <v>61</v>
      </c>
      <c r="E134" s="0" t="n">
        <v>85</v>
      </c>
      <c r="F134" s="0" t="n">
        <f aca="false">E134-E133</f>
        <v>0</v>
      </c>
      <c r="G134" s="0" t="n">
        <v>532</v>
      </c>
      <c r="H134" s="0" t="n">
        <v>1896</v>
      </c>
      <c r="I134" s="0" t="n">
        <v>2</v>
      </c>
      <c r="J134" s="0" t="n">
        <v>158</v>
      </c>
      <c r="K134" s="0" t="n">
        <v>5</v>
      </c>
    </row>
    <row r="135" customFormat="false" ht="13.5" hidden="false" customHeight="false" outlineLevel="0" collapsed="false">
      <c r="A135" s="0" t="s">
        <v>119</v>
      </c>
      <c r="B135" s="1" t="n">
        <v>43995</v>
      </c>
      <c r="C135" s="0" t="n">
        <v>2513</v>
      </c>
      <c r="D135" s="0" t="n">
        <f aca="false">C135-C134</f>
        <v>0</v>
      </c>
      <c r="E135" s="0" t="n">
        <v>85</v>
      </c>
      <c r="F135" s="0" t="n">
        <f aca="false">E135-E134</f>
        <v>0</v>
      </c>
      <c r="G135" s="0" t="n">
        <v>532</v>
      </c>
      <c r="H135" s="0" t="n">
        <v>1896</v>
      </c>
      <c r="I135" s="0" t="n">
        <v>2</v>
      </c>
      <c r="J135" s="0" t="n">
        <v>158</v>
      </c>
      <c r="K135" s="0" t="n">
        <v>5</v>
      </c>
    </row>
    <row r="136" customFormat="false" ht="13.5" hidden="false" customHeight="false" outlineLevel="0" collapsed="false">
      <c r="A136" s="0" t="s">
        <v>119</v>
      </c>
      <c r="B136" s="1" t="n">
        <v>43996</v>
      </c>
      <c r="C136" s="0" t="n">
        <v>2579</v>
      </c>
      <c r="D136" s="0" t="n">
        <f aca="false">C136-C135</f>
        <v>66</v>
      </c>
      <c r="E136" s="0" t="n">
        <v>87</v>
      </c>
      <c r="F136" s="0" t="n">
        <f aca="false">E136-E135</f>
        <v>2</v>
      </c>
      <c r="G136" s="0" t="n">
        <v>559</v>
      </c>
      <c r="H136" s="0" t="n">
        <v>1933</v>
      </c>
      <c r="I136" s="0" t="n">
        <v>2</v>
      </c>
      <c r="J136" s="0" t="n">
        <v>163</v>
      </c>
      <c r="K136" s="0" t="n">
        <v>5</v>
      </c>
    </row>
    <row r="137" customFormat="false" ht="13.5" hidden="false" customHeight="false" outlineLevel="0" collapsed="false">
      <c r="A137" s="0" t="s">
        <v>119</v>
      </c>
      <c r="B137" s="1" t="n">
        <v>43997</v>
      </c>
      <c r="C137" s="0" t="n">
        <v>2618</v>
      </c>
      <c r="D137" s="0" t="n">
        <f aca="false">C137-C136</f>
        <v>39</v>
      </c>
      <c r="E137" s="0" t="n">
        <v>88</v>
      </c>
      <c r="F137" s="0" t="n">
        <f aca="false">E137-E136</f>
        <v>1</v>
      </c>
      <c r="G137" s="0" t="n">
        <v>577</v>
      </c>
      <c r="H137" s="0" t="n">
        <v>1953</v>
      </c>
      <c r="I137" s="0" t="n">
        <v>2</v>
      </c>
      <c r="J137" s="0" t="n">
        <v>165</v>
      </c>
      <c r="K137" s="0" t="n">
        <v>6</v>
      </c>
    </row>
    <row r="138" customFormat="false" ht="13.5" hidden="false" customHeight="false" outlineLevel="0" collapsed="false">
      <c r="A138" s="0" t="s">
        <v>119</v>
      </c>
      <c r="B138" s="1" t="n">
        <v>43998</v>
      </c>
      <c r="C138" s="0" t="n">
        <v>2642</v>
      </c>
      <c r="D138" s="0" t="n">
        <f aca="false">C138-C137</f>
        <v>24</v>
      </c>
      <c r="E138" s="0" t="n">
        <v>88</v>
      </c>
      <c r="F138" s="0" t="n">
        <f aca="false">E138-E137</f>
        <v>0</v>
      </c>
      <c r="G138" s="0" t="n">
        <v>622</v>
      </c>
      <c r="H138" s="0" t="n">
        <v>1932</v>
      </c>
      <c r="I138" s="0" t="n">
        <v>2</v>
      </c>
      <c r="J138" s="0" t="n">
        <v>166</v>
      </c>
      <c r="K138" s="0" t="n">
        <v>6</v>
      </c>
    </row>
    <row r="139" customFormat="false" ht="13.5" hidden="false" customHeight="false" outlineLevel="0" collapsed="false">
      <c r="A139" s="0" t="s">
        <v>119</v>
      </c>
      <c r="B139" s="1" t="n">
        <v>43999</v>
      </c>
      <c r="C139" s="0" t="n">
        <v>2658</v>
      </c>
      <c r="D139" s="0" t="n">
        <f aca="false">C139-C138</f>
        <v>16</v>
      </c>
      <c r="E139" s="0" t="n">
        <v>88</v>
      </c>
      <c r="F139" s="0" t="n">
        <f aca="false">E139-E138</f>
        <v>0</v>
      </c>
      <c r="G139" s="0" t="n">
        <v>649</v>
      </c>
      <c r="H139" s="0" t="n">
        <v>1921</v>
      </c>
      <c r="I139" s="0" t="n">
        <v>2</v>
      </c>
      <c r="J139" s="0" t="n">
        <v>167</v>
      </c>
      <c r="K139" s="0" t="n">
        <v>6</v>
      </c>
    </row>
    <row r="140" customFormat="false" ht="13.5" hidden="false" customHeight="false" outlineLevel="0" collapsed="false">
      <c r="A140" s="0" t="s">
        <v>119</v>
      </c>
      <c r="B140" s="1" t="n">
        <v>44000</v>
      </c>
      <c r="C140" s="0" t="n">
        <v>2696</v>
      </c>
      <c r="D140" s="0" t="n">
        <f aca="false">C140-C139</f>
        <v>38</v>
      </c>
      <c r="E140" s="0" t="n">
        <v>88</v>
      </c>
      <c r="F140" s="0" t="n">
        <f aca="false">E140-E139</f>
        <v>0</v>
      </c>
      <c r="G140" s="0" t="n">
        <v>685</v>
      </c>
      <c r="H140" s="0" t="n">
        <v>1923</v>
      </c>
      <c r="I140" s="0" t="n">
        <v>2</v>
      </c>
      <c r="J140" s="0" t="n">
        <v>170</v>
      </c>
      <c r="K140" s="0" t="n">
        <v>6</v>
      </c>
    </row>
    <row r="141" customFormat="false" ht="13.5" hidden="false" customHeight="false" outlineLevel="0" collapsed="false">
      <c r="A141" s="0" t="s">
        <v>119</v>
      </c>
      <c r="B141" s="1" t="n">
        <v>44001</v>
      </c>
      <c r="C141" s="0" t="n">
        <v>2719</v>
      </c>
      <c r="D141" s="0" t="n">
        <f aca="false">C141-C140</f>
        <v>23</v>
      </c>
      <c r="E141" s="0" t="n">
        <v>88</v>
      </c>
      <c r="F141" s="0" t="n">
        <f aca="false">E141-E140</f>
        <v>0</v>
      </c>
      <c r="G141" s="0" t="n">
        <v>724</v>
      </c>
      <c r="H141" s="0" t="n">
        <v>1907</v>
      </c>
      <c r="I141" s="0" t="n">
        <v>2</v>
      </c>
      <c r="J141" s="0" t="n">
        <v>171</v>
      </c>
      <c r="K141" s="0" t="n">
        <v>6</v>
      </c>
    </row>
    <row r="142" customFormat="false" ht="13.5" hidden="false" customHeight="false" outlineLevel="0" collapsed="false">
      <c r="A142" s="0" t="s">
        <v>119</v>
      </c>
      <c r="B142" s="1" t="n">
        <v>44002</v>
      </c>
      <c r="C142" s="0" t="n">
        <v>2719</v>
      </c>
      <c r="D142" s="0" t="n">
        <f aca="false">C142-C141</f>
        <v>0</v>
      </c>
      <c r="E142" s="0" t="n">
        <v>88</v>
      </c>
      <c r="F142" s="0" t="n">
        <f aca="false">E142-E141</f>
        <v>0</v>
      </c>
      <c r="G142" s="0" t="n">
        <v>724</v>
      </c>
      <c r="H142" s="0" t="n">
        <v>1907</v>
      </c>
      <c r="I142" s="0" t="n">
        <v>2</v>
      </c>
      <c r="J142" s="0" t="n">
        <v>171</v>
      </c>
      <c r="K142" s="0" t="n">
        <v>6</v>
      </c>
    </row>
    <row r="143" customFormat="false" ht="13.5" hidden="false" customHeight="false" outlineLevel="0" collapsed="false">
      <c r="A143" s="0" t="s">
        <v>119</v>
      </c>
      <c r="B143" s="1" t="n">
        <v>44003</v>
      </c>
      <c r="C143" s="0" t="n">
        <v>2755</v>
      </c>
      <c r="D143" s="0" t="n">
        <v>36</v>
      </c>
      <c r="E143" s="0" t="n">
        <v>88</v>
      </c>
      <c r="F143" s="0" t="n">
        <f aca="false">E143-E142</f>
        <v>0</v>
      </c>
      <c r="G143" s="0" t="n">
        <v>751</v>
      </c>
      <c r="H143" s="0" t="n">
        <v>1916</v>
      </c>
      <c r="I143" s="0" t="n">
        <v>2</v>
      </c>
      <c r="J143" s="0" t="n">
        <v>174</v>
      </c>
      <c r="K143" s="0" t="n">
        <v>6</v>
      </c>
    </row>
    <row r="144" customFormat="false" ht="13.5" hidden="false" customHeight="false" outlineLevel="0" collapsed="false">
      <c r="A144" s="0" t="s">
        <v>119</v>
      </c>
      <c r="B144" s="1" t="n">
        <v>44004</v>
      </c>
      <c r="C144" s="0" t="n">
        <v>2779</v>
      </c>
      <c r="D144" s="0" t="n">
        <v>24</v>
      </c>
      <c r="E144" s="0" t="n">
        <v>90</v>
      </c>
      <c r="F144" s="0" t="n">
        <f aca="false">E144-E143</f>
        <v>2</v>
      </c>
      <c r="G144" s="0" t="n">
        <v>782</v>
      </c>
      <c r="H144" s="0" t="n">
        <v>1907</v>
      </c>
      <c r="I144" s="0" t="n">
        <v>2</v>
      </c>
      <c r="J144" s="0" t="n">
        <v>175</v>
      </c>
      <c r="K144" s="0" t="n">
        <v>6</v>
      </c>
    </row>
    <row r="145" customFormat="false" ht="13.5" hidden="false" customHeight="false" outlineLevel="0" collapsed="false">
      <c r="A145" s="0" t="s">
        <v>119</v>
      </c>
      <c r="B145" s="1" t="n">
        <v>44005</v>
      </c>
      <c r="C145" s="0" t="n">
        <v>2812</v>
      </c>
      <c r="D145" s="0" t="n">
        <v>33</v>
      </c>
      <c r="E145" s="0" t="n">
        <v>90</v>
      </c>
      <c r="F145" s="0" t="n">
        <f aca="false">E145-E144</f>
        <v>0</v>
      </c>
      <c r="G145" s="0" t="n">
        <v>818</v>
      </c>
      <c r="H145" s="0" t="n">
        <v>1904</v>
      </c>
      <c r="I145" s="0" t="n">
        <v>2</v>
      </c>
      <c r="J145" s="0" t="n">
        <v>177</v>
      </c>
      <c r="K145" s="0" t="n">
        <v>6</v>
      </c>
    </row>
    <row r="146" customFormat="false" ht="13.5" hidden="false" customHeight="false" outlineLevel="0" collapsed="false">
      <c r="A146" s="0" t="s">
        <v>119</v>
      </c>
      <c r="B146" s="1" t="n">
        <v>44006</v>
      </c>
      <c r="C146" s="0" t="n">
        <v>2812</v>
      </c>
      <c r="D146" s="0" t="n">
        <v>0</v>
      </c>
      <c r="E146" s="0" t="n">
        <v>90</v>
      </c>
      <c r="F146" s="0" t="n">
        <v>0</v>
      </c>
      <c r="G146" s="0" t="n">
        <v>818</v>
      </c>
      <c r="H146" s="0" t="n">
        <v>1904</v>
      </c>
      <c r="I146" s="0" t="n">
        <v>2</v>
      </c>
      <c r="J146" s="0" t="n">
        <v>177</v>
      </c>
      <c r="K146" s="0" t="n">
        <v>6</v>
      </c>
    </row>
    <row r="147" customFormat="false" ht="13.5" hidden="false" customHeight="false" outlineLevel="0" collapsed="false">
      <c r="A147" s="0" t="s">
        <v>119</v>
      </c>
      <c r="B147" s="1" t="n">
        <v>44007</v>
      </c>
      <c r="C147" s="0" t="n">
        <v>2835</v>
      </c>
      <c r="D147" s="0" t="n">
        <v>23</v>
      </c>
      <c r="E147" s="0" t="n">
        <v>90</v>
      </c>
      <c r="F147" s="0" t="n">
        <v>0</v>
      </c>
      <c r="G147" s="0" t="n">
        <v>829</v>
      </c>
      <c r="H147" s="0" t="n">
        <v>1916</v>
      </c>
      <c r="I147" s="0" t="n">
        <v>2</v>
      </c>
      <c r="J147" s="0" t="n">
        <v>179</v>
      </c>
      <c r="K147" s="0" t="n">
        <v>6</v>
      </c>
    </row>
    <row r="148" customFormat="false" ht="13.5" hidden="false" customHeight="false" outlineLevel="0" collapsed="false">
      <c r="A148" s="0" t="s">
        <v>119</v>
      </c>
      <c r="B148" s="1" t="n">
        <v>44008</v>
      </c>
      <c r="C148" s="0" t="n">
        <v>2039</v>
      </c>
      <c r="D148" s="0" t="n">
        <v>34</v>
      </c>
      <c r="E148" s="0" t="n">
        <v>113</v>
      </c>
      <c r="F148" s="0" t="n">
        <v>1</v>
      </c>
      <c r="G148" s="0" t="n">
        <v>1383</v>
      </c>
      <c r="H148" s="0" t="n">
        <v>543</v>
      </c>
      <c r="I148" s="0" t="n">
        <v>0</v>
      </c>
      <c r="J148" s="0" t="n">
        <v>101</v>
      </c>
      <c r="K148" s="0" t="n">
        <v>6</v>
      </c>
      <c r="L148" s="0" t="n">
        <v>10932</v>
      </c>
      <c r="M148" s="0" t="n">
        <v>540</v>
      </c>
    </row>
    <row r="149" customFormat="false" ht="13.5" hidden="false" customHeight="false" outlineLevel="0" collapsed="false">
      <c r="A149" s="0" t="s">
        <v>119</v>
      </c>
      <c r="B149" s="1" t="n">
        <v>44009</v>
      </c>
      <c r="C149" s="0" t="n">
        <v>2060</v>
      </c>
      <c r="D149" s="0" t="n">
        <v>21</v>
      </c>
      <c r="E149" s="0" t="n">
        <v>113</v>
      </c>
      <c r="F149" s="0" t="n">
        <v>0</v>
      </c>
      <c r="G149" s="0" t="n">
        <v>1387</v>
      </c>
      <c r="H149" s="0" t="n">
        <v>560</v>
      </c>
      <c r="I149" s="0" t="n">
        <v>0</v>
      </c>
      <c r="J149" s="0" t="n">
        <v>102</v>
      </c>
      <c r="K149" s="0" t="n">
        <v>6</v>
      </c>
      <c r="L149" s="0" t="n">
        <v>12807</v>
      </c>
      <c r="M149" s="0" t="n">
        <v>633</v>
      </c>
    </row>
    <row r="150" customFormat="false" ht="13.5" hidden="false" customHeight="false" outlineLevel="0" collapsed="false">
      <c r="A150" s="0" t="s">
        <v>119</v>
      </c>
      <c r="B150" s="1" t="n">
        <v>44010</v>
      </c>
      <c r="C150" s="0" t="n">
        <v>2118</v>
      </c>
      <c r="D150" s="0" t="n">
        <v>58</v>
      </c>
      <c r="E150" s="0" t="n">
        <v>113</v>
      </c>
      <c r="F150" s="0" t="n">
        <v>0</v>
      </c>
      <c r="G150" s="0" t="n">
        <v>1398</v>
      </c>
      <c r="H150" s="0" t="n">
        <v>607</v>
      </c>
      <c r="I150" s="0" t="n">
        <v>0</v>
      </c>
      <c r="J150" s="0" t="n">
        <v>105</v>
      </c>
      <c r="K150" s="0" t="n">
        <v>6</v>
      </c>
      <c r="L150" s="0" t="n">
        <v>12807</v>
      </c>
      <c r="M150" s="0" t="n">
        <v>633</v>
      </c>
    </row>
    <row r="151" customFormat="false" ht="13.5" hidden="false" customHeight="false" outlineLevel="0" collapsed="false">
      <c r="A151" s="0" t="s">
        <v>119</v>
      </c>
      <c r="B151" s="1" t="n">
        <v>44011</v>
      </c>
      <c r="C151" s="0" t="n">
        <v>2147</v>
      </c>
      <c r="D151" s="0" t="n">
        <v>29</v>
      </c>
      <c r="E151" s="0" t="n">
        <v>114</v>
      </c>
      <c r="F151" s="0" t="n">
        <v>1</v>
      </c>
      <c r="G151" s="0" t="n">
        <v>1432</v>
      </c>
      <c r="H151" s="0" t="n">
        <v>601</v>
      </c>
      <c r="I151" s="0" t="n">
        <v>0</v>
      </c>
      <c r="J151" s="0" t="n">
        <v>106</v>
      </c>
      <c r="K151" s="0" t="n">
        <v>6</v>
      </c>
      <c r="L151" s="0" t="n">
        <v>12807</v>
      </c>
      <c r="M151" s="0" t="n">
        <v>633</v>
      </c>
    </row>
    <row r="152" customFormat="false" ht="13.5" hidden="false" customHeight="false" outlineLevel="0" collapsed="false">
      <c r="A152" s="0" t="s">
        <v>119</v>
      </c>
      <c r="B152" s="1" t="n">
        <v>44012</v>
      </c>
    </row>
    <row r="153" customFormat="false" ht="13.5" hidden="false" customHeight="false" outlineLevel="0" collapsed="false">
      <c r="A153" s="0" t="s">
        <v>119</v>
      </c>
      <c r="B153" s="1" t="n">
        <v>44013</v>
      </c>
    </row>
    <row r="154" customFormat="false" ht="13.5" hidden="false" customHeight="false" outlineLevel="0" collapsed="false">
      <c r="A154" s="0" t="s">
        <v>119</v>
      </c>
      <c r="B154" s="1" t="n">
        <v>44014</v>
      </c>
    </row>
    <row r="155" customFormat="false" ht="13.5" hidden="false" customHeight="false" outlineLevel="0" collapsed="false">
      <c r="A155" s="0" t="s">
        <v>119</v>
      </c>
      <c r="B155" s="1" t="n">
        <v>44015</v>
      </c>
    </row>
    <row r="156" customFormat="false" ht="13.5" hidden="false" customHeight="false" outlineLevel="0" collapsed="false">
      <c r="A156" s="0" t="s">
        <v>119</v>
      </c>
      <c r="B156" s="1" t="n">
        <v>44016</v>
      </c>
    </row>
    <row r="157" customFormat="false" ht="13.5" hidden="false" customHeight="false" outlineLevel="0" collapsed="false">
      <c r="A157" s="0" t="s">
        <v>119</v>
      </c>
      <c r="B157" s="1" t="n">
        <v>44017</v>
      </c>
    </row>
    <row r="158" customFormat="false" ht="13.5" hidden="false" customHeight="false" outlineLevel="0" collapsed="false">
      <c r="A158" s="0" t="s">
        <v>119</v>
      </c>
      <c r="B158" s="1" t="n">
        <v>44018</v>
      </c>
    </row>
    <row r="159" customFormat="false" ht="13.5" hidden="false" customHeight="false" outlineLevel="0" collapsed="false">
      <c r="A159" s="0" t="s">
        <v>119</v>
      </c>
      <c r="B159" s="1" t="n">
        <v>44019</v>
      </c>
    </row>
    <row r="160" customFormat="false" ht="13.5" hidden="false" customHeight="false" outlineLevel="0" collapsed="false">
      <c r="A160" s="0" t="s">
        <v>119</v>
      </c>
      <c r="B160" s="1" t="n">
        <v>44020</v>
      </c>
    </row>
    <row r="161" customFormat="false" ht="13.5" hidden="false" customHeight="false" outlineLevel="0" collapsed="false">
      <c r="A161" s="0" t="s">
        <v>119</v>
      </c>
      <c r="B161" s="1" t="n">
        <v>44021</v>
      </c>
    </row>
    <row r="162" customFormat="false" ht="13.5" hidden="false" customHeight="false" outlineLevel="0" collapsed="false">
      <c r="A162" s="0" t="s">
        <v>119</v>
      </c>
      <c r="B162" s="1" t="n">
        <v>44022</v>
      </c>
    </row>
    <row r="163" customFormat="false" ht="13.5" hidden="false" customHeight="false" outlineLevel="0" collapsed="false">
      <c r="A163" s="0" t="s">
        <v>119</v>
      </c>
      <c r="B163" s="1" t="n">
        <v>44023</v>
      </c>
    </row>
    <row r="164" customFormat="false" ht="13.5" hidden="false" customHeight="false" outlineLevel="0" collapsed="false">
      <c r="A164" s="0" t="s">
        <v>119</v>
      </c>
      <c r="B164" s="1" t="n">
        <v>44024</v>
      </c>
    </row>
    <row r="165" customFormat="false" ht="13.5" hidden="false" customHeight="false" outlineLevel="0" collapsed="false">
      <c r="A165" s="0" t="s">
        <v>119</v>
      </c>
      <c r="B165" s="1" t="n">
        <v>44025</v>
      </c>
    </row>
    <row r="166" customFormat="false" ht="13.5" hidden="false" customHeight="false" outlineLevel="0" collapsed="false">
      <c r="A166" s="0" t="s">
        <v>119</v>
      </c>
      <c r="B166" s="1" t="n">
        <v>44026</v>
      </c>
    </row>
    <row r="167" customFormat="false" ht="13.5" hidden="false" customHeight="false" outlineLevel="0" collapsed="false">
      <c r="A167" s="0" t="s">
        <v>119</v>
      </c>
      <c r="B167" s="1" t="n">
        <v>44027</v>
      </c>
    </row>
    <row r="168" customFormat="false" ht="13.5" hidden="false" customHeight="false" outlineLevel="0" collapsed="false">
      <c r="A168" s="0" t="s">
        <v>119</v>
      </c>
      <c r="B168" s="1" t="n">
        <v>44028</v>
      </c>
    </row>
    <row r="169" customFormat="false" ht="13.5" hidden="false" customHeight="false" outlineLevel="0" collapsed="false">
      <c r="A169" s="0" t="s">
        <v>119</v>
      </c>
      <c r="B169" s="1" t="n">
        <v>44029</v>
      </c>
    </row>
    <row r="170" customFormat="false" ht="13.5" hidden="false" customHeight="false" outlineLevel="0" collapsed="false">
      <c r="A170" s="0" t="s">
        <v>119</v>
      </c>
      <c r="B170" s="1" t="n">
        <v>44030</v>
      </c>
    </row>
    <row r="171" customFormat="false" ht="13.5" hidden="false" customHeight="false" outlineLevel="0" collapsed="false">
      <c r="A171" s="0" t="s">
        <v>119</v>
      </c>
      <c r="B171" s="1" t="n">
        <v>44031</v>
      </c>
    </row>
    <row r="172" customFormat="false" ht="13.5" hidden="false" customHeight="false" outlineLevel="0" collapsed="false">
      <c r="A172" s="0" t="s">
        <v>119</v>
      </c>
      <c r="B172" s="1" t="n">
        <v>44032</v>
      </c>
    </row>
    <row r="173" customFormat="false" ht="13.5" hidden="false" customHeight="false" outlineLevel="0" collapsed="false">
      <c r="A173" s="0" t="s">
        <v>119</v>
      </c>
      <c r="B173" s="1" t="n">
        <v>44033</v>
      </c>
    </row>
    <row r="174" customFormat="false" ht="13.5" hidden="false" customHeight="false" outlineLevel="0" collapsed="false">
      <c r="A174" s="0" t="s">
        <v>119</v>
      </c>
      <c r="B174" s="1" t="n">
        <v>44034</v>
      </c>
    </row>
    <row r="175" customFormat="false" ht="13.5" hidden="false" customHeight="false" outlineLevel="0" collapsed="false">
      <c r="A175" s="0" t="s">
        <v>119</v>
      </c>
      <c r="B175" s="1" t="n">
        <v>44035</v>
      </c>
    </row>
    <row r="176" customFormat="false" ht="13.5" hidden="false" customHeight="false" outlineLevel="0" collapsed="false">
      <c r="A176" s="0" t="s">
        <v>119</v>
      </c>
      <c r="B176" s="1" t="n">
        <v>44036</v>
      </c>
    </row>
    <row r="177" customFormat="false" ht="13.5" hidden="false" customHeight="false" outlineLevel="0" collapsed="false">
      <c r="A177" s="0" t="s">
        <v>119</v>
      </c>
      <c r="B177" s="1" t="n">
        <v>44037</v>
      </c>
    </row>
    <row r="178" customFormat="false" ht="13.5" hidden="false" customHeight="false" outlineLevel="0" collapsed="false">
      <c r="A178" s="0" t="s">
        <v>119</v>
      </c>
      <c r="B178" s="1" t="n">
        <v>44038</v>
      </c>
    </row>
    <row r="179" customFormat="false" ht="13.5" hidden="false" customHeight="false" outlineLevel="0" collapsed="false">
      <c r="A179" s="0" t="s">
        <v>119</v>
      </c>
      <c r="B179" s="1" t="n">
        <v>44039</v>
      </c>
    </row>
    <row r="180" customFormat="false" ht="13.5" hidden="false" customHeight="false" outlineLevel="0" collapsed="false">
      <c r="A180" s="0" t="s">
        <v>119</v>
      </c>
      <c r="B180" s="1" t="n">
        <v>44040</v>
      </c>
    </row>
    <row r="181" customFormat="false" ht="13.5" hidden="false" customHeight="false" outlineLevel="0" collapsed="false">
      <c r="A181" s="0" t="s">
        <v>119</v>
      </c>
      <c r="B181" s="1" t="n">
        <v>44041</v>
      </c>
    </row>
    <row r="182" customFormat="false" ht="13.5" hidden="false" customHeight="false" outlineLevel="0" collapsed="false">
      <c r="A182" s="0" t="s">
        <v>119</v>
      </c>
      <c r="B182" s="1" t="n">
        <v>44042</v>
      </c>
    </row>
    <row r="183" customFormat="false" ht="13.5" hidden="false" customHeight="false" outlineLevel="0" collapsed="false">
      <c r="A183" s="0" t="s">
        <v>119</v>
      </c>
      <c r="B183" s="1" t="n">
        <v>44043</v>
      </c>
    </row>
    <row r="184" customFormat="false" ht="13.5" hidden="false" customHeight="false" outlineLevel="0" collapsed="false">
      <c r="A184" s="0" t="s">
        <v>119</v>
      </c>
      <c r="B184" s="1" t="n">
        <v>44044</v>
      </c>
    </row>
    <row r="185" customFormat="false" ht="13.5" hidden="false" customHeight="false" outlineLevel="0" collapsed="false">
      <c r="A185" s="0" t="s">
        <v>119</v>
      </c>
      <c r="B185" s="1" t="n">
        <v>44045</v>
      </c>
    </row>
    <row r="186" customFormat="false" ht="13.5" hidden="false" customHeight="false" outlineLevel="0" collapsed="false">
      <c r="A186" s="0" t="s">
        <v>119</v>
      </c>
      <c r="B186" s="1" t="n">
        <v>44046</v>
      </c>
    </row>
    <row r="187" customFormat="false" ht="13.5" hidden="false" customHeight="false" outlineLevel="0" collapsed="false">
      <c r="A187" s="0" t="s">
        <v>119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Q166" activeCellId="0" sqref="Q166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120</v>
      </c>
      <c r="B2" s="1" t="n">
        <v>43862</v>
      </c>
      <c r="C2" s="0" t="e">
        <f aca="false">#REF!</f>
        <v>#REF!</v>
      </c>
      <c r="D2" s="0" t="e">
        <f aca="false">#REF!</f>
        <v>#REF!</v>
      </c>
      <c r="E2" s="0" t="e">
        <f aca="false">#REF!</f>
        <v>#REF!</v>
      </c>
      <c r="F2" s="0" t="e">
        <f aca="false">#REF!</f>
        <v>#REF!</v>
      </c>
      <c r="G2" s="0" t="e">
        <f aca="false">#REF!</f>
        <v>#REF!</v>
      </c>
      <c r="H2" s="0" t="e">
        <f aca="false">#REF!</f>
        <v>#REF!</v>
      </c>
      <c r="I2" s="0" t="e">
        <f aca="false">#REF!</f>
        <v>#REF!</v>
      </c>
      <c r="J2" s="0" t="e">
        <f aca="false">#REF!</f>
        <v>#REF!</v>
      </c>
      <c r="K2" s="0" t="e">
        <f aca="false">#REF!</f>
        <v>#REF!</v>
      </c>
      <c r="L2" s="0" t="e">
        <f aca="false">#REF!</f>
        <v>#REF!</v>
      </c>
      <c r="M2" s="0" t="e">
        <f aca="false">#REF!</f>
        <v>#REF!</v>
      </c>
    </row>
    <row r="3" customFormat="false" ht="13.5" hidden="false" customHeight="false" outlineLevel="0" collapsed="false">
      <c r="A3" s="0" t="s">
        <v>120</v>
      </c>
      <c r="B3" s="1" t="n">
        <v>43863</v>
      </c>
      <c r="C3" s="0" t="e">
        <f aca="false">#REF!</f>
        <v>#REF!</v>
      </c>
      <c r="D3" s="0" t="e">
        <f aca="false">#REF!</f>
        <v>#REF!</v>
      </c>
      <c r="E3" s="0" t="e">
        <f aca="false">#REF!</f>
        <v>#REF!</v>
      </c>
      <c r="F3" s="0" t="e">
        <f aca="false">#REF!</f>
        <v>#REF!</v>
      </c>
      <c r="G3" s="0" t="e">
        <f aca="false">#REF!</f>
        <v>#REF!</v>
      </c>
      <c r="H3" s="0" t="e">
        <f aca="false">#REF!</f>
        <v>#REF!</v>
      </c>
      <c r="I3" s="0" t="e">
        <f aca="false">#REF!</f>
        <v>#REF!</v>
      </c>
      <c r="J3" s="0" t="e">
        <f aca="false">#REF!</f>
        <v>#REF!</v>
      </c>
      <c r="K3" s="0" t="e">
        <f aca="false">#REF!</f>
        <v>#REF!</v>
      </c>
      <c r="L3" s="0" t="e">
        <f aca="false">#REF!</f>
        <v>#REF!</v>
      </c>
      <c r="M3" s="0" t="e">
        <f aca="false">#REF!</f>
        <v>#REF!</v>
      </c>
    </row>
    <row r="4" customFormat="false" ht="13.5" hidden="false" customHeight="false" outlineLevel="0" collapsed="false">
      <c r="A4" s="0" t="s">
        <v>120</v>
      </c>
      <c r="B4" s="1" t="n">
        <v>43864</v>
      </c>
      <c r="C4" s="0" t="e">
        <f aca="false">#REF!</f>
        <v>#REF!</v>
      </c>
      <c r="D4" s="0" t="e">
        <f aca="false">#REF!</f>
        <v>#REF!</v>
      </c>
      <c r="E4" s="0" t="e">
        <f aca="false">#REF!</f>
        <v>#REF!</v>
      </c>
      <c r="F4" s="0" t="e">
        <f aca="false">#REF!</f>
        <v>#REF!</v>
      </c>
      <c r="G4" s="0" t="e">
        <f aca="false">#REF!</f>
        <v>#REF!</v>
      </c>
      <c r="H4" s="0" t="e">
        <f aca="false">#REF!</f>
        <v>#REF!</v>
      </c>
      <c r="I4" s="0" t="e">
        <f aca="false">#REF!</f>
        <v>#REF!</v>
      </c>
      <c r="J4" s="0" t="e">
        <f aca="false">#REF!</f>
        <v>#REF!</v>
      </c>
      <c r="K4" s="0" t="e">
        <f aca="false">#REF!</f>
        <v>#REF!</v>
      </c>
      <c r="L4" s="0" t="e">
        <f aca="false">#REF!</f>
        <v>#REF!</v>
      </c>
      <c r="M4" s="0" t="e">
        <f aca="false">#REF!</f>
        <v>#REF!</v>
      </c>
    </row>
    <row r="5" customFormat="false" ht="13.5" hidden="false" customHeight="false" outlineLevel="0" collapsed="false">
      <c r="A5" s="0" t="s">
        <v>120</v>
      </c>
      <c r="B5" s="1" t="n">
        <v>43865</v>
      </c>
      <c r="C5" s="0" t="e">
        <f aca="false">#REF!</f>
        <v>#REF!</v>
      </c>
      <c r="D5" s="0" t="e">
        <f aca="false">#REF!</f>
        <v>#REF!</v>
      </c>
      <c r="E5" s="0" t="e">
        <f aca="false">#REF!</f>
        <v>#REF!</v>
      </c>
      <c r="F5" s="0" t="e">
        <f aca="false">#REF!</f>
        <v>#REF!</v>
      </c>
      <c r="G5" s="0" t="e">
        <f aca="false">#REF!</f>
        <v>#REF!</v>
      </c>
      <c r="H5" s="0" t="e">
        <f aca="false">#REF!</f>
        <v>#REF!</v>
      </c>
      <c r="I5" s="0" t="e">
        <f aca="false">#REF!</f>
        <v>#REF!</v>
      </c>
      <c r="J5" s="0" t="e">
        <f aca="false">#REF!</f>
        <v>#REF!</v>
      </c>
      <c r="K5" s="0" t="e">
        <f aca="false">#REF!</f>
        <v>#REF!</v>
      </c>
      <c r="L5" s="0" t="e">
        <f aca="false">#REF!</f>
        <v>#REF!</v>
      </c>
      <c r="M5" s="0" t="e">
        <f aca="false">#REF!</f>
        <v>#REF!</v>
      </c>
    </row>
    <row r="6" customFormat="false" ht="13.5" hidden="false" customHeight="false" outlineLevel="0" collapsed="false">
      <c r="A6" s="0" t="s">
        <v>120</v>
      </c>
      <c r="B6" s="1" t="n">
        <v>43866</v>
      </c>
      <c r="C6" s="0" t="e">
        <f aca="false">#REF!</f>
        <v>#REF!</v>
      </c>
      <c r="D6" s="0" t="e">
        <f aca="false">#REF!</f>
        <v>#REF!</v>
      </c>
      <c r="E6" s="0" t="e">
        <f aca="false">#REF!</f>
        <v>#REF!</v>
      </c>
      <c r="F6" s="0" t="e">
        <f aca="false">#REF!</f>
        <v>#REF!</v>
      </c>
      <c r="G6" s="0" t="e">
        <f aca="false">#REF!</f>
        <v>#REF!</v>
      </c>
      <c r="H6" s="0" t="e">
        <f aca="false">#REF!</f>
        <v>#REF!</v>
      </c>
      <c r="I6" s="0" t="e">
        <f aca="false">#REF!</f>
        <v>#REF!</v>
      </c>
      <c r="J6" s="0" t="e">
        <f aca="false">#REF!</f>
        <v>#REF!</v>
      </c>
      <c r="K6" s="0" t="e">
        <f aca="false">#REF!</f>
        <v>#REF!</v>
      </c>
      <c r="L6" s="0" t="e">
        <f aca="false">#REF!</f>
        <v>#REF!</v>
      </c>
      <c r="M6" s="0" t="e">
        <f aca="false">#REF!</f>
        <v>#REF!</v>
      </c>
    </row>
    <row r="7" customFormat="false" ht="13.5" hidden="false" customHeight="false" outlineLevel="0" collapsed="false">
      <c r="A7" s="0" t="s">
        <v>120</v>
      </c>
      <c r="B7" s="1" t="n">
        <v>43867</v>
      </c>
      <c r="C7" s="0" t="e">
        <f aca="false">#REF!</f>
        <v>#REF!</v>
      </c>
      <c r="D7" s="0" t="e">
        <f aca="false">#REF!</f>
        <v>#REF!</v>
      </c>
      <c r="E7" s="0" t="e">
        <f aca="false">#REF!</f>
        <v>#REF!</v>
      </c>
      <c r="F7" s="0" t="e">
        <f aca="false">#REF!</f>
        <v>#REF!</v>
      </c>
      <c r="G7" s="0" t="e">
        <f aca="false">#REF!</f>
        <v>#REF!</v>
      </c>
      <c r="H7" s="0" t="e">
        <f aca="false">#REF!</f>
        <v>#REF!</v>
      </c>
      <c r="I7" s="0" t="e">
        <f aca="false">#REF!</f>
        <v>#REF!</v>
      </c>
      <c r="J7" s="0" t="e">
        <f aca="false">#REF!</f>
        <v>#REF!</v>
      </c>
      <c r="K7" s="0" t="e">
        <f aca="false">#REF!</f>
        <v>#REF!</v>
      </c>
      <c r="L7" s="0" t="e">
        <f aca="false">#REF!</f>
        <v>#REF!</v>
      </c>
      <c r="M7" s="0" t="e">
        <f aca="false">#REF!</f>
        <v>#REF!</v>
      </c>
    </row>
    <row r="8" customFormat="false" ht="13.5" hidden="false" customHeight="false" outlineLevel="0" collapsed="false">
      <c r="A8" s="0" t="s">
        <v>120</v>
      </c>
      <c r="B8" s="1" t="n">
        <v>43868</v>
      </c>
      <c r="C8" s="0" t="e">
        <f aca="false">#REF!</f>
        <v>#REF!</v>
      </c>
      <c r="D8" s="0" t="e">
        <f aca="false">#REF!</f>
        <v>#REF!</v>
      </c>
      <c r="E8" s="0" t="e">
        <f aca="false">#REF!</f>
        <v>#REF!</v>
      </c>
      <c r="F8" s="0" t="e">
        <f aca="false">#REF!</f>
        <v>#REF!</v>
      </c>
      <c r="G8" s="0" t="e">
        <f aca="false">#REF!</f>
        <v>#REF!</v>
      </c>
      <c r="H8" s="0" t="e">
        <f aca="false">#REF!</f>
        <v>#REF!</v>
      </c>
      <c r="I8" s="0" t="e">
        <f aca="false">#REF!</f>
        <v>#REF!</v>
      </c>
      <c r="J8" s="0" t="e">
        <f aca="false">#REF!</f>
        <v>#REF!</v>
      </c>
      <c r="K8" s="0" t="e">
        <f aca="false">#REF!</f>
        <v>#REF!</v>
      </c>
      <c r="L8" s="0" t="e">
        <f aca="false">#REF!</f>
        <v>#REF!</v>
      </c>
      <c r="M8" s="0" t="e">
        <f aca="false">#REF!</f>
        <v>#REF!</v>
      </c>
    </row>
    <row r="9" customFormat="false" ht="13.5" hidden="false" customHeight="false" outlineLevel="0" collapsed="false">
      <c r="A9" s="0" t="s">
        <v>120</v>
      </c>
      <c r="B9" s="1" t="n">
        <v>43869</v>
      </c>
      <c r="C9" s="0" t="e">
        <f aca="false">#REF!</f>
        <v>#REF!</v>
      </c>
      <c r="D9" s="0" t="e">
        <f aca="false">#REF!</f>
        <v>#REF!</v>
      </c>
      <c r="E9" s="0" t="e">
        <f aca="false">#REF!</f>
        <v>#REF!</v>
      </c>
      <c r="F9" s="0" t="e">
        <f aca="false">#REF!</f>
        <v>#REF!</v>
      </c>
      <c r="G9" s="0" t="e">
        <f aca="false">#REF!</f>
        <v>#REF!</v>
      </c>
      <c r="H9" s="0" t="e">
        <f aca="false">#REF!</f>
        <v>#REF!</v>
      </c>
      <c r="I9" s="0" t="e">
        <f aca="false">#REF!</f>
        <v>#REF!</v>
      </c>
      <c r="J9" s="0" t="e">
        <f aca="false">#REF!</f>
        <v>#REF!</v>
      </c>
      <c r="K9" s="0" t="e">
        <f aca="false">#REF!</f>
        <v>#REF!</v>
      </c>
      <c r="L9" s="0" t="e">
        <f aca="false">#REF!</f>
        <v>#REF!</v>
      </c>
      <c r="M9" s="0" t="e">
        <f aca="false">#REF!</f>
        <v>#REF!</v>
      </c>
    </row>
    <row r="10" customFormat="false" ht="13.5" hidden="false" customHeight="false" outlineLevel="0" collapsed="false">
      <c r="A10" s="0" t="s">
        <v>120</v>
      </c>
      <c r="B10" s="1" t="n">
        <v>43870</v>
      </c>
      <c r="C10" s="0" t="e">
        <f aca="false">#REF!</f>
        <v>#REF!</v>
      </c>
      <c r="D10" s="0" t="e">
        <f aca="false">#REF!</f>
        <v>#REF!</v>
      </c>
      <c r="E10" s="0" t="e">
        <f aca="false">#REF!</f>
        <v>#REF!</v>
      </c>
      <c r="F10" s="0" t="e">
        <f aca="false">#REF!</f>
        <v>#REF!</v>
      </c>
      <c r="G10" s="0" t="e">
        <f aca="false">#REF!</f>
        <v>#REF!</v>
      </c>
      <c r="H10" s="0" t="e">
        <f aca="false">#REF!</f>
        <v>#REF!</v>
      </c>
      <c r="I10" s="0" t="e">
        <f aca="false">#REF!</f>
        <v>#REF!</v>
      </c>
      <c r="J10" s="0" t="e">
        <f aca="false">#REF!</f>
        <v>#REF!</v>
      </c>
      <c r="K10" s="0" t="e">
        <f aca="false">#REF!</f>
        <v>#REF!</v>
      </c>
      <c r="L10" s="0" t="e">
        <f aca="false">#REF!</f>
        <v>#REF!</v>
      </c>
      <c r="M10" s="0" t="e">
        <f aca="false">#REF!</f>
        <v>#REF!</v>
      </c>
    </row>
    <row r="11" customFormat="false" ht="13.5" hidden="false" customHeight="false" outlineLevel="0" collapsed="false">
      <c r="A11" s="0" t="s">
        <v>120</v>
      </c>
      <c r="B11" s="1" t="n">
        <v>43871</v>
      </c>
      <c r="C11" s="0" t="e">
        <f aca="false">#REF!</f>
        <v>#REF!</v>
      </c>
      <c r="D11" s="0" t="e">
        <f aca="false">#REF!</f>
        <v>#REF!</v>
      </c>
      <c r="E11" s="0" t="e">
        <f aca="false">#REF!</f>
        <v>#REF!</v>
      </c>
      <c r="F11" s="0" t="e">
        <f aca="false">#REF!</f>
        <v>#REF!</v>
      </c>
      <c r="G11" s="0" t="e">
        <f aca="false">#REF!</f>
        <v>#REF!</v>
      </c>
      <c r="H11" s="0" t="e">
        <f aca="false">#REF!</f>
        <v>#REF!</v>
      </c>
      <c r="I11" s="0" t="e">
        <f aca="false">#REF!</f>
        <v>#REF!</v>
      </c>
      <c r="J11" s="0" t="e">
        <f aca="false">#REF!</f>
        <v>#REF!</v>
      </c>
      <c r="K11" s="0" t="e">
        <f aca="false">#REF!</f>
        <v>#REF!</v>
      </c>
      <c r="L11" s="0" t="e">
        <f aca="false">#REF!</f>
        <v>#REF!</v>
      </c>
      <c r="M11" s="0" t="e">
        <f aca="false">#REF!</f>
        <v>#REF!</v>
      </c>
    </row>
    <row r="12" customFormat="false" ht="13.5" hidden="false" customHeight="false" outlineLevel="0" collapsed="false">
      <c r="A12" s="0" t="s">
        <v>120</v>
      </c>
      <c r="B12" s="1" t="n">
        <v>43872</v>
      </c>
      <c r="C12" s="0" t="e">
        <f aca="false">#REF!</f>
        <v>#REF!</v>
      </c>
      <c r="D12" s="0" t="e">
        <f aca="false">#REF!</f>
        <v>#REF!</v>
      </c>
      <c r="E12" s="0" t="e">
        <f aca="false">#REF!</f>
        <v>#REF!</v>
      </c>
      <c r="F12" s="0" t="e">
        <f aca="false">#REF!</f>
        <v>#REF!</v>
      </c>
      <c r="G12" s="0" t="e">
        <f aca="false">#REF!</f>
        <v>#REF!</v>
      </c>
      <c r="H12" s="0" t="e">
        <f aca="false">#REF!</f>
        <v>#REF!</v>
      </c>
      <c r="I12" s="0" t="e">
        <f aca="false">#REF!</f>
        <v>#REF!</v>
      </c>
      <c r="J12" s="0" t="e">
        <f aca="false">#REF!</f>
        <v>#REF!</v>
      </c>
      <c r="K12" s="0" t="e">
        <f aca="false">#REF!</f>
        <v>#REF!</v>
      </c>
      <c r="L12" s="0" t="e">
        <f aca="false">#REF!</f>
        <v>#REF!</v>
      </c>
      <c r="M12" s="0" t="e">
        <f aca="false">#REF!</f>
        <v>#REF!</v>
      </c>
    </row>
    <row r="13" customFormat="false" ht="13.5" hidden="false" customHeight="false" outlineLevel="0" collapsed="false">
      <c r="A13" s="0" t="s">
        <v>120</v>
      </c>
      <c r="B13" s="1" t="n">
        <v>43873</v>
      </c>
      <c r="C13" s="0" t="e">
        <f aca="false">#REF!</f>
        <v>#REF!</v>
      </c>
      <c r="D13" s="0" t="e">
        <f aca="false">#REF!</f>
        <v>#REF!</v>
      </c>
      <c r="E13" s="0" t="e">
        <f aca="false">#REF!</f>
        <v>#REF!</v>
      </c>
      <c r="F13" s="0" t="e">
        <f aca="false">#REF!</f>
        <v>#REF!</v>
      </c>
      <c r="G13" s="0" t="e">
        <f aca="false">#REF!</f>
        <v>#REF!</v>
      </c>
      <c r="H13" s="0" t="e">
        <f aca="false">#REF!</f>
        <v>#REF!</v>
      </c>
      <c r="I13" s="0" t="e">
        <f aca="false">#REF!</f>
        <v>#REF!</v>
      </c>
      <c r="J13" s="0" t="e">
        <f aca="false">#REF!</f>
        <v>#REF!</v>
      </c>
      <c r="K13" s="0" t="e">
        <f aca="false">#REF!</f>
        <v>#REF!</v>
      </c>
      <c r="L13" s="0" t="e">
        <f aca="false">#REF!</f>
        <v>#REF!</v>
      </c>
      <c r="M13" s="0" t="e">
        <f aca="false">#REF!</f>
        <v>#REF!</v>
      </c>
    </row>
    <row r="14" customFormat="false" ht="13.5" hidden="false" customHeight="false" outlineLevel="0" collapsed="false">
      <c r="A14" s="0" t="s">
        <v>120</v>
      </c>
      <c r="B14" s="1" t="n">
        <v>43874</v>
      </c>
      <c r="C14" s="0" t="e">
        <f aca="false">#REF!</f>
        <v>#REF!</v>
      </c>
      <c r="D14" s="0" t="e">
        <f aca="false">#REF!</f>
        <v>#REF!</v>
      </c>
      <c r="E14" s="0" t="e">
        <f aca="false">#REF!</f>
        <v>#REF!</v>
      </c>
      <c r="F14" s="0" t="e">
        <f aca="false">#REF!</f>
        <v>#REF!</v>
      </c>
      <c r="G14" s="0" t="e">
        <f aca="false">#REF!</f>
        <v>#REF!</v>
      </c>
      <c r="H14" s="0" t="e">
        <f aca="false">#REF!</f>
        <v>#REF!</v>
      </c>
      <c r="I14" s="0" t="e">
        <f aca="false">#REF!</f>
        <v>#REF!</v>
      </c>
      <c r="J14" s="0" t="e">
        <f aca="false">#REF!</f>
        <v>#REF!</v>
      </c>
      <c r="K14" s="0" t="e">
        <f aca="false">#REF!</f>
        <v>#REF!</v>
      </c>
      <c r="L14" s="0" t="e">
        <f aca="false">#REF!</f>
        <v>#REF!</v>
      </c>
      <c r="M14" s="0" t="e">
        <f aca="false">#REF!</f>
        <v>#REF!</v>
      </c>
    </row>
    <row r="15" customFormat="false" ht="13.5" hidden="false" customHeight="false" outlineLevel="0" collapsed="false">
      <c r="A15" s="0" t="s">
        <v>120</v>
      </c>
      <c r="B15" s="1" t="n">
        <v>43875</v>
      </c>
      <c r="C15" s="0" t="e">
        <f aca="false">#REF!</f>
        <v>#REF!</v>
      </c>
      <c r="D15" s="0" t="e">
        <f aca="false">#REF!</f>
        <v>#REF!</v>
      </c>
      <c r="E15" s="0" t="e">
        <f aca="false">#REF!</f>
        <v>#REF!</v>
      </c>
      <c r="F15" s="0" t="e">
        <f aca="false">#REF!</f>
        <v>#REF!</v>
      </c>
      <c r="G15" s="0" t="e">
        <f aca="false">#REF!</f>
        <v>#REF!</v>
      </c>
      <c r="H15" s="0" t="e">
        <f aca="false">#REF!</f>
        <v>#REF!</v>
      </c>
      <c r="I15" s="0" t="e">
        <f aca="false">#REF!</f>
        <v>#REF!</v>
      </c>
      <c r="J15" s="0" t="e">
        <f aca="false">#REF!</f>
        <v>#REF!</v>
      </c>
      <c r="K15" s="0" t="e">
        <f aca="false">#REF!</f>
        <v>#REF!</v>
      </c>
      <c r="L15" s="0" t="e">
        <f aca="false">#REF!</f>
        <v>#REF!</v>
      </c>
      <c r="M15" s="0" t="e">
        <f aca="false">#REF!</f>
        <v>#REF!</v>
      </c>
    </row>
    <row r="16" customFormat="false" ht="13.5" hidden="false" customHeight="false" outlineLevel="0" collapsed="false">
      <c r="A16" s="0" t="s">
        <v>120</v>
      </c>
      <c r="B16" s="1" t="n">
        <v>43876</v>
      </c>
      <c r="C16" s="0" t="e">
        <f aca="false">#REF!</f>
        <v>#REF!</v>
      </c>
      <c r="D16" s="0" t="e">
        <f aca="false">#REF!</f>
        <v>#REF!</v>
      </c>
      <c r="E16" s="0" t="e">
        <f aca="false">#REF!</f>
        <v>#REF!</v>
      </c>
      <c r="F16" s="0" t="e">
        <f aca="false">#REF!</f>
        <v>#REF!</v>
      </c>
      <c r="G16" s="0" t="e">
        <f aca="false">#REF!</f>
        <v>#REF!</v>
      </c>
      <c r="H16" s="0" t="e">
        <f aca="false">#REF!</f>
        <v>#REF!</v>
      </c>
      <c r="I16" s="0" t="e">
        <f aca="false">#REF!</f>
        <v>#REF!</v>
      </c>
      <c r="J16" s="0" t="e">
        <f aca="false">#REF!</f>
        <v>#REF!</v>
      </c>
      <c r="K16" s="0" t="e">
        <f aca="false">#REF!</f>
        <v>#REF!</v>
      </c>
      <c r="L16" s="0" t="e">
        <f aca="false">#REF!</f>
        <v>#REF!</v>
      </c>
      <c r="M16" s="0" t="e">
        <f aca="false">#REF!</f>
        <v>#REF!</v>
      </c>
    </row>
    <row r="17" customFormat="false" ht="13.5" hidden="false" customHeight="false" outlineLevel="0" collapsed="false">
      <c r="A17" s="0" t="s">
        <v>120</v>
      </c>
      <c r="B17" s="1" t="n">
        <v>43877</v>
      </c>
      <c r="C17" s="0" t="e">
        <f aca="false">#REF!</f>
        <v>#REF!</v>
      </c>
      <c r="D17" s="0" t="e">
        <f aca="false">#REF!</f>
        <v>#REF!</v>
      </c>
      <c r="E17" s="0" t="e">
        <f aca="false">#REF!</f>
        <v>#REF!</v>
      </c>
      <c r="F17" s="0" t="e">
        <f aca="false">#REF!</f>
        <v>#REF!</v>
      </c>
      <c r="G17" s="0" t="e">
        <f aca="false">#REF!</f>
        <v>#REF!</v>
      </c>
      <c r="H17" s="0" t="e">
        <f aca="false">#REF!</f>
        <v>#REF!</v>
      </c>
      <c r="I17" s="0" t="e">
        <f aca="false">#REF!</f>
        <v>#REF!</v>
      </c>
      <c r="J17" s="0" t="e">
        <f aca="false">#REF!</f>
        <v>#REF!</v>
      </c>
      <c r="K17" s="0" t="e">
        <f aca="false">#REF!</f>
        <v>#REF!</v>
      </c>
      <c r="L17" s="0" t="e">
        <f aca="false">#REF!</f>
        <v>#REF!</v>
      </c>
      <c r="M17" s="0" t="e">
        <f aca="false">#REF!</f>
        <v>#REF!</v>
      </c>
    </row>
    <row r="18" customFormat="false" ht="13.5" hidden="false" customHeight="false" outlineLevel="0" collapsed="false">
      <c r="A18" s="0" t="s">
        <v>120</v>
      </c>
      <c r="B18" s="1" t="n">
        <v>43878</v>
      </c>
      <c r="C18" s="0" t="e">
        <f aca="false">#REF!</f>
        <v>#REF!</v>
      </c>
      <c r="D18" s="0" t="e">
        <f aca="false">#REF!</f>
        <v>#REF!</v>
      </c>
      <c r="E18" s="0" t="e">
        <f aca="false">#REF!</f>
        <v>#REF!</v>
      </c>
      <c r="F18" s="0" t="e">
        <f aca="false">#REF!</f>
        <v>#REF!</v>
      </c>
      <c r="G18" s="0" t="e">
        <f aca="false">#REF!</f>
        <v>#REF!</v>
      </c>
      <c r="H18" s="0" t="e">
        <f aca="false">#REF!</f>
        <v>#REF!</v>
      </c>
      <c r="I18" s="0" t="e">
        <f aca="false">#REF!</f>
        <v>#REF!</v>
      </c>
      <c r="J18" s="0" t="e">
        <f aca="false">#REF!</f>
        <v>#REF!</v>
      </c>
      <c r="K18" s="0" t="e">
        <f aca="false">#REF!</f>
        <v>#REF!</v>
      </c>
      <c r="L18" s="0" t="e">
        <f aca="false">#REF!</f>
        <v>#REF!</v>
      </c>
      <c r="M18" s="0" t="e">
        <f aca="false">#REF!</f>
        <v>#REF!</v>
      </c>
    </row>
    <row r="19" customFormat="false" ht="13.5" hidden="false" customHeight="false" outlineLevel="0" collapsed="false">
      <c r="A19" s="0" t="s">
        <v>120</v>
      </c>
      <c r="B19" s="1" t="n">
        <v>43879</v>
      </c>
      <c r="C19" s="0" t="e">
        <f aca="false">#REF!</f>
        <v>#REF!</v>
      </c>
      <c r="D19" s="0" t="e">
        <f aca="false">#REF!</f>
        <v>#REF!</v>
      </c>
      <c r="E19" s="0" t="e">
        <f aca="false">#REF!</f>
        <v>#REF!</v>
      </c>
      <c r="F19" s="0" t="e">
        <f aca="false">#REF!</f>
        <v>#REF!</v>
      </c>
      <c r="G19" s="0" t="e">
        <f aca="false">#REF!</f>
        <v>#REF!</v>
      </c>
      <c r="H19" s="0" t="e">
        <f aca="false">#REF!</f>
        <v>#REF!</v>
      </c>
      <c r="I19" s="0" t="e">
        <f aca="false">#REF!</f>
        <v>#REF!</v>
      </c>
      <c r="J19" s="0" t="e">
        <f aca="false">#REF!</f>
        <v>#REF!</v>
      </c>
      <c r="K19" s="0" t="e">
        <f aca="false">#REF!</f>
        <v>#REF!</v>
      </c>
      <c r="L19" s="0" t="e">
        <f aca="false">#REF!</f>
        <v>#REF!</v>
      </c>
      <c r="M19" s="0" t="e">
        <f aca="false">#REF!</f>
        <v>#REF!</v>
      </c>
    </row>
    <row r="20" customFormat="false" ht="13.5" hidden="false" customHeight="false" outlineLevel="0" collapsed="false">
      <c r="A20" s="0" t="s">
        <v>120</v>
      </c>
      <c r="B20" s="1" t="n">
        <v>43880</v>
      </c>
      <c r="C20" s="0" t="e">
        <f aca="false">#REF!</f>
        <v>#REF!</v>
      </c>
      <c r="D20" s="0" t="e">
        <f aca="false">#REF!</f>
        <v>#REF!</v>
      </c>
      <c r="E20" s="0" t="e">
        <f aca="false">#REF!</f>
        <v>#REF!</v>
      </c>
      <c r="F20" s="0" t="e">
        <f aca="false">#REF!</f>
        <v>#REF!</v>
      </c>
      <c r="G20" s="0" t="e">
        <f aca="false">#REF!</f>
        <v>#REF!</v>
      </c>
      <c r="H20" s="0" t="e">
        <f aca="false">#REF!</f>
        <v>#REF!</v>
      </c>
      <c r="I20" s="0" t="e">
        <f aca="false">#REF!</f>
        <v>#REF!</v>
      </c>
      <c r="J20" s="0" t="e">
        <f aca="false">#REF!</f>
        <v>#REF!</v>
      </c>
      <c r="K20" s="0" t="e">
        <f aca="false">#REF!</f>
        <v>#REF!</v>
      </c>
      <c r="L20" s="0" t="e">
        <f aca="false">#REF!</f>
        <v>#REF!</v>
      </c>
      <c r="M20" s="0" t="e">
        <f aca="false">#REF!</f>
        <v>#REF!</v>
      </c>
    </row>
    <row r="21" customFormat="false" ht="13.5" hidden="false" customHeight="false" outlineLevel="0" collapsed="false">
      <c r="A21" s="0" t="s">
        <v>120</v>
      </c>
      <c r="B21" s="1" t="n">
        <v>43881</v>
      </c>
      <c r="C21" s="0" t="e">
        <f aca="false">#REF!</f>
        <v>#REF!</v>
      </c>
      <c r="D21" s="0" t="e">
        <f aca="false">#REF!</f>
        <v>#REF!</v>
      </c>
      <c r="E21" s="0" t="e">
        <f aca="false">#REF!</f>
        <v>#REF!</v>
      </c>
      <c r="F21" s="0" t="e">
        <f aca="false">#REF!</f>
        <v>#REF!</v>
      </c>
      <c r="G21" s="0" t="e">
        <f aca="false">#REF!</f>
        <v>#REF!</v>
      </c>
      <c r="H21" s="0" t="e">
        <f aca="false">#REF!</f>
        <v>#REF!</v>
      </c>
      <c r="I21" s="0" t="e">
        <f aca="false">#REF!</f>
        <v>#REF!</v>
      </c>
      <c r="J21" s="0" t="e">
        <f aca="false">#REF!</f>
        <v>#REF!</v>
      </c>
      <c r="K21" s="0" t="e">
        <f aca="false">#REF!</f>
        <v>#REF!</v>
      </c>
      <c r="L21" s="0" t="e">
        <f aca="false">#REF!</f>
        <v>#REF!</v>
      </c>
      <c r="M21" s="0" t="e">
        <f aca="false">#REF!</f>
        <v>#REF!</v>
      </c>
    </row>
    <row r="22" customFormat="false" ht="13.5" hidden="false" customHeight="false" outlineLevel="0" collapsed="false">
      <c r="A22" s="0" t="s">
        <v>120</v>
      </c>
      <c r="B22" s="1" t="n">
        <v>43882</v>
      </c>
      <c r="C22" s="0" t="e">
        <f aca="false">#REF!</f>
        <v>#REF!</v>
      </c>
      <c r="D22" s="0" t="e">
        <f aca="false">#REF!</f>
        <v>#REF!</v>
      </c>
      <c r="E22" s="0" t="e">
        <f aca="false">#REF!</f>
        <v>#REF!</v>
      </c>
      <c r="F22" s="0" t="e">
        <f aca="false">#REF!</f>
        <v>#REF!</v>
      </c>
      <c r="G22" s="0" t="e">
        <f aca="false">#REF!</f>
        <v>#REF!</v>
      </c>
      <c r="H22" s="0" t="e">
        <f aca="false">#REF!</f>
        <v>#REF!</v>
      </c>
      <c r="I22" s="0" t="e">
        <f aca="false">#REF!</f>
        <v>#REF!</v>
      </c>
      <c r="J22" s="0" t="e">
        <f aca="false">#REF!</f>
        <v>#REF!</v>
      </c>
      <c r="K22" s="0" t="e">
        <f aca="false">#REF!</f>
        <v>#REF!</v>
      </c>
      <c r="L22" s="0" t="e">
        <f aca="false">#REF!</f>
        <v>#REF!</v>
      </c>
      <c r="M22" s="0" t="e">
        <f aca="false">#REF!</f>
        <v>#REF!</v>
      </c>
    </row>
    <row r="23" customFormat="false" ht="13.5" hidden="false" customHeight="false" outlineLevel="0" collapsed="false">
      <c r="A23" s="0" t="s">
        <v>120</v>
      </c>
      <c r="B23" s="1" t="n">
        <v>43883</v>
      </c>
      <c r="C23" s="0" t="e">
        <f aca="false">#REF!</f>
        <v>#REF!</v>
      </c>
      <c r="D23" s="0" t="e">
        <f aca="false">#REF!</f>
        <v>#REF!</v>
      </c>
      <c r="E23" s="0" t="e">
        <f aca="false">#REF!</f>
        <v>#REF!</v>
      </c>
      <c r="F23" s="0" t="e">
        <f aca="false">#REF!</f>
        <v>#REF!</v>
      </c>
      <c r="G23" s="0" t="e">
        <f aca="false">#REF!</f>
        <v>#REF!</v>
      </c>
      <c r="H23" s="0" t="e">
        <f aca="false">#REF!</f>
        <v>#REF!</v>
      </c>
      <c r="I23" s="0" t="e">
        <f aca="false">#REF!</f>
        <v>#REF!</v>
      </c>
      <c r="J23" s="0" t="e">
        <f aca="false">#REF!</f>
        <v>#REF!</v>
      </c>
      <c r="K23" s="0" t="e">
        <f aca="false">#REF!</f>
        <v>#REF!</v>
      </c>
      <c r="L23" s="0" t="e">
        <f aca="false">#REF!</f>
        <v>#REF!</v>
      </c>
      <c r="M23" s="0" t="e">
        <f aca="false">#REF!</f>
        <v>#REF!</v>
      </c>
    </row>
    <row r="24" customFormat="false" ht="13.5" hidden="false" customHeight="false" outlineLevel="0" collapsed="false">
      <c r="A24" s="0" t="s">
        <v>120</v>
      </c>
      <c r="B24" s="1" t="n">
        <v>43884</v>
      </c>
      <c r="C24" s="0" t="e">
        <f aca="false">#REF!</f>
        <v>#REF!</v>
      </c>
      <c r="D24" s="0" t="e">
        <f aca="false">#REF!</f>
        <v>#REF!</v>
      </c>
      <c r="E24" s="0" t="e">
        <f aca="false">#REF!</f>
        <v>#REF!</v>
      </c>
      <c r="F24" s="0" t="e">
        <f aca="false">#REF!</f>
        <v>#REF!</v>
      </c>
      <c r="G24" s="0" t="e">
        <f aca="false">#REF!</f>
        <v>#REF!</v>
      </c>
      <c r="H24" s="0" t="e">
        <f aca="false">#REF!</f>
        <v>#REF!</v>
      </c>
      <c r="I24" s="0" t="e">
        <f aca="false">#REF!</f>
        <v>#REF!</v>
      </c>
      <c r="J24" s="0" t="e">
        <f aca="false">#REF!</f>
        <v>#REF!</v>
      </c>
      <c r="K24" s="0" t="e">
        <f aca="false">#REF!</f>
        <v>#REF!</v>
      </c>
      <c r="L24" s="0" t="e">
        <f aca="false">#REF!</f>
        <v>#REF!</v>
      </c>
      <c r="M24" s="0" t="e">
        <f aca="false">#REF!</f>
        <v>#REF!</v>
      </c>
    </row>
    <row r="25" customFormat="false" ht="13.5" hidden="false" customHeight="false" outlineLevel="0" collapsed="false">
      <c r="A25" s="0" t="s">
        <v>120</v>
      </c>
      <c r="B25" s="1" t="n">
        <v>43885</v>
      </c>
      <c r="C25" s="0" t="e">
        <f aca="false">#REF!</f>
        <v>#REF!</v>
      </c>
      <c r="D25" s="0" t="e">
        <f aca="false">#REF!</f>
        <v>#REF!</v>
      </c>
      <c r="E25" s="0" t="e">
        <f aca="false">#REF!</f>
        <v>#REF!</v>
      </c>
      <c r="F25" s="0" t="e">
        <f aca="false">#REF!</f>
        <v>#REF!</v>
      </c>
      <c r="G25" s="0" t="e">
        <f aca="false">#REF!</f>
        <v>#REF!</v>
      </c>
      <c r="H25" s="0" t="e">
        <f aca="false">#REF!</f>
        <v>#REF!</v>
      </c>
      <c r="I25" s="0" t="e">
        <f aca="false">#REF!</f>
        <v>#REF!</v>
      </c>
      <c r="J25" s="0" t="e">
        <f aca="false">#REF!</f>
        <v>#REF!</v>
      </c>
      <c r="K25" s="0" t="e">
        <f aca="false">#REF!</f>
        <v>#REF!</v>
      </c>
      <c r="L25" s="0" t="e">
        <f aca="false">#REF!</f>
        <v>#REF!</v>
      </c>
      <c r="M25" s="0" t="e">
        <f aca="false">#REF!</f>
        <v>#REF!</v>
      </c>
    </row>
    <row r="26" customFormat="false" ht="13.5" hidden="false" customHeight="false" outlineLevel="0" collapsed="false">
      <c r="A26" s="0" t="s">
        <v>120</v>
      </c>
      <c r="B26" s="1" t="n">
        <v>43886</v>
      </c>
      <c r="C26" s="0" t="e">
        <f aca="false">#REF!</f>
        <v>#REF!</v>
      </c>
      <c r="D26" s="0" t="e">
        <f aca="false">#REF!</f>
        <v>#REF!</v>
      </c>
      <c r="E26" s="0" t="e">
        <f aca="false">#REF!</f>
        <v>#REF!</v>
      </c>
      <c r="F26" s="0" t="e">
        <f aca="false">#REF!</f>
        <v>#REF!</v>
      </c>
      <c r="G26" s="0" t="e">
        <f aca="false">#REF!</f>
        <v>#REF!</v>
      </c>
      <c r="H26" s="0" t="e">
        <f aca="false">#REF!</f>
        <v>#REF!</v>
      </c>
      <c r="I26" s="0" t="e">
        <f aca="false">#REF!</f>
        <v>#REF!</v>
      </c>
      <c r="J26" s="0" t="e">
        <f aca="false">#REF!</f>
        <v>#REF!</v>
      </c>
      <c r="K26" s="0" t="e">
        <f aca="false">#REF!</f>
        <v>#REF!</v>
      </c>
      <c r="L26" s="0" t="e">
        <f aca="false">#REF!</f>
        <v>#REF!</v>
      </c>
      <c r="M26" s="0" t="e">
        <f aca="false">#REF!</f>
        <v>#REF!</v>
      </c>
    </row>
    <row r="27" customFormat="false" ht="13.5" hidden="false" customHeight="false" outlineLevel="0" collapsed="false">
      <c r="A27" s="0" t="s">
        <v>120</v>
      </c>
      <c r="B27" s="1" t="n">
        <v>43887</v>
      </c>
      <c r="C27" s="0" t="e">
        <f aca="false">#REF!</f>
        <v>#REF!</v>
      </c>
      <c r="D27" s="0" t="e">
        <f aca="false">#REF!</f>
        <v>#REF!</v>
      </c>
      <c r="E27" s="0" t="e">
        <f aca="false">#REF!</f>
        <v>#REF!</v>
      </c>
      <c r="F27" s="0" t="e">
        <f aca="false">#REF!</f>
        <v>#REF!</v>
      </c>
      <c r="G27" s="0" t="e">
        <f aca="false">#REF!</f>
        <v>#REF!</v>
      </c>
      <c r="H27" s="0" t="e">
        <f aca="false">#REF!</f>
        <v>#REF!</v>
      </c>
      <c r="I27" s="0" t="e">
        <f aca="false">#REF!</f>
        <v>#REF!</v>
      </c>
      <c r="J27" s="0" t="e">
        <f aca="false">#REF!</f>
        <v>#REF!</v>
      </c>
      <c r="K27" s="0" t="e">
        <f aca="false">#REF!</f>
        <v>#REF!</v>
      </c>
      <c r="L27" s="0" t="e">
        <f aca="false">#REF!</f>
        <v>#REF!</v>
      </c>
      <c r="M27" s="0" t="e">
        <f aca="false">#REF!</f>
        <v>#REF!</v>
      </c>
    </row>
    <row r="28" customFormat="false" ht="13.5" hidden="false" customHeight="false" outlineLevel="0" collapsed="false">
      <c r="A28" s="0" t="s">
        <v>120</v>
      </c>
      <c r="B28" s="1" t="n">
        <v>43888</v>
      </c>
      <c r="C28" s="0" t="e">
        <f aca="false">#REF!</f>
        <v>#REF!</v>
      </c>
      <c r="D28" s="0" t="e">
        <f aca="false">#REF!</f>
        <v>#REF!</v>
      </c>
      <c r="E28" s="0" t="e">
        <f aca="false">#REF!</f>
        <v>#REF!</v>
      </c>
      <c r="F28" s="0" t="e">
        <f aca="false">#REF!</f>
        <v>#REF!</v>
      </c>
      <c r="G28" s="0" t="e">
        <f aca="false">#REF!</f>
        <v>#REF!</v>
      </c>
      <c r="H28" s="0" t="e">
        <f aca="false">#REF!</f>
        <v>#REF!</v>
      </c>
      <c r="I28" s="0" t="e">
        <f aca="false">#REF!</f>
        <v>#REF!</v>
      </c>
      <c r="J28" s="0" t="e">
        <f aca="false">#REF!</f>
        <v>#REF!</v>
      </c>
      <c r="K28" s="0" t="e">
        <f aca="false">#REF!</f>
        <v>#REF!</v>
      </c>
      <c r="L28" s="0" t="e">
        <f aca="false">#REF!</f>
        <v>#REF!</v>
      </c>
      <c r="M28" s="0" t="e">
        <f aca="false">#REF!</f>
        <v>#REF!</v>
      </c>
    </row>
    <row r="29" customFormat="false" ht="13.5" hidden="false" customHeight="false" outlineLevel="0" collapsed="false">
      <c r="A29" s="0" t="s">
        <v>120</v>
      </c>
      <c r="B29" s="1" t="n">
        <v>43889</v>
      </c>
      <c r="C29" s="0" t="e">
        <f aca="false">#REF!</f>
        <v>#REF!</v>
      </c>
      <c r="D29" s="0" t="e">
        <f aca="false">#REF!</f>
        <v>#REF!</v>
      </c>
      <c r="E29" s="0" t="e">
        <f aca="false">#REF!</f>
        <v>#REF!</v>
      </c>
      <c r="F29" s="0" t="e">
        <f aca="false">#REF!</f>
        <v>#REF!</v>
      </c>
      <c r="G29" s="0" t="e">
        <f aca="false">#REF!</f>
        <v>#REF!</v>
      </c>
      <c r="H29" s="0" t="e">
        <f aca="false">#REF!</f>
        <v>#REF!</v>
      </c>
      <c r="I29" s="0" t="e">
        <f aca="false">#REF!</f>
        <v>#REF!</v>
      </c>
      <c r="J29" s="0" t="e">
        <f aca="false">#REF!</f>
        <v>#REF!</v>
      </c>
      <c r="K29" s="0" t="e">
        <f aca="false">#REF!</f>
        <v>#REF!</v>
      </c>
      <c r="L29" s="0" t="e">
        <f aca="false">#REF!</f>
        <v>#REF!</v>
      </c>
      <c r="M29" s="0" t="e">
        <f aca="false">#REF!</f>
        <v>#REF!</v>
      </c>
    </row>
    <row r="30" customFormat="false" ht="13.5" hidden="false" customHeight="false" outlineLevel="0" collapsed="false">
      <c r="A30" s="0" t="s">
        <v>120</v>
      </c>
      <c r="B30" s="1" t="n">
        <v>43890</v>
      </c>
      <c r="C30" s="0" t="e">
        <f aca="false">#REF!</f>
        <v>#REF!</v>
      </c>
      <c r="D30" s="0" t="e">
        <f aca="false">#REF!</f>
        <v>#REF!</v>
      </c>
      <c r="E30" s="0" t="e">
        <f aca="false">#REF!</f>
        <v>#REF!</v>
      </c>
      <c r="F30" s="0" t="e">
        <f aca="false">#REF!</f>
        <v>#REF!</v>
      </c>
      <c r="G30" s="0" t="e">
        <f aca="false">#REF!</f>
        <v>#REF!</v>
      </c>
      <c r="H30" s="0" t="e">
        <f aca="false">#REF!</f>
        <v>#REF!</v>
      </c>
      <c r="I30" s="0" t="e">
        <f aca="false">#REF!</f>
        <v>#REF!</v>
      </c>
      <c r="J30" s="0" t="e">
        <f aca="false">#REF!</f>
        <v>#REF!</v>
      </c>
      <c r="K30" s="0" t="e">
        <f aca="false">#REF!</f>
        <v>#REF!</v>
      </c>
      <c r="L30" s="0" t="e">
        <f aca="false">#REF!</f>
        <v>#REF!</v>
      </c>
      <c r="M30" s="0" t="e">
        <f aca="false">#REF!</f>
        <v>#REF!</v>
      </c>
    </row>
    <row r="31" customFormat="false" ht="13.5" hidden="false" customHeight="false" outlineLevel="0" collapsed="false">
      <c r="A31" s="0" t="s">
        <v>120</v>
      </c>
      <c r="B31" s="1" t="n">
        <v>43891</v>
      </c>
      <c r="C31" s="0" t="e">
        <f aca="false">#REF!</f>
        <v>#REF!</v>
      </c>
      <c r="D31" s="0" t="e">
        <f aca="false">#REF!</f>
        <v>#REF!</v>
      </c>
      <c r="E31" s="0" t="e">
        <f aca="false">#REF!</f>
        <v>#REF!</v>
      </c>
      <c r="F31" s="0" t="e">
        <f aca="false">#REF!</f>
        <v>#REF!</v>
      </c>
      <c r="G31" s="0" t="e">
        <f aca="false">#REF!</f>
        <v>#REF!</v>
      </c>
      <c r="H31" s="0" t="e">
        <f aca="false">#REF!</f>
        <v>#REF!</v>
      </c>
      <c r="I31" s="0" t="e">
        <f aca="false">#REF!</f>
        <v>#REF!</v>
      </c>
      <c r="J31" s="0" t="e">
        <f aca="false">#REF!</f>
        <v>#REF!</v>
      </c>
      <c r="K31" s="0" t="e">
        <f aca="false">#REF!</f>
        <v>#REF!</v>
      </c>
      <c r="L31" s="0" t="e">
        <f aca="false">#REF!</f>
        <v>#REF!</v>
      </c>
      <c r="M31" s="0" t="e">
        <f aca="false">#REF!</f>
        <v>#REF!</v>
      </c>
    </row>
    <row r="32" customFormat="false" ht="13.5" hidden="false" customHeight="false" outlineLevel="0" collapsed="false">
      <c r="A32" s="0" t="s">
        <v>120</v>
      </c>
      <c r="B32" s="1" t="n">
        <v>43892</v>
      </c>
      <c r="C32" s="0" t="e">
        <f aca="false">#REF!</f>
        <v>#REF!</v>
      </c>
      <c r="D32" s="0" t="e">
        <f aca="false">#REF!</f>
        <v>#REF!</v>
      </c>
      <c r="E32" s="0" t="e">
        <f aca="false">#REF!</f>
        <v>#REF!</v>
      </c>
      <c r="F32" s="0" t="e">
        <f aca="false">#REF!</f>
        <v>#REF!</v>
      </c>
      <c r="G32" s="0" t="e">
        <f aca="false">#REF!</f>
        <v>#REF!</v>
      </c>
      <c r="H32" s="0" t="e">
        <f aca="false">#REF!</f>
        <v>#REF!</v>
      </c>
      <c r="I32" s="0" t="e">
        <f aca="false">#REF!</f>
        <v>#REF!</v>
      </c>
      <c r="J32" s="0" t="e">
        <f aca="false">#REF!</f>
        <v>#REF!</v>
      </c>
      <c r="K32" s="0" t="e">
        <f aca="false">#REF!</f>
        <v>#REF!</v>
      </c>
      <c r="L32" s="0" t="e">
        <f aca="false">#REF!</f>
        <v>#REF!</v>
      </c>
      <c r="M32" s="0" t="e">
        <f aca="false">#REF!</f>
        <v>#REF!</v>
      </c>
    </row>
    <row r="33" customFormat="false" ht="13.5" hidden="false" customHeight="false" outlineLevel="0" collapsed="false">
      <c r="A33" s="0" t="s">
        <v>120</v>
      </c>
      <c r="B33" s="1" t="n">
        <v>43893</v>
      </c>
      <c r="C33" s="0" t="e">
        <f aca="false">#REF!</f>
        <v>#REF!</v>
      </c>
      <c r="D33" s="0" t="e">
        <f aca="false">#REF!</f>
        <v>#REF!</v>
      </c>
      <c r="E33" s="0" t="e">
        <f aca="false">#REF!</f>
        <v>#REF!</v>
      </c>
      <c r="F33" s="0" t="e">
        <f aca="false">#REF!</f>
        <v>#REF!</v>
      </c>
      <c r="G33" s="0" t="e">
        <f aca="false">#REF!</f>
        <v>#REF!</v>
      </c>
      <c r="H33" s="0" t="e">
        <f aca="false">#REF!</f>
        <v>#REF!</v>
      </c>
      <c r="I33" s="0" t="e">
        <f aca="false">#REF!</f>
        <v>#REF!</v>
      </c>
      <c r="J33" s="0" t="e">
        <f aca="false">#REF!</f>
        <v>#REF!</v>
      </c>
      <c r="K33" s="0" t="e">
        <f aca="false">#REF!</f>
        <v>#REF!</v>
      </c>
      <c r="L33" s="0" t="e">
        <f aca="false">#REF!</f>
        <v>#REF!</v>
      </c>
      <c r="M33" s="0" t="e">
        <f aca="false">#REF!</f>
        <v>#REF!</v>
      </c>
    </row>
    <row r="34" customFormat="false" ht="13.5" hidden="false" customHeight="false" outlineLevel="0" collapsed="false">
      <c r="A34" s="0" t="s">
        <v>120</v>
      </c>
      <c r="B34" s="1" t="n">
        <v>43894</v>
      </c>
      <c r="C34" s="0" t="e">
        <f aca="false">#REF!</f>
        <v>#REF!</v>
      </c>
      <c r="D34" s="0" t="e">
        <f aca="false">#REF!</f>
        <v>#REF!</v>
      </c>
      <c r="E34" s="0" t="e">
        <f aca="false">#REF!</f>
        <v>#REF!</v>
      </c>
      <c r="F34" s="0" t="e">
        <f aca="false">#REF!</f>
        <v>#REF!</v>
      </c>
      <c r="G34" s="0" t="e">
        <f aca="false">#REF!</f>
        <v>#REF!</v>
      </c>
      <c r="H34" s="0" t="e">
        <f aca="false">#REF!</f>
        <v>#REF!</v>
      </c>
      <c r="I34" s="0" t="e">
        <f aca="false">#REF!</f>
        <v>#REF!</v>
      </c>
      <c r="J34" s="0" t="e">
        <f aca="false">#REF!</f>
        <v>#REF!</v>
      </c>
      <c r="K34" s="0" t="e">
        <f aca="false">#REF!</f>
        <v>#REF!</v>
      </c>
      <c r="L34" s="0" t="e">
        <f aca="false">#REF!</f>
        <v>#REF!</v>
      </c>
      <c r="M34" s="0" t="e">
        <f aca="false">#REF!</f>
        <v>#REF!</v>
      </c>
    </row>
    <row r="35" customFormat="false" ht="13.5" hidden="false" customHeight="false" outlineLevel="0" collapsed="false">
      <c r="A35" s="0" t="s">
        <v>120</v>
      </c>
      <c r="B35" s="1" t="n">
        <v>43895</v>
      </c>
      <c r="C35" s="0" t="e">
        <f aca="false">#REF!</f>
        <v>#REF!</v>
      </c>
      <c r="D35" s="0" t="e">
        <f aca="false">#REF!</f>
        <v>#REF!</v>
      </c>
      <c r="E35" s="0" t="e">
        <f aca="false">#REF!</f>
        <v>#REF!</v>
      </c>
      <c r="F35" s="0" t="e">
        <f aca="false">#REF!</f>
        <v>#REF!</v>
      </c>
      <c r="G35" s="0" t="e">
        <f aca="false">#REF!</f>
        <v>#REF!</v>
      </c>
      <c r="H35" s="0" t="e">
        <f aca="false">#REF!</f>
        <v>#REF!</v>
      </c>
      <c r="I35" s="0" t="e">
        <f aca="false">#REF!</f>
        <v>#REF!</v>
      </c>
      <c r="J35" s="0" t="e">
        <f aca="false">#REF!</f>
        <v>#REF!</v>
      </c>
      <c r="K35" s="0" t="e">
        <f aca="false">#REF!</f>
        <v>#REF!</v>
      </c>
      <c r="L35" s="0" t="e">
        <f aca="false">#REF!</f>
        <v>#REF!</v>
      </c>
      <c r="M35" s="0" t="e">
        <f aca="false">#REF!</f>
        <v>#REF!</v>
      </c>
    </row>
    <row r="36" customFormat="false" ht="13.5" hidden="false" customHeight="false" outlineLevel="0" collapsed="false">
      <c r="A36" s="0" t="s">
        <v>120</v>
      </c>
      <c r="B36" s="1" t="n">
        <v>43896</v>
      </c>
      <c r="C36" s="0" t="e">
        <f aca="false">#REF!</f>
        <v>#REF!</v>
      </c>
      <c r="D36" s="0" t="e">
        <f aca="false">#REF!</f>
        <v>#REF!</v>
      </c>
      <c r="E36" s="0" t="e">
        <f aca="false">#REF!</f>
        <v>#REF!</v>
      </c>
      <c r="F36" s="0" t="e">
        <f aca="false">#REF!</f>
        <v>#REF!</v>
      </c>
      <c r="G36" s="0" t="e">
        <f aca="false">#REF!</f>
        <v>#REF!</v>
      </c>
      <c r="H36" s="0" t="e">
        <f aca="false">#REF!</f>
        <v>#REF!</v>
      </c>
      <c r="I36" s="0" t="e">
        <f aca="false">#REF!</f>
        <v>#REF!</v>
      </c>
      <c r="J36" s="0" t="e">
        <f aca="false">#REF!</f>
        <v>#REF!</v>
      </c>
      <c r="K36" s="0" t="e">
        <f aca="false">#REF!</f>
        <v>#REF!</v>
      </c>
      <c r="L36" s="0" t="e">
        <f aca="false">#REF!</f>
        <v>#REF!</v>
      </c>
      <c r="M36" s="0" t="e">
        <f aca="false">#REF!</f>
        <v>#REF!</v>
      </c>
    </row>
    <row r="37" customFormat="false" ht="13.5" hidden="false" customHeight="false" outlineLevel="0" collapsed="false">
      <c r="A37" s="0" t="s">
        <v>120</v>
      </c>
      <c r="B37" s="1" t="n">
        <v>43897</v>
      </c>
      <c r="C37" s="0" t="e">
        <f aca="false">#REF!</f>
        <v>#REF!</v>
      </c>
      <c r="D37" s="0" t="e">
        <f aca="false">#REF!</f>
        <v>#REF!</v>
      </c>
      <c r="E37" s="0" t="e">
        <f aca="false">#REF!</f>
        <v>#REF!</v>
      </c>
      <c r="F37" s="0" t="e">
        <f aca="false">#REF!</f>
        <v>#REF!</v>
      </c>
      <c r="G37" s="0" t="e">
        <f aca="false">#REF!</f>
        <v>#REF!</v>
      </c>
      <c r="H37" s="0" t="e">
        <f aca="false">#REF!</f>
        <v>#REF!</v>
      </c>
      <c r="I37" s="0" t="e">
        <f aca="false">#REF!</f>
        <v>#REF!</v>
      </c>
      <c r="J37" s="0" t="e">
        <f aca="false">#REF!</f>
        <v>#REF!</v>
      </c>
      <c r="K37" s="0" t="e">
        <f aca="false">#REF!</f>
        <v>#REF!</v>
      </c>
      <c r="L37" s="0" t="e">
        <f aca="false">#REF!</f>
        <v>#REF!</v>
      </c>
      <c r="M37" s="0" t="e">
        <f aca="false">#REF!</f>
        <v>#REF!</v>
      </c>
    </row>
    <row r="38" customFormat="false" ht="13.5" hidden="false" customHeight="false" outlineLevel="0" collapsed="false">
      <c r="A38" s="0" t="s">
        <v>120</v>
      </c>
      <c r="B38" s="1" t="n">
        <v>43898</v>
      </c>
      <c r="C38" s="0" t="e">
        <f aca="false">#REF!</f>
        <v>#REF!</v>
      </c>
      <c r="D38" s="0" t="e">
        <f aca="false">#REF!</f>
        <v>#REF!</v>
      </c>
      <c r="E38" s="0" t="e">
        <f aca="false">#REF!</f>
        <v>#REF!</v>
      </c>
      <c r="F38" s="0" t="e">
        <f aca="false">#REF!</f>
        <v>#REF!</v>
      </c>
      <c r="G38" s="0" t="e">
        <f aca="false">#REF!</f>
        <v>#REF!</v>
      </c>
      <c r="H38" s="0" t="e">
        <f aca="false">#REF!</f>
        <v>#REF!</v>
      </c>
      <c r="I38" s="0" t="e">
        <f aca="false">#REF!</f>
        <v>#REF!</v>
      </c>
      <c r="J38" s="0" t="e">
        <f aca="false">#REF!</f>
        <v>#REF!</v>
      </c>
      <c r="K38" s="0" t="e">
        <f aca="false">#REF!</f>
        <v>#REF!</v>
      </c>
      <c r="L38" s="0" t="e">
        <f aca="false">#REF!</f>
        <v>#REF!</v>
      </c>
      <c r="M38" s="0" t="e">
        <f aca="false">#REF!</f>
        <v>#REF!</v>
      </c>
    </row>
    <row r="39" customFormat="false" ht="13.5" hidden="false" customHeight="false" outlineLevel="0" collapsed="false">
      <c r="A39" s="0" t="s">
        <v>120</v>
      </c>
      <c r="B39" s="1" t="n">
        <v>43899</v>
      </c>
      <c r="C39" s="0" t="e">
        <f aca="false">#REF!</f>
        <v>#REF!</v>
      </c>
      <c r="D39" s="0" t="e">
        <f aca="false">#REF!</f>
        <v>#REF!</v>
      </c>
      <c r="E39" s="0" t="e">
        <f aca="false">#REF!</f>
        <v>#REF!</v>
      </c>
      <c r="F39" s="0" t="e">
        <f aca="false">#REF!</f>
        <v>#REF!</v>
      </c>
      <c r="G39" s="0" t="e">
        <f aca="false">#REF!</f>
        <v>#REF!</v>
      </c>
      <c r="H39" s="0" t="e">
        <f aca="false">#REF!</f>
        <v>#REF!</v>
      </c>
      <c r="I39" s="0" t="e">
        <f aca="false">#REF!</f>
        <v>#REF!</v>
      </c>
      <c r="J39" s="0" t="e">
        <f aca="false">#REF!</f>
        <v>#REF!</v>
      </c>
      <c r="K39" s="0" t="e">
        <f aca="false">#REF!</f>
        <v>#REF!</v>
      </c>
      <c r="L39" s="0" t="e">
        <f aca="false">#REF!</f>
        <v>#REF!</v>
      </c>
      <c r="M39" s="0" t="e">
        <f aca="false">#REF!</f>
        <v>#REF!</v>
      </c>
    </row>
    <row r="40" customFormat="false" ht="13.5" hidden="false" customHeight="false" outlineLevel="0" collapsed="false">
      <c r="A40" s="0" t="s">
        <v>120</v>
      </c>
      <c r="B40" s="1" t="n">
        <v>43900</v>
      </c>
      <c r="C40" s="0" t="e">
        <f aca="false">#REF!</f>
        <v>#REF!</v>
      </c>
      <c r="D40" s="0" t="e">
        <f aca="false">#REF!</f>
        <v>#REF!</v>
      </c>
      <c r="E40" s="0" t="e">
        <f aca="false">#REF!</f>
        <v>#REF!</v>
      </c>
      <c r="F40" s="0" t="e">
        <f aca="false">#REF!</f>
        <v>#REF!</v>
      </c>
      <c r="G40" s="0" t="e">
        <f aca="false">#REF!</f>
        <v>#REF!</v>
      </c>
      <c r="H40" s="0" t="e">
        <f aca="false">#REF!</f>
        <v>#REF!</v>
      </c>
      <c r="I40" s="0" t="e">
        <f aca="false">#REF!</f>
        <v>#REF!</v>
      </c>
      <c r="J40" s="0" t="e">
        <f aca="false">#REF!</f>
        <v>#REF!</v>
      </c>
      <c r="K40" s="0" t="e">
        <f aca="false">#REF!</f>
        <v>#REF!</v>
      </c>
      <c r="L40" s="0" t="e">
        <f aca="false">#REF!</f>
        <v>#REF!</v>
      </c>
      <c r="M40" s="0" t="e">
        <f aca="false">#REF!</f>
        <v>#REF!</v>
      </c>
    </row>
    <row r="41" customFormat="false" ht="13.5" hidden="false" customHeight="false" outlineLevel="0" collapsed="false">
      <c r="A41" s="0" t="s">
        <v>120</v>
      </c>
      <c r="B41" s="1" t="n">
        <v>43901</v>
      </c>
      <c r="C41" s="0" t="e">
        <f aca="false">#REF!</f>
        <v>#REF!</v>
      </c>
      <c r="D41" s="0" t="e">
        <f aca="false">#REF!</f>
        <v>#REF!</v>
      </c>
      <c r="E41" s="0" t="e">
        <f aca="false">#REF!</f>
        <v>#REF!</v>
      </c>
      <c r="F41" s="0" t="e">
        <f aca="false">#REF!</f>
        <v>#REF!</v>
      </c>
      <c r="G41" s="0" t="e">
        <f aca="false">#REF!</f>
        <v>#REF!</v>
      </c>
      <c r="H41" s="0" t="e">
        <f aca="false">#REF!</f>
        <v>#REF!</v>
      </c>
      <c r="I41" s="0" t="e">
        <f aca="false">#REF!</f>
        <v>#REF!</v>
      </c>
      <c r="J41" s="0" t="e">
        <f aca="false">#REF!</f>
        <v>#REF!</v>
      </c>
      <c r="K41" s="0" t="e">
        <f aca="false">#REF!</f>
        <v>#REF!</v>
      </c>
      <c r="L41" s="0" t="e">
        <f aca="false">#REF!</f>
        <v>#REF!</v>
      </c>
      <c r="M41" s="0" t="e">
        <f aca="false">#REF!</f>
        <v>#REF!</v>
      </c>
    </row>
    <row r="42" customFormat="false" ht="13.5" hidden="false" customHeight="false" outlineLevel="0" collapsed="false">
      <c r="A42" s="0" t="s">
        <v>120</v>
      </c>
      <c r="B42" s="1" t="n">
        <v>43902</v>
      </c>
      <c r="C42" s="0" t="e">
        <f aca="false">#REF!</f>
        <v>#REF!</v>
      </c>
      <c r="D42" s="0" t="e">
        <f aca="false">#REF!</f>
        <v>#REF!</v>
      </c>
      <c r="E42" s="0" t="e">
        <f aca="false">#REF!</f>
        <v>#REF!</v>
      </c>
      <c r="F42" s="0" t="e">
        <f aca="false">#REF!</f>
        <v>#REF!</v>
      </c>
      <c r="G42" s="0" t="e">
        <f aca="false">#REF!</f>
        <v>#REF!</v>
      </c>
      <c r="H42" s="0" t="e">
        <f aca="false">#REF!</f>
        <v>#REF!</v>
      </c>
      <c r="I42" s="0" t="e">
        <f aca="false">#REF!</f>
        <v>#REF!</v>
      </c>
      <c r="J42" s="0" t="e">
        <f aca="false">#REF!</f>
        <v>#REF!</v>
      </c>
      <c r="K42" s="0" t="e">
        <f aca="false">#REF!</f>
        <v>#REF!</v>
      </c>
      <c r="L42" s="0" t="e">
        <f aca="false">#REF!</f>
        <v>#REF!</v>
      </c>
      <c r="M42" s="0" t="e">
        <f aca="false">#REF!</f>
        <v>#REF!</v>
      </c>
    </row>
    <row r="43" customFormat="false" ht="13.5" hidden="false" customHeight="false" outlineLevel="0" collapsed="false">
      <c r="A43" s="0" t="s">
        <v>120</v>
      </c>
      <c r="B43" s="1" t="n">
        <v>43903</v>
      </c>
      <c r="C43" s="0" t="e">
        <f aca="false">#REF!</f>
        <v>#REF!</v>
      </c>
      <c r="D43" s="0" t="e">
        <f aca="false">#REF!</f>
        <v>#REF!</v>
      </c>
      <c r="E43" s="0" t="e">
        <f aca="false">#REF!</f>
        <v>#REF!</v>
      </c>
      <c r="F43" s="0" t="e">
        <f aca="false">#REF!</f>
        <v>#REF!</v>
      </c>
      <c r="G43" s="0" t="e">
        <f aca="false">#REF!</f>
        <v>#REF!</v>
      </c>
      <c r="H43" s="0" t="e">
        <f aca="false">#REF!</f>
        <v>#REF!</v>
      </c>
      <c r="I43" s="0" t="e">
        <f aca="false">#REF!</f>
        <v>#REF!</v>
      </c>
      <c r="J43" s="0" t="e">
        <f aca="false">#REF!</f>
        <v>#REF!</v>
      </c>
      <c r="K43" s="0" t="e">
        <f aca="false">#REF!</f>
        <v>#REF!</v>
      </c>
      <c r="L43" s="0" t="e">
        <f aca="false">#REF!</f>
        <v>#REF!</v>
      </c>
      <c r="M43" s="0" t="e">
        <f aca="false">#REF!</f>
        <v>#REF!</v>
      </c>
    </row>
    <row r="44" customFormat="false" ht="13.5" hidden="false" customHeight="false" outlineLevel="0" collapsed="false">
      <c r="A44" s="0" t="s">
        <v>120</v>
      </c>
      <c r="B44" s="1" t="n">
        <v>43904</v>
      </c>
      <c r="C44" s="0" t="e">
        <f aca="false">#REF!</f>
        <v>#REF!</v>
      </c>
      <c r="D44" s="0" t="e">
        <f aca="false">#REF!</f>
        <v>#REF!</v>
      </c>
      <c r="E44" s="0" t="e">
        <f aca="false">#REF!</f>
        <v>#REF!</v>
      </c>
      <c r="F44" s="0" t="e">
        <f aca="false">#REF!</f>
        <v>#REF!</v>
      </c>
      <c r="G44" s="0" t="e">
        <f aca="false">#REF!</f>
        <v>#REF!</v>
      </c>
      <c r="H44" s="0" t="e">
        <f aca="false">#REF!</f>
        <v>#REF!</v>
      </c>
      <c r="I44" s="0" t="e">
        <f aca="false">#REF!</f>
        <v>#REF!</v>
      </c>
      <c r="J44" s="0" t="e">
        <f aca="false">#REF!</f>
        <v>#REF!</v>
      </c>
      <c r="K44" s="0" t="e">
        <f aca="false">#REF!</f>
        <v>#REF!</v>
      </c>
      <c r="L44" s="0" t="e">
        <f aca="false">#REF!</f>
        <v>#REF!</v>
      </c>
      <c r="M44" s="0" t="e">
        <f aca="false">#REF!</f>
        <v>#REF!</v>
      </c>
    </row>
    <row r="45" customFormat="false" ht="13.5" hidden="false" customHeight="false" outlineLevel="0" collapsed="false">
      <c r="A45" s="0" t="s">
        <v>120</v>
      </c>
      <c r="B45" s="1" t="n">
        <v>43905</v>
      </c>
      <c r="C45" s="0" t="e">
        <f aca="false">#REF!</f>
        <v>#REF!</v>
      </c>
      <c r="D45" s="0" t="e">
        <f aca="false">#REF!</f>
        <v>#REF!</v>
      </c>
      <c r="E45" s="0" t="e">
        <f aca="false">#REF!</f>
        <v>#REF!</v>
      </c>
      <c r="F45" s="0" t="e">
        <f aca="false">#REF!</f>
        <v>#REF!</v>
      </c>
      <c r="G45" s="0" t="e">
        <f aca="false">#REF!</f>
        <v>#REF!</v>
      </c>
      <c r="H45" s="0" t="e">
        <f aca="false">#REF!</f>
        <v>#REF!</v>
      </c>
      <c r="I45" s="0" t="e">
        <f aca="false">#REF!</f>
        <v>#REF!</v>
      </c>
      <c r="J45" s="0" t="e">
        <f aca="false">#REF!</f>
        <v>#REF!</v>
      </c>
      <c r="K45" s="0" t="e">
        <f aca="false">#REF!</f>
        <v>#REF!</v>
      </c>
      <c r="L45" s="0" t="e">
        <f aca="false">#REF!</f>
        <v>#REF!</v>
      </c>
      <c r="M45" s="0" t="e">
        <f aca="false">#REF!</f>
        <v>#REF!</v>
      </c>
    </row>
    <row r="46" customFormat="false" ht="13.5" hidden="false" customHeight="false" outlineLevel="0" collapsed="false">
      <c r="A46" s="0" t="s">
        <v>120</v>
      </c>
      <c r="B46" s="1" t="n">
        <v>43906</v>
      </c>
      <c r="C46" s="0" t="e">
        <f aca="false">#REF!</f>
        <v>#REF!</v>
      </c>
      <c r="D46" s="0" t="e">
        <f aca="false">#REF!</f>
        <v>#REF!</v>
      </c>
      <c r="E46" s="0" t="e">
        <f aca="false">#REF!</f>
        <v>#REF!</v>
      </c>
      <c r="F46" s="0" t="e">
        <f aca="false">#REF!</f>
        <v>#REF!</v>
      </c>
      <c r="G46" s="0" t="e">
        <f aca="false">#REF!</f>
        <v>#REF!</v>
      </c>
      <c r="H46" s="0" t="e">
        <f aca="false">#REF!</f>
        <v>#REF!</v>
      </c>
      <c r="I46" s="0" t="e">
        <f aca="false">#REF!</f>
        <v>#REF!</v>
      </c>
      <c r="J46" s="0" t="e">
        <f aca="false">#REF!</f>
        <v>#REF!</v>
      </c>
      <c r="K46" s="0" t="e">
        <f aca="false">#REF!</f>
        <v>#REF!</v>
      </c>
      <c r="L46" s="0" t="e">
        <f aca="false">#REF!</f>
        <v>#REF!</v>
      </c>
      <c r="M46" s="0" t="e">
        <f aca="false">#REF!</f>
        <v>#REF!</v>
      </c>
    </row>
    <row r="47" customFormat="false" ht="13.5" hidden="false" customHeight="false" outlineLevel="0" collapsed="false">
      <c r="A47" s="0" t="s">
        <v>120</v>
      </c>
      <c r="B47" s="1" t="n">
        <v>43907</v>
      </c>
      <c r="C47" s="0" t="e">
        <f aca="false">#REF!</f>
        <v>#REF!</v>
      </c>
      <c r="D47" s="0" t="e">
        <f aca="false">#REF!</f>
        <v>#REF!</v>
      </c>
      <c r="E47" s="0" t="e">
        <f aca="false">#REF!</f>
        <v>#REF!</v>
      </c>
      <c r="F47" s="0" t="e">
        <f aca="false">#REF!</f>
        <v>#REF!</v>
      </c>
      <c r="G47" s="0" t="e">
        <f aca="false">#REF!</f>
        <v>#REF!</v>
      </c>
      <c r="H47" s="0" t="e">
        <f aca="false">#REF!</f>
        <v>#REF!</v>
      </c>
      <c r="I47" s="0" t="e">
        <f aca="false">#REF!</f>
        <v>#REF!</v>
      </c>
      <c r="J47" s="0" t="e">
        <f aca="false">#REF!</f>
        <v>#REF!</v>
      </c>
      <c r="K47" s="0" t="e">
        <f aca="false">#REF!</f>
        <v>#REF!</v>
      </c>
      <c r="L47" s="0" t="e">
        <f aca="false">#REF!</f>
        <v>#REF!</v>
      </c>
      <c r="M47" s="0" t="e">
        <f aca="false">#REF!</f>
        <v>#REF!</v>
      </c>
    </row>
    <row r="48" customFormat="false" ht="13.5" hidden="false" customHeight="false" outlineLevel="0" collapsed="false">
      <c r="A48" s="0" t="s">
        <v>120</v>
      </c>
      <c r="B48" s="1" t="n">
        <v>43908</v>
      </c>
      <c r="C48" s="0" t="e">
        <f aca="false">#REF!</f>
        <v>#REF!</v>
      </c>
      <c r="D48" s="0" t="e">
        <f aca="false">#REF!</f>
        <v>#REF!</v>
      </c>
      <c r="E48" s="0" t="e">
        <f aca="false">#REF!</f>
        <v>#REF!</v>
      </c>
      <c r="F48" s="0" t="e">
        <f aca="false">#REF!</f>
        <v>#REF!</v>
      </c>
      <c r="G48" s="0" t="e">
        <f aca="false">#REF!</f>
        <v>#REF!</v>
      </c>
      <c r="H48" s="0" t="e">
        <f aca="false">#REF!</f>
        <v>#REF!</v>
      </c>
      <c r="I48" s="0" t="e">
        <f aca="false">#REF!</f>
        <v>#REF!</v>
      </c>
      <c r="J48" s="0" t="e">
        <f aca="false">#REF!</f>
        <v>#REF!</v>
      </c>
      <c r="K48" s="0" t="e">
        <f aca="false">#REF!</f>
        <v>#REF!</v>
      </c>
      <c r="L48" s="0" t="e">
        <f aca="false">#REF!</f>
        <v>#REF!</v>
      </c>
      <c r="M48" s="0" t="e">
        <f aca="false">#REF!</f>
        <v>#REF!</v>
      </c>
    </row>
    <row r="49" customFormat="false" ht="13.5" hidden="false" customHeight="false" outlineLevel="0" collapsed="false">
      <c r="A49" s="0" t="s">
        <v>120</v>
      </c>
      <c r="B49" s="1" t="n">
        <v>43909</v>
      </c>
      <c r="C49" s="0" t="e">
        <f aca="false">#REF!</f>
        <v>#REF!</v>
      </c>
      <c r="D49" s="0" t="e">
        <f aca="false">#REF!</f>
        <v>#REF!</v>
      </c>
      <c r="E49" s="0" t="e">
        <f aca="false">#REF!</f>
        <v>#REF!</v>
      </c>
      <c r="F49" s="0" t="e">
        <f aca="false">#REF!</f>
        <v>#REF!</v>
      </c>
      <c r="G49" s="0" t="e">
        <f aca="false">#REF!</f>
        <v>#REF!</v>
      </c>
      <c r="H49" s="0" t="e">
        <f aca="false">#REF!</f>
        <v>#REF!</v>
      </c>
      <c r="I49" s="0" t="e">
        <f aca="false">#REF!</f>
        <v>#REF!</v>
      </c>
      <c r="J49" s="0" t="e">
        <f aca="false">#REF!</f>
        <v>#REF!</v>
      </c>
      <c r="K49" s="0" t="e">
        <f aca="false">#REF!</f>
        <v>#REF!</v>
      </c>
      <c r="L49" s="0" t="e">
        <f aca="false">#REF!</f>
        <v>#REF!</v>
      </c>
      <c r="M49" s="0" t="e">
        <f aca="false">#REF!</f>
        <v>#REF!</v>
      </c>
    </row>
    <row r="50" customFormat="false" ht="13.5" hidden="false" customHeight="false" outlineLevel="0" collapsed="false">
      <c r="A50" s="0" t="s">
        <v>120</v>
      </c>
      <c r="B50" s="1" t="n">
        <v>43910</v>
      </c>
      <c r="C50" s="0" t="e">
        <f aca="false">#REF!</f>
        <v>#REF!</v>
      </c>
      <c r="D50" s="0" t="e">
        <f aca="false">#REF!</f>
        <v>#REF!</v>
      </c>
      <c r="E50" s="0" t="e">
        <f aca="false">#REF!</f>
        <v>#REF!</v>
      </c>
      <c r="F50" s="0" t="e">
        <f aca="false">#REF!</f>
        <v>#REF!</v>
      </c>
      <c r="G50" s="0" t="e">
        <f aca="false">#REF!</f>
        <v>#REF!</v>
      </c>
      <c r="H50" s="0" t="e">
        <f aca="false">#REF!</f>
        <v>#REF!</v>
      </c>
      <c r="I50" s="0" t="e">
        <f aca="false">#REF!</f>
        <v>#REF!</v>
      </c>
      <c r="J50" s="0" t="e">
        <f aca="false">#REF!</f>
        <v>#REF!</v>
      </c>
      <c r="K50" s="0" t="e">
        <f aca="false">#REF!</f>
        <v>#REF!</v>
      </c>
      <c r="L50" s="0" t="e">
        <f aca="false">#REF!</f>
        <v>#REF!</v>
      </c>
      <c r="M50" s="0" t="e">
        <f aca="false">#REF!</f>
        <v>#REF!</v>
      </c>
    </row>
    <row r="51" customFormat="false" ht="13.5" hidden="false" customHeight="false" outlineLevel="0" collapsed="false">
      <c r="A51" s="0" t="s">
        <v>120</v>
      </c>
      <c r="B51" s="1" t="n">
        <v>43911</v>
      </c>
      <c r="C51" s="0" t="e">
        <f aca="false">#REF!</f>
        <v>#REF!</v>
      </c>
      <c r="D51" s="0" t="e">
        <f aca="false">#REF!</f>
        <v>#REF!</v>
      </c>
      <c r="E51" s="0" t="e">
        <f aca="false">#REF!</f>
        <v>#REF!</v>
      </c>
      <c r="F51" s="0" t="e">
        <f aca="false">#REF!</f>
        <v>#REF!</v>
      </c>
      <c r="G51" s="0" t="e">
        <f aca="false">#REF!</f>
        <v>#REF!</v>
      </c>
      <c r="H51" s="0" t="e">
        <f aca="false">#REF!</f>
        <v>#REF!</v>
      </c>
      <c r="I51" s="0" t="e">
        <f aca="false">#REF!</f>
        <v>#REF!</v>
      </c>
      <c r="J51" s="0" t="e">
        <f aca="false">#REF!</f>
        <v>#REF!</v>
      </c>
      <c r="K51" s="0" t="e">
        <f aca="false">#REF!</f>
        <v>#REF!</v>
      </c>
      <c r="L51" s="0" t="e">
        <f aca="false">#REF!</f>
        <v>#REF!</v>
      </c>
      <c r="M51" s="0" t="e">
        <f aca="false">#REF!</f>
        <v>#REF!</v>
      </c>
    </row>
    <row r="52" customFormat="false" ht="13.5" hidden="false" customHeight="false" outlineLevel="0" collapsed="false">
      <c r="A52" s="0" t="s">
        <v>120</v>
      </c>
      <c r="B52" s="1" t="n">
        <v>43912</v>
      </c>
      <c r="C52" s="0" t="e">
        <f aca="false">#REF!</f>
        <v>#REF!</v>
      </c>
      <c r="D52" s="0" t="e">
        <f aca="false">#REF!</f>
        <v>#REF!</v>
      </c>
      <c r="E52" s="0" t="e">
        <f aca="false">#REF!</f>
        <v>#REF!</v>
      </c>
      <c r="F52" s="0" t="e">
        <f aca="false">#REF!</f>
        <v>#REF!</v>
      </c>
      <c r="G52" s="0" t="e">
        <f aca="false">#REF!</f>
        <v>#REF!</v>
      </c>
      <c r="H52" s="0" t="e">
        <f aca="false">#REF!</f>
        <v>#REF!</v>
      </c>
      <c r="I52" s="0" t="e">
        <f aca="false">#REF!</f>
        <v>#REF!</v>
      </c>
      <c r="J52" s="0" t="e">
        <f aca="false">#REF!</f>
        <v>#REF!</v>
      </c>
      <c r="K52" s="0" t="e">
        <f aca="false">#REF!</f>
        <v>#REF!</v>
      </c>
      <c r="L52" s="0" t="e">
        <f aca="false">#REF!</f>
        <v>#REF!</v>
      </c>
      <c r="M52" s="0" t="e">
        <f aca="false">#REF!</f>
        <v>#REF!</v>
      </c>
    </row>
    <row r="53" customFormat="false" ht="13.5" hidden="false" customHeight="false" outlineLevel="0" collapsed="false">
      <c r="A53" s="0" t="s">
        <v>120</v>
      </c>
      <c r="B53" s="1" t="n">
        <v>43913</v>
      </c>
      <c r="C53" s="0" t="e">
        <f aca="false">#REF!</f>
        <v>#REF!</v>
      </c>
      <c r="D53" s="0" t="e">
        <f aca="false">#REF!</f>
        <v>#REF!</v>
      </c>
      <c r="E53" s="0" t="e">
        <f aca="false">#REF!</f>
        <v>#REF!</v>
      </c>
      <c r="F53" s="0" t="e">
        <f aca="false">#REF!</f>
        <v>#REF!</v>
      </c>
      <c r="G53" s="0" t="e">
        <f aca="false">#REF!</f>
        <v>#REF!</v>
      </c>
      <c r="H53" s="0" t="e">
        <f aca="false">#REF!</f>
        <v>#REF!</v>
      </c>
      <c r="I53" s="0" t="e">
        <f aca="false">#REF!</f>
        <v>#REF!</v>
      </c>
      <c r="J53" s="0" t="e">
        <f aca="false">#REF!</f>
        <v>#REF!</v>
      </c>
      <c r="K53" s="0" t="e">
        <f aca="false">#REF!</f>
        <v>#REF!</v>
      </c>
      <c r="L53" s="0" t="e">
        <f aca="false">#REF!</f>
        <v>#REF!</v>
      </c>
      <c r="M53" s="0" t="e">
        <f aca="false">#REF!</f>
        <v>#REF!</v>
      </c>
    </row>
    <row r="54" customFormat="false" ht="13.5" hidden="false" customHeight="false" outlineLevel="0" collapsed="false">
      <c r="A54" s="0" t="s">
        <v>120</v>
      </c>
      <c r="B54" s="1" t="n">
        <v>43914</v>
      </c>
      <c r="C54" s="0" t="e">
        <f aca="false">#REF!</f>
        <v>#REF!</v>
      </c>
      <c r="D54" s="0" t="e">
        <f aca="false">#REF!</f>
        <v>#REF!</v>
      </c>
      <c r="E54" s="0" t="e">
        <f aca="false">#REF!</f>
        <v>#REF!</v>
      </c>
      <c r="F54" s="0" t="e">
        <f aca="false">#REF!</f>
        <v>#REF!</v>
      </c>
      <c r="G54" s="0" t="e">
        <f aca="false">#REF!</f>
        <v>#REF!</v>
      </c>
      <c r="H54" s="0" t="e">
        <f aca="false">#REF!</f>
        <v>#REF!</v>
      </c>
      <c r="I54" s="0" t="e">
        <f aca="false">#REF!</f>
        <v>#REF!</v>
      </c>
      <c r="J54" s="0" t="e">
        <f aca="false">#REF!</f>
        <v>#REF!</v>
      </c>
      <c r="K54" s="0" t="e">
        <f aca="false">#REF!</f>
        <v>#REF!</v>
      </c>
      <c r="L54" s="0" t="e">
        <f aca="false">#REF!</f>
        <v>#REF!</v>
      </c>
      <c r="M54" s="0" t="e">
        <f aca="false">#REF!</f>
        <v>#REF!</v>
      </c>
    </row>
    <row r="55" customFormat="false" ht="13.5" hidden="false" customHeight="false" outlineLevel="0" collapsed="false">
      <c r="A55" s="0" t="s">
        <v>120</v>
      </c>
      <c r="B55" s="1" t="n">
        <v>43915</v>
      </c>
      <c r="C55" s="0" t="e">
        <f aca="false">#REF!</f>
        <v>#REF!</v>
      </c>
      <c r="D55" s="0" t="e">
        <f aca="false">#REF!</f>
        <v>#REF!</v>
      </c>
      <c r="E55" s="0" t="e">
        <f aca="false">#REF!</f>
        <v>#REF!</v>
      </c>
      <c r="F55" s="0" t="e">
        <f aca="false">#REF!</f>
        <v>#REF!</v>
      </c>
      <c r="G55" s="0" t="e">
        <f aca="false">#REF!</f>
        <v>#REF!</v>
      </c>
      <c r="H55" s="0" t="e">
        <f aca="false">#REF!</f>
        <v>#REF!</v>
      </c>
      <c r="I55" s="0" t="e">
        <f aca="false">#REF!</f>
        <v>#REF!</v>
      </c>
      <c r="J55" s="0" t="e">
        <f aca="false">#REF!</f>
        <v>#REF!</v>
      </c>
      <c r="K55" s="0" t="e">
        <f aca="false">#REF!</f>
        <v>#REF!</v>
      </c>
      <c r="L55" s="0" t="e">
        <f aca="false">#REF!</f>
        <v>#REF!</v>
      </c>
      <c r="M55" s="0" t="e">
        <f aca="false">#REF!</f>
        <v>#REF!</v>
      </c>
    </row>
    <row r="56" customFormat="false" ht="13.5" hidden="false" customHeight="false" outlineLevel="0" collapsed="false">
      <c r="A56" s="0" t="s">
        <v>120</v>
      </c>
      <c r="B56" s="1" t="n">
        <v>43916</v>
      </c>
      <c r="C56" s="0" t="e">
        <f aca="false">#REF!</f>
        <v>#REF!</v>
      </c>
      <c r="D56" s="0" t="e">
        <f aca="false">#REF!</f>
        <v>#REF!</v>
      </c>
      <c r="E56" s="0" t="e">
        <f aca="false">#REF!</f>
        <v>#REF!</v>
      </c>
      <c r="F56" s="0" t="e">
        <f aca="false">#REF!</f>
        <v>#REF!</v>
      </c>
      <c r="G56" s="0" t="e">
        <f aca="false">#REF!</f>
        <v>#REF!</v>
      </c>
      <c r="H56" s="0" t="e">
        <f aca="false">#REF!</f>
        <v>#REF!</v>
      </c>
      <c r="I56" s="0" t="e">
        <f aca="false">#REF!</f>
        <v>#REF!</v>
      </c>
      <c r="J56" s="0" t="e">
        <f aca="false">#REF!</f>
        <v>#REF!</v>
      </c>
      <c r="K56" s="0" t="e">
        <f aca="false">#REF!</f>
        <v>#REF!</v>
      </c>
      <c r="L56" s="0" t="e">
        <f aca="false">#REF!</f>
        <v>#REF!</v>
      </c>
      <c r="M56" s="0" t="e">
        <f aca="false">#REF!</f>
        <v>#REF!</v>
      </c>
    </row>
    <row r="57" customFormat="false" ht="13.5" hidden="false" customHeight="false" outlineLevel="0" collapsed="false">
      <c r="A57" s="0" t="s">
        <v>120</v>
      </c>
      <c r="B57" s="1" t="n">
        <v>43917</v>
      </c>
      <c r="C57" s="0" t="e">
        <f aca="false">#REF!</f>
        <v>#REF!</v>
      </c>
      <c r="D57" s="0" t="e">
        <f aca="false">#REF!</f>
        <v>#REF!</v>
      </c>
      <c r="E57" s="0" t="e">
        <f aca="false">#REF!</f>
        <v>#REF!</v>
      </c>
      <c r="F57" s="0" t="e">
        <f aca="false">#REF!</f>
        <v>#REF!</v>
      </c>
      <c r="G57" s="0" t="e">
        <f aca="false">#REF!</f>
        <v>#REF!</v>
      </c>
      <c r="H57" s="0" t="e">
        <f aca="false">#REF!</f>
        <v>#REF!</v>
      </c>
      <c r="I57" s="0" t="e">
        <f aca="false">#REF!</f>
        <v>#REF!</v>
      </c>
      <c r="J57" s="0" t="e">
        <f aca="false">#REF!</f>
        <v>#REF!</v>
      </c>
      <c r="K57" s="0" t="e">
        <f aca="false">#REF!</f>
        <v>#REF!</v>
      </c>
      <c r="L57" s="0" t="e">
        <f aca="false">#REF!</f>
        <v>#REF!</v>
      </c>
      <c r="M57" s="0" t="e">
        <f aca="false">#REF!</f>
        <v>#REF!</v>
      </c>
    </row>
    <row r="58" customFormat="false" ht="13.5" hidden="false" customHeight="false" outlineLevel="0" collapsed="false">
      <c r="A58" s="0" t="s">
        <v>120</v>
      </c>
      <c r="B58" s="1" t="n">
        <v>43918</v>
      </c>
      <c r="C58" s="0" t="e">
        <f aca="false">#REF!</f>
        <v>#REF!</v>
      </c>
      <c r="D58" s="0" t="e">
        <f aca="false">#REF!</f>
        <v>#REF!</v>
      </c>
      <c r="E58" s="0" t="e">
        <f aca="false">#REF!</f>
        <v>#REF!</v>
      </c>
      <c r="F58" s="0" t="e">
        <f aca="false">#REF!</f>
        <v>#REF!</v>
      </c>
      <c r="G58" s="0" t="e">
        <f aca="false">#REF!</f>
        <v>#REF!</v>
      </c>
      <c r="H58" s="0" t="e">
        <f aca="false">#REF!</f>
        <v>#REF!</v>
      </c>
      <c r="I58" s="0" t="e">
        <f aca="false">#REF!</f>
        <v>#REF!</v>
      </c>
      <c r="J58" s="0" t="e">
        <f aca="false">#REF!</f>
        <v>#REF!</v>
      </c>
      <c r="K58" s="0" t="e">
        <f aca="false">#REF!</f>
        <v>#REF!</v>
      </c>
      <c r="L58" s="0" t="e">
        <f aca="false">#REF!</f>
        <v>#REF!</v>
      </c>
      <c r="M58" s="0" t="e">
        <f aca="false">#REF!</f>
        <v>#REF!</v>
      </c>
    </row>
    <row r="59" customFormat="false" ht="13.5" hidden="false" customHeight="false" outlineLevel="0" collapsed="false">
      <c r="A59" s="0" t="s">
        <v>120</v>
      </c>
      <c r="B59" s="1" t="n">
        <v>43919</v>
      </c>
      <c r="C59" s="0" t="e">
        <f aca="false">#REF!</f>
        <v>#REF!</v>
      </c>
      <c r="D59" s="0" t="e">
        <f aca="false">#REF!</f>
        <v>#REF!</v>
      </c>
      <c r="E59" s="0" t="e">
        <f aca="false">#REF!</f>
        <v>#REF!</v>
      </c>
      <c r="F59" s="0" t="e">
        <f aca="false">#REF!</f>
        <v>#REF!</v>
      </c>
      <c r="G59" s="0" t="e">
        <f aca="false">#REF!</f>
        <v>#REF!</v>
      </c>
      <c r="H59" s="0" t="e">
        <f aca="false">#REF!</f>
        <v>#REF!</v>
      </c>
      <c r="I59" s="0" t="e">
        <f aca="false">#REF!</f>
        <v>#REF!</v>
      </c>
      <c r="J59" s="0" t="e">
        <f aca="false">#REF!</f>
        <v>#REF!</v>
      </c>
      <c r="K59" s="0" t="e">
        <f aca="false">#REF!</f>
        <v>#REF!</v>
      </c>
      <c r="L59" s="0" t="e">
        <f aca="false">#REF!</f>
        <v>#REF!</v>
      </c>
      <c r="M59" s="0" t="e">
        <f aca="false">#REF!</f>
        <v>#REF!</v>
      </c>
    </row>
    <row r="60" customFormat="false" ht="13.5" hidden="false" customHeight="false" outlineLevel="0" collapsed="false">
      <c r="A60" s="0" t="s">
        <v>120</v>
      </c>
      <c r="B60" s="1" t="n">
        <v>43920</v>
      </c>
      <c r="C60" s="0" t="e">
        <f aca="false">#REF!</f>
        <v>#REF!</v>
      </c>
      <c r="D60" s="0" t="e">
        <f aca="false">#REF!</f>
        <v>#REF!</v>
      </c>
      <c r="E60" s="0" t="e">
        <f aca="false">#REF!</f>
        <v>#REF!</v>
      </c>
      <c r="F60" s="0" t="e">
        <f aca="false">#REF!</f>
        <v>#REF!</v>
      </c>
      <c r="G60" s="0" t="e">
        <f aca="false">#REF!</f>
        <v>#REF!</v>
      </c>
      <c r="H60" s="0" t="e">
        <f aca="false">#REF!</f>
        <v>#REF!</v>
      </c>
      <c r="I60" s="0" t="e">
        <f aca="false">#REF!</f>
        <v>#REF!</v>
      </c>
      <c r="J60" s="0" t="e">
        <f aca="false">#REF!</f>
        <v>#REF!</v>
      </c>
      <c r="K60" s="0" t="e">
        <f aca="false">#REF!</f>
        <v>#REF!</v>
      </c>
      <c r="L60" s="0" t="e">
        <f aca="false">#REF!</f>
        <v>#REF!</v>
      </c>
      <c r="M60" s="0" t="e">
        <f aca="false">#REF!</f>
        <v>#REF!</v>
      </c>
    </row>
    <row r="61" customFormat="false" ht="13.5" hidden="false" customHeight="false" outlineLevel="0" collapsed="false">
      <c r="A61" s="0" t="s">
        <v>120</v>
      </c>
      <c r="B61" s="1" t="n">
        <v>43921</v>
      </c>
      <c r="C61" s="0" t="e">
        <f aca="false">#REF!</f>
        <v>#REF!</v>
      </c>
      <c r="D61" s="0" t="e">
        <f aca="false">#REF!</f>
        <v>#REF!</v>
      </c>
      <c r="E61" s="0" t="e">
        <f aca="false">#REF!</f>
        <v>#REF!</v>
      </c>
      <c r="F61" s="0" t="e">
        <f aca="false">#REF!</f>
        <v>#REF!</v>
      </c>
      <c r="G61" s="0" t="e">
        <f aca="false">#REF!</f>
        <v>#REF!</v>
      </c>
      <c r="H61" s="0" t="e">
        <f aca="false">#REF!</f>
        <v>#REF!</v>
      </c>
      <c r="I61" s="0" t="e">
        <f aca="false">#REF!</f>
        <v>#REF!</v>
      </c>
      <c r="J61" s="0" t="e">
        <f aca="false">#REF!</f>
        <v>#REF!</v>
      </c>
      <c r="K61" s="0" t="e">
        <f aca="false">#REF!</f>
        <v>#REF!</v>
      </c>
      <c r="L61" s="0" t="e">
        <f aca="false">#REF!</f>
        <v>#REF!</v>
      </c>
      <c r="M61" s="0" t="e">
        <f aca="false">#REF!</f>
        <v>#REF!</v>
      </c>
    </row>
    <row r="62" customFormat="false" ht="13.5" hidden="false" customHeight="false" outlineLevel="0" collapsed="false">
      <c r="A62" s="0" t="s">
        <v>120</v>
      </c>
      <c r="B62" s="1" t="n">
        <v>43922</v>
      </c>
      <c r="C62" s="0" t="e">
        <f aca="false">#REF!</f>
        <v>#REF!</v>
      </c>
      <c r="D62" s="0" t="e">
        <f aca="false">#REF!</f>
        <v>#REF!</v>
      </c>
      <c r="E62" s="0" t="e">
        <f aca="false">#REF!</f>
        <v>#REF!</v>
      </c>
      <c r="F62" s="0" t="e">
        <f aca="false">#REF!</f>
        <v>#REF!</v>
      </c>
      <c r="G62" s="0" t="e">
        <f aca="false">#REF!</f>
        <v>#REF!</v>
      </c>
      <c r="H62" s="0" t="e">
        <f aca="false">#REF!</f>
        <v>#REF!</v>
      </c>
      <c r="I62" s="0" t="e">
        <f aca="false">#REF!</f>
        <v>#REF!</v>
      </c>
      <c r="J62" s="0" t="e">
        <f aca="false">#REF!</f>
        <v>#REF!</v>
      </c>
      <c r="K62" s="0" t="e">
        <f aca="false">#REF!</f>
        <v>#REF!</v>
      </c>
      <c r="L62" s="0" t="e">
        <f aca="false">#REF!</f>
        <v>#REF!</v>
      </c>
      <c r="M62" s="0" t="e">
        <f aca="false">#REF!</f>
        <v>#REF!</v>
      </c>
    </row>
    <row r="63" customFormat="false" ht="13.5" hidden="false" customHeight="false" outlineLevel="0" collapsed="false">
      <c r="A63" s="0" t="s">
        <v>120</v>
      </c>
      <c r="B63" s="1" t="n">
        <v>43923</v>
      </c>
      <c r="C63" s="0" t="e">
        <f aca="false">#REF!</f>
        <v>#REF!</v>
      </c>
      <c r="D63" s="0" t="e">
        <f aca="false">#REF!</f>
        <v>#REF!</v>
      </c>
      <c r="E63" s="0" t="e">
        <f aca="false">#REF!</f>
        <v>#REF!</v>
      </c>
      <c r="F63" s="0" t="e">
        <f aca="false">#REF!</f>
        <v>#REF!</v>
      </c>
      <c r="G63" s="0" t="e">
        <f aca="false">#REF!</f>
        <v>#REF!</v>
      </c>
      <c r="H63" s="0" t="e">
        <f aca="false">#REF!</f>
        <v>#REF!</v>
      </c>
      <c r="I63" s="0" t="e">
        <f aca="false">#REF!</f>
        <v>#REF!</v>
      </c>
      <c r="J63" s="0" t="e">
        <f aca="false">#REF!</f>
        <v>#REF!</v>
      </c>
      <c r="K63" s="0" t="e">
        <f aca="false">#REF!</f>
        <v>#REF!</v>
      </c>
      <c r="L63" s="0" t="e">
        <f aca="false">#REF!</f>
        <v>#REF!</v>
      </c>
      <c r="M63" s="0" t="e">
        <f aca="false">#REF!</f>
        <v>#REF!</v>
      </c>
    </row>
    <row r="64" customFormat="false" ht="13.5" hidden="false" customHeight="false" outlineLevel="0" collapsed="false">
      <c r="A64" s="0" t="s">
        <v>120</v>
      </c>
      <c r="B64" s="1" t="n">
        <v>43924</v>
      </c>
      <c r="C64" s="0" t="e">
        <f aca="false">#REF!</f>
        <v>#REF!</v>
      </c>
      <c r="D64" s="0" t="e">
        <f aca="false">#REF!</f>
        <v>#REF!</v>
      </c>
      <c r="E64" s="0" t="e">
        <f aca="false">#REF!</f>
        <v>#REF!</v>
      </c>
      <c r="F64" s="0" t="e">
        <f aca="false">#REF!</f>
        <v>#REF!</v>
      </c>
      <c r="G64" s="0" t="e">
        <f aca="false">#REF!</f>
        <v>#REF!</v>
      </c>
      <c r="H64" s="0" t="e">
        <f aca="false">#REF!</f>
        <v>#REF!</v>
      </c>
      <c r="I64" s="0" t="e">
        <f aca="false">#REF!</f>
        <v>#REF!</v>
      </c>
      <c r="J64" s="0" t="e">
        <f aca="false">#REF!</f>
        <v>#REF!</v>
      </c>
      <c r="K64" s="0" t="e">
        <f aca="false">#REF!</f>
        <v>#REF!</v>
      </c>
      <c r="L64" s="0" t="e">
        <f aca="false">#REF!</f>
        <v>#REF!</v>
      </c>
      <c r="M64" s="0" t="e">
        <f aca="false">#REF!</f>
        <v>#REF!</v>
      </c>
    </row>
    <row r="65" customFormat="false" ht="13.5" hidden="false" customHeight="false" outlineLevel="0" collapsed="false">
      <c r="A65" s="0" t="s">
        <v>120</v>
      </c>
      <c r="B65" s="1" t="n">
        <v>43925</v>
      </c>
      <c r="C65" s="0" t="e">
        <f aca="false">#REF!</f>
        <v>#REF!</v>
      </c>
      <c r="D65" s="0" t="e">
        <f aca="false">#REF!</f>
        <v>#REF!</v>
      </c>
      <c r="E65" s="0" t="e">
        <f aca="false">#REF!</f>
        <v>#REF!</v>
      </c>
      <c r="F65" s="0" t="e">
        <f aca="false">#REF!</f>
        <v>#REF!</v>
      </c>
      <c r="G65" s="0" t="e">
        <f aca="false">#REF!</f>
        <v>#REF!</v>
      </c>
      <c r="H65" s="0" t="e">
        <f aca="false">#REF!</f>
        <v>#REF!</v>
      </c>
      <c r="I65" s="0" t="e">
        <f aca="false">#REF!</f>
        <v>#REF!</v>
      </c>
      <c r="J65" s="0" t="e">
        <f aca="false">#REF!</f>
        <v>#REF!</v>
      </c>
      <c r="K65" s="0" t="e">
        <f aca="false">#REF!</f>
        <v>#REF!</v>
      </c>
      <c r="L65" s="0" t="e">
        <f aca="false">#REF!</f>
        <v>#REF!</v>
      </c>
      <c r="M65" s="0" t="e">
        <f aca="false">#REF!</f>
        <v>#REF!</v>
      </c>
    </row>
    <row r="66" customFormat="false" ht="13.5" hidden="false" customHeight="false" outlineLevel="0" collapsed="false">
      <c r="A66" s="0" t="s">
        <v>120</v>
      </c>
      <c r="B66" s="1" t="n">
        <v>43926</v>
      </c>
      <c r="C66" s="0" t="e">
        <f aca="false">#REF!</f>
        <v>#REF!</v>
      </c>
      <c r="D66" s="0" t="e">
        <f aca="false">#REF!</f>
        <v>#REF!</v>
      </c>
      <c r="E66" s="0" t="e">
        <f aca="false">#REF!</f>
        <v>#REF!</v>
      </c>
      <c r="F66" s="0" t="e">
        <f aca="false">#REF!</f>
        <v>#REF!</v>
      </c>
      <c r="G66" s="0" t="e">
        <f aca="false">#REF!</f>
        <v>#REF!</v>
      </c>
      <c r="H66" s="0" t="e">
        <f aca="false">#REF!</f>
        <v>#REF!</v>
      </c>
      <c r="I66" s="0" t="e">
        <f aca="false">#REF!</f>
        <v>#REF!</v>
      </c>
      <c r="J66" s="0" t="e">
        <f aca="false">#REF!</f>
        <v>#REF!</v>
      </c>
      <c r="K66" s="0" t="e">
        <f aca="false">#REF!</f>
        <v>#REF!</v>
      </c>
      <c r="L66" s="0" t="e">
        <f aca="false">#REF!</f>
        <v>#REF!</v>
      </c>
      <c r="M66" s="0" t="e">
        <f aca="false">#REF!</f>
        <v>#REF!</v>
      </c>
    </row>
    <row r="67" customFormat="false" ht="13.5" hidden="false" customHeight="false" outlineLevel="0" collapsed="false">
      <c r="A67" s="0" t="s">
        <v>120</v>
      </c>
      <c r="B67" s="1" t="n">
        <v>43927</v>
      </c>
      <c r="C67" s="0" t="e">
        <f aca="false">#REF!</f>
        <v>#REF!</v>
      </c>
      <c r="D67" s="0" t="e">
        <f aca="false">#REF!</f>
        <v>#REF!</v>
      </c>
      <c r="E67" s="0" t="e">
        <f aca="false">#REF!</f>
        <v>#REF!</v>
      </c>
      <c r="F67" s="0" t="e">
        <f aca="false">#REF!</f>
        <v>#REF!</v>
      </c>
      <c r="G67" s="0" t="e">
        <f aca="false">#REF!</f>
        <v>#REF!</v>
      </c>
      <c r="H67" s="0" t="e">
        <f aca="false">#REF!</f>
        <v>#REF!</v>
      </c>
      <c r="I67" s="0" t="e">
        <f aca="false">#REF!</f>
        <v>#REF!</v>
      </c>
      <c r="J67" s="0" t="e">
        <f aca="false">#REF!</f>
        <v>#REF!</v>
      </c>
      <c r="K67" s="0" t="e">
        <f aca="false">#REF!</f>
        <v>#REF!</v>
      </c>
      <c r="L67" s="0" t="e">
        <f aca="false">#REF!</f>
        <v>#REF!</v>
      </c>
      <c r="M67" s="0" t="e">
        <f aca="false">#REF!</f>
        <v>#REF!</v>
      </c>
    </row>
    <row r="68" customFormat="false" ht="13.5" hidden="false" customHeight="false" outlineLevel="0" collapsed="false">
      <c r="A68" s="0" t="s">
        <v>120</v>
      </c>
      <c r="B68" s="1" t="n">
        <v>43928</v>
      </c>
      <c r="C68" s="0" t="e">
        <f aca="false">#REF!</f>
        <v>#REF!</v>
      </c>
      <c r="D68" s="0" t="e">
        <f aca="false">#REF!</f>
        <v>#REF!</v>
      </c>
      <c r="E68" s="0" t="e">
        <f aca="false">#REF!</f>
        <v>#REF!</v>
      </c>
      <c r="F68" s="0" t="e">
        <f aca="false">#REF!</f>
        <v>#REF!</v>
      </c>
      <c r="G68" s="0" t="e">
        <f aca="false">#REF!</f>
        <v>#REF!</v>
      </c>
      <c r="H68" s="0" t="e">
        <f aca="false">#REF!</f>
        <v>#REF!</v>
      </c>
      <c r="I68" s="0" t="e">
        <f aca="false">#REF!</f>
        <v>#REF!</v>
      </c>
      <c r="J68" s="0" t="e">
        <f aca="false">#REF!</f>
        <v>#REF!</v>
      </c>
      <c r="K68" s="0" t="e">
        <f aca="false">#REF!</f>
        <v>#REF!</v>
      </c>
      <c r="L68" s="0" t="e">
        <f aca="false">#REF!</f>
        <v>#REF!</v>
      </c>
      <c r="M68" s="0" t="e">
        <f aca="false">#REF!</f>
        <v>#REF!</v>
      </c>
    </row>
    <row r="69" customFormat="false" ht="13.5" hidden="false" customHeight="false" outlineLevel="0" collapsed="false">
      <c r="A69" s="0" t="s">
        <v>120</v>
      </c>
      <c r="B69" s="1" t="n">
        <v>43929</v>
      </c>
      <c r="C69" s="0" t="e">
        <f aca="false">#REF!</f>
        <v>#REF!</v>
      </c>
      <c r="D69" s="0" t="e">
        <f aca="false">#REF!</f>
        <v>#REF!</v>
      </c>
      <c r="E69" s="0" t="e">
        <f aca="false">#REF!</f>
        <v>#REF!</v>
      </c>
      <c r="F69" s="0" t="e">
        <f aca="false">#REF!</f>
        <v>#REF!</v>
      </c>
      <c r="G69" s="0" t="e">
        <f aca="false">#REF!</f>
        <v>#REF!</v>
      </c>
      <c r="H69" s="0" t="e">
        <f aca="false">#REF!</f>
        <v>#REF!</v>
      </c>
      <c r="I69" s="0" t="e">
        <f aca="false">#REF!</f>
        <v>#REF!</v>
      </c>
      <c r="J69" s="0" t="e">
        <f aca="false">#REF!</f>
        <v>#REF!</v>
      </c>
      <c r="K69" s="0" t="e">
        <f aca="false">#REF!</f>
        <v>#REF!</v>
      </c>
      <c r="L69" s="0" t="e">
        <f aca="false">#REF!</f>
        <v>#REF!</v>
      </c>
      <c r="M69" s="0" t="e">
        <f aca="false">#REF!</f>
        <v>#REF!</v>
      </c>
    </row>
    <row r="70" customFormat="false" ht="13.5" hidden="false" customHeight="false" outlineLevel="0" collapsed="false">
      <c r="A70" s="0" t="s">
        <v>120</v>
      </c>
      <c r="B70" s="1" t="n">
        <v>43930</v>
      </c>
      <c r="C70" s="0" t="e">
        <f aca="false">#REF!</f>
        <v>#REF!</v>
      </c>
      <c r="D70" s="0" t="e">
        <f aca="false">#REF!</f>
        <v>#REF!</v>
      </c>
      <c r="E70" s="0" t="e">
        <f aca="false">#REF!</f>
        <v>#REF!</v>
      </c>
      <c r="F70" s="0" t="e">
        <f aca="false">#REF!</f>
        <v>#REF!</v>
      </c>
      <c r="G70" s="0" t="e">
        <f aca="false">#REF!</f>
        <v>#REF!</v>
      </c>
      <c r="H70" s="0" t="e">
        <f aca="false">#REF!</f>
        <v>#REF!</v>
      </c>
      <c r="I70" s="0" t="e">
        <f aca="false">#REF!</f>
        <v>#REF!</v>
      </c>
      <c r="J70" s="0" t="e">
        <f aca="false">#REF!</f>
        <v>#REF!</v>
      </c>
      <c r="K70" s="0" t="e">
        <f aca="false">#REF!</f>
        <v>#REF!</v>
      </c>
      <c r="L70" s="0" t="e">
        <f aca="false">#REF!</f>
        <v>#REF!</v>
      </c>
      <c r="M70" s="0" t="e">
        <f aca="false">#REF!</f>
        <v>#REF!</v>
      </c>
    </row>
    <row r="71" customFormat="false" ht="13.5" hidden="false" customHeight="false" outlineLevel="0" collapsed="false">
      <c r="A71" s="0" t="s">
        <v>120</v>
      </c>
      <c r="B71" s="1" t="n">
        <v>43931</v>
      </c>
      <c r="C71" s="0" t="e">
        <f aca="false">#REF!</f>
        <v>#REF!</v>
      </c>
      <c r="D71" s="0" t="e">
        <f aca="false">#REF!</f>
        <v>#REF!</v>
      </c>
      <c r="E71" s="0" t="e">
        <f aca="false">#REF!</f>
        <v>#REF!</v>
      </c>
      <c r="F71" s="0" t="e">
        <f aca="false">#REF!</f>
        <v>#REF!</v>
      </c>
      <c r="G71" s="0" t="e">
        <f aca="false">#REF!</f>
        <v>#REF!</v>
      </c>
      <c r="H71" s="0" t="e">
        <f aca="false">#REF!</f>
        <v>#REF!</v>
      </c>
      <c r="I71" s="0" t="e">
        <f aca="false">#REF!</f>
        <v>#REF!</v>
      </c>
      <c r="J71" s="0" t="e">
        <f aca="false">#REF!</f>
        <v>#REF!</v>
      </c>
      <c r="K71" s="0" t="e">
        <f aca="false">#REF!</f>
        <v>#REF!</v>
      </c>
      <c r="L71" s="0" t="e">
        <f aca="false">#REF!</f>
        <v>#REF!</v>
      </c>
      <c r="M71" s="0" t="e">
        <f aca="false">#REF!</f>
        <v>#REF!</v>
      </c>
    </row>
    <row r="72" customFormat="false" ht="13.5" hidden="false" customHeight="false" outlineLevel="0" collapsed="false">
      <c r="A72" s="0" t="s">
        <v>120</v>
      </c>
      <c r="B72" s="1" t="n">
        <v>43932</v>
      </c>
      <c r="C72" s="0" t="e">
        <f aca="false">#REF!</f>
        <v>#REF!</v>
      </c>
      <c r="D72" s="0" t="e">
        <f aca="false">#REF!</f>
        <v>#REF!</v>
      </c>
      <c r="E72" s="0" t="e">
        <f aca="false">#REF!</f>
        <v>#REF!</v>
      </c>
      <c r="F72" s="0" t="e">
        <f aca="false">#REF!</f>
        <v>#REF!</v>
      </c>
      <c r="G72" s="0" t="e">
        <f aca="false">#REF!</f>
        <v>#REF!</v>
      </c>
      <c r="H72" s="0" t="e">
        <f aca="false">#REF!</f>
        <v>#REF!</v>
      </c>
      <c r="I72" s="0" t="e">
        <f aca="false">#REF!</f>
        <v>#REF!</v>
      </c>
      <c r="J72" s="0" t="e">
        <f aca="false">#REF!</f>
        <v>#REF!</v>
      </c>
      <c r="K72" s="0" t="e">
        <f aca="false">#REF!</f>
        <v>#REF!</v>
      </c>
      <c r="L72" s="0" t="e">
        <f aca="false">#REF!</f>
        <v>#REF!</v>
      </c>
      <c r="M72" s="0" t="e">
        <f aca="false">#REF!</f>
        <v>#REF!</v>
      </c>
    </row>
    <row r="73" customFormat="false" ht="13.5" hidden="false" customHeight="false" outlineLevel="0" collapsed="false">
      <c r="A73" s="0" t="s">
        <v>120</v>
      </c>
      <c r="B73" s="1" t="n">
        <v>43933</v>
      </c>
      <c r="C73" s="0" t="e">
        <f aca="false">#REF!</f>
        <v>#REF!</v>
      </c>
      <c r="D73" s="0" t="e">
        <f aca="false">#REF!</f>
        <v>#REF!</v>
      </c>
      <c r="E73" s="0" t="e">
        <f aca="false">#REF!</f>
        <v>#REF!</v>
      </c>
      <c r="F73" s="0" t="e">
        <f aca="false">#REF!</f>
        <v>#REF!</v>
      </c>
      <c r="G73" s="0" t="e">
        <f aca="false">#REF!</f>
        <v>#REF!</v>
      </c>
      <c r="H73" s="0" t="e">
        <f aca="false">#REF!</f>
        <v>#REF!</v>
      </c>
      <c r="I73" s="0" t="e">
        <f aca="false">#REF!</f>
        <v>#REF!</v>
      </c>
      <c r="J73" s="0" t="e">
        <f aca="false">#REF!</f>
        <v>#REF!</v>
      </c>
      <c r="K73" s="0" t="e">
        <f aca="false">#REF!</f>
        <v>#REF!</v>
      </c>
      <c r="L73" s="0" t="e">
        <f aca="false">#REF!</f>
        <v>#REF!</v>
      </c>
      <c r="M73" s="0" t="e">
        <f aca="false">#REF!</f>
        <v>#REF!</v>
      </c>
    </row>
    <row r="74" customFormat="false" ht="13.5" hidden="false" customHeight="false" outlineLevel="0" collapsed="false">
      <c r="A74" s="0" t="s">
        <v>120</v>
      </c>
      <c r="B74" s="1" t="n">
        <v>43934</v>
      </c>
      <c r="C74" s="0" t="e">
        <f aca="false">#REF!</f>
        <v>#REF!</v>
      </c>
      <c r="D74" s="0" t="e">
        <f aca="false">#REF!</f>
        <v>#REF!</v>
      </c>
      <c r="E74" s="0" t="e">
        <f aca="false">#REF!</f>
        <v>#REF!</v>
      </c>
      <c r="F74" s="0" t="e">
        <f aca="false">#REF!</f>
        <v>#REF!</v>
      </c>
      <c r="G74" s="0" t="e">
        <f aca="false">#REF!</f>
        <v>#REF!</v>
      </c>
      <c r="H74" s="0" t="e">
        <f aca="false">#REF!</f>
        <v>#REF!</v>
      </c>
      <c r="I74" s="0" t="e">
        <f aca="false">#REF!</f>
        <v>#REF!</v>
      </c>
      <c r="J74" s="0" t="e">
        <f aca="false">#REF!</f>
        <v>#REF!</v>
      </c>
      <c r="K74" s="0" t="e">
        <f aca="false">#REF!</f>
        <v>#REF!</v>
      </c>
      <c r="L74" s="0" t="e">
        <f aca="false">#REF!</f>
        <v>#REF!</v>
      </c>
      <c r="M74" s="0" t="e">
        <f aca="false">#REF!</f>
        <v>#REF!</v>
      </c>
    </row>
    <row r="75" customFormat="false" ht="13.5" hidden="false" customHeight="false" outlineLevel="0" collapsed="false">
      <c r="A75" s="0" t="s">
        <v>120</v>
      </c>
      <c r="B75" s="1" t="n">
        <v>43935</v>
      </c>
      <c r="C75" s="0" t="e">
        <f aca="false">#REF!</f>
        <v>#REF!</v>
      </c>
      <c r="D75" s="0" t="e">
        <f aca="false">#REF!</f>
        <v>#REF!</v>
      </c>
      <c r="E75" s="0" t="e">
        <f aca="false">#REF!</f>
        <v>#REF!</v>
      </c>
      <c r="F75" s="0" t="e">
        <f aca="false">#REF!</f>
        <v>#REF!</v>
      </c>
      <c r="G75" s="0" t="e">
        <f aca="false">#REF!</f>
        <v>#REF!</v>
      </c>
      <c r="H75" s="0" t="e">
        <f aca="false">#REF!</f>
        <v>#REF!</v>
      </c>
      <c r="I75" s="0" t="e">
        <f aca="false">#REF!</f>
        <v>#REF!</v>
      </c>
      <c r="J75" s="0" t="e">
        <f aca="false">#REF!</f>
        <v>#REF!</v>
      </c>
      <c r="K75" s="0" t="e">
        <f aca="false">#REF!</f>
        <v>#REF!</v>
      </c>
      <c r="L75" s="0" t="e">
        <f aca="false">#REF!</f>
        <v>#REF!</v>
      </c>
      <c r="M75" s="0" t="e">
        <f aca="false">#REF!</f>
        <v>#REF!</v>
      </c>
    </row>
    <row r="76" customFormat="false" ht="13.5" hidden="false" customHeight="false" outlineLevel="0" collapsed="false">
      <c r="A76" s="0" t="s">
        <v>120</v>
      </c>
      <c r="B76" s="1" t="n">
        <v>43936</v>
      </c>
      <c r="C76" s="0" t="e">
        <f aca="false">#REF!</f>
        <v>#REF!</v>
      </c>
      <c r="D76" s="0" t="e">
        <f aca="false">#REF!</f>
        <v>#REF!</v>
      </c>
      <c r="E76" s="0" t="e">
        <f aca="false">#REF!</f>
        <v>#REF!</v>
      </c>
      <c r="F76" s="0" t="e">
        <f aca="false">#REF!</f>
        <v>#REF!</v>
      </c>
      <c r="G76" s="0" t="e">
        <f aca="false">#REF!</f>
        <v>#REF!</v>
      </c>
      <c r="H76" s="0" t="e">
        <f aca="false">#REF!</f>
        <v>#REF!</v>
      </c>
      <c r="I76" s="0" t="e">
        <f aca="false">#REF!</f>
        <v>#REF!</v>
      </c>
      <c r="J76" s="0" t="e">
        <f aca="false">#REF!</f>
        <v>#REF!</v>
      </c>
      <c r="K76" s="0" t="e">
        <f aca="false">#REF!</f>
        <v>#REF!</v>
      </c>
      <c r="L76" s="0" t="e">
        <f aca="false">#REF!</f>
        <v>#REF!</v>
      </c>
      <c r="M76" s="0" t="e">
        <f aca="false">#REF!</f>
        <v>#REF!</v>
      </c>
    </row>
    <row r="77" customFormat="false" ht="13.5" hidden="false" customHeight="false" outlineLevel="0" collapsed="false">
      <c r="A77" s="0" t="s">
        <v>120</v>
      </c>
      <c r="B77" s="1" t="n">
        <v>43937</v>
      </c>
      <c r="C77" s="0" t="e">
        <f aca="false">#REF!</f>
        <v>#REF!</v>
      </c>
      <c r="D77" s="0" t="e">
        <f aca="false">#REF!</f>
        <v>#REF!</v>
      </c>
      <c r="E77" s="0" t="e">
        <f aca="false">#REF!</f>
        <v>#REF!</v>
      </c>
      <c r="F77" s="0" t="e">
        <f aca="false">#REF!</f>
        <v>#REF!</v>
      </c>
      <c r="G77" s="0" t="e">
        <f aca="false">#REF!</f>
        <v>#REF!</v>
      </c>
      <c r="H77" s="0" t="e">
        <f aca="false">#REF!</f>
        <v>#REF!</v>
      </c>
      <c r="I77" s="0" t="e">
        <f aca="false">#REF!</f>
        <v>#REF!</v>
      </c>
      <c r="J77" s="0" t="e">
        <f aca="false">#REF!</f>
        <v>#REF!</v>
      </c>
      <c r="K77" s="0" t="e">
        <f aca="false">#REF!</f>
        <v>#REF!</v>
      </c>
      <c r="L77" s="0" t="e">
        <f aca="false">#REF!</f>
        <v>#REF!</v>
      </c>
      <c r="M77" s="0" t="e">
        <f aca="false">#REF!</f>
        <v>#REF!</v>
      </c>
    </row>
    <row r="78" customFormat="false" ht="13.5" hidden="false" customHeight="false" outlineLevel="0" collapsed="false">
      <c r="A78" s="0" t="s">
        <v>120</v>
      </c>
      <c r="B78" s="1" t="n">
        <v>43938</v>
      </c>
      <c r="C78" s="0" t="e">
        <f aca="false">#REF!</f>
        <v>#REF!</v>
      </c>
      <c r="D78" s="0" t="e">
        <f aca="false">#REF!</f>
        <v>#REF!</v>
      </c>
      <c r="E78" s="0" t="e">
        <f aca="false">#REF!</f>
        <v>#REF!</v>
      </c>
      <c r="F78" s="0" t="e">
        <f aca="false">#REF!</f>
        <v>#REF!</v>
      </c>
      <c r="G78" s="0" t="e">
        <f aca="false">#REF!</f>
        <v>#REF!</v>
      </c>
      <c r="H78" s="0" t="e">
        <f aca="false">#REF!</f>
        <v>#REF!</v>
      </c>
      <c r="I78" s="0" t="e">
        <f aca="false">#REF!</f>
        <v>#REF!</v>
      </c>
      <c r="J78" s="0" t="e">
        <f aca="false">#REF!</f>
        <v>#REF!</v>
      </c>
      <c r="K78" s="0" t="e">
        <f aca="false">#REF!</f>
        <v>#REF!</v>
      </c>
      <c r="L78" s="0" t="e">
        <f aca="false">#REF!</f>
        <v>#REF!</v>
      </c>
      <c r="M78" s="0" t="e">
        <f aca="false">#REF!</f>
        <v>#REF!</v>
      </c>
    </row>
    <row r="79" customFormat="false" ht="13.5" hidden="false" customHeight="false" outlineLevel="0" collapsed="false">
      <c r="A79" s="0" t="s">
        <v>120</v>
      </c>
      <c r="B79" s="1" t="n">
        <v>43939</v>
      </c>
      <c r="C79" s="0" t="e">
        <f aca="false">#REF!</f>
        <v>#REF!</v>
      </c>
      <c r="D79" s="0" t="e">
        <f aca="false">#REF!</f>
        <v>#REF!</v>
      </c>
      <c r="E79" s="0" t="e">
        <f aca="false">#REF!</f>
        <v>#REF!</v>
      </c>
      <c r="F79" s="0" t="e">
        <f aca="false">#REF!</f>
        <v>#REF!</v>
      </c>
      <c r="G79" s="0" t="e">
        <f aca="false">#REF!</f>
        <v>#REF!</v>
      </c>
      <c r="H79" s="0" t="e">
        <f aca="false">#REF!</f>
        <v>#REF!</v>
      </c>
      <c r="I79" s="0" t="e">
        <f aca="false">#REF!</f>
        <v>#REF!</v>
      </c>
      <c r="J79" s="0" t="e">
        <f aca="false">#REF!</f>
        <v>#REF!</v>
      </c>
      <c r="K79" s="0" t="e">
        <f aca="false">#REF!</f>
        <v>#REF!</v>
      </c>
      <c r="L79" s="0" t="e">
        <f aca="false">#REF!</f>
        <v>#REF!</v>
      </c>
      <c r="M79" s="0" t="e">
        <f aca="false">#REF!</f>
        <v>#REF!</v>
      </c>
    </row>
    <row r="80" customFormat="false" ht="13.5" hidden="false" customHeight="false" outlineLevel="0" collapsed="false">
      <c r="A80" s="0" t="s">
        <v>120</v>
      </c>
      <c r="B80" s="1" t="n">
        <v>43940</v>
      </c>
      <c r="C80" s="0" t="e">
        <f aca="false">#REF!</f>
        <v>#REF!</v>
      </c>
      <c r="D80" s="0" t="e">
        <f aca="false">#REF!</f>
        <v>#REF!</v>
      </c>
      <c r="E80" s="0" t="e">
        <f aca="false">#REF!</f>
        <v>#REF!</v>
      </c>
      <c r="F80" s="0" t="e">
        <f aca="false">#REF!</f>
        <v>#REF!</v>
      </c>
      <c r="G80" s="0" t="e">
        <f aca="false">#REF!</f>
        <v>#REF!</v>
      </c>
      <c r="H80" s="0" t="e">
        <f aca="false">#REF!</f>
        <v>#REF!</v>
      </c>
      <c r="I80" s="0" t="e">
        <f aca="false">#REF!</f>
        <v>#REF!</v>
      </c>
      <c r="J80" s="0" t="e">
        <f aca="false">#REF!</f>
        <v>#REF!</v>
      </c>
      <c r="K80" s="0" t="e">
        <f aca="false">#REF!</f>
        <v>#REF!</v>
      </c>
      <c r="L80" s="0" t="e">
        <f aca="false">#REF!</f>
        <v>#REF!</v>
      </c>
      <c r="M80" s="0" t="e">
        <f aca="false">#REF!</f>
        <v>#REF!</v>
      </c>
    </row>
    <row r="81" customFormat="false" ht="13.5" hidden="false" customHeight="false" outlineLevel="0" collapsed="false">
      <c r="A81" s="0" t="s">
        <v>120</v>
      </c>
      <c r="B81" s="1" t="n">
        <v>43941</v>
      </c>
      <c r="C81" s="0" t="e">
        <f aca="false">#REF!</f>
        <v>#REF!</v>
      </c>
      <c r="D81" s="0" t="e">
        <f aca="false">#REF!</f>
        <v>#REF!</v>
      </c>
      <c r="E81" s="0" t="e">
        <f aca="false">#REF!</f>
        <v>#REF!</v>
      </c>
      <c r="F81" s="0" t="e">
        <f aca="false">#REF!</f>
        <v>#REF!</v>
      </c>
      <c r="G81" s="0" t="e">
        <f aca="false">#REF!</f>
        <v>#REF!</v>
      </c>
      <c r="H81" s="0" t="e">
        <f aca="false">#REF!</f>
        <v>#REF!</v>
      </c>
      <c r="I81" s="0" t="e">
        <f aca="false">#REF!</f>
        <v>#REF!</v>
      </c>
      <c r="J81" s="0" t="e">
        <f aca="false">#REF!</f>
        <v>#REF!</v>
      </c>
      <c r="K81" s="0" t="e">
        <f aca="false">#REF!</f>
        <v>#REF!</v>
      </c>
      <c r="L81" s="0" t="e">
        <f aca="false">#REF!</f>
        <v>#REF!</v>
      </c>
      <c r="M81" s="0" t="e">
        <f aca="false">#REF!</f>
        <v>#REF!</v>
      </c>
    </row>
    <row r="82" customFormat="false" ht="13.5" hidden="false" customHeight="false" outlineLevel="0" collapsed="false">
      <c r="A82" s="0" t="s">
        <v>120</v>
      </c>
      <c r="B82" s="1" t="n">
        <v>43942</v>
      </c>
      <c r="C82" s="0" t="e">
        <f aca="false">#REF!</f>
        <v>#REF!</v>
      </c>
      <c r="D82" s="0" t="e">
        <f aca="false">#REF!</f>
        <v>#REF!</v>
      </c>
      <c r="E82" s="0" t="e">
        <f aca="false">#REF!</f>
        <v>#REF!</v>
      </c>
      <c r="F82" s="0" t="e">
        <f aca="false">#REF!</f>
        <v>#REF!</v>
      </c>
      <c r="G82" s="0" t="e">
        <f aca="false">#REF!</f>
        <v>#REF!</v>
      </c>
      <c r="H82" s="0" t="e">
        <f aca="false">#REF!</f>
        <v>#REF!</v>
      </c>
      <c r="I82" s="0" t="e">
        <f aca="false">#REF!</f>
        <v>#REF!</v>
      </c>
      <c r="J82" s="0" t="e">
        <f aca="false">#REF!</f>
        <v>#REF!</v>
      </c>
      <c r="K82" s="0" t="e">
        <f aca="false">#REF!</f>
        <v>#REF!</v>
      </c>
      <c r="L82" s="0" t="e">
        <f aca="false">#REF!</f>
        <v>#REF!</v>
      </c>
      <c r="M82" s="0" t="e">
        <f aca="false">#REF!</f>
        <v>#REF!</v>
      </c>
    </row>
    <row r="83" customFormat="false" ht="13.5" hidden="false" customHeight="false" outlineLevel="0" collapsed="false">
      <c r="A83" s="0" t="s">
        <v>120</v>
      </c>
      <c r="B83" s="1" t="n">
        <v>43943</v>
      </c>
      <c r="C83" s="0" t="e">
        <f aca="false">#REF!</f>
        <v>#REF!</v>
      </c>
      <c r="D83" s="0" t="e">
        <f aca="false">#REF!</f>
        <v>#REF!</v>
      </c>
      <c r="E83" s="0" t="e">
        <f aca="false">#REF!</f>
        <v>#REF!</v>
      </c>
      <c r="F83" s="0" t="e">
        <f aca="false">#REF!</f>
        <v>#REF!</v>
      </c>
      <c r="G83" s="0" t="e">
        <f aca="false">#REF!</f>
        <v>#REF!</v>
      </c>
      <c r="H83" s="0" t="e">
        <f aca="false">#REF!</f>
        <v>#REF!</v>
      </c>
      <c r="I83" s="0" t="e">
        <f aca="false">#REF!</f>
        <v>#REF!</v>
      </c>
      <c r="J83" s="0" t="e">
        <f aca="false">#REF!</f>
        <v>#REF!</v>
      </c>
      <c r="K83" s="0" t="e">
        <f aca="false">#REF!</f>
        <v>#REF!</v>
      </c>
      <c r="L83" s="0" t="e">
        <f aca="false">#REF!</f>
        <v>#REF!</v>
      </c>
      <c r="M83" s="0" t="e">
        <f aca="false">#REF!</f>
        <v>#REF!</v>
      </c>
    </row>
    <row r="84" customFormat="false" ht="13.5" hidden="false" customHeight="false" outlineLevel="0" collapsed="false">
      <c r="A84" s="0" t="s">
        <v>120</v>
      </c>
      <c r="B84" s="1" t="n">
        <v>43944</v>
      </c>
      <c r="C84" s="0" t="e">
        <f aca="false">#REF!</f>
        <v>#REF!</v>
      </c>
      <c r="D84" s="0" t="e">
        <f aca="false">#REF!</f>
        <v>#REF!</v>
      </c>
      <c r="E84" s="0" t="e">
        <f aca="false">#REF!</f>
        <v>#REF!</v>
      </c>
      <c r="F84" s="0" t="e">
        <f aca="false">#REF!</f>
        <v>#REF!</v>
      </c>
      <c r="G84" s="0" t="e">
        <f aca="false">#REF!</f>
        <v>#REF!</v>
      </c>
      <c r="H84" s="0" t="e">
        <f aca="false">#REF!</f>
        <v>#REF!</v>
      </c>
      <c r="I84" s="0" t="e">
        <f aca="false">#REF!</f>
        <v>#REF!</v>
      </c>
      <c r="J84" s="0" t="e">
        <f aca="false">#REF!</f>
        <v>#REF!</v>
      </c>
      <c r="K84" s="0" t="e">
        <f aca="false">#REF!</f>
        <v>#REF!</v>
      </c>
      <c r="L84" s="0" t="e">
        <f aca="false">#REF!</f>
        <v>#REF!</v>
      </c>
      <c r="M84" s="0" t="e">
        <f aca="false">#REF!</f>
        <v>#REF!</v>
      </c>
    </row>
    <row r="85" customFormat="false" ht="13.5" hidden="false" customHeight="false" outlineLevel="0" collapsed="false">
      <c r="A85" s="0" t="s">
        <v>120</v>
      </c>
      <c r="B85" s="1" t="n">
        <v>43945</v>
      </c>
      <c r="C85" s="0" t="e">
        <f aca="false">#REF!</f>
        <v>#REF!</v>
      </c>
      <c r="D85" s="0" t="e">
        <f aca="false">#REF!</f>
        <v>#REF!</v>
      </c>
      <c r="E85" s="0" t="e">
        <f aca="false">#REF!</f>
        <v>#REF!</v>
      </c>
      <c r="F85" s="0" t="e">
        <f aca="false">#REF!</f>
        <v>#REF!</v>
      </c>
      <c r="G85" s="0" t="e">
        <f aca="false">#REF!</f>
        <v>#REF!</v>
      </c>
      <c r="H85" s="0" t="e">
        <f aca="false">#REF!</f>
        <v>#REF!</v>
      </c>
      <c r="I85" s="0" t="e">
        <f aca="false">#REF!</f>
        <v>#REF!</v>
      </c>
      <c r="J85" s="0" t="e">
        <f aca="false">#REF!</f>
        <v>#REF!</v>
      </c>
      <c r="K85" s="0" t="e">
        <f aca="false">#REF!</f>
        <v>#REF!</v>
      </c>
      <c r="L85" s="0" t="e">
        <f aca="false">#REF!</f>
        <v>#REF!</v>
      </c>
      <c r="M85" s="0" t="e">
        <f aca="false">#REF!</f>
        <v>#REF!</v>
      </c>
    </row>
    <row r="86" customFormat="false" ht="13.5" hidden="false" customHeight="false" outlineLevel="0" collapsed="false">
      <c r="A86" s="0" t="s">
        <v>120</v>
      </c>
      <c r="B86" s="1" t="n">
        <v>43946</v>
      </c>
      <c r="C86" s="0" t="e">
        <f aca="false">#REF!</f>
        <v>#REF!</v>
      </c>
      <c r="D86" s="0" t="e">
        <f aca="false">#REF!</f>
        <v>#REF!</v>
      </c>
      <c r="E86" s="0" t="e">
        <f aca="false">#REF!</f>
        <v>#REF!</v>
      </c>
      <c r="F86" s="0" t="e">
        <f aca="false">#REF!</f>
        <v>#REF!</v>
      </c>
      <c r="G86" s="0" t="e">
        <f aca="false">#REF!</f>
        <v>#REF!</v>
      </c>
      <c r="H86" s="0" t="e">
        <f aca="false">#REF!</f>
        <v>#REF!</v>
      </c>
      <c r="I86" s="0" t="e">
        <f aca="false">#REF!</f>
        <v>#REF!</v>
      </c>
      <c r="J86" s="0" t="e">
        <f aca="false">#REF!</f>
        <v>#REF!</v>
      </c>
      <c r="K86" s="0" t="e">
        <f aca="false">#REF!</f>
        <v>#REF!</v>
      </c>
      <c r="L86" s="0" t="e">
        <f aca="false">#REF!</f>
        <v>#REF!</v>
      </c>
      <c r="M86" s="0" t="e">
        <f aca="false">#REF!</f>
        <v>#REF!</v>
      </c>
    </row>
    <row r="87" customFormat="false" ht="13.5" hidden="false" customHeight="false" outlineLevel="0" collapsed="false">
      <c r="A87" s="0" t="s">
        <v>120</v>
      </c>
      <c r="B87" s="1" t="n">
        <v>43947</v>
      </c>
      <c r="C87" s="0" t="e">
        <f aca="false">#REF!</f>
        <v>#REF!</v>
      </c>
      <c r="D87" s="0" t="e">
        <f aca="false">#REF!</f>
        <v>#REF!</v>
      </c>
      <c r="E87" s="0" t="e">
        <f aca="false">#REF!</f>
        <v>#REF!</v>
      </c>
      <c r="F87" s="0" t="e">
        <f aca="false">#REF!</f>
        <v>#REF!</v>
      </c>
      <c r="G87" s="0" t="e">
        <f aca="false">#REF!</f>
        <v>#REF!</v>
      </c>
      <c r="H87" s="0" t="e">
        <f aca="false">#REF!</f>
        <v>#REF!</v>
      </c>
      <c r="I87" s="0" t="e">
        <f aca="false">#REF!</f>
        <v>#REF!</v>
      </c>
      <c r="J87" s="0" t="e">
        <f aca="false">#REF!</f>
        <v>#REF!</v>
      </c>
      <c r="K87" s="0" t="e">
        <f aca="false">#REF!</f>
        <v>#REF!</v>
      </c>
      <c r="L87" s="0" t="e">
        <f aca="false">#REF!</f>
        <v>#REF!</v>
      </c>
      <c r="M87" s="0" t="e">
        <f aca="false">#REF!</f>
        <v>#REF!</v>
      </c>
    </row>
    <row r="88" customFormat="false" ht="13.5" hidden="false" customHeight="false" outlineLevel="0" collapsed="false">
      <c r="A88" s="0" t="s">
        <v>120</v>
      </c>
      <c r="B88" s="1" t="n">
        <v>43948</v>
      </c>
      <c r="C88" s="0" t="e">
        <f aca="false">#REF!</f>
        <v>#REF!</v>
      </c>
      <c r="D88" s="0" t="e">
        <f aca="false">#REF!</f>
        <v>#REF!</v>
      </c>
      <c r="E88" s="0" t="e">
        <f aca="false">#REF!</f>
        <v>#REF!</v>
      </c>
      <c r="F88" s="0" t="e">
        <f aca="false">#REF!</f>
        <v>#REF!</v>
      </c>
      <c r="G88" s="0" t="e">
        <f aca="false">#REF!</f>
        <v>#REF!</v>
      </c>
      <c r="H88" s="0" t="e">
        <f aca="false">#REF!</f>
        <v>#REF!</v>
      </c>
      <c r="I88" s="0" t="e">
        <f aca="false">#REF!</f>
        <v>#REF!</v>
      </c>
      <c r="J88" s="0" t="e">
        <f aca="false">#REF!</f>
        <v>#REF!</v>
      </c>
      <c r="K88" s="0" t="e">
        <f aca="false">#REF!</f>
        <v>#REF!</v>
      </c>
      <c r="L88" s="0" t="e">
        <f aca="false">#REF!</f>
        <v>#REF!</v>
      </c>
      <c r="M88" s="0" t="e">
        <f aca="false">#REF!</f>
        <v>#REF!</v>
      </c>
    </row>
    <row r="89" customFormat="false" ht="13.5" hidden="false" customHeight="false" outlineLevel="0" collapsed="false">
      <c r="A89" s="0" t="s">
        <v>120</v>
      </c>
      <c r="B89" s="1" t="n">
        <v>43949</v>
      </c>
      <c r="C89" s="0" t="e">
        <f aca="false">#REF!</f>
        <v>#REF!</v>
      </c>
      <c r="D89" s="0" t="e">
        <f aca="false">#REF!</f>
        <v>#REF!</v>
      </c>
      <c r="E89" s="0" t="e">
        <f aca="false">#REF!</f>
        <v>#REF!</v>
      </c>
      <c r="F89" s="0" t="e">
        <f aca="false">#REF!</f>
        <v>#REF!</v>
      </c>
      <c r="G89" s="0" t="e">
        <f aca="false">#REF!</f>
        <v>#REF!</v>
      </c>
      <c r="H89" s="0" t="e">
        <f aca="false">#REF!</f>
        <v>#REF!</v>
      </c>
      <c r="I89" s="0" t="e">
        <f aca="false">#REF!</f>
        <v>#REF!</v>
      </c>
      <c r="J89" s="0" t="e">
        <f aca="false">#REF!</f>
        <v>#REF!</v>
      </c>
      <c r="K89" s="0" t="e">
        <f aca="false">#REF!</f>
        <v>#REF!</v>
      </c>
      <c r="L89" s="0" t="e">
        <f aca="false">#REF!</f>
        <v>#REF!</v>
      </c>
      <c r="M89" s="0" t="e">
        <f aca="false">#REF!</f>
        <v>#REF!</v>
      </c>
    </row>
    <row r="90" customFormat="false" ht="13.5" hidden="false" customHeight="false" outlineLevel="0" collapsed="false">
      <c r="A90" s="0" t="s">
        <v>120</v>
      </c>
      <c r="B90" s="1" t="n">
        <v>43950</v>
      </c>
      <c r="C90" s="0" t="e">
        <f aca="false">#REF!</f>
        <v>#REF!</v>
      </c>
      <c r="D90" s="0" t="e">
        <f aca="false">#REF!</f>
        <v>#REF!</v>
      </c>
      <c r="E90" s="0" t="e">
        <f aca="false">#REF!</f>
        <v>#REF!</v>
      </c>
      <c r="F90" s="0" t="e">
        <f aca="false">#REF!</f>
        <v>#REF!</v>
      </c>
      <c r="G90" s="0" t="e">
        <f aca="false">#REF!</f>
        <v>#REF!</v>
      </c>
      <c r="H90" s="0" t="e">
        <f aca="false">#REF!</f>
        <v>#REF!</v>
      </c>
      <c r="I90" s="0" t="e">
        <f aca="false">#REF!</f>
        <v>#REF!</v>
      </c>
      <c r="J90" s="0" t="e">
        <f aca="false">#REF!</f>
        <v>#REF!</v>
      </c>
      <c r="K90" s="0" t="e">
        <f aca="false">#REF!</f>
        <v>#REF!</v>
      </c>
      <c r="L90" s="0" t="e">
        <f aca="false">#REF!</f>
        <v>#REF!</v>
      </c>
      <c r="M90" s="0" t="e">
        <f aca="false">#REF!</f>
        <v>#REF!</v>
      </c>
    </row>
    <row r="91" customFormat="false" ht="13.5" hidden="false" customHeight="false" outlineLevel="0" collapsed="false">
      <c r="A91" s="0" t="s">
        <v>120</v>
      </c>
      <c r="B91" s="1" t="n">
        <v>43951</v>
      </c>
      <c r="C91" s="0" t="e">
        <f aca="false">#REF!</f>
        <v>#REF!</v>
      </c>
      <c r="D91" s="0" t="e">
        <f aca="false">#REF!</f>
        <v>#REF!</v>
      </c>
      <c r="E91" s="0" t="e">
        <f aca="false">#REF!</f>
        <v>#REF!</v>
      </c>
      <c r="F91" s="0" t="e">
        <f aca="false">#REF!</f>
        <v>#REF!</v>
      </c>
      <c r="G91" s="0" t="e">
        <f aca="false">#REF!</f>
        <v>#REF!</v>
      </c>
      <c r="H91" s="0" t="e">
        <f aca="false">#REF!</f>
        <v>#REF!</v>
      </c>
      <c r="I91" s="0" t="e">
        <f aca="false">#REF!</f>
        <v>#REF!</v>
      </c>
      <c r="J91" s="0" t="e">
        <f aca="false">#REF!</f>
        <v>#REF!</v>
      </c>
      <c r="K91" s="0" t="e">
        <f aca="false">#REF!</f>
        <v>#REF!</v>
      </c>
      <c r="L91" s="0" t="e">
        <f aca="false">#REF!</f>
        <v>#REF!</v>
      </c>
      <c r="M91" s="0" t="e">
        <f aca="false">#REF!</f>
        <v>#REF!</v>
      </c>
    </row>
    <row r="92" customFormat="false" ht="13.5" hidden="false" customHeight="false" outlineLevel="0" collapsed="false">
      <c r="A92" s="0" t="s">
        <v>120</v>
      </c>
      <c r="B92" s="1" t="n">
        <v>43952</v>
      </c>
      <c r="C92" s="0" t="e">
        <f aca="false">#REF!</f>
        <v>#REF!</v>
      </c>
      <c r="D92" s="0" t="e">
        <f aca="false">#REF!</f>
        <v>#REF!</v>
      </c>
      <c r="E92" s="0" t="e">
        <f aca="false">#REF!</f>
        <v>#REF!</v>
      </c>
      <c r="F92" s="0" t="e">
        <f aca="false">#REF!</f>
        <v>#REF!</v>
      </c>
      <c r="G92" s="0" t="e">
        <f aca="false">#REF!</f>
        <v>#REF!</v>
      </c>
      <c r="H92" s="0" t="e">
        <f aca="false">#REF!</f>
        <v>#REF!</v>
      </c>
      <c r="I92" s="0" t="e">
        <f aca="false">#REF!</f>
        <v>#REF!</v>
      </c>
      <c r="J92" s="0" t="e">
        <f aca="false">#REF!</f>
        <v>#REF!</v>
      </c>
      <c r="K92" s="0" t="e">
        <f aca="false">#REF!</f>
        <v>#REF!</v>
      </c>
      <c r="L92" s="0" t="e">
        <f aca="false">#REF!</f>
        <v>#REF!</v>
      </c>
      <c r="M92" s="0" t="e">
        <f aca="false">#REF!</f>
        <v>#REF!</v>
      </c>
    </row>
    <row r="93" customFormat="false" ht="13.5" hidden="false" customHeight="false" outlineLevel="0" collapsed="false">
      <c r="A93" s="0" t="s">
        <v>120</v>
      </c>
      <c r="B93" s="1" t="n">
        <v>43953</v>
      </c>
      <c r="C93" s="0" t="e">
        <f aca="false">#REF!</f>
        <v>#REF!</v>
      </c>
      <c r="D93" s="0" t="e">
        <f aca="false">#REF!</f>
        <v>#REF!</v>
      </c>
      <c r="E93" s="0" t="e">
        <f aca="false">#REF!</f>
        <v>#REF!</v>
      </c>
      <c r="F93" s="0" t="e">
        <f aca="false">#REF!</f>
        <v>#REF!</v>
      </c>
      <c r="G93" s="0" t="e">
        <f aca="false">#REF!</f>
        <v>#REF!</v>
      </c>
      <c r="H93" s="0" t="e">
        <f aca="false">#REF!</f>
        <v>#REF!</v>
      </c>
      <c r="I93" s="0" t="e">
        <f aca="false">#REF!</f>
        <v>#REF!</v>
      </c>
      <c r="J93" s="0" t="e">
        <f aca="false">#REF!</f>
        <v>#REF!</v>
      </c>
      <c r="K93" s="0" t="e">
        <f aca="false">#REF!</f>
        <v>#REF!</v>
      </c>
      <c r="L93" s="0" t="e">
        <f aca="false">#REF!</f>
        <v>#REF!</v>
      </c>
      <c r="M93" s="0" t="e">
        <f aca="false">#REF!</f>
        <v>#REF!</v>
      </c>
    </row>
    <row r="94" customFormat="false" ht="13.5" hidden="false" customHeight="false" outlineLevel="0" collapsed="false">
      <c r="A94" s="0" t="s">
        <v>120</v>
      </c>
      <c r="B94" s="1" t="n">
        <v>43954</v>
      </c>
      <c r="C94" s="0" t="e">
        <f aca="false">#REF!</f>
        <v>#REF!</v>
      </c>
      <c r="D94" s="0" t="e">
        <f aca="false">#REF!</f>
        <v>#REF!</v>
      </c>
      <c r="E94" s="0" t="e">
        <f aca="false">#REF!</f>
        <v>#REF!</v>
      </c>
      <c r="F94" s="0" t="e">
        <f aca="false">#REF!</f>
        <v>#REF!</v>
      </c>
      <c r="G94" s="0" t="e">
        <f aca="false">#REF!</f>
        <v>#REF!</v>
      </c>
      <c r="H94" s="0" t="e">
        <f aca="false">#REF!</f>
        <v>#REF!</v>
      </c>
      <c r="I94" s="0" t="e">
        <f aca="false">#REF!</f>
        <v>#REF!</v>
      </c>
      <c r="J94" s="0" t="e">
        <f aca="false">#REF!</f>
        <v>#REF!</v>
      </c>
      <c r="K94" s="0" t="e">
        <f aca="false">#REF!</f>
        <v>#REF!</v>
      </c>
      <c r="L94" s="0" t="e">
        <f aca="false">#REF!</f>
        <v>#REF!</v>
      </c>
      <c r="M94" s="0" t="e">
        <f aca="false">#REF!</f>
        <v>#REF!</v>
      </c>
    </row>
    <row r="95" customFormat="false" ht="13.5" hidden="false" customHeight="false" outlineLevel="0" collapsed="false">
      <c r="A95" s="0" t="s">
        <v>120</v>
      </c>
      <c r="B95" s="1" t="n">
        <v>43955</v>
      </c>
      <c r="C95" s="0" t="e">
        <f aca="false">#REF!</f>
        <v>#REF!</v>
      </c>
      <c r="D95" s="0" t="e">
        <f aca="false">#REF!</f>
        <v>#REF!</v>
      </c>
      <c r="E95" s="0" t="e">
        <f aca="false">#REF!</f>
        <v>#REF!</v>
      </c>
      <c r="F95" s="0" t="e">
        <f aca="false">#REF!</f>
        <v>#REF!</v>
      </c>
      <c r="G95" s="0" t="e">
        <f aca="false">#REF!</f>
        <v>#REF!</v>
      </c>
      <c r="H95" s="0" t="e">
        <f aca="false">#REF!</f>
        <v>#REF!</v>
      </c>
      <c r="I95" s="0" t="e">
        <f aca="false">#REF!</f>
        <v>#REF!</v>
      </c>
      <c r="J95" s="0" t="e">
        <f aca="false">#REF!</f>
        <v>#REF!</v>
      </c>
      <c r="K95" s="0" t="e">
        <f aca="false">#REF!</f>
        <v>#REF!</v>
      </c>
      <c r="L95" s="0" t="e">
        <f aca="false">#REF!</f>
        <v>#REF!</v>
      </c>
      <c r="M95" s="0" t="e">
        <f aca="false">#REF!</f>
        <v>#REF!</v>
      </c>
    </row>
    <row r="96" customFormat="false" ht="13.5" hidden="false" customHeight="false" outlineLevel="0" collapsed="false">
      <c r="A96" s="0" t="s">
        <v>120</v>
      </c>
      <c r="B96" s="1" t="n">
        <v>43956</v>
      </c>
      <c r="C96" s="0" t="e">
        <f aca="false">#REF!</f>
        <v>#REF!</v>
      </c>
      <c r="D96" s="0" t="e">
        <f aca="false">#REF!</f>
        <v>#REF!</v>
      </c>
      <c r="E96" s="0" t="e">
        <f aca="false">#REF!</f>
        <v>#REF!</v>
      </c>
      <c r="F96" s="0" t="e">
        <f aca="false">#REF!</f>
        <v>#REF!</v>
      </c>
      <c r="G96" s="0" t="e">
        <f aca="false">#REF!</f>
        <v>#REF!</v>
      </c>
      <c r="H96" s="0" t="e">
        <f aca="false">#REF!</f>
        <v>#REF!</v>
      </c>
      <c r="I96" s="0" t="e">
        <f aca="false">#REF!</f>
        <v>#REF!</v>
      </c>
      <c r="J96" s="0" t="e">
        <f aca="false">#REF!</f>
        <v>#REF!</v>
      </c>
      <c r="K96" s="0" t="e">
        <f aca="false">#REF!</f>
        <v>#REF!</v>
      </c>
      <c r="L96" s="0" t="e">
        <f aca="false">#REF!</f>
        <v>#REF!</v>
      </c>
      <c r="M96" s="0" t="e">
        <f aca="false">#REF!</f>
        <v>#REF!</v>
      </c>
    </row>
    <row r="97" customFormat="false" ht="13.5" hidden="false" customHeight="false" outlineLevel="0" collapsed="false">
      <c r="A97" s="0" t="s">
        <v>120</v>
      </c>
      <c r="B97" s="1" t="n">
        <v>43957</v>
      </c>
      <c r="C97" s="0" t="e">
        <f aca="false">#REF!</f>
        <v>#REF!</v>
      </c>
      <c r="D97" s="0" t="e">
        <f aca="false">#REF!</f>
        <v>#REF!</v>
      </c>
      <c r="E97" s="0" t="e">
        <f aca="false">#REF!</f>
        <v>#REF!</v>
      </c>
      <c r="F97" s="0" t="e">
        <f aca="false">#REF!</f>
        <v>#REF!</v>
      </c>
      <c r="G97" s="0" t="e">
        <f aca="false">#REF!</f>
        <v>#REF!</v>
      </c>
      <c r="H97" s="0" t="e">
        <f aca="false">#REF!</f>
        <v>#REF!</v>
      </c>
      <c r="I97" s="0" t="e">
        <f aca="false">#REF!</f>
        <v>#REF!</v>
      </c>
      <c r="J97" s="0" t="e">
        <f aca="false">#REF!</f>
        <v>#REF!</v>
      </c>
      <c r="K97" s="0" t="e">
        <f aca="false">#REF!</f>
        <v>#REF!</v>
      </c>
      <c r="L97" s="0" t="e">
        <f aca="false">#REF!</f>
        <v>#REF!</v>
      </c>
      <c r="M97" s="0" t="e">
        <f aca="false">#REF!</f>
        <v>#REF!</v>
      </c>
    </row>
    <row r="98" customFormat="false" ht="13.5" hidden="false" customHeight="false" outlineLevel="0" collapsed="false">
      <c r="A98" s="0" t="s">
        <v>120</v>
      </c>
      <c r="B98" s="1" t="n">
        <v>43958</v>
      </c>
      <c r="C98" s="0" t="e">
        <f aca="false">#REF!</f>
        <v>#REF!</v>
      </c>
      <c r="D98" s="0" t="e">
        <f aca="false">#REF!</f>
        <v>#REF!</v>
      </c>
      <c r="E98" s="0" t="e">
        <f aca="false">#REF!</f>
        <v>#REF!</v>
      </c>
      <c r="F98" s="0" t="e">
        <f aca="false">#REF!</f>
        <v>#REF!</v>
      </c>
      <c r="G98" s="0" t="e">
        <f aca="false">#REF!</f>
        <v>#REF!</v>
      </c>
      <c r="H98" s="0" t="e">
        <f aca="false">#REF!</f>
        <v>#REF!</v>
      </c>
      <c r="I98" s="0" t="e">
        <f aca="false">#REF!</f>
        <v>#REF!</v>
      </c>
      <c r="J98" s="0" t="e">
        <f aca="false">#REF!</f>
        <v>#REF!</v>
      </c>
      <c r="K98" s="0" t="e">
        <f aca="false">#REF!</f>
        <v>#REF!</v>
      </c>
      <c r="L98" s="0" t="e">
        <f aca="false">#REF!</f>
        <v>#REF!</v>
      </c>
      <c r="M98" s="0" t="e">
        <f aca="false">#REF!</f>
        <v>#REF!</v>
      </c>
    </row>
    <row r="99" customFormat="false" ht="13.5" hidden="false" customHeight="false" outlineLevel="0" collapsed="false">
      <c r="A99" s="0" t="s">
        <v>120</v>
      </c>
      <c r="B99" s="1" t="n">
        <v>43959</v>
      </c>
      <c r="C99" s="0" t="e">
        <f aca="false">#REF!</f>
        <v>#REF!</v>
      </c>
      <c r="D99" s="0" t="e">
        <f aca="false">#REF!</f>
        <v>#REF!</v>
      </c>
      <c r="E99" s="0" t="e">
        <f aca="false">#REF!</f>
        <v>#REF!</v>
      </c>
      <c r="F99" s="0" t="e">
        <f aca="false">#REF!</f>
        <v>#REF!</v>
      </c>
      <c r="G99" s="0" t="e">
        <f aca="false">#REF!</f>
        <v>#REF!</v>
      </c>
      <c r="H99" s="0" t="e">
        <f aca="false">#REF!</f>
        <v>#REF!</v>
      </c>
      <c r="I99" s="0" t="e">
        <f aca="false">#REF!</f>
        <v>#REF!</v>
      </c>
      <c r="J99" s="0" t="e">
        <f aca="false">#REF!</f>
        <v>#REF!</v>
      </c>
      <c r="K99" s="0" t="e">
        <f aca="false">#REF!</f>
        <v>#REF!</v>
      </c>
      <c r="L99" s="0" t="e">
        <f aca="false">#REF!</f>
        <v>#REF!</v>
      </c>
      <c r="M99" s="0" t="e">
        <f aca="false">#REF!</f>
        <v>#REF!</v>
      </c>
    </row>
    <row r="100" customFormat="false" ht="13.5" hidden="false" customHeight="false" outlineLevel="0" collapsed="false">
      <c r="A100" s="0" t="s">
        <v>120</v>
      </c>
      <c r="B100" s="1" t="n">
        <v>43960</v>
      </c>
      <c r="C100" s="0" t="e">
        <f aca="false">#REF!</f>
        <v>#REF!</v>
      </c>
      <c r="D100" s="0" t="e">
        <f aca="false">#REF!</f>
        <v>#REF!</v>
      </c>
      <c r="E100" s="0" t="e">
        <f aca="false">#REF!</f>
        <v>#REF!</v>
      </c>
      <c r="F100" s="0" t="e">
        <f aca="false">#REF!</f>
        <v>#REF!</v>
      </c>
      <c r="G100" s="0" t="e">
        <f aca="false">#REF!</f>
        <v>#REF!</v>
      </c>
      <c r="H100" s="0" t="e">
        <f aca="false">#REF!</f>
        <v>#REF!</v>
      </c>
      <c r="I100" s="0" t="e">
        <f aca="false">#REF!</f>
        <v>#REF!</v>
      </c>
      <c r="J100" s="0" t="e">
        <f aca="false">#REF!</f>
        <v>#REF!</v>
      </c>
      <c r="K100" s="0" t="e">
        <f aca="false">#REF!</f>
        <v>#REF!</v>
      </c>
      <c r="L100" s="0" t="e">
        <f aca="false">#REF!</f>
        <v>#REF!</v>
      </c>
      <c r="M100" s="0" t="e">
        <f aca="false">#REF!</f>
        <v>#REF!</v>
      </c>
    </row>
    <row r="101" customFormat="false" ht="13.5" hidden="false" customHeight="false" outlineLevel="0" collapsed="false">
      <c r="A101" s="0" t="s">
        <v>120</v>
      </c>
      <c r="B101" s="1" t="n">
        <v>43961</v>
      </c>
      <c r="C101" s="0" t="e">
        <f aca="false">#REF!</f>
        <v>#REF!</v>
      </c>
      <c r="D101" s="0" t="e">
        <f aca="false">#REF!</f>
        <v>#REF!</v>
      </c>
      <c r="E101" s="0" t="e">
        <f aca="false">#REF!</f>
        <v>#REF!</v>
      </c>
      <c r="F101" s="0" t="e">
        <f aca="false">#REF!</f>
        <v>#REF!</v>
      </c>
      <c r="G101" s="0" t="e">
        <f aca="false">#REF!</f>
        <v>#REF!</v>
      </c>
      <c r="H101" s="0" t="e">
        <f aca="false">#REF!</f>
        <v>#REF!</v>
      </c>
      <c r="I101" s="0" t="e">
        <f aca="false">#REF!</f>
        <v>#REF!</v>
      </c>
      <c r="J101" s="0" t="e">
        <f aca="false">#REF!</f>
        <v>#REF!</v>
      </c>
      <c r="K101" s="0" t="e">
        <f aca="false">#REF!</f>
        <v>#REF!</v>
      </c>
      <c r="L101" s="0" t="e">
        <f aca="false">#REF!</f>
        <v>#REF!</v>
      </c>
      <c r="M101" s="0" t="e">
        <f aca="false">#REF!</f>
        <v>#REF!</v>
      </c>
    </row>
    <row r="102" customFormat="false" ht="13.5" hidden="false" customHeight="false" outlineLevel="0" collapsed="false">
      <c r="A102" s="0" t="s">
        <v>120</v>
      </c>
      <c r="B102" s="1" t="n">
        <v>43962</v>
      </c>
      <c r="C102" s="0" t="e">
        <f aca="false">#REF!</f>
        <v>#REF!</v>
      </c>
      <c r="D102" s="0" t="e">
        <f aca="false">#REF!</f>
        <v>#REF!</v>
      </c>
      <c r="E102" s="0" t="e">
        <f aca="false">#REF!</f>
        <v>#REF!</v>
      </c>
      <c r="F102" s="0" t="e">
        <f aca="false">#REF!</f>
        <v>#REF!</v>
      </c>
      <c r="G102" s="0" t="e">
        <f aca="false">#REF!</f>
        <v>#REF!</v>
      </c>
      <c r="H102" s="0" t="e">
        <f aca="false">#REF!</f>
        <v>#REF!</v>
      </c>
      <c r="I102" s="0" t="e">
        <f aca="false">#REF!</f>
        <v>#REF!</v>
      </c>
      <c r="J102" s="0" t="e">
        <f aca="false">#REF!</f>
        <v>#REF!</v>
      </c>
      <c r="K102" s="0" t="e">
        <f aca="false">#REF!</f>
        <v>#REF!</v>
      </c>
      <c r="L102" s="0" t="e">
        <f aca="false">#REF!</f>
        <v>#REF!</v>
      </c>
      <c r="M102" s="0" t="e">
        <f aca="false">#REF!</f>
        <v>#REF!</v>
      </c>
    </row>
    <row r="103" customFormat="false" ht="13.5" hidden="false" customHeight="false" outlineLevel="0" collapsed="false">
      <c r="A103" s="0" t="s">
        <v>120</v>
      </c>
      <c r="B103" s="1" t="n">
        <v>43963</v>
      </c>
      <c r="C103" s="0" t="e">
        <f aca="false">#REF!</f>
        <v>#REF!</v>
      </c>
      <c r="D103" s="0" t="e">
        <f aca="false">#REF!</f>
        <v>#REF!</v>
      </c>
      <c r="E103" s="0" t="e">
        <f aca="false">#REF!</f>
        <v>#REF!</v>
      </c>
      <c r="F103" s="0" t="e">
        <f aca="false">#REF!</f>
        <v>#REF!</v>
      </c>
      <c r="G103" s="0" t="e">
        <f aca="false">#REF!</f>
        <v>#REF!</v>
      </c>
      <c r="H103" s="0" t="e">
        <f aca="false">#REF!</f>
        <v>#REF!</v>
      </c>
      <c r="I103" s="0" t="e">
        <f aca="false">#REF!</f>
        <v>#REF!</v>
      </c>
      <c r="J103" s="0" t="e">
        <f aca="false">#REF!</f>
        <v>#REF!</v>
      </c>
      <c r="K103" s="0" t="e">
        <f aca="false">#REF!</f>
        <v>#REF!</v>
      </c>
      <c r="L103" s="0" t="e">
        <f aca="false">#REF!</f>
        <v>#REF!</v>
      </c>
      <c r="M103" s="0" t="e">
        <f aca="false">#REF!</f>
        <v>#REF!</v>
      </c>
    </row>
    <row r="104" customFormat="false" ht="13.5" hidden="false" customHeight="false" outlineLevel="0" collapsed="false">
      <c r="A104" s="0" t="s">
        <v>120</v>
      </c>
      <c r="B104" s="1" t="n">
        <v>43964</v>
      </c>
      <c r="C104" s="0" t="e">
        <f aca="false">#REF!</f>
        <v>#REF!</v>
      </c>
      <c r="D104" s="0" t="e">
        <f aca="false">#REF!</f>
        <v>#REF!</v>
      </c>
      <c r="E104" s="0" t="e">
        <f aca="false">#REF!</f>
        <v>#REF!</v>
      </c>
      <c r="F104" s="0" t="e">
        <f aca="false">#REF!</f>
        <v>#REF!</v>
      </c>
      <c r="G104" s="0" t="e">
        <f aca="false">#REF!</f>
        <v>#REF!</v>
      </c>
      <c r="H104" s="0" t="e">
        <f aca="false">#REF!</f>
        <v>#REF!</v>
      </c>
      <c r="I104" s="0" t="e">
        <f aca="false">#REF!</f>
        <v>#REF!</v>
      </c>
      <c r="J104" s="0" t="e">
        <f aca="false">#REF!</f>
        <v>#REF!</v>
      </c>
      <c r="K104" s="0" t="e">
        <f aca="false">#REF!</f>
        <v>#REF!</v>
      </c>
      <c r="L104" s="0" t="e">
        <f aca="false">#REF!</f>
        <v>#REF!</v>
      </c>
      <c r="M104" s="0" t="e">
        <f aca="false">#REF!</f>
        <v>#REF!</v>
      </c>
    </row>
    <row r="105" customFormat="false" ht="13.5" hidden="false" customHeight="false" outlineLevel="0" collapsed="false">
      <c r="A105" s="0" t="s">
        <v>120</v>
      </c>
      <c r="B105" s="1" t="n">
        <v>43965</v>
      </c>
      <c r="C105" s="0" t="e">
        <f aca="false">#REF!</f>
        <v>#REF!</v>
      </c>
      <c r="D105" s="0" t="e">
        <f aca="false">#REF!</f>
        <v>#REF!</v>
      </c>
      <c r="E105" s="0" t="e">
        <f aca="false">#REF!</f>
        <v>#REF!</v>
      </c>
      <c r="F105" s="0" t="e">
        <f aca="false">#REF!</f>
        <v>#REF!</v>
      </c>
      <c r="G105" s="0" t="e">
        <f aca="false">#REF!</f>
        <v>#REF!</v>
      </c>
      <c r="H105" s="0" t="e">
        <f aca="false">#REF!</f>
        <v>#REF!</v>
      </c>
      <c r="I105" s="0" t="e">
        <f aca="false">#REF!</f>
        <v>#REF!</v>
      </c>
      <c r="J105" s="0" t="e">
        <f aca="false">#REF!</f>
        <v>#REF!</v>
      </c>
      <c r="K105" s="0" t="e">
        <f aca="false">#REF!</f>
        <v>#REF!</v>
      </c>
      <c r="L105" s="0" t="e">
        <f aca="false">#REF!</f>
        <v>#REF!</v>
      </c>
      <c r="M105" s="0" t="e">
        <f aca="false">#REF!</f>
        <v>#REF!</v>
      </c>
    </row>
    <row r="106" customFormat="false" ht="13.5" hidden="false" customHeight="false" outlineLevel="0" collapsed="false">
      <c r="A106" s="0" t="s">
        <v>120</v>
      </c>
      <c r="B106" s="1" t="n">
        <v>43966</v>
      </c>
      <c r="C106" s="0" t="e">
        <f aca="false">#REF!</f>
        <v>#REF!</v>
      </c>
      <c r="D106" s="0" t="e">
        <f aca="false">#REF!</f>
        <v>#REF!</v>
      </c>
      <c r="E106" s="0" t="e">
        <f aca="false">#REF!</f>
        <v>#REF!</v>
      </c>
      <c r="F106" s="0" t="e">
        <f aca="false">#REF!</f>
        <v>#REF!</v>
      </c>
      <c r="G106" s="0" t="e">
        <f aca="false">#REF!</f>
        <v>#REF!</v>
      </c>
      <c r="H106" s="0" t="e">
        <f aca="false">#REF!</f>
        <v>#REF!</v>
      </c>
      <c r="I106" s="0" t="e">
        <f aca="false">#REF!</f>
        <v>#REF!</v>
      </c>
      <c r="J106" s="0" t="e">
        <f aca="false">#REF!</f>
        <v>#REF!</v>
      </c>
      <c r="K106" s="0" t="e">
        <f aca="false">#REF!</f>
        <v>#REF!</v>
      </c>
      <c r="L106" s="0" t="e">
        <f aca="false">#REF!</f>
        <v>#REF!</v>
      </c>
      <c r="M106" s="0" t="e">
        <f aca="false">#REF!</f>
        <v>#REF!</v>
      </c>
    </row>
    <row r="107" customFormat="false" ht="13.5" hidden="false" customHeight="false" outlineLevel="0" collapsed="false">
      <c r="A107" s="0" t="s">
        <v>120</v>
      </c>
      <c r="B107" s="1" t="n">
        <v>43967</v>
      </c>
      <c r="C107" s="0" t="e">
        <f aca="false">#REF!</f>
        <v>#REF!</v>
      </c>
      <c r="D107" s="0" t="e">
        <f aca="false">#REF!</f>
        <v>#REF!</v>
      </c>
      <c r="E107" s="0" t="e">
        <f aca="false">#REF!</f>
        <v>#REF!</v>
      </c>
      <c r="F107" s="0" t="e">
        <f aca="false">#REF!</f>
        <v>#REF!</v>
      </c>
      <c r="G107" s="0" t="e">
        <f aca="false">#REF!</f>
        <v>#REF!</v>
      </c>
      <c r="H107" s="0" t="e">
        <f aca="false">#REF!</f>
        <v>#REF!</v>
      </c>
      <c r="I107" s="0" t="e">
        <f aca="false">#REF!</f>
        <v>#REF!</v>
      </c>
      <c r="J107" s="0" t="e">
        <f aca="false">#REF!</f>
        <v>#REF!</v>
      </c>
      <c r="K107" s="0" t="e">
        <f aca="false">#REF!</f>
        <v>#REF!</v>
      </c>
      <c r="L107" s="0" t="e">
        <f aca="false">#REF!</f>
        <v>#REF!</v>
      </c>
      <c r="M107" s="0" t="e">
        <f aca="false">#REF!</f>
        <v>#REF!</v>
      </c>
    </row>
    <row r="108" customFormat="false" ht="13.5" hidden="false" customHeight="false" outlineLevel="0" collapsed="false">
      <c r="A108" s="0" t="s">
        <v>120</v>
      </c>
      <c r="B108" s="1" t="n">
        <v>43968</v>
      </c>
      <c r="C108" s="0" t="e">
        <f aca="false">#REF!</f>
        <v>#REF!</v>
      </c>
      <c r="D108" s="0" t="e">
        <f aca="false">#REF!</f>
        <v>#REF!</v>
      </c>
      <c r="E108" s="0" t="e">
        <f aca="false">#REF!</f>
        <v>#REF!</v>
      </c>
      <c r="F108" s="0" t="e">
        <f aca="false">#REF!</f>
        <v>#REF!</v>
      </c>
      <c r="G108" s="0" t="e">
        <f aca="false">#REF!</f>
        <v>#REF!</v>
      </c>
      <c r="H108" s="0" t="e">
        <f aca="false">#REF!</f>
        <v>#REF!</v>
      </c>
      <c r="I108" s="0" t="e">
        <f aca="false">#REF!</f>
        <v>#REF!</v>
      </c>
      <c r="J108" s="0" t="e">
        <f aca="false">#REF!</f>
        <v>#REF!</v>
      </c>
      <c r="K108" s="0" t="e">
        <f aca="false">#REF!</f>
        <v>#REF!</v>
      </c>
      <c r="L108" s="0" t="e">
        <f aca="false">#REF!</f>
        <v>#REF!</v>
      </c>
      <c r="M108" s="0" t="e">
        <f aca="false">#REF!</f>
        <v>#REF!</v>
      </c>
    </row>
    <row r="109" customFormat="false" ht="13.5" hidden="false" customHeight="false" outlineLevel="0" collapsed="false">
      <c r="A109" s="0" t="s">
        <v>120</v>
      </c>
      <c r="B109" s="1" t="n">
        <v>43969</v>
      </c>
      <c r="C109" s="0" t="e">
        <f aca="false">#REF!</f>
        <v>#REF!</v>
      </c>
      <c r="D109" s="0" t="e">
        <f aca="false">#REF!</f>
        <v>#REF!</v>
      </c>
      <c r="E109" s="0" t="e">
        <f aca="false">#REF!</f>
        <v>#REF!</v>
      </c>
      <c r="F109" s="0" t="e">
        <f aca="false">#REF!</f>
        <v>#REF!</v>
      </c>
      <c r="G109" s="0" t="e">
        <f aca="false">#REF!</f>
        <v>#REF!</v>
      </c>
      <c r="H109" s="0" t="e">
        <f aca="false">#REF!</f>
        <v>#REF!</v>
      </c>
      <c r="I109" s="0" t="e">
        <f aca="false">#REF!</f>
        <v>#REF!</v>
      </c>
      <c r="J109" s="0" t="e">
        <f aca="false">#REF!</f>
        <v>#REF!</v>
      </c>
      <c r="K109" s="0" t="e">
        <f aca="false">#REF!</f>
        <v>#REF!</v>
      </c>
      <c r="L109" s="0" t="e">
        <f aca="false">#REF!</f>
        <v>#REF!</v>
      </c>
      <c r="M109" s="0" t="e">
        <f aca="false">#REF!</f>
        <v>#REF!</v>
      </c>
    </row>
    <row r="110" customFormat="false" ht="13.5" hidden="false" customHeight="false" outlineLevel="0" collapsed="false">
      <c r="A110" s="0" t="s">
        <v>120</v>
      </c>
      <c r="B110" s="1" t="n">
        <v>43970</v>
      </c>
      <c r="C110" s="0" t="e">
        <f aca="false">#REF!</f>
        <v>#REF!</v>
      </c>
      <c r="D110" s="0" t="e">
        <f aca="false">#REF!</f>
        <v>#REF!</v>
      </c>
      <c r="E110" s="0" t="e">
        <f aca="false">#REF!</f>
        <v>#REF!</v>
      </c>
      <c r="F110" s="0" t="e">
        <f aca="false">#REF!</f>
        <v>#REF!</v>
      </c>
      <c r="G110" s="0" t="e">
        <f aca="false">#REF!</f>
        <v>#REF!</v>
      </c>
      <c r="H110" s="0" t="e">
        <f aca="false">#REF!</f>
        <v>#REF!</v>
      </c>
      <c r="I110" s="0" t="e">
        <f aca="false">#REF!</f>
        <v>#REF!</v>
      </c>
      <c r="J110" s="0" t="e">
        <f aca="false">#REF!</f>
        <v>#REF!</v>
      </c>
      <c r="K110" s="0" t="e">
        <f aca="false">#REF!</f>
        <v>#REF!</v>
      </c>
      <c r="L110" s="0" t="e">
        <f aca="false">#REF!</f>
        <v>#REF!</v>
      </c>
      <c r="M110" s="0" t="e">
        <f aca="false">#REF!</f>
        <v>#REF!</v>
      </c>
    </row>
    <row r="111" customFormat="false" ht="13.5" hidden="false" customHeight="false" outlineLevel="0" collapsed="false">
      <c r="A111" s="0" t="s">
        <v>120</v>
      </c>
      <c r="B111" s="1" t="n">
        <v>43971</v>
      </c>
      <c r="C111" s="0" t="e">
        <f aca="false">#REF!</f>
        <v>#REF!</v>
      </c>
      <c r="D111" s="0" t="e">
        <f aca="false">#REF!</f>
        <v>#REF!</v>
      </c>
      <c r="E111" s="0" t="e">
        <f aca="false">#REF!</f>
        <v>#REF!</v>
      </c>
      <c r="F111" s="0" t="e">
        <f aca="false">#REF!</f>
        <v>#REF!</v>
      </c>
      <c r="G111" s="0" t="e">
        <f aca="false">#REF!</f>
        <v>#REF!</v>
      </c>
      <c r="H111" s="0" t="e">
        <f aca="false">#REF!</f>
        <v>#REF!</v>
      </c>
      <c r="I111" s="0" t="e">
        <f aca="false">#REF!</f>
        <v>#REF!</v>
      </c>
      <c r="J111" s="0" t="e">
        <f aca="false">#REF!</f>
        <v>#REF!</v>
      </c>
      <c r="K111" s="0" t="e">
        <f aca="false">#REF!</f>
        <v>#REF!</v>
      </c>
      <c r="L111" s="0" t="e">
        <f aca="false">#REF!</f>
        <v>#REF!</v>
      </c>
      <c r="M111" s="0" t="e">
        <f aca="false">#REF!</f>
        <v>#REF!</v>
      </c>
    </row>
    <row r="112" customFormat="false" ht="13.5" hidden="false" customHeight="false" outlineLevel="0" collapsed="false">
      <c r="A112" s="0" t="s">
        <v>120</v>
      </c>
      <c r="B112" s="1" t="n">
        <v>43972</v>
      </c>
      <c r="C112" s="0" t="e">
        <f aca="false">#REF!</f>
        <v>#REF!</v>
      </c>
      <c r="D112" s="0" t="e">
        <f aca="false">#REF!</f>
        <v>#REF!</v>
      </c>
      <c r="E112" s="0" t="e">
        <f aca="false">#REF!</f>
        <v>#REF!</v>
      </c>
      <c r="F112" s="0" t="e">
        <f aca="false">#REF!</f>
        <v>#REF!</v>
      </c>
      <c r="G112" s="0" t="e">
        <f aca="false">#REF!</f>
        <v>#REF!</v>
      </c>
      <c r="H112" s="0" t="e">
        <f aca="false">#REF!</f>
        <v>#REF!</v>
      </c>
      <c r="I112" s="0" t="e">
        <f aca="false">#REF!</f>
        <v>#REF!</v>
      </c>
      <c r="J112" s="0" t="e">
        <f aca="false">#REF!</f>
        <v>#REF!</v>
      </c>
      <c r="K112" s="0" t="e">
        <f aca="false">#REF!</f>
        <v>#REF!</v>
      </c>
      <c r="L112" s="0" t="e">
        <f aca="false">#REF!</f>
        <v>#REF!</v>
      </c>
      <c r="M112" s="0" t="e">
        <f aca="false">#REF!</f>
        <v>#REF!</v>
      </c>
    </row>
    <row r="113" customFormat="false" ht="13.5" hidden="false" customHeight="false" outlineLevel="0" collapsed="false">
      <c r="A113" s="0" t="s">
        <v>120</v>
      </c>
      <c r="B113" s="1" t="n">
        <v>43973</v>
      </c>
      <c r="C113" s="0" t="e">
        <f aca="false">#REF!</f>
        <v>#REF!</v>
      </c>
      <c r="D113" s="0" t="e">
        <f aca="false">#REF!</f>
        <v>#REF!</v>
      </c>
      <c r="E113" s="0" t="e">
        <f aca="false">#REF!</f>
        <v>#REF!</v>
      </c>
      <c r="F113" s="0" t="e">
        <f aca="false">#REF!</f>
        <v>#REF!</v>
      </c>
      <c r="G113" s="0" t="e">
        <f aca="false">#REF!</f>
        <v>#REF!</v>
      </c>
      <c r="H113" s="0" t="e">
        <f aca="false">#REF!</f>
        <v>#REF!</v>
      </c>
      <c r="I113" s="0" t="e">
        <f aca="false">#REF!</f>
        <v>#REF!</v>
      </c>
      <c r="J113" s="0" t="e">
        <f aca="false">#REF!</f>
        <v>#REF!</v>
      </c>
      <c r="K113" s="0" t="e">
        <f aca="false">#REF!</f>
        <v>#REF!</v>
      </c>
      <c r="L113" s="0" t="e">
        <f aca="false">#REF!</f>
        <v>#REF!</v>
      </c>
      <c r="M113" s="0" t="e">
        <f aca="false">#REF!</f>
        <v>#REF!</v>
      </c>
    </row>
    <row r="114" customFormat="false" ht="13.5" hidden="false" customHeight="false" outlineLevel="0" collapsed="false">
      <c r="A114" s="0" t="s">
        <v>120</v>
      </c>
      <c r="B114" s="1" t="n">
        <v>43974</v>
      </c>
      <c r="C114" s="0" t="e">
        <f aca="false">#REF!</f>
        <v>#REF!</v>
      </c>
      <c r="D114" s="0" t="e">
        <f aca="false">#REF!</f>
        <v>#REF!</v>
      </c>
      <c r="E114" s="0" t="e">
        <f aca="false">#REF!</f>
        <v>#REF!</v>
      </c>
      <c r="F114" s="0" t="e">
        <f aca="false">#REF!</f>
        <v>#REF!</v>
      </c>
      <c r="G114" s="0" t="e">
        <f aca="false">#REF!</f>
        <v>#REF!</v>
      </c>
      <c r="H114" s="0" t="e">
        <f aca="false">#REF!</f>
        <v>#REF!</v>
      </c>
      <c r="I114" s="0" t="e">
        <f aca="false">#REF!</f>
        <v>#REF!</v>
      </c>
      <c r="J114" s="0" t="e">
        <f aca="false">#REF!</f>
        <v>#REF!</v>
      </c>
      <c r="K114" s="0" t="e">
        <f aca="false">#REF!</f>
        <v>#REF!</v>
      </c>
      <c r="L114" s="0" t="e">
        <f aca="false">#REF!</f>
        <v>#REF!</v>
      </c>
      <c r="M114" s="0" t="e">
        <f aca="false">#REF!</f>
        <v>#REF!</v>
      </c>
    </row>
    <row r="115" customFormat="false" ht="13.5" hidden="false" customHeight="false" outlineLevel="0" collapsed="false">
      <c r="A115" s="0" t="s">
        <v>120</v>
      </c>
      <c r="B115" s="1" t="n">
        <v>43975</v>
      </c>
      <c r="C115" s="0" t="e">
        <f aca="false">#REF!</f>
        <v>#REF!</v>
      </c>
      <c r="D115" s="0" t="e">
        <f aca="false">#REF!</f>
        <v>#REF!</v>
      </c>
      <c r="E115" s="0" t="e">
        <f aca="false">#REF!</f>
        <v>#REF!</v>
      </c>
      <c r="F115" s="0" t="e">
        <f aca="false">#REF!</f>
        <v>#REF!</v>
      </c>
      <c r="G115" s="0" t="e">
        <f aca="false">#REF!</f>
        <v>#REF!</v>
      </c>
      <c r="H115" s="0" t="e">
        <f aca="false">#REF!</f>
        <v>#REF!</v>
      </c>
      <c r="I115" s="0" t="e">
        <f aca="false">#REF!</f>
        <v>#REF!</v>
      </c>
      <c r="J115" s="0" t="e">
        <f aca="false">#REF!</f>
        <v>#REF!</v>
      </c>
      <c r="K115" s="0" t="e">
        <f aca="false">#REF!</f>
        <v>#REF!</v>
      </c>
      <c r="L115" s="0" t="e">
        <f aca="false">#REF!</f>
        <v>#REF!</v>
      </c>
      <c r="M115" s="0" t="e">
        <f aca="false">#REF!</f>
        <v>#REF!</v>
      </c>
    </row>
    <row r="116" customFormat="false" ht="13.5" hidden="false" customHeight="false" outlineLevel="0" collapsed="false">
      <c r="A116" s="0" t="s">
        <v>120</v>
      </c>
      <c r="B116" s="1" t="n">
        <v>43976</v>
      </c>
      <c r="C116" s="0" t="e">
        <f aca="false">#REF!</f>
        <v>#REF!</v>
      </c>
      <c r="D116" s="0" t="e">
        <f aca="false">#REF!</f>
        <v>#REF!</v>
      </c>
      <c r="E116" s="0" t="e">
        <f aca="false">#REF!</f>
        <v>#REF!</v>
      </c>
      <c r="F116" s="0" t="e">
        <f aca="false">#REF!</f>
        <v>#REF!</v>
      </c>
      <c r="G116" s="0" t="e">
        <f aca="false">#REF!</f>
        <v>#REF!</v>
      </c>
      <c r="H116" s="0" t="e">
        <f aca="false">#REF!</f>
        <v>#REF!</v>
      </c>
      <c r="I116" s="0" t="e">
        <f aca="false">#REF!</f>
        <v>#REF!</v>
      </c>
      <c r="J116" s="0" t="e">
        <f aca="false">#REF!</f>
        <v>#REF!</v>
      </c>
      <c r="K116" s="0" t="e">
        <f aca="false">#REF!</f>
        <v>#REF!</v>
      </c>
      <c r="L116" s="0" t="e">
        <f aca="false">#REF!</f>
        <v>#REF!</v>
      </c>
      <c r="M116" s="0" t="e">
        <f aca="false">#REF!</f>
        <v>#REF!</v>
      </c>
    </row>
    <row r="117" customFormat="false" ht="13.5" hidden="false" customHeight="false" outlineLevel="0" collapsed="false">
      <c r="A117" s="0" t="s">
        <v>120</v>
      </c>
      <c r="B117" s="1" t="n">
        <v>43977</v>
      </c>
      <c r="C117" s="0" t="e">
        <f aca="false">#REF!</f>
        <v>#REF!</v>
      </c>
      <c r="D117" s="0" t="e">
        <f aca="false">#REF!</f>
        <v>#REF!</v>
      </c>
      <c r="E117" s="0" t="e">
        <f aca="false">#REF!</f>
        <v>#REF!</v>
      </c>
      <c r="F117" s="0" t="e">
        <f aca="false">#REF!</f>
        <v>#REF!</v>
      </c>
      <c r="G117" s="0" t="e">
        <f aca="false">#REF!</f>
        <v>#REF!</v>
      </c>
      <c r="H117" s="0" t="e">
        <f aca="false">#REF!</f>
        <v>#REF!</v>
      </c>
      <c r="I117" s="0" t="e">
        <f aca="false">#REF!</f>
        <v>#REF!</v>
      </c>
      <c r="J117" s="0" t="e">
        <f aca="false">#REF!</f>
        <v>#REF!</v>
      </c>
      <c r="K117" s="0" t="e">
        <f aca="false">#REF!</f>
        <v>#REF!</v>
      </c>
      <c r="L117" s="0" t="e">
        <f aca="false">#REF!</f>
        <v>#REF!</v>
      </c>
      <c r="M117" s="0" t="e">
        <f aca="false">#REF!</f>
        <v>#REF!</v>
      </c>
    </row>
    <row r="118" customFormat="false" ht="13.5" hidden="false" customHeight="false" outlineLevel="0" collapsed="false">
      <c r="A118" s="0" t="s">
        <v>120</v>
      </c>
      <c r="B118" s="1" t="n">
        <v>43978</v>
      </c>
      <c r="C118" s="0" t="e">
        <f aca="false">#REF!</f>
        <v>#REF!</v>
      </c>
      <c r="D118" s="0" t="e">
        <f aca="false">#REF!</f>
        <v>#REF!</v>
      </c>
      <c r="E118" s="0" t="e">
        <f aca="false">#REF!</f>
        <v>#REF!</v>
      </c>
      <c r="F118" s="0" t="e">
        <f aca="false">#REF!</f>
        <v>#REF!</v>
      </c>
      <c r="G118" s="0" t="e">
        <f aca="false">#REF!</f>
        <v>#REF!</v>
      </c>
      <c r="H118" s="0" t="e">
        <f aca="false">#REF!</f>
        <v>#REF!</v>
      </c>
      <c r="I118" s="0" t="e">
        <f aca="false">#REF!</f>
        <v>#REF!</v>
      </c>
      <c r="J118" s="0" t="e">
        <f aca="false">#REF!</f>
        <v>#REF!</v>
      </c>
      <c r="K118" s="0" t="e">
        <f aca="false">#REF!</f>
        <v>#REF!</v>
      </c>
      <c r="L118" s="0" t="e">
        <f aca="false">#REF!</f>
        <v>#REF!</v>
      </c>
      <c r="M118" s="0" t="e">
        <f aca="false">#REF!</f>
        <v>#REF!</v>
      </c>
    </row>
    <row r="119" customFormat="false" ht="13.5" hidden="false" customHeight="false" outlineLevel="0" collapsed="false">
      <c r="A119" s="0" t="s">
        <v>120</v>
      </c>
      <c r="B119" s="1" t="n">
        <v>43979</v>
      </c>
      <c r="C119" s="0" t="e">
        <f aca="false">#REF!</f>
        <v>#REF!</v>
      </c>
      <c r="D119" s="0" t="e">
        <f aca="false">#REF!</f>
        <v>#REF!</v>
      </c>
      <c r="E119" s="0" t="e">
        <f aca="false">#REF!</f>
        <v>#REF!</v>
      </c>
      <c r="F119" s="0" t="e">
        <f aca="false">#REF!</f>
        <v>#REF!</v>
      </c>
      <c r="G119" s="0" t="e">
        <f aca="false">#REF!</f>
        <v>#REF!</v>
      </c>
      <c r="H119" s="0" t="e">
        <f aca="false">#REF!</f>
        <v>#REF!</v>
      </c>
      <c r="I119" s="0" t="e">
        <f aca="false">#REF!</f>
        <v>#REF!</v>
      </c>
      <c r="J119" s="0" t="e">
        <f aca="false">#REF!</f>
        <v>#REF!</v>
      </c>
      <c r="K119" s="0" t="e">
        <f aca="false">#REF!</f>
        <v>#REF!</v>
      </c>
      <c r="L119" s="0" t="e">
        <f aca="false">#REF!</f>
        <v>#REF!</v>
      </c>
      <c r="M119" s="0" t="e">
        <f aca="false">#REF!</f>
        <v>#REF!</v>
      </c>
    </row>
    <row r="120" customFormat="false" ht="13.5" hidden="false" customHeight="false" outlineLevel="0" collapsed="false">
      <c r="A120" s="0" t="s">
        <v>120</v>
      </c>
      <c r="B120" s="1" t="n">
        <v>43980</v>
      </c>
      <c r="C120" s="0" t="e">
        <f aca="false">#REF!</f>
        <v>#REF!</v>
      </c>
      <c r="D120" s="0" t="e">
        <f aca="false">#REF!</f>
        <v>#REF!</v>
      </c>
      <c r="E120" s="0" t="e">
        <f aca="false">#REF!</f>
        <v>#REF!</v>
      </c>
      <c r="F120" s="0" t="e">
        <f aca="false">#REF!</f>
        <v>#REF!</v>
      </c>
      <c r="G120" s="0" t="e">
        <f aca="false">#REF!</f>
        <v>#REF!</v>
      </c>
      <c r="H120" s="0" t="e">
        <f aca="false">#REF!</f>
        <v>#REF!</v>
      </c>
      <c r="I120" s="0" t="e">
        <f aca="false">#REF!</f>
        <v>#REF!</v>
      </c>
      <c r="J120" s="0" t="e">
        <f aca="false">#REF!</f>
        <v>#REF!</v>
      </c>
      <c r="K120" s="0" t="e">
        <f aca="false">#REF!</f>
        <v>#REF!</v>
      </c>
      <c r="L120" s="0" t="e">
        <f aca="false">#REF!</f>
        <v>#REF!</v>
      </c>
      <c r="M120" s="0" t="e">
        <f aca="false">#REF!</f>
        <v>#REF!</v>
      </c>
    </row>
    <row r="121" customFormat="false" ht="13.5" hidden="false" customHeight="false" outlineLevel="0" collapsed="false">
      <c r="A121" s="0" t="s">
        <v>120</v>
      </c>
      <c r="B121" s="1" t="n">
        <v>43981</v>
      </c>
      <c r="C121" s="0" t="e">
        <f aca="false">#REF!</f>
        <v>#REF!</v>
      </c>
      <c r="D121" s="0" t="e">
        <f aca="false">#REF!</f>
        <v>#REF!</v>
      </c>
      <c r="E121" s="0" t="e">
        <f aca="false">#REF!</f>
        <v>#REF!</v>
      </c>
      <c r="F121" s="0" t="e">
        <f aca="false">#REF!</f>
        <v>#REF!</v>
      </c>
      <c r="G121" s="0" t="e">
        <f aca="false">#REF!</f>
        <v>#REF!</v>
      </c>
      <c r="H121" s="0" t="e">
        <f aca="false">#REF!</f>
        <v>#REF!</v>
      </c>
      <c r="I121" s="0" t="e">
        <f aca="false">#REF!</f>
        <v>#REF!</v>
      </c>
      <c r="J121" s="0" t="e">
        <f aca="false">#REF!</f>
        <v>#REF!</v>
      </c>
      <c r="K121" s="0" t="e">
        <f aca="false">#REF!</f>
        <v>#REF!</v>
      </c>
      <c r="L121" s="0" t="e">
        <f aca="false">#REF!</f>
        <v>#REF!</v>
      </c>
      <c r="M121" s="0" t="e">
        <f aca="false">#REF!</f>
        <v>#REF!</v>
      </c>
    </row>
    <row r="122" customFormat="false" ht="13.5" hidden="false" customHeight="false" outlineLevel="0" collapsed="false">
      <c r="A122" s="0" t="s">
        <v>120</v>
      </c>
      <c r="B122" s="1" t="n">
        <v>43982</v>
      </c>
      <c r="C122" s="0" t="e">
        <f aca="false">#REF!</f>
        <v>#REF!</v>
      </c>
      <c r="D122" s="0" t="e">
        <f aca="false">#REF!</f>
        <v>#REF!</v>
      </c>
      <c r="E122" s="0" t="e">
        <f aca="false">#REF!</f>
        <v>#REF!</v>
      </c>
      <c r="F122" s="0" t="e">
        <f aca="false">#REF!</f>
        <v>#REF!</v>
      </c>
      <c r="G122" s="0" t="e">
        <f aca="false">#REF!</f>
        <v>#REF!</v>
      </c>
      <c r="H122" s="0" t="e">
        <f aca="false">#REF!</f>
        <v>#REF!</v>
      </c>
      <c r="I122" s="0" t="e">
        <f aca="false">#REF!</f>
        <v>#REF!</v>
      </c>
      <c r="J122" s="0" t="e">
        <f aca="false">#REF!</f>
        <v>#REF!</v>
      </c>
      <c r="K122" s="0" t="e">
        <f aca="false">#REF!</f>
        <v>#REF!</v>
      </c>
      <c r="L122" s="0" t="e">
        <f aca="false">#REF!</f>
        <v>#REF!</v>
      </c>
      <c r="M122" s="0" t="e">
        <f aca="false">#REF!</f>
        <v>#REF!</v>
      </c>
    </row>
    <row r="123" customFormat="false" ht="13.5" hidden="false" customHeight="false" outlineLevel="0" collapsed="false">
      <c r="A123" s="0" t="s">
        <v>120</v>
      </c>
      <c r="B123" s="1" t="n">
        <v>43983</v>
      </c>
      <c r="C123" s="0" t="e">
        <f aca="false">#REF!</f>
        <v>#REF!</v>
      </c>
      <c r="D123" s="0" t="e">
        <f aca="false">#REF!</f>
        <v>#REF!</v>
      </c>
      <c r="E123" s="0" t="e">
        <f aca="false">#REF!</f>
        <v>#REF!</v>
      </c>
      <c r="F123" s="0" t="e">
        <f aca="false">#REF!</f>
        <v>#REF!</v>
      </c>
      <c r="G123" s="0" t="e">
        <f aca="false">#REF!</f>
        <v>#REF!</v>
      </c>
      <c r="H123" s="0" t="e">
        <f aca="false">#REF!</f>
        <v>#REF!</v>
      </c>
      <c r="I123" s="0" t="e">
        <f aca="false">#REF!</f>
        <v>#REF!</v>
      </c>
      <c r="J123" s="0" t="e">
        <f aca="false">#REF!</f>
        <v>#REF!</v>
      </c>
      <c r="K123" s="0" t="e">
        <f aca="false">#REF!</f>
        <v>#REF!</v>
      </c>
      <c r="L123" s="0" t="e">
        <f aca="false">#REF!</f>
        <v>#REF!</v>
      </c>
      <c r="M123" s="0" t="e">
        <f aca="false">#REF!</f>
        <v>#REF!</v>
      </c>
    </row>
    <row r="124" customFormat="false" ht="13.5" hidden="false" customHeight="false" outlineLevel="0" collapsed="false">
      <c r="A124" s="0" t="s">
        <v>120</v>
      </c>
      <c r="B124" s="1" t="n">
        <v>43984</v>
      </c>
      <c r="C124" s="0" t="e">
        <f aca="false">#REF!</f>
        <v>#REF!</v>
      </c>
      <c r="D124" s="0" t="e">
        <f aca="false">#REF!</f>
        <v>#REF!</v>
      </c>
      <c r="E124" s="0" t="e">
        <f aca="false">#REF!</f>
        <v>#REF!</v>
      </c>
      <c r="F124" s="0" t="e">
        <f aca="false">#REF!</f>
        <v>#REF!</v>
      </c>
      <c r="G124" s="0" t="e">
        <f aca="false">#REF!</f>
        <v>#REF!</v>
      </c>
      <c r="H124" s="0" t="e">
        <f aca="false">#REF!</f>
        <v>#REF!</v>
      </c>
      <c r="I124" s="0" t="e">
        <f aca="false">#REF!</f>
        <v>#REF!</v>
      </c>
      <c r="J124" s="0" t="e">
        <f aca="false">#REF!</f>
        <v>#REF!</v>
      </c>
      <c r="K124" s="0" t="e">
        <f aca="false">#REF!</f>
        <v>#REF!</v>
      </c>
      <c r="L124" s="0" t="e">
        <f aca="false">#REF!</f>
        <v>#REF!</v>
      </c>
      <c r="M124" s="0" t="e">
        <f aca="false">#REF!</f>
        <v>#REF!</v>
      </c>
    </row>
    <row r="125" customFormat="false" ht="13.5" hidden="false" customHeight="false" outlineLevel="0" collapsed="false">
      <c r="A125" s="0" t="s">
        <v>120</v>
      </c>
      <c r="B125" s="1" t="n">
        <v>43985</v>
      </c>
      <c r="C125" s="0" t="e">
        <f aca="false">#REF!</f>
        <v>#REF!</v>
      </c>
      <c r="D125" s="0" t="e">
        <f aca="false">#REF!</f>
        <v>#REF!</v>
      </c>
      <c r="E125" s="0" t="e">
        <f aca="false">#REF!</f>
        <v>#REF!</v>
      </c>
      <c r="F125" s="0" t="e">
        <f aca="false">#REF!</f>
        <v>#REF!</v>
      </c>
      <c r="G125" s="0" t="e">
        <f aca="false">#REF!</f>
        <v>#REF!</v>
      </c>
      <c r="H125" s="0" t="e">
        <f aca="false">#REF!</f>
        <v>#REF!</v>
      </c>
      <c r="I125" s="0" t="e">
        <f aca="false">#REF!</f>
        <v>#REF!</v>
      </c>
      <c r="J125" s="0" t="e">
        <f aca="false">#REF!</f>
        <v>#REF!</v>
      </c>
      <c r="K125" s="0" t="e">
        <f aca="false">#REF!</f>
        <v>#REF!</v>
      </c>
      <c r="L125" s="0" t="e">
        <f aca="false">#REF!</f>
        <v>#REF!</v>
      </c>
      <c r="M125" s="0" t="e">
        <f aca="false">#REF!</f>
        <v>#REF!</v>
      </c>
    </row>
    <row r="126" customFormat="false" ht="13.5" hidden="false" customHeight="false" outlineLevel="0" collapsed="false">
      <c r="A126" s="0" t="s">
        <v>120</v>
      </c>
      <c r="B126" s="1" t="n">
        <v>43986</v>
      </c>
      <c r="C126" s="0" t="e">
        <f aca="false">#REF!</f>
        <v>#REF!</v>
      </c>
      <c r="D126" s="0" t="e">
        <f aca="false">#REF!</f>
        <v>#REF!</v>
      </c>
      <c r="E126" s="0" t="e">
        <f aca="false">#REF!</f>
        <v>#REF!</v>
      </c>
      <c r="F126" s="0" t="e">
        <f aca="false">#REF!</f>
        <v>#REF!</v>
      </c>
      <c r="G126" s="0" t="e">
        <f aca="false">#REF!</f>
        <v>#REF!</v>
      </c>
      <c r="H126" s="0" t="e">
        <f aca="false">#REF!</f>
        <v>#REF!</v>
      </c>
      <c r="I126" s="0" t="e">
        <f aca="false">#REF!</f>
        <v>#REF!</v>
      </c>
      <c r="J126" s="0" t="e">
        <f aca="false">#REF!</f>
        <v>#REF!</v>
      </c>
      <c r="K126" s="0" t="e">
        <f aca="false">#REF!</f>
        <v>#REF!</v>
      </c>
      <c r="L126" s="0" t="e">
        <f aca="false">#REF!</f>
        <v>#REF!</v>
      </c>
      <c r="M126" s="0" t="e">
        <f aca="false">#REF!</f>
        <v>#REF!</v>
      </c>
    </row>
    <row r="127" customFormat="false" ht="13.5" hidden="false" customHeight="false" outlineLevel="0" collapsed="false">
      <c r="A127" s="0" t="s">
        <v>120</v>
      </c>
      <c r="B127" s="1" t="n">
        <v>43987</v>
      </c>
      <c r="C127" s="0" t="e">
        <f aca="false">#REF!</f>
        <v>#REF!</v>
      </c>
      <c r="D127" s="0" t="e">
        <f aca="false">#REF!</f>
        <v>#REF!</v>
      </c>
      <c r="E127" s="0" t="e">
        <f aca="false">#REF!</f>
        <v>#REF!</v>
      </c>
      <c r="F127" s="0" t="e">
        <f aca="false">#REF!</f>
        <v>#REF!</v>
      </c>
      <c r="G127" s="0" t="e">
        <f aca="false">#REF!</f>
        <v>#REF!</v>
      </c>
      <c r="H127" s="0" t="e">
        <f aca="false">#REF!</f>
        <v>#REF!</v>
      </c>
      <c r="I127" s="0" t="e">
        <f aca="false">#REF!</f>
        <v>#REF!</v>
      </c>
      <c r="J127" s="0" t="e">
        <f aca="false">#REF!</f>
        <v>#REF!</v>
      </c>
      <c r="K127" s="0" t="e">
        <f aca="false">#REF!</f>
        <v>#REF!</v>
      </c>
      <c r="L127" s="0" t="e">
        <f aca="false">#REF!</f>
        <v>#REF!</v>
      </c>
      <c r="M127" s="0" t="e">
        <f aca="false">#REF!</f>
        <v>#REF!</v>
      </c>
    </row>
    <row r="128" customFormat="false" ht="13.5" hidden="false" customHeight="false" outlineLevel="0" collapsed="false">
      <c r="A128" s="0" t="s">
        <v>120</v>
      </c>
      <c r="B128" s="1" t="n">
        <v>43988</v>
      </c>
      <c r="C128" s="0" t="e">
        <f aca="false">#REF!</f>
        <v>#REF!</v>
      </c>
      <c r="D128" s="0" t="e">
        <f aca="false">#REF!</f>
        <v>#REF!</v>
      </c>
      <c r="E128" s="0" t="e">
        <f aca="false">#REF!</f>
        <v>#REF!</v>
      </c>
      <c r="F128" s="0" t="e">
        <f aca="false">#REF!</f>
        <v>#REF!</v>
      </c>
      <c r="G128" s="0" t="e">
        <f aca="false">#REF!</f>
        <v>#REF!</v>
      </c>
      <c r="H128" s="0" t="e">
        <f aca="false">#REF!</f>
        <v>#REF!</v>
      </c>
      <c r="I128" s="0" t="e">
        <f aca="false">#REF!</f>
        <v>#REF!</v>
      </c>
      <c r="J128" s="0" t="e">
        <f aca="false">#REF!</f>
        <v>#REF!</v>
      </c>
      <c r="K128" s="0" t="e">
        <f aca="false">#REF!</f>
        <v>#REF!</v>
      </c>
      <c r="L128" s="0" t="e">
        <f aca="false">#REF!</f>
        <v>#REF!</v>
      </c>
      <c r="M128" s="0" t="e">
        <f aca="false">#REF!</f>
        <v>#REF!</v>
      </c>
    </row>
    <row r="129" customFormat="false" ht="13.5" hidden="false" customHeight="false" outlineLevel="0" collapsed="false">
      <c r="A129" s="0" t="s">
        <v>120</v>
      </c>
      <c r="B129" s="1" t="n">
        <v>43989</v>
      </c>
      <c r="C129" s="0" t="e">
        <f aca="false">#REF!</f>
        <v>#REF!</v>
      </c>
      <c r="D129" s="0" t="e">
        <f aca="false">#REF!</f>
        <v>#REF!</v>
      </c>
      <c r="E129" s="0" t="e">
        <f aca="false">#REF!</f>
        <v>#REF!</v>
      </c>
      <c r="F129" s="0" t="e">
        <f aca="false">#REF!</f>
        <v>#REF!</v>
      </c>
      <c r="G129" s="0" t="e">
        <f aca="false">#REF!</f>
        <v>#REF!</v>
      </c>
      <c r="H129" s="0" t="e">
        <f aca="false">#REF!</f>
        <v>#REF!</v>
      </c>
      <c r="I129" s="0" t="e">
        <f aca="false">#REF!</f>
        <v>#REF!</v>
      </c>
      <c r="J129" s="0" t="e">
        <f aca="false">#REF!</f>
        <v>#REF!</v>
      </c>
      <c r="K129" s="0" t="e">
        <f aca="false">#REF!</f>
        <v>#REF!</v>
      </c>
      <c r="L129" s="0" t="e">
        <f aca="false">#REF!</f>
        <v>#REF!</v>
      </c>
      <c r="M129" s="0" t="e">
        <f aca="false">#REF!</f>
        <v>#REF!</v>
      </c>
    </row>
    <row r="130" customFormat="false" ht="13.5" hidden="false" customHeight="false" outlineLevel="0" collapsed="false">
      <c r="A130" s="0" t="s">
        <v>120</v>
      </c>
      <c r="B130" s="1" t="n">
        <v>43990</v>
      </c>
      <c r="C130" s="0" t="e">
        <f aca="false">#REF!</f>
        <v>#REF!</v>
      </c>
      <c r="D130" s="0" t="e">
        <f aca="false">#REF!</f>
        <v>#REF!</v>
      </c>
      <c r="E130" s="0" t="e">
        <f aca="false">#REF!</f>
        <v>#REF!</v>
      </c>
      <c r="F130" s="0" t="e">
        <f aca="false">#REF!</f>
        <v>#REF!</v>
      </c>
      <c r="G130" s="0" t="e">
        <f aca="false">#REF!</f>
        <v>#REF!</v>
      </c>
      <c r="H130" s="0" t="e">
        <f aca="false">#REF!</f>
        <v>#REF!</v>
      </c>
      <c r="I130" s="0" t="e">
        <f aca="false">#REF!</f>
        <v>#REF!</v>
      </c>
      <c r="J130" s="0" t="e">
        <f aca="false">#REF!</f>
        <v>#REF!</v>
      </c>
      <c r="K130" s="0" t="e">
        <f aca="false">#REF!</f>
        <v>#REF!</v>
      </c>
      <c r="L130" s="0" t="e">
        <f aca="false">#REF!</f>
        <v>#REF!</v>
      </c>
      <c r="M130" s="0" t="e">
        <f aca="false">#REF!</f>
        <v>#REF!</v>
      </c>
    </row>
    <row r="131" customFormat="false" ht="13.5" hidden="false" customHeight="false" outlineLevel="0" collapsed="false">
      <c r="A131" s="0" t="s">
        <v>120</v>
      </c>
      <c r="B131" s="1" t="n">
        <v>43991</v>
      </c>
      <c r="C131" s="0" t="e">
        <f aca="false">#REF!</f>
        <v>#REF!</v>
      </c>
      <c r="D131" s="0" t="e">
        <f aca="false">#REF!</f>
        <v>#REF!</v>
      </c>
      <c r="E131" s="0" t="e">
        <f aca="false">#REF!</f>
        <v>#REF!</v>
      </c>
      <c r="F131" s="0" t="e">
        <f aca="false">#REF!</f>
        <v>#REF!</v>
      </c>
      <c r="G131" s="0" t="e">
        <f aca="false">#REF!</f>
        <v>#REF!</v>
      </c>
      <c r="H131" s="0" t="e">
        <f aca="false">#REF!</f>
        <v>#REF!</v>
      </c>
      <c r="I131" s="0" t="e">
        <f aca="false">#REF!</f>
        <v>#REF!</v>
      </c>
      <c r="J131" s="0" t="e">
        <f aca="false">#REF!</f>
        <v>#REF!</v>
      </c>
      <c r="K131" s="0" t="e">
        <f aca="false">#REF!</f>
        <v>#REF!</v>
      </c>
      <c r="L131" s="0" t="e">
        <f aca="false">#REF!</f>
        <v>#REF!</v>
      </c>
      <c r="M131" s="0" t="e">
        <f aca="false">#REF!</f>
        <v>#REF!</v>
      </c>
    </row>
    <row r="132" customFormat="false" ht="13.5" hidden="false" customHeight="false" outlineLevel="0" collapsed="false">
      <c r="A132" s="0" t="s">
        <v>120</v>
      </c>
      <c r="B132" s="1" t="n">
        <v>43992</v>
      </c>
      <c r="C132" s="0" t="e">
        <f aca="false">#REF!</f>
        <v>#REF!</v>
      </c>
      <c r="D132" s="0" t="e">
        <f aca="false">#REF!</f>
        <v>#REF!</v>
      </c>
      <c r="E132" s="0" t="e">
        <f aca="false">#REF!</f>
        <v>#REF!</v>
      </c>
      <c r="F132" s="0" t="e">
        <f aca="false">#REF!</f>
        <v>#REF!</v>
      </c>
      <c r="G132" s="0" t="e">
        <f aca="false">#REF!</f>
        <v>#REF!</v>
      </c>
      <c r="H132" s="0" t="e">
        <f aca="false">#REF!</f>
        <v>#REF!</v>
      </c>
      <c r="I132" s="0" t="e">
        <f aca="false">#REF!</f>
        <v>#REF!</v>
      </c>
      <c r="J132" s="0" t="e">
        <f aca="false">#REF!</f>
        <v>#REF!</v>
      </c>
      <c r="K132" s="0" t="e">
        <f aca="false">#REF!</f>
        <v>#REF!</v>
      </c>
      <c r="L132" s="0" t="e">
        <f aca="false">#REF!</f>
        <v>#REF!</v>
      </c>
      <c r="M132" s="0" t="e">
        <f aca="false">#REF!</f>
        <v>#REF!</v>
      </c>
    </row>
    <row r="133" customFormat="false" ht="13.5" hidden="false" customHeight="false" outlineLevel="0" collapsed="false">
      <c r="A133" s="0" t="s">
        <v>120</v>
      </c>
      <c r="B133" s="1" t="n">
        <v>43993</v>
      </c>
      <c r="C133" s="0" t="e">
        <f aca="false">#REF!</f>
        <v>#REF!</v>
      </c>
      <c r="D133" s="0" t="e">
        <f aca="false">#REF!</f>
        <v>#REF!</v>
      </c>
      <c r="E133" s="0" t="e">
        <f aca="false">#REF!</f>
        <v>#REF!</v>
      </c>
      <c r="F133" s="0" t="e">
        <f aca="false">#REF!</f>
        <v>#REF!</v>
      </c>
      <c r="G133" s="0" t="e">
        <f aca="false">#REF!</f>
        <v>#REF!</v>
      </c>
      <c r="H133" s="0" t="e">
        <f aca="false">#REF!</f>
        <v>#REF!</v>
      </c>
      <c r="I133" s="0" t="e">
        <f aca="false">#REF!</f>
        <v>#REF!</v>
      </c>
      <c r="J133" s="0" t="e">
        <f aca="false">#REF!</f>
        <v>#REF!</v>
      </c>
      <c r="K133" s="0" t="e">
        <f aca="false">#REF!</f>
        <v>#REF!</v>
      </c>
      <c r="L133" s="0" t="e">
        <f aca="false">#REF!</f>
        <v>#REF!</v>
      </c>
      <c r="M133" s="0" t="e">
        <f aca="false">#REF!</f>
        <v>#REF!</v>
      </c>
    </row>
    <row r="134" customFormat="false" ht="13.5" hidden="false" customHeight="false" outlineLevel="0" collapsed="false">
      <c r="A134" s="0" t="s">
        <v>120</v>
      </c>
      <c r="B134" s="1" t="n">
        <v>43994</v>
      </c>
      <c r="C134" s="0" t="e">
        <f aca="false">#REF!</f>
        <v>#REF!</v>
      </c>
      <c r="D134" s="0" t="e">
        <f aca="false">#REF!</f>
        <v>#REF!</v>
      </c>
      <c r="E134" s="0" t="e">
        <f aca="false">#REF!</f>
        <v>#REF!</v>
      </c>
      <c r="F134" s="0" t="e">
        <f aca="false">#REF!</f>
        <v>#REF!</v>
      </c>
      <c r="G134" s="0" t="e">
        <f aca="false">#REF!</f>
        <v>#REF!</v>
      </c>
      <c r="H134" s="0" t="e">
        <f aca="false">#REF!</f>
        <v>#REF!</v>
      </c>
      <c r="I134" s="0" t="e">
        <f aca="false">#REF!</f>
        <v>#REF!</v>
      </c>
      <c r="J134" s="0" t="e">
        <f aca="false">#REF!</f>
        <v>#REF!</v>
      </c>
      <c r="K134" s="0" t="e">
        <f aca="false">#REF!</f>
        <v>#REF!</v>
      </c>
      <c r="L134" s="0" t="e">
        <f aca="false">#REF!</f>
        <v>#REF!</v>
      </c>
      <c r="M134" s="0" t="e">
        <f aca="false">#REF!</f>
        <v>#REF!</v>
      </c>
    </row>
    <row r="135" customFormat="false" ht="13.5" hidden="false" customHeight="false" outlineLevel="0" collapsed="false">
      <c r="A135" s="0" t="s">
        <v>120</v>
      </c>
      <c r="B135" s="1" t="n">
        <v>43995</v>
      </c>
      <c r="C135" s="0" t="e">
        <f aca="false">#REF!</f>
        <v>#REF!</v>
      </c>
      <c r="D135" s="0" t="e">
        <f aca="false">#REF!</f>
        <v>#REF!</v>
      </c>
      <c r="E135" s="0" t="e">
        <f aca="false">#REF!</f>
        <v>#REF!</v>
      </c>
      <c r="F135" s="0" t="e">
        <f aca="false">#REF!</f>
        <v>#REF!</v>
      </c>
      <c r="G135" s="0" t="e">
        <f aca="false">#REF!</f>
        <v>#REF!</v>
      </c>
      <c r="H135" s="0" t="e">
        <f aca="false">#REF!</f>
        <v>#REF!</v>
      </c>
      <c r="I135" s="0" t="e">
        <f aca="false">#REF!</f>
        <v>#REF!</v>
      </c>
      <c r="J135" s="0" t="e">
        <f aca="false">#REF!</f>
        <v>#REF!</v>
      </c>
      <c r="K135" s="0" t="e">
        <f aca="false">#REF!</f>
        <v>#REF!</v>
      </c>
      <c r="L135" s="0" t="e">
        <f aca="false">#REF!</f>
        <v>#REF!</v>
      </c>
      <c r="M135" s="0" t="e">
        <f aca="false">#REF!</f>
        <v>#REF!</v>
      </c>
    </row>
    <row r="136" customFormat="false" ht="13.5" hidden="false" customHeight="false" outlineLevel="0" collapsed="false">
      <c r="A136" s="0" t="s">
        <v>120</v>
      </c>
      <c r="B136" s="1" t="n">
        <v>43996</v>
      </c>
      <c r="C136" s="0" t="e">
        <f aca="false">#REF!</f>
        <v>#REF!</v>
      </c>
      <c r="D136" s="0" t="e">
        <f aca="false">#REF!</f>
        <v>#REF!</v>
      </c>
      <c r="E136" s="0" t="e">
        <f aca="false">#REF!</f>
        <v>#REF!</v>
      </c>
      <c r="F136" s="0" t="e">
        <f aca="false">#REF!</f>
        <v>#REF!</v>
      </c>
      <c r="G136" s="0" t="e">
        <f aca="false">#REF!</f>
        <v>#REF!</v>
      </c>
      <c r="H136" s="0" t="e">
        <f aca="false">#REF!</f>
        <v>#REF!</v>
      </c>
      <c r="I136" s="0" t="e">
        <f aca="false">#REF!</f>
        <v>#REF!</v>
      </c>
      <c r="J136" s="0" t="e">
        <f aca="false">#REF!</f>
        <v>#REF!</v>
      </c>
      <c r="K136" s="0" t="e">
        <f aca="false">#REF!</f>
        <v>#REF!</v>
      </c>
      <c r="L136" s="0" t="e">
        <f aca="false">#REF!</f>
        <v>#REF!</v>
      </c>
      <c r="M136" s="0" t="e">
        <f aca="false">#REF!</f>
        <v>#REF!</v>
      </c>
    </row>
    <row r="137" customFormat="false" ht="13.5" hidden="false" customHeight="false" outlineLevel="0" collapsed="false">
      <c r="A137" s="0" t="s">
        <v>120</v>
      </c>
      <c r="B137" s="1" t="n">
        <v>43997</v>
      </c>
      <c r="C137" s="0" t="e">
        <f aca="false">#REF!</f>
        <v>#REF!</v>
      </c>
      <c r="D137" s="0" t="e">
        <f aca="false">#REF!</f>
        <v>#REF!</v>
      </c>
      <c r="E137" s="0" t="e">
        <f aca="false">#REF!</f>
        <v>#REF!</v>
      </c>
      <c r="F137" s="0" t="e">
        <f aca="false">#REF!</f>
        <v>#REF!</v>
      </c>
      <c r="G137" s="0" t="e">
        <f aca="false">#REF!</f>
        <v>#REF!</v>
      </c>
      <c r="H137" s="0" t="e">
        <f aca="false">#REF!</f>
        <v>#REF!</v>
      </c>
      <c r="I137" s="0" t="e">
        <f aca="false">#REF!</f>
        <v>#REF!</v>
      </c>
      <c r="J137" s="0" t="e">
        <f aca="false">#REF!</f>
        <v>#REF!</v>
      </c>
      <c r="K137" s="0" t="e">
        <f aca="false">#REF!</f>
        <v>#REF!</v>
      </c>
      <c r="L137" s="0" t="e">
        <f aca="false">#REF!</f>
        <v>#REF!</v>
      </c>
      <c r="M137" s="0" t="e">
        <f aca="false">#REF!</f>
        <v>#REF!</v>
      </c>
    </row>
    <row r="138" customFormat="false" ht="13.5" hidden="false" customHeight="false" outlineLevel="0" collapsed="false">
      <c r="A138" s="0" t="s">
        <v>120</v>
      </c>
      <c r="B138" s="1" t="n">
        <v>43998</v>
      </c>
      <c r="C138" s="0" t="e">
        <f aca="false">#REF!</f>
        <v>#REF!</v>
      </c>
      <c r="D138" s="0" t="e">
        <f aca="false">#REF!</f>
        <v>#REF!</v>
      </c>
      <c r="E138" s="0" t="e">
        <f aca="false">#REF!</f>
        <v>#REF!</v>
      </c>
      <c r="F138" s="0" t="e">
        <f aca="false">#REF!</f>
        <v>#REF!</v>
      </c>
      <c r="G138" s="0" t="e">
        <f aca="false">#REF!</f>
        <v>#REF!</v>
      </c>
      <c r="H138" s="0" t="e">
        <f aca="false">#REF!</f>
        <v>#REF!</v>
      </c>
      <c r="I138" s="0" t="e">
        <f aca="false">#REF!</f>
        <v>#REF!</v>
      </c>
      <c r="J138" s="0" t="e">
        <f aca="false">#REF!</f>
        <v>#REF!</v>
      </c>
      <c r="K138" s="0" t="e">
        <f aca="false">#REF!</f>
        <v>#REF!</v>
      </c>
      <c r="L138" s="0" t="e">
        <f aca="false">#REF!</f>
        <v>#REF!</v>
      </c>
      <c r="M138" s="0" t="e">
        <f aca="false">#REF!</f>
        <v>#REF!</v>
      </c>
    </row>
    <row r="139" customFormat="false" ht="13.5" hidden="false" customHeight="false" outlineLevel="0" collapsed="false">
      <c r="A139" s="0" t="s">
        <v>120</v>
      </c>
      <c r="B139" s="1" t="n">
        <v>43999</v>
      </c>
      <c r="C139" s="0" t="e">
        <f aca="false">#REF!</f>
        <v>#REF!</v>
      </c>
      <c r="D139" s="0" t="e">
        <f aca="false">#REF!</f>
        <v>#REF!</v>
      </c>
      <c r="E139" s="0" t="e">
        <f aca="false">#REF!</f>
        <v>#REF!</v>
      </c>
      <c r="F139" s="0" t="e">
        <f aca="false">#REF!</f>
        <v>#REF!</v>
      </c>
      <c r="G139" s="0" t="e">
        <f aca="false">#REF!</f>
        <v>#REF!</v>
      </c>
      <c r="H139" s="0" t="e">
        <f aca="false">#REF!</f>
        <v>#REF!</v>
      </c>
      <c r="I139" s="0" t="e">
        <f aca="false">#REF!</f>
        <v>#REF!</v>
      </c>
      <c r="J139" s="0" t="e">
        <f aca="false">#REF!</f>
        <v>#REF!</v>
      </c>
      <c r="K139" s="0" t="e">
        <f aca="false">#REF!</f>
        <v>#REF!</v>
      </c>
      <c r="L139" s="0" t="e">
        <f aca="false">#REF!</f>
        <v>#REF!</v>
      </c>
      <c r="M139" s="0" t="e">
        <f aca="false">#REF!</f>
        <v>#REF!</v>
      </c>
    </row>
    <row r="140" customFormat="false" ht="13.5" hidden="false" customHeight="false" outlineLevel="0" collapsed="false">
      <c r="A140" s="0" t="s">
        <v>120</v>
      </c>
      <c r="B140" s="1" t="n">
        <v>44000</v>
      </c>
      <c r="C140" s="0" t="e">
        <f aca="false">#REF!</f>
        <v>#REF!</v>
      </c>
      <c r="D140" s="0" t="e">
        <f aca="false">#REF!</f>
        <v>#REF!</v>
      </c>
      <c r="E140" s="0" t="e">
        <f aca="false">#REF!</f>
        <v>#REF!</v>
      </c>
      <c r="F140" s="0" t="e">
        <f aca="false">#REF!</f>
        <v>#REF!</v>
      </c>
      <c r="G140" s="0" t="e">
        <f aca="false">#REF!</f>
        <v>#REF!</v>
      </c>
      <c r="H140" s="0" t="e">
        <f aca="false">#REF!</f>
        <v>#REF!</v>
      </c>
      <c r="I140" s="0" t="e">
        <f aca="false">#REF!</f>
        <v>#REF!</v>
      </c>
      <c r="J140" s="0" t="e">
        <f aca="false">#REF!</f>
        <v>#REF!</v>
      </c>
      <c r="K140" s="0" t="e">
        <f aca="false">#REF!</f>
        <v>#REF!</v>
      </c>
      <c r="L140" s="0" t="e">
        <f aca="false">#REF!</f>
        <v>#REF!</v>
      </c>
      <c r="M140" s="0" t="e">
        <f aca="false">#REF!</f>
        <v>#REF!</v>
      </c>
    </row>
    <row r="141" customFormat="false" ht="13.5" hidden="false" customHeight="false" outlineLevel="0" collapsed="false">
      <c r="A141" s="0" t="s">
        <v>120</v>
      </c>
      <c r="B141" s="1" t="n">
        <v>44001</v>
      </c>
      <c r="C141" s="0" t="e">
        <f aca="false">#REF!</f>
        <v>#REF!</v>
      </c>
      <c r="D141" s="0" t="e">
        <f aca="false">#REF!</f>
        <v>#REF!</v>
      </c>
      <c r="E141" s="0" t="e">
        <f aca="false">#REF!</f>
        <v>#REF!</v>
      </c>
      <c r="F141" s="0" t="e">
        <f aca="false">#REF!</f>
        <v>#REF!</v>
      </c>
      <c r="G141" s="0" t="e">
        <f aca="false">#REF!</f>
        <v>#REF!</v>
      </c>
      <c r="H141" s="0" t="e">
        <f aca="false">#REF!</f>
        <v>#REF!</v>
      </c>
      <c r="I141" s="0" t="e">
        <f aca="false">#REF!</f>
        <v>#REF!</v>
      </c>
      <c r="J141" s="0" t="e">
        <f aca="false">#REF!</f>
        <v>#REF!</v>
      </c>
      <c r="K141" s="0" t="e">
        <f aca="false">#REF!</f>
        <v>#REF!</v>
      </c>
      <c r="L141" s="0" t="e">
        <f aca="false">#REF!</f>
        <v>#REF!</v>
      </c>
      <c r="M141" s="0" t="e">
        <f aca="false">#REF!</f>
        <v>#REF!</v>
      </c>
    </row>
    <row r="142" customFormat="false" ht="13.5" hidden="false" customHeight="false" outlineLevel="0" collapsed="false">
      <c r="A142" s="0" t="s">
        <v>120</v>
      </c>
      <c r="B142" s="1" t="n">
        <v>44002</v>
      </c>
      <c r="C142" s="0" t="e">
        <f aca="false">#REF!</f>
        <v>#REF!</v>
      </c>
      <c r="D142" s="0" t="e">
        <f aca="false">#REF!</f>
        <v>#REF!</v>
      </c>
      <c r="E142" s="0" t="e">
        <f aca="false">#REF!</f>
        <v>#REF!</v>
      </c>
      <c r="F142" s="0" t="e">
        <f aca="false">#REF!</f>
        <v>#REF!</v>
      </c>
      <c r="G142" s="0" t="e">
        <f aca="false">#REF!</f>
        <v>#REF!</v>
      </c>
      <c r="H142" s="0" t="e">
        <f aca="false">#REF!</f>
        <v>#REF!</v>
      </c>
      <c r="I142" s="0" t="e">
        <f aca="false">#REF!</f>
        <v>#REF!</v>
      </c>
      <c r="J142" s="0" t="e">
        <f aca="false">#REF!</f>
        <v>#REF!</v>
      </c>
      <c r="K142" s="0" t="e">
        <f aca="false">#REF!</f>
        <v>#REF!</v>
      </c>
      <c r="L142" s="0" t="e">
        <f aca="false">#REF!</f>
        <v>#REF!</v>
      </c>
      <c r="M142" s="0" t="e">
        <f aca="false">#REF!</f>
        <v>#REF!</v>
      </c>
    </row>
    <row r="143" customFormat="false" ht="13.5" hidden="false" customHeight="false" outlineLevel="0" collapsed="false">
      <c r="A143" s="0" t="s">
        <v>120</v>
      </c>
      <c r="B143" s="1" t="n">
        <v>44003</v>
      </c>
      <c r="C143" s="0" t="e">
        <f aca="false">#REF!</f>
        <v>#REF!</v>
      </c>
      <c r="D143" s="0" t="e">
        <f aca="false">#REF!</f>
        <v>#REF!</v>
      </c>
      <c r="E143" s="0" t="e">
        <f aca="false">#REF!</f>
        <v>#REF!</v>
      </c>
      <c r="F143" s="0" t="e">
        <f aca="false">#REF!</f>
        <v>#REF!</v>
      </c>
      <c r="G143" s="0" t="e">
        <f aca="false">#REF!</f>
        <v>#REF!</v>
      </c>
      <c r="H143" s="0" t="e">
        <f aca="false">#REF!</f>
        <v>#REF!</v>
      </c>
      <c r="I143" s="0" t="e">
        <f aca="false">#REF!</f>
        <v>#REF!</v>
      </c>
      <c r="J143" s="0" t="e">
        <f aca="false">#REF!</f>
        <v>#REF!</v>
      </c>
      <c r="K143" s="0" t="e">
        <f aca="false">#REF!</f>
        <v>#REF!</v>
      </c>
      <c r="L143" s="0" t="e">
        <f aca="false">#REF!</f>
        <v>#REF!</v>
      </c>
      <c r="M143" s="0" t="e">
        <f aca="false">#REF!</f>
        <v>#REF!</v>
      </c>
    </row>
    <row r="144" customFormat="false" ht="13.5" hidden="false" customHeight="false" outlineLevel="0" collapsed="false">
      <c r="A144" s="0" t="s">
        <v>120</v>
      </c>
      <c r="B144" s="1" t="n">
        <v>44004</v>
      </c>
      <c r="C144" s="0" t="e">
        <f aca="false">#REF!</f>
        <v>#REF!</v>
      </c>
      <c r="D144" s="0" t="e">
        <f aca="false">#REF!</f>
        <v>#REF!</v>
      </c>
      <c r="E144" s="0" t="e">
        <f aca="false">#REF!</f>
        <v>#REF!</v>
      </c>
      <c r="F144" s="0" t="e">
        <f aca="false">#REF!</f>
        <v>#REF!</v>
      </c>
      <c r="G144" s="0" t="e">
        <f aca="false">#REF!</f>
        <v>#REF!</v>
      </c>
      <c r="H144" s="0" t="e">
        <f aca="false">#REF!</f>
        <v>#REF!</v>
      </c>
      <c r="I144" s="0" t="e">
        <f aca="false">#REF!</f>
        <v>#REF!</v>
      </c>
      <c r="J144" s="0" t="e">
        <f aca="false">#REF!</f>
        <v>#REF!</v>
      </c>
      <c r="K144" s="0" t="e">
        <f aca="false">#REF!</f>
        <v>#REF!</v>
      </c>
      <c r="L144" s="0" t="e">
        <f aca="false">#REF!</f>
        <v>#REF!</v>
      </c>
      <c r="M144" s="0" t="e">
        <f aca="false">#REF!</f>
        <v>#REF!</v>
      </c>
    </row>
    <row r="145" customFormat="false" ht="13.5" hidden="false" customHeight="false" outlineLevel="0" collapsed="false">
      <c r="A145" s="0" t="s">
        <v>120</v>
      </c>
      <c r="B145" s="1" t="n">
        <v>44005</v>
      </c>
      <c r="C145" s="0" t="e">
        <f aca="false">#REF!</f>
        <v>#REF!</v>
      </c>
      <c r="D145" s="0" t="e">
        <f aca="false">#REF!</f>
        <v>#REF!</v>
      </c>
      <c r="E145" s="0" t="e">
        <f aca="false">#REF!</f>
        <v>#REF!</v>
      </c>
      <c r="F145" s="0" t="e">
        <f aca="false">#REF!</f>
        <v>#REF!</v>
      </c>
      <c r="G145" s="0" t="e">
        <f aca="false">#REF!</f>
        <v>#REF!</v>
      </c>
      <c r="H145" s="0" t="e">
        <f aca="false">#REF!</f>
        <v>#REF!</v>
      </c>
      <c r="I145" s="0" t="e">
        <f aca="false">#REF!</f>
        <v>#REF!</v>
      </c>
      <c r="J145" s="0" t="e">
        <f aca="false">#REF!</f>
        <v>#REF!</v>
      </c>
      <c r="K145" s="0" t="e">
        <f aca="false">#REF!</f>
        <v>#REF!</v>
      </c>
      <c r="L145" s="0" t="e">
        <f aca="false">#REF!</f>
        <v>#REF!</v>
      </c>
      <c r="M145" s="0" t="e">
        <f aca="false">#REF!</f>
        <v>#REF!</v>
      </c>
    </row>
    <row r="146" customFormat="false" ht="13.5" hidden="false" customHeight="false" outlineLevel="0" collapsed="false">
      <c r="A146" s="0" t="s">
        <v>120</v>
      </c>
      <c r="B146" s="1" t="n">
        <v>44006</v>
      </c>
      <c r="C146" s="0" t="e">
        <f aca="false">#REF!</f>
        <v>#REF!</v>
      </c>
      <c r="D146" s="0" t="e">
        <f aca="false">#REF!</f>
        <v>#REF!</v>
      </c>
      <c r="E146" s="0" t="e">
        <f aca="false">#REF!</f>
        <v>#REF!</v>
      </c>
      <c r="F146" s="0" t="e">
        <f aca="false">#REF!</f>
        <v>#REF!</v>
      </c>
      <c r="G146" s="0" t="e">
        <f aca="false">#REF!</f>
        <v>#REF!</v>
      </c>
      <c r="H146" s="0" t="e">
        <f aca="false">#REF!</f>
        <v>#REF!</v>
      </c>
      <c r="I146" s="0" t="e">
        <f aca="false">#REF!</f>
        <v>#REF!</v>
      </c>
      <c r="J146" s="0" t="e">
        <f aca="false">#REF!</f>
        <v>#REF!</v>
      </c>
      <c r="K146" s="0" t="e">
        <f aca="false">#REF!</f>
        <v>#REF!</v>
      </c>
      <c r="L146" s="0" t="e">
        <f aca="false">#REF!</f>
        <v>#REF!</v>
      </c>
      <c r="M146" s="0" t="e">
        <f aca="false">#REF!</f>
        <v>#REF!</v>
      </c>
    </row>
    <row r="147" customFormat="false" ht="13.5" hidden="false" customHeight="false" outlineLevel="0" collapsed="false">
      <c r="A147" s="0" t="s">
        <v>120</v>
      </c>
      <c r="B147" s="1" t="n">
        <v>44007</v>
      </c>
      <c r="C147" s="0" t="e">
        <f aca="false">#REF!</f>
        <v>#REF!</v>
      </c>
      <c r="D147" s="0" t="e">
        <f aca="false">#REF!</f>
        <v>#REF!</v>
      </c>
      <c r="E147" s="0" t="e">
        <f aca="false">#REF!</f>
        <v>#REF!</v>
      </c>
      <c r="F147" s="0" t="e">
        <f aca="false">#REF!</f>
        <v>#REF!</v>
      </c>
      <c r="G147" s="0" t="e">
        <f aca="false">#REF!</f>
        <v>#REF!</v>
      </c>
      <c r="H147" s="0" t="e">
        <f aca="false">#REF!</f>
        <v>#REF!</v>
      </c>
      <c r="I147" s="0" t="e">
        <f aca="false">#REF!</f>
        <v>#REF!</v>
      </c>
      <c r="J147" s="0" t="e">
        <f aca="false">#REF!</f>
        <v>#REF!</v>
      </c>
      <c r="K147" s="0" t="e">
        <f aca="false">#REF!</f>
        <v>#REF!</v>
      </c>
      <c r="L147" s="0" t="e">
        <f aca="false">#REF!</f>
        <v>#REF!</v>
      </c>
      <c r="M147" s="0" t="e">
        <f aca="false">#REF!</f>
        <v>#REF!</v>
      </c>
    </row>
    <row r="148" customFormat="false" ht="13.5" hidden="false" customHeight="false" outlineLevel="0" collapsed="false">
      <c r="A148" s="0" t="s">
        <v>120</v>
      </c>
      <c r="B148" s="1" t="n">
        <v>44008</v>
      </c>
      <c r="C148" s="0" t="e">
        <f aca="false">#REF!</f>
        <v>#REF!</v>
      </c>
      <c r="D148" s="0" t="e">
        <f aca="false">#REF!</f>
        <v>#REF!</v>
      </c>
      <c r="E148" s="0" t="e">
        <f aca="false">#REF!</f>
        <v>#REF!</v>
      </c>
      <c r="F148" s="0" t="e">
        <f aca="false">#REF!</f>
        <v>#REF!</v>
      </c>
      <c r="G148" s="0" t="e">
        <f aca="false">#REF!</f>
        <v>#REF!</v>
      </c>
      <c r="H148" s="0" t="e">
        <f aca="false">#REF!</f>
        <v>#REF!</v>
      </c>
      <c r="I148" s="0" t="e">
        <f aca="false">#REF!</f>
        <v>#REF!</v>
      </c>
      <c r="J148" s="0" t="e">
        <f aca="false">#REF!</f>
        <v>#REF!</v>
      </c>
      <c r="K148" s="0" t="e">
        <f aca="false">#REF!</f>
        <v>#REF!</v>
      </c>
      <c r="L148" s="0" t="e">
        <f aca="false">#REF!</f>
        <v>#REF!</v>
      </c>
      <c r="M148" s="0" t="e">
        <f aca="false">#REF!</f>
        <v>#REF!</v>
      </c>
    </row>
    <row r="149" customFormat="false" ht="13.5" hidden="false" customHeight="false" outlineLevel="0" collapsed="false">
      <c r="A149" s="0" t="s">
        <v>120</v>
      </c>
      <c r="B149" s="1" t="n">
        <v>44009</v>
      </c>
      <c r="C149" s="0" t="e">
        <f aca="false">#REF!</f>
        <v>#REF!</v>
      </c>
      <c r="D149" s="0" t="e">
        <f aca="false">#REF!</f>
        <v>#REF!</v>
      </c>
      <c r="E149" s="0" t="e">
        <f aca="false">#REF!</f>
        <v>#REF!</v>
      </c>
      <c r="F149" s="0" t="e">
        <f aca="false">#REF!</f>
        <v>#REF!</v>
      </c>
      <c r="G149" s="0" t="e">
        <f aca="false">#REF!</f>
        <v>#REF!</v>
      </c>
      <c r="H149" s="0" t="e">
        <f aca="false">#REF!</f>
        <v>#REF!</v>
      </c>
      <c r="I149" s="0" t="e">
        <f aca="false">#REF!</f>
        <v>#REF!</v>
      </c>
      <c r="J149" s="0" t="e">
        <f aca="false">#REF!</f>
        <v>#REF!</v>
      </c>
      <c r="K149" s="0" t="e">
        <f aca="false">#REF!</f>
        <v>#REF!</v>
      </c>
      <c r="L149" s="0" t="e">
        <f aca="false">#REF!</f>
        <v>#REF!</v>
      </c>
      <c r="M149" s="0" t="e">
        <f aca="false">#REF!</f>
        <v>#REF!</v>
      </c>
    </row>
    <row r="150" customFormat="false" ht="13.5" hidden="false" customHeight="false" outlineLevel="0" collapsed="false">
      <c r="A150" s="0" t="s">
        <v>120</v>
      </c>
      <c r="B150" s="1" t="n">
        <v>44010</v>
      </c>
      <c r="C150" s="0" t="e">
        <f aca="false">#REF!</f>
        <v>#REF!</v>
      </c>
      <c r="D150" s="0" t="e">
        <f aca="false">#REF!</f>
        <v>#REF!</v>
      </c>
      <c r="E150" s="0" t="e">
        <f aca="false">#REF!</f>
        <v>#REF!</v>
      </c>
      <c r="F150" s="0" t="e">
        <f aca="false">#REF!</f>
        <v>#REF!</v>
      </c>
      <c r="G150" s="0" t="e">
        <f aca="false">#REF!</f>
        <v>#REF!</v>
      </c>
      <c r="H150" s="0" t="e">
        <f aca="false">#REF!</f>
        <v>#REF!</v>
      </c>
      <c r="I150" s="0" t="e">
        <f aca="false">#REF!</f>
        <v>#REF!</v>
      </c>
      <c r="J150" s="0" t="e">
        <f aca="false">#REF!</f>
        <v>#REF!</v>
      </c>
      <c r="K150" s="0" t="e">
        <f aca="false">#REF!</f>
        <v>#REF!</v>
      </c>
      <c r="L150" s="0" t="e">
        <f aca="false">#REF!</f>
        <v>#REF!</v>
      </c>
      <c r="M150" s="0" t="e">
        <f aca="false">#REF!</f>
        <v>#REF!</v>
      </c>
    </row>
    <row r="151" customFormat="false" ht="13.5" hidden="false" customHeight="false" outlineLevel="0" collapsed="false">
      <c r="A151" s="0" t="s">
        <v>120</v>
      </c>
      <c r="B151" s="1" t="n">
        <v>44011</v>
      </c>
      <c r="C151" s="0" t="e">
        <f aca="false">#REF!</f>
        <v>#REF!</v>
      </c>
      <c r="D151" s="0" t="e">
        <f aca="false">#REF!</f>
        <v>#REF!</v>
      </c>
      <c r="E151" s="0" t="e">
        <f aca="false">#REF!</f>
        <v>#REF!</v>
      </c>
      <c r="F151" s="0" t="e">
        <f aca="false">#REF!</f>
        <v>#REF!</v>
      </c>
      <c r="G151" s="0" t="e">
        <f aca="false">#REF!</f>
        <v>#REF!</v>
      </c>
      <c r="H151" s="0" t="e">
        <f aca="false">#REF!</f>
        <v>#REF!</v>
      </c>
      <c r="I151" s="0" t="e">
        <f aca="false">#REF!</f>
        <v>#REF!</v>
      </c>
      <c r="J151" s="0" t="e">
        <f aca="false">#REF!</f>
        <v>#REF!</v>
      </c>
      <c r="K151" s="0" t="e">
        <f aca="false">#REF!</f>
        <v>#REF!</v>
      </c>
      <c r="L151" s="0" t="e">
        <f aca="false">#REF!</f>
        <v>#REF!</v>
      </c>
      <c r="M151" s="0" t="e">
        <f aca="false">#REF!</f>
        <v>#REF!</v>
      </c>
    </row>
    <row r="152" customFormat="false" ht="13.5" hidden="false" customHeight="false" outlineLevel="0" collapsed="false">
      <c r="A152" s="0" t="s">
        <v>120</v>
      </c>
      <c r="B152" s="1" t="n">
        <v>44012</v>
      </c>
      <c r="C152" s="0" t="e">
        <f aca="false">#REF!</f>
        <v>#REF!</v>
      </c>
      <c r="D152" s="0" t="e">
        <f aca="false">#REF!</f>
        <v>#REF!</v>
      </c>
      <c r="E152" s="0" t="e">
        <f aca="false">#REF!</f>
        <v>#REF!</v>
      </c>
      <c r="F152" s="0" t="e">
        <f aca="false">#REF!</f>
        <v>#REF!</v>
      </c>
      <c r="G152" s="0" t="e">
        <f aca="false">#REF!</f>
        <v>#REF!</v>
      </c>
      <c r="H152" s="0" t="e">
        <f aca="false">#REF!</f>
        <v>#REF!</v>
      </c>
      <c r="I152" s="0" t="e">
        <f aca="false">#REF!</f>
        <v>#REF!</v>
      </c>
      <c r="J152" s="0" t="e">
        <f aca="false">#REF!</f>
        <v>#REF!</v>
      </c>
      <c r="K152" s="0" t="e">
        <f aca="false">#REF!</f>
        <v>#REF!</v>
      </c>
      <c r="L152" s="0" t="e">
        <f aca="false">#REF!</f>
        <v>#REF!</v>
      </c>
      <c r="M152" s="0" t="e">
        <f aca="false">#REF!</f>
        <v>#REF!</v>
      </c>
    </row>
    <row r="153" customFormat="false" ht="13.5" hidden="false" customHeight="false" outlineLevel="0" collapsed="false">
      <c r="A153" s="0" t="s">
        <v>120</v>
      </c>
      <c r="B153" s="1" t="n">
        <v>44013</v>
      </c>
      <c r="C153" s="0" t="e">
        <f aca="false">#REF!</f>
        <v>#REF!</v>
      </c>
      <c r="D153" s="0" t="e">
        <f aca="false">#REF!</f>
        <v>#REF!</v>
      </c>
      <c r="E153" s="0" t="e">
        <f aca="false">#REF!</f>
        <v>#REF!</v>
      </c>
      <c r="F153" s="0" t="e">
        <f aca="false">#REF!</f>
        <v>#REF!</v>
      </c>
      <c r="G153" s="0" t="e">
        <f aca="false">#REF!</f>
        <v>#REF!</v>
      </c>
      <c r="H153" s="0" t="e">
        <f aca="false">#REF!</f>
        <v>#REF!</v>
      </c>
      <c r="I153" s="0" t="e">
        <f aca="false">#REF!</f>
        <v>#REF!</v>
      </c>
      <c r="J153" s="0" t="e">
        <f aca="false">#REF!</f>
        <v>#REF!</v>
      </c>
      <c r="K153" s="0" t="e">
        <f aca="false">#REF!</f>
        <v>#REF!</v>
      </c>
      <c r="L153" s="0" t="e">
        <f aca="false">#REF!</f>
        <v>#REF!</v>
      </c>
      <c r="M153" s="0" t="e">
        <f aca="false">#REF!</f>
        <v>#REF!</v>
      </c>
    </row>
    <row r="154" customFormat="false" ht="13.5" hidden="false" customHeight="false" outlineLevel="0" collapsed="false">
      <c r="A154" s="0" t="s">
        <v>120</v>
      </c>
      <c r="B154" s="1" t="n">
        <v>44014</v>
      </c>
      <c r="C154" s="0" t="e">
        <f aca="false">#REF!</f>
        <v>#REF!</v>
      </c>
      <c r="D154" s="0" t="e">
        <f aca="false">#REF!</f>
        <v>#REF!</v>
      </c>
      <c r="E154" s="0" t="e">
        <f aca="false">#REF!</f>
        <v>#REF!</v>
      </c>
      <c r="F154" s="0" t="e">
        <f aca="false">#REF!</f>
        <v>#REF!</v>
      </c>
      <c r="G154" s="0" t="e">
        <f aca="false">#REF!</f>
        <v>#REF!</v>
      </c>
      <c r="H154" s="0" t="e">
        <f aca="false">#REF!</f>
        <v>#REF!</v>
      </c>
      <c r="I154" s="0" t="e">
        <f aca="false">#REF!</f>
        <v>#REF!</v>
      </c>
      <c r="J154" s="0" t="e">
        <f aca="false">#REF!</f>
        <v>#REF!</v>
      </c>
      <c r="K154" s="0" t="e">
        <f aca="false">#REF!</f>
        <v>#REF!</v>
      </c>
      <c r="L154" s="0" t="e">
        <f aca="false">#REF!</f>
        <v>#REF!</v>
      </c>
      <c r="M154" s="0" t="e">
        <f aca="false">#REF!</f>
        <v>#REF!</v>
      </c>
    </row>
    <row r="155" customFormat="false" ht="13.5" hidden="false" customHeight="false" outlineLevel="0" collapsed="false">
      <c r="A155" s="0" t="s">
        <v>120</v>
      </c>
      <c r="B155" s="1" t="n">
        <v>44015</v>
      </c>
      <c r="C155" s="0" t="e">
        <f aca="false">#REF!</f>
        <v>#REF!</v>
      </c>
      <c r="D155" s="0" t="e">
        <f aca="false">#REF!</f>
        <v>#REF!</v>
      </c>
      <c r="E155" s="0" t="e">
        <f aca="false">#REF!</f>
        <v>#REF!</v>
      </c>
      <c r="F155" s="0" t="e">
        <f aca="false">#REF!</f>
        <v>#REF!</v>
      </c>
      <c r="G155" s="0" t="e">
        <f aca="false">#REF!</f>
        <v>#REF!</v>
      </c>
      <c r="H155" s="0" t="e">
        <f aca="false">#REF!</f>
        <v>#REF!</v>
      </c>
      <c r="I155" s="0" t="e">
        <f aca="false">#REF!</f>
        <v>#REF!</v>
      </c>
      <c r="J155" s="0" t="e">
        <f aca="false">#REF!</f>
        <v>#REF!</v>
      </c>
      <c r="K155" s="0" t="e">
        <f aca="false">#REF!</f>
        <v>#REF!</v>
      </c>
      <c r="L155" s="0" t="e">
        <f aca="false">#REF!</f>
        <v>#REF!</v>
      </c>
      <c r="M155" s="0" t="e">
        <f aca="false">#REF!</f>
        <v>#REF!</v>
      </c>
    </row>
    <row r="156" customFormat="false" ht="13.5" hidden="false" customHeight="false" outlineLevel="0" collapsed="false">
      <c r="A156" s="0" t="s">
        <v>120</v>
      </c>
      <c r="B156" s="1" t="n">
        <v>44016</v>
      </c>
      <c r="C156" s="0" t="e">
        <f aca="false">#REF!</f>
        <v>#REF!</v>
      </c>
      <c r="D156" s="0" t="e">
        <f aca="false">#REF!</f>
        <v>#REF!</v>
      </c>
      <c r="E156" s="0" t="e">
        <f aca="false">#REF!</f>
        <v>#REF!</v>
      </c>
      <c r="F156" s="0" t="e">
        <f aca="false">#REF!</f>
        <v>#REF!</v>
      </c>
      <c r="G156" s="0" t="e">
        <f aca="false">#REF!</f>
        <v>#REF!</v>
      </c>
      <c r="H156" s="0" t="e">
        <f aca="false">#REF!</f>
        <v>#REF!</v>
      </c>
      <c r="I156" s="0" t="e">
        <f aca="false">#REF!</f>
        <v>#REF!</v>
      </c>
      <c r="J156" s="0" t="e">
        <f aca="false">#REF!</f>
        <v>#REF!</v>
      </c>
      <c r="K156" s="0" t="e">
        <f aca="false">#REF!</f>
        <v>#REF!</v>
      </c>
      <c r="L156" s="0" t="e">
        <f aca="false">#REF!</f>
        <v>#REF!</v>
      </c>
      <c r="M156" s="0" t="e">
        <f aca="false">#REF!</f>
        <v>#REF!</v>
      </c>
    </row>
    <row r="157" customFormat="false" ht="13.5" hidden="false" customHeight="false" outlineLevel="0" collapsed="false">
      <c r="A157" s="0" t="s">
        <v>120</v>
      </c>
      <c r="B157" s="1" t="n">
        <v>44017</v>
      </c>
      <c r="C157" s="0" t="e">
        <f aca="false">#REF!</f>
        <v>#REF!</v>
      </c>
      <c r="D157" s="0" t="e">
        <f aca="false">#REF!</f>
        <v>#REF!</v>
      </c>
      <c r="E157" s="0" t="e">
        <f aca="false">#REF!</f>
        <v>#REF!</v>
      </c>
      <c r="F157" s="0" t="e">
        <f aca="false">#REF!</f>
        <v>#REF!</v>
      </c>
      <c r="G157" s="0" t="e">
        <f aca="false">#REF!</f>
        <v>#REF!</v>
      </c>
      <c r="H157" s="0" t="e">
        <f aca="false">#REF!</f>
        <v>#REF!</v>
      </c>
      <c r="I157" s="0" t="e">
        <f aca="false">#REF!</f>
        <v>#REF!</v>
      </c>
      <c r="J157" s="0" t="e">
        <f aca="false">#REF!</f>
        <v>#REF!</v>
      </c>
      <c r="K157" s="0" t="e">
        <f aca="false">#REF!</f>
        <v>#REF!</v>
      </c>
      <c r="L157" s="0" t="e">
        <f aca="false">#REF!</f>
        <v>#REF!</v>
      </c>
      <c r="M157" s="0" t="e">
        <f aca="false">#REF!</f>
        <v>#REF!</v>
      </c>
    </row>
    <row r="158" customFormat="false" ht="13.5" hidden="false" customHeight="false" outlineLevel="0" collapsed="false">
      <c r="A158" s="0" t="s">
        <v>120</v>
      </c>
      <c r="B158" s="1" t="n">
        <v>44018</v>
      </c>
      <c r="C158" s="0" t="e">
        <f aca="false">#REF!</f>
        <v>#REF!</v>
      </c>
      <c r="D158" s="0" t="e">
        <f aca="false">#REF!</f>
        <v>#REF!</v>
      </c>
      <c r="E158" s="0" t="e">
        <f aca="false">#REF!</f>
        <v>#REF!</v>
      </c>
      <c r="F158" s="0" t="e">
        <f aca="false">#REF!</f>
        <v>#REF!</v>
      </c>
      <c r="G158" s="0" t="e">
        <f aca="false">#REF!</f>
        <v>#REF!</v>
      </c>
      <c r="H158" s="0" t="e">
        <f aca="false">#REF!</f>
        <v>#REF!</v>
      </c>
      <c r="I158" s="0" t="e">
        <f aca="false">#REF!</f>
        <v>#REF!</v>
      </c>
      <c r="J158" s="0" t="e">
        <f aca="false">#REF!</f>
        <v>#REF!</v>
      </c>
      <c r="K158" s="0" t="e">
        <f aca="false">#REF!</f>
        <v>#REF!</v>
      </c>
      <c r="L158" s="0" t="e">
        <f aca="false">#REF!</f>
        <v>#REF!</v>
      </c>
      <c r="M158" s="0" t="e">
        <f aca="false">#REF!</f>
        <v>#REF!</v>
      </c>
    </row>
    <row r="159" customFormat="false" ht="13.5" hidden="false" customHeight="false" outlineLevel="0" collapsed="false">
      <c r="A159" s="0" t="s">
        <v>120</v>
      </c>
      <c r="B159" s="1" t="n">
        <v>44019</v>
      </c>
      <c r="C159" s="0" t="e">
        <f aca="false">#REF!</f>
        <v>#REF!</v>
      </c>
      <c r="D159" s="0" t="e">
        <f aca="false">#REF!</f>
        <v>#REF!</v>
      </c>
      <c r="E159" s="0" t="e">
        <f aca="false">#REF!</f>
        <v>#REF!</v>
      </c>
      <c r="F159" s="0" t="e">
        <f aca="false">#REF!</f>
        <v>#REF!</v>
      </c>
      <c r="G159" s="0" t="e">
        <f aca="false">#REF!</f>
        <v>#REF!</v>
      </c>
      <c r="H159" s="0" t="e">
        <f aca="false">#REF!</f>
        <v>#REF!</v>
      </c>
      <c r="I159" s="0" t="e">
        <f aca="false">#REF!</f>
        <v>#REF!</v>
      </c>
      <c r="J159" s="0" t="e">
        <f aca="false">#REF!</f>
        <v>#REF!</v>
      </c>
      <c r="K159" s="0" t="e">
        <f aca="false">#REF!</f>
        <v>#REF!</v>
      </c>
      <c r="L159" s="0" t="e">
        <f aca="false">#REF!</f>
        <v>#REF!</v>
      </c>
      <c r="M159" s="0" t="e">
        <f aca="false">#REF!</f>
        <v>#REF!</v>
      </c>
    </row>
    <row r="160" customFormat="false" ht="13.5" hidden="false" customHeight="false" outlineLevel="0" collapsed="false">
      <c r="A160" s="0" t="s">
        <v>120</v>
      </c>
      <c r="B160" s="1" t="n">
        <v>44020</v>
      </c>
      <c r="C160" s="0" t="e">
        <f aca="false">#REF!</f>
        <v>#REF!</v>
      </c>
      <c r="D160" s="0" t="e">
        <f aca="false">#REF!</f>
        <v>#REF!</v>
      </c>
      <c r="E160" s="0" t="e">
        <f aca="false">#REF!</f>
        <v>#REF!</v>
      </c>
      <c r="F160" s="0" t="e">
        <f aca="false">#REF!</f>
        <v>#REF!</v>
      </c>
      <c r="G160" s="0" t="e">
        <f aca="false">#REF!</f>
        <v>#REF!</v>
      </c>
      <c r="H160" s="0" t="e">
        <f aca="false">#REF!</f>
        <v>#REF!</v>
      </c>
      <c r="I160" s="0" t="e">
        <f aca="false">#REF!</f>
        <v>#REF!</v>
      </c>
      <c r="J160" s="0" t="e">
        <f aca="false">#REF!</f>
        <v>#REF!</v>
      </c>
      <c r="K160" s="0" t="e">
        <f aca="false">#REF!</f>
        <v>#REF!</v>
      </c>
      <c r="L160" s="0" t="e">
        <f aca="false">#REF!</f>
        <v>#REF!</v>
      </c>
      <c r="M160" s="0" t="e">
        <f aca="false">#REF!</f>
        <v>#REF!</v>
      </c>
    </row>
    <row r="161" customFormat="false" ht="13.5" hidden="false" customHeight="false" outlineLevel="0" collapsed="false">
      <c r="A161" s="0" t="s">
        <v>120</v>
      </c>
      <c r="B161" s="1" t="n">
        <v>44021</v>
      </c>
      <c r="C161" s="0" t="e">
        <f aca="false">#REF!</f>
        <v>#REF!</v>
      </c>
      <c r="D161" s="0" t="e">
        <f aca="false">#REF!</f>
        <v>#REF!</v>
      </c>
      <c r="E161" s="0" t="e">
        <f aca="false">#REF!</f>
        <v>#REF!</v>
      </c>
      <c r="F161" s="0" t="e">
        <f aca="false">#REF!</f>
        <v>#REF!</v>
      </c>
      <c r="G161" s="0" t="e">
        <f aca="false">#REF!</f>
        <v>#REF!</v>
      </c>
      <c r="H161" s="0" t="e">
        <f aca="false">#REF!</f>
        <v>#REF!</v>
      </c>
      <c r="I161" s="0" t="e">
        <f aca="false">#REF!</f>
        <v>#REF!</v>
      </c>
      <c r="J161" s="0" t="e">
        <f aca="false">#REF!</f>
        <v>#REF!</v>
      </c>
      <c r="K161" s="0" t="e">
        <f aca="false">#REF!</f>
        <v>#REF!</v>
      </c>
      <c r="L161" s="0" t="e">
        <f aca="false">#REF!</f>
        <v>#REF!</v>
      </c>
      <c r="M161" s="0" t="e">
        <f aca="false">#REF!</f>
        <v>#REF!</v>
      </c>
    </row>
    <row r="162" customFormat="false" ht="13.5" hidden="false" customHeight="false" outlineLevel="0" collapsed="false">
      <c r="A162" s="0" t="s">
        <v>120</v>
      </c>
      <c r="B162" s="1" t="n">
        <v>44022</v>
      </c>
      <c r="C162" s="0" t="e">
        <f aca="false">#REF!</f>
        <v>#REF!</v>
      </c>
      <c r="D162" s="0" t="e">
        <f aca="false">#REF!</f>
        <v>#REF!</v>
      </c>
      <c r="E162" s="0" t="e">
        <f aca="false">#REF!</f>
        <v>#REF!</v>
      </c>
      <c r="F162" s="0" t="e">
        <f aca="false">#REF!</f>
        <v>#REF!</v>
      </c>
      <c r="G162" s="0" t="e">
        <f aca="false">#REF!</f>
        <v>#REF!</v>
      </c>
      <c r="H162" s="0" t="e">
        <f aca="false">#REF!</f>
        <v>#REF!</v>
      </c>
      <c r="I162" s="0" t="e">
        <f aca="false">#REF!</f>
        <v>#REF!</v>
      </c>
      <c r="J162" s="0" t="e">
        <f aca="false">#REF!</f>
        <v>#REF!</v>
      </c>
      <c r="K162" s="0" t="e">
        <f aca="false">#REF!</f>
        <v>#REF!</v>
      </c>
      <c r="L162" s="0" t="e">
        <f aca="false">#REF!</f>
        <v>#REF!</v>
      </c>
      <c r="M162" s="0" t="e">
        <f aca="false">#REF!</f>
        <v>#REF!</v>
      </c>
    </row>
    <row r="163" customFormat="false" ht="13.5" hidden="false" customHeight="false" outlineLevel="0" collapsed="false">
      <c r="A163" s="0" t="s">
        <v>120</v>
      </c>
      <c r="B163" s="1" t="n">
        <v>44023</v>
      </c>
      <c r="C163" s="0" t="e">
        <f aca="false">#REF!</f>
        <v>#REF!</v>
      </c>
      <c r="D163" s="0" t="e">
        <f aca="false">#REF!</f>
        <v>#REF!</v>
      </c>
      <c r="E163" s="0" t="e">
        <f aca="false">#REF!</f>
        <v>#REF!</v>
      </c>
      <c r="F163" s="0" t="e">
        <f aca="false">#REF!</f>
        <v>#REF!</v>
      </c>
      <c r="G163" s="0" t="e">
        <f aca="false">#REF!</f>
        <v>#REF!</v>
      </c>
      <c r="H163" s="0" t="e">
        <f aca="false">#REF!</f>
        <v>#REF!</v>
      </c>
      <c r="I163" s="0" t="e">
        <f aca="false">#REF!</f>
        <v>#REF!</v>
      </c>
      <c r="J163" s="0" t="e">
        <f aca="false">#REF!</f>
        <v>#REF!</v>
      </c>
      <c r="K163" s="0" t="e">
        <f aca="false">#REF!</f>
        <v>#REF!</v>
      </c>
      <c r="L163" s="0" t="e">
        <f aca="false">#REF!</f>
        <v>#REF!</v>
      </c>
      <c r="M163" s="0" t="e">
        <f aca="false">#REF!</f>
        <v>#REF!</v>
      </c>
    </row>
    <row r="164" customFormat="false" ht="13.5" hidden="false" customHeight="false" outlineLevel="0" collapsed="false">
      <c r="A164" s="0" t="s">
        <v>120</v>
      </c>
      <c r="B164" s="1" t="n">
        <v>44024</v>
      </c>
      <c r="C164" s="0" t="e">
        <f aca="false">#REF!</f>
        <v>#REF!</v>
      </c>
      <c r="D164" s="0" t="e">
        <f aca="false">#REF!</f>
        <v>#REF!</v>
      </c>
      <c r="E164" s="0" t="e">
        <f aca="false">#REF!</f>
        <v>#REF!</v>
      </c>
      <c r="F164" s="0" t="e">
        <f aca="false">#REF!</f>
        <v>#REF!</v>
      </c>
      <c r="G164" s="0" t="e">
        <f aca="false">#REF!</f>
        <v>#REF!</v>
      </c>
      <c r="H164" s="0" t="e">
        <f aca="false">#REF!</f>
        <v>#REF!</v>
      </c>
      <c r="I164" s="0" t="e">
        <f aca="false">#REF!</f>
        <v>#REF!</v>
      </c>
      <c r="J164" s="0" t="e">
        <f aca="false">#REF!</f>
        <v>#REF!</v>
      </c>
      <c r="K164" s="0" t="e">
        <f aca="false">#REF!</f>
        <v>#REF!</v>
      </c>
      <c r="L164" s="0" t="e">
        <f aca="false">#REF!</f>
        <v>#REF!</v>
      </c>
      <c r="M164" s="0" t="e">
        <f aca="false">#REF!</f>
        <v>#REF!</v>
      </c>
    </row>
    <row r="165" customFormat="false" ht="13.5" hidden="false" customHeight="false" outlineLevel="0" collapsed="false">
      <c r="A165" s="0" t="s">
        <v>120</v>
      </c>
      <c r="B165" s="1" t="n">
        <v>44025</v>
      </c>
      <c r="C165" s="0" t="e">
        <f aca="false">#REF!</f>
        <v>#REF!</v>
      </c>
      <c r="D165" s="0" t="e">
        <f aca="false">#REF!</f>
        <v>#REF!</v>
      </c>
      <c r="E165" s="0" t="e">
        <f aca="false">#REF!</f>
        <v>#REF!</v>
      </c>
      <c r="F165" s="0" t="e">
        <f aca="false">#REF!</f>
        <v>#REF!</v>
      </c>
      <c r="G165" s="0" t="e">
        <f aca="false">#REF!</f>
        <v>#REF!</v>
      </c>
      <c r="H165" s="0" t="e">
        <f aca="false">#REF!</f>
        <v>#REF!</v>
      </c>
      <c r="I165" s="0" t="e">
        <f aca="false">#REF!</f>
        <v>#REF!</v>
      </c>
      <c r="J165" s="0" t="e">
        <f aca="false">#REF!</f>
        <v>#REF!</v>
      </c>
      <c r="K165" s="0" t="e">
        <f aca="false">#REF!</f>
        <v>#REF!</v>
      </c>
      <c r="L165" s="0" t="e">
        <f aca="false">#REF!</f>
        <v>#REF!</v>
      </c>
      <c r="M165" s="0" t="e">
        <f aca="false">#REF!</f>
        <v>#REF!</v>
      </c>
    </row>
    <row r="166" customFormat="false" ht="13.5" hidden="false" customHeight="false" outlineLevel="0" collapsed="false">
      <c r="A166" s="0" t="s">
        <v>120</v>
      </c>
      <c r="B166" s="1" t="n">
        <v>44026</v>
      </c>
      <c r="C166" s="0" t="e">
        <f aca="false">#REF!</f>
        <v>#REF!</v>
      </c>
      <c r="D166" s="0" t="e">
        <f aca="false">#REF!</f>
        <v>#REF!</v>
      </c>
      <c r="E166" s="0" t="e">
        <f aca="false">#REF!</f>
        <v>#REF!</v>
      </c>
      <c r="F166" s="0" t="e">
        <f aca="false">#REF!</f>
        <v>#REF!</v>
      </c>
      <c r="G166" s="0" t="e">
        <f aca="false">#REF!</f>
        <v>#REF!</v>
      </c>
      <c r="H166" s="0" t="e">
        <f aca="false">#REF!</f>
        <v>#REF!</v>
      </c>
      <c r="I166" s="0" t="e">
        <f aca="false">#REF!</f>
        <v>#REF!</v>
      </c>
      <c r="J166" s="0" t="e">
        <f aca="false">#REF!</f>
        <v>#REF!</v>
      </c>
      <c r="K166" s="0" t="e">
        <f aca="false">#REF!</f>
        <v>#REF!</v>
      </c>
      <c r="L166" s="0" t="e">
        <f aca="false">#REF!</f>
        <v>#REF!</v>
      </c>
      <c r="M166" s="0" t="e">
        <f aca="false">#REF!</f>
        <v>#REF!</v>
      </c>
    </row>
    <row r="167" customFormat="false" ht="13.5" hidden="false" customHeight="false" outlineLevel="0" collapsed="false">
      <c r="A167" s="0" t="s">
        <v>120</v>
      </c>
      <c r="B167" s="1" t="n">
        <v>44027</v>
      </c>
      <c r="C167" s="0" t="e">
        <f aca="false">#REF!</f>
        <v>#REF!</v>
      </c>
      <c r="D167" s="0" t="e">
        <f aca="false">#REF!</f>
        <v>#REF!</v>
      </c>
      <c r="E167" s="0" t="e">
        <f aca="false">#REF!</f>
        <v>#REF!</v>
      </c>
      <c r="F167" s="0" t="e">
        <f aca="false">#REF!</f>
        <v>#REF!</v>
      </c>
      <c r="G167" s="0" t="e">
        <f aca="false">#REF!</f>
        <v>#REF!</v>
      </c>
      <c r="H167" s="0" t="e">
        <f aca="false">#REF!</f>
        <v>#REF!</v>
      </c>
      <c r="I167" s="0" t="e">
        <f aca="false">#REF!</f>
        <v>#REF!</v>
      </c>
      <c r="J167" s="0" t="e">
        <f aca="false">#REF!</f>
        <v>#REF!</v>
      </c>
      <c r="K167" s="0" t="e">
        <f aca="false">#REF!</f>
        <v>#REF!</v>
      </c>
      <c r="L167" s="0" t="e">
        <f aca="false">#REF!</f>
        <v>#REF!</v>
      </c>
      <c r="M167" s="0" t="e">
        <f aca="false">#REF!</f>
        <v>#REF!</v>
      </c>
    </row>
    <row r="168" customFormat="false" ht="13.5" hidden="false" customHeight="false" outlineLevel="0" collapsed="false">
      <c r="A168" s="0" t="s">
        <v>120</v>
      </c>
      <c r="B168" s="1" t="n">
        <v>44028</v>
      </c>
      <c r="C168" s="0" t="e">
        <f aca="false">#REF!</f>
        <v>#REF!</v>
      </c>
      <c r="D168" s="0" t="e">
        <f aca="false">#REF!</f>
        <v>#REF!</v>
      </c>
      <c r="E168" s="0" t="e">
        <f aca="false">#REF!</f>
        <v>#REF!</v>
      </c>
      <c r="F168" s="0" t="e">
        <f aca="false">#REF!</f>
        <v>#REF!</v>
      </c>
      <c r="G168" s="0" t="e">
        <f aca="false">#REF!</f>
        <v>#REF!</v>
      </c>
      <c r="H168" s="0" t="e">
        <f aca="false">#REF!</f>
        <v>#REF!</v>
      </c>
      <c r="I168" s="0" t="e">
        <f aca="false">#REF!</f>
        <v>#REF!</v>
      </c>
      <c r="J168" s="0" t="e">
        <f aca="false">#REF!</f>
        <v>#REF!</v>
      </c>
      <c r="K168" s="0" t="e">
        <f aca="false">#REF!</f>
        <v>#REF!</v>
      </c>
      <c r="L168" s="0" t="e">
        <f aca="false">#REF!</f>
        <v>#REF!</v>
      </c>
      <c r="M168" s="0" t="e">
        <f aca="false">#REF!</f>
        <v>#REF!</v>
      </c>
    </row>
    <row r="169" customFormat="false" ht="13.5" hidden="false" customHeight="false" outlineLevel="0" collapsed="false">
      <c r="A169" s="0" t="s">
        <v>120</v>
      </c>
      <c r="B169" s="1" t="n">
        <v>44029</v>
      </c>
      <c r="C169" s="0" t="e">
        <f aca="false">#REF!</f>
        <v>#REF!</v>
      </c>
      <c r="D169" s="0" t="e">
        <f aca="false">#REF!</f>
        <v>#REF!</v>
      </c>
      <c r="E169" s="0" t="e">
        <f aca="false">#REF!</f>
        <v>#REF!</v>
      </c>
      <c r="F169" s="0" t="e">
        <f aca="false">#REF!</f>
        <v>#REF!</v>
      </c>
      <c r="G169" s="0" t="e">
        <f aca="false">#REF!</f>
        <v>#REF!</v>
      </c>
      <c r="H169" s="0" t="e">
        <f aca="false">#REF!</f>
        <v>#REF!</v>
      </c>
      <c r="I169" s="0" t="e">
        <f aca="false">#REF!</f>
        <v>#REF!</v>
      </c>
      <c r="J169" s="0" t="e">
        <f aca="false">#REF!</f>
        <v>#REF!</v>
      </c>
      <c r="K169" s="0" t="e">
        <f aca="false">#REF!</f>
        <v>#REF!</v>
      </c>
      <c r="L169" s="0" t="e">
        <f aca="false">#REF!</f>
        <v>#REF!</v>
      </c>
      <c r="M169" s="0" t="e">
        <f aca="false">#REF!</f>
        <v>#REF!</v>
      </c>
    </row>
    <row r="170" customFormat="false" ht="13.5" hidden="false" customHeight="false" outlineLevel="0" collapsed="false">
      <c r="A170" s="0" t="s">
        <v>120</v>
      </c>
      <c r="B170" s="1" t="n">
        <v>44030</v>
      </c>
      <c r="C170" s="0" t="e">
        <f aca="false">#REF!</f>
        <v>#REF!</v>
      </c>
      <c r="D170" s="0" t="e">
        <f aca="false">#REF!</f>
        <v>#REF!</v>
      </c>
      <c r="E170" s="0" t="e">
        <f aca="false">#REF!</f>
        <v>#REF!</v>
      </c>
      <c r="F170" s="0" t="e">
        <f aca="false">#REF!</f>
        <v>#REF!</v>
      </c>
      <c r="G170" s="0" t="e">
        <f aca="false">#REF!</f>
        <v>#REF!</v>
      </c>
      <c r="H170" s="0" t="e">
        <f aca="false">#REF!</f>
        <v>#REF!</v>
      </c>
      <c r="I170" s="0" t="e">
        <f aca="false">#REF!</f>
        <v>#REF!</v>
      </c>
      <c r="J170" s="0" t="e">
        <f aca="false">#REF!</f>
        <v>#REF!</v>
      </c>
      <c r="K170" s="0" t="e">
        <f aca="false">#REF!</f>
        <v>#REF!</v>
      </c>
      <c r="L170" s="0" t="e">
        <f aca="false">#REF!</f>
        <v>#REF!</v>
      </c>
      <c r="M170" s="0" t="e">
        <f aca="false">#REF!</f>
        <v>#REF!</v>
      </c>
    </row>
    <row r="171" customFormat="false" ht="13.5" hidden="false" customHeight="false" outlineLevel="0" collapsed="false">
      <c r="A171" s="0" t="s">
        <v>120</v>
      </c>
      <c r="B171" s="1" t="n">
        <v>44031</v>
      </c>
      <c r="C171" s="0" t="e">
        <f aca="false">#REF!</f>
        <v>#REF!</v>
      </c>
      <c r="D171" s="0" t="e">
        <f aca="false">#REF!</f>
        <v>#REF!</v>
      </c>
      <c r="E171" s="0" t="e">
        <f aca="false">#REF!</f>
        <v>#REF!</v>
      </c>
      <c r="F171" s="0" t="e">
        <f aca="false">#REF!</f>
        <v>#REF!</v>
      </c>
      <c r="G171" s="0" t="e">
        <f aca="false">#REF!</f>
        <v>#REF!</v>
      </c>
      <c r="H171" s="0" t="e">
        <f aca="false">#REF!</f>
        <v>#REF!</v>
      </c>
      <c r="I171" s="0" t="e">
        <f aca="false">#REF!</f>
        <v>#REF!</v>
      </c>
      <c r="J171" s="0" t="e">
        <f aca="false">#REF!</f>
        <v>#REF!</v>
      </c>
      <c r="K171" s="0" t="e">
        <f aca="false">#REF!</f>
        <v>#REF!</v>
      </c>
      <c r="L171" s="0" t="e">
        <f aca="false">#REF!</f>
        <v>#REF!</v>
      </c>
      <c r="M171" s="0" t="e">
        <f aca="false">#REF!</f>
        <v>#REF!</v>
      </c>
    </row>
    <row r="172" customFormat="false" ht="13.5" hidden="false" customHeight="false" outlineLevel="0" collapsed="false">
      <c r="A172" s="0" t="s">
        <v>120</v>
      </c>
      <c r="B172" s="1" t="n">
        <v>44032</v>
      </c>
      <c r="C172" s="0" t="e">
        <f aca="false">#REF!</f>
        <v>#REF!</v>
      </c>
      <c r="D172" s="0" t="e">
        <f aca="false">#REF!</f>
        <v>#REF!</v>
      </c>
      <c r="E172" s="0" t="e">
        <f aca="false">#REF!</f>
        <v>#REF!</v>
      </c>
      <c r="F172" s="0" t="e">
        <f aca="false">#REF!</f>
        <v>#REF!</v>
      </c>
      <c r="G172" s="0" t="e">
        <f aca="false">#REF!</f>
        <v>#REF!</v>
      </c>
      <c r="H172" s="0" t="e">
        <f aca="false">#REF!</f>
        <v>#REF!</v>
      </c>
      <c r="I172" s="0" t="e">
        <f aca="false">#REF!</f>
        <v>#REF!</v>
      </c>
      <c r="J172" s="0" t="e">
        <f aca="false">#REF!</f>
        <v>#REF!</v>
      </c>
      <c r="K172" s="0" t="e">
        <f aca="false">#REF!</f>
        <v>#REF!</v>
      </c>
      <c r="L172" s="0" t="e">
        <f aca="false">#REF!</f>
        <v>#REF!</v>
      </c>
      <c r="M172" s="0" t="e">
        <f aca="false">#REF!</f>
        <v>#REF!</v>
      </c>
    </row>
    <row r="173" customFormat="false" ht="13.5" hidden="false" customHeight="false" outlineLevel="0" collapsed="false">
      <c r="A173" s="0" t="s">
        <v>120</v>
      </c>
      <c r="B173" s="1" t="n">
        <v>44033</v>
      </c>
      <c r="C173" s="0" t="e">
        <f aca="false">#REF!</f>
        <v>#REF!</v>
      </c>
      <c r="D173" s="0" t="e">
        <f aca="false">#REF!</f>
        <v>#REF!</v>
      </c>
      <c r="E173" s="0" t="e">
        <f aca="false">#REF!</f>
        <v>#REF!</v>
      </c>
      <c r="F173" s="0" t="e">
        <f aca="false">#REF!</f>
        <v>#REF!</v>
      </c>
      <c r="G173" s="0" t="e">
        <f aca="false">#REF!</f>
        <v>#REF!</v>
      </c>
      <c r="H173" s="0" t="e">
        <f aca="false">#REF!</f>
        <v>#REF!</v>
      </c>
      <c r="I173" s="0" t="e">
        <f aca="false">#REF!</f>
        <v>#REF!</v>
      </c>
      <c r="J173" s="0" t="e">
        <f aca="false">#REF!</f>
        <v>#REF!</v>
      </c>
      <c r="K173" s="0" t="e">
        <f aca="false">#REF!</f>
        <v>#REF!</v>
      </c>
      <c r="L173" s="0" t="e">
        <f aca="false">#REF!</f>
        <v>#REF!</v>
      </c>
      <c r="M173" s="0" t="e">
        <f aca="false">#REF!</f>
        <v>#REF!</v>
      </c>
    </row>
    <row r="174" customFormat="false" ht="13.5" hidden="false" customHeight="false" outlineLevel="0" collapsed="false">
      <c r="A174" s="0" t="s">
        <v>120</v>
      </c>
      <c r="B174" s="1" t="n">
        <v>44034</v>
      </c>
      <c r="C174" s="0" t="e">
        <f aca="false">#REF!</f>
        <v>#REF!</v>
      </c>
      <c r="D174" s="0" t="e">
        <f aca="false">#REF!</f>
        <v>#REF!</v>
      </c>
      <c r="E174" s="0" t="e">
        <f aca="false">#REF!</f>
        <v>#REF!</v>
      </c>
      <c r="F174" s="0" t="e">
        <f aca="false">#REF!</f>
        <v>#REF!</v>
      </c>
      <c r="G174" s="0" t="e">
        <f aca="false">#REF!</f>
        <v>#REF!</v>
      </c>
      <c r="H174" s="0" t="e">
        <f aca="false">#REF!</f>
        <v>#REF!</v>
      </c>
      <c r="I174" s="0" t="e">
        <f aca="false">#REF!</f>
        <v>#REF!</v>
      </c>
      <c r="J174" s="0" t="e">
        <f aca="false">#REF!</f>
        <v>#REF!</v>
      </c>
      <c r="K174" s="0" t="e">
        <f aca="false">#REF!</f>
        <v>#REF!</v>
      </c>
      <c r="L174" s="0" t="e">
        <f aca="false">#REF!</f>
        <v>#REF!</v>
      </c>
      <c r="M174" s="0" t="e">
        <f aca="false">#REF!</f>
        <v>#REF!</v>
      </c>
    </row>
    <row r="175" customFormat="false" ht="13.5" hidden="false" customHeight="false" outlineLevel="0" collapsed="false">
      <c r="A175" s="0" t="s">
        <v>120</v>
      </c>
      <c r="B175" s="1" t="n">
        <v>44035</v>
      </c>
      <c r="C175" s="0" t="e">
        <f aca="false">#REF!</f>
        <v>#REF!</v>
      </c>
      <c r="D175" s="0" t="e">
        <f aca="false">#REF!</f>
        <v>#REF!</v>
      </c>
      <c r="E175" s="0" t="e">
        <f aca="false">#REF!</f>
        <v>#REF!</v>
      </c>
      <c r="F175" s="0" t="e">
        <f aca="false">#REF!</f>
        <v>#REF!</v>
      </c>
      <c r="G175" s="0" t="e">
        <f aca="false">#REF!</f>
        <v>#REF!</v>
      </c>
      <c r="H175" s="0" t="e">
        <f aca="false">#REF!</f>
        <v>#REF!</v>
      </c>
      <c r="I175" s="0" t="e">
        <f aca="false">#REF!</f>
        <v>#REF!</v>
      </c>
      <c r="J175" s="0" t="e">
        <f aca="false">#REF!</f>
        <v>#REF!</v>
      </c>
      <c r="K175" s="0" t="e">
        <f aca="false">#REF!</f>
        <v>#REF!</v>
      </c>
      <c r="L175" s="0" t="e">
        <f aca="false">#REF!</f>
        <v>#REF!</v>
      </c>
      <c r="M175" s="0" t="e">
        <f aca="false">#REF!</f>
        <v>#REF!</v>
      </c>
    </row>
    <row r="176" customFormat="false" ht="13.5" hidden="false" customHeight="false" outlineLevel="0" collapsed="false">
      <c r="A176" s="0" t="s">
        <v>120</v>
      </c>
      <c r="B176" s="1" t="n">
        <v>44036</v>
      </c>
      <c r="C176" s="0" t="e">
        <f aca="false">#REF!</f>
        <v>#REF!</v>
      </c>
      <c r="D176" s="0" t="e">
        <f aca="false">#REF!</f>
        <v>#REF!</v>
      </c>
      <c r="E176" s="0" t="e">
        <f aca="false">#REF!</f>
        <v>#REF!</v>
      </c>
      <c r="F176" s="0" t="e">
        <f aca="false">#REF!</f>
        <v>#REF!</v>
      </c>
      <c r="G176" s="0" t="e">
        <f aca="false">#REF!</f>
        <v>#REF!</v>
      </c>
      <c r="H176" s="0" t="e">
        <f aca="false">#REF!</f>
        <v>#REF!</v>
      </c>
      <c r="I176" s="0" t="e">
        <f aca="false">#REF!</f>
        <v>#REF!</v>
      </c>
      <c r="J176" s="0" t="e">
        <f aca="false">#REF!</f>
        <v>#REF!</v>
      </c>
      <c r="K176" s="0" t="e">
        <f aca="false">#REF!</f>
        <v>#REF!</v>
      </c>
      <c r="L176" s="0" t="e">
        <f aca="false">#REF!</f>
        <v>#REF!</v>
      </c>
      <c r="M176" s="0" t="e">
        <f aca="false">#REF!</f>
        <v>#REF!</v>
      </c>
    </row>
    <row r="177" customFormat="false" ht="13.5" hidden="false" customHeight="false" outlineLevel="0" collapsed="false">
      <c r="A177" s="0" t="s">
        <v>120</v>
      </c>
      <c r="B177" s="1" t="n">
        <v>44037</v>
      </c>
      <c r="C177" s="0" t="e">
        <f aca="false">#REF!</f>
        <v>#REF!</v>
      </c>
      <c r="D177" s="0" t="e">
        <f aca="false">#REF!</f>
        <v>#REF!</v>
      </c>
      <c r="E177" s="0" t="e">
        <f aca="false">#REF!</f>
        <v>#REF!</v>
      </c>
      <c r="F177" s="0" t="e">
        <f aca="false">#REF!</f>
        <v>#REF!</v>
      </c>
      <c r="G177" s="0" t="e">
        <f aca="false">#REF!</f>
        <v>#REF!</v>
      </c>
      <c r="H177" s="0" t="e">
        <f aca="false">#REF!</f>
        <v>#REF!</v>
      </c>
      <c r="I177" s="0" t="e">
        <f aca="false">#REF!</f>
        <v>#REF!</v>
      </c>
      <c r="J177" s="0" t="e">
        <f aca="false">#REF!</f>
        <v>#REF!</v>
      </c>
      <c r="K177" s="0" t="e">
        <f aca="false">#REF!</f>
        <v>#REF!</v>
      </c>
      <c r="L177" s="0" t="e">
        <f aca="false">#REF!</f>
        <v>#REF!</v>
      </c>
      <c r="M177" s="0" t="e">
        <f aca="false">#REF!</f>
        <v>#REF!</v>
      </c>
    </row>
    <row r="178" customFormat="false" ht="13.5" hidden="false" customHeight="false" outlineLevel="0" collapsed="false">
      <c r="A178" s="0" t="s">
        <v>120</v>
      </c>
      <c r="B178" s="1" t="n">
        <v>44038</v>
      </c>
      <c r="C178" s="0" t="e">
        <f aca="false">#REF!</f>
        <v>#REF!</v>
      </c>
      <c r="D178" s="0" t="e">
        <f aca="false">#REF!</f>
        <v>#REF!</v>
      </c>
      <c r="E178" s="0" t="e">
        <f aca="false">#REF!</f>
        <v>#REF!</v>
      </c>
      <c r="F178" s="0" t="e">
        <f aca="false">#REF!</f>
        <v>#REF!</v>
      </c>
      <c r="G178" s="0" t="e">
        <f aca="false">#REF!</f>
        <v>#REF!</v>
      </c>
      <c r="H178" s="0" t="e">
        <f aca="false">#REF!</f>
        <v>#REF!</v>
      </c>
      <c r="I178" s="0" t="e">
        <f aca="false">#REF!</f>
        <v>#REF!</v>
      </c>
      <c r="J178" s="0" t="e">
        <f aca="false">#REF!</f>
        <v>#REF!</v>
      </c>
      <c r="K178" s="0" t="e">
        <f aca="false">#REF!</f>
        <v>#REF!</v>
      </c>
      <c r="L178" s="0" t="e">
        <f aca="false">#REF!</f>
        <v>#REF!</v>
      </c>
      <c r="M178" s="0" t="e">
        <f aca="false">#REF!</f>
        <v>#REF!</v>
      </c>
    </row>
    <row r="179" customFormat="false" ht="13.5" hidden="false" customHeight="false" outlineLevel="0" collapsed="false">
      <c r="A179" s="0" t="s">
        <v>120</v>
      </c>
      <c r="B179" s="1" t="n">
        <v>44039</v>
      </c>
      <c r="C179" s="0" t="e">
        <f aca="false">#REF!</f>
        <v>#REF!</v>
      </c>
      <c r="D179" s="0" t="e">
        <f aca="false">#REF!</f>
        <v>#REF!</v>
      </c>
      <c r="E179" s="0" t="e">
        <f aca="false">#REF!</f>
        <v>#REF!</v>
      </c>
      <c r="F179" s="0" t="e">
        <f aca="false">#REF!</f>
        <v>#REF!</v>
      </c>
      <c r="G179" s="0" t="e">
        <f aca="false">#REF!</f>
        <v>#REF!</v>
      </c>
      <c r="H179" s="0" t="e">
        <f aca="false">#REF!</f>
        <v>#REF!</v>
      </c>
      <c r="I179" s="0" t="e">
        <f aca="false">#REF!</f>
        <v>#REF!</v>
      </c>
      <c r="J179" s="0" t="e">
        <f aca="false">#REF!</f>
        <v>#REF!</v>
      </c>
      <c r="K179" s="0" t="e">
        <f aca="false">#REF!</f>
        <v>#REF!</v>
      </c>
      <c r="L179" s="0" t="e">
        <f aca="false">#REF!</f>
        <v>#REF!</v>
      </c>
      <c r="M179" s="0" t="e">
        <f aca="false">#REF!</f>
        <v>#REF!</v>
      </c>
    </row>
    <row r="180" customFormat="false" ht="13.5" hidden="false" customHeight="false" outlineLevel="0" collapsed="false">
      <c r="A180" s="0" t="s">
        <v>120</v>
      </c>
      <c r="B180" s="1" t="n">
        <v>44040</v>
      </c>
      <c r="C180" s="0" t="e">
        <f aca="false">#REF!</f>
        <v>#REF!</v>
      </c>
      <c r="D180" s="0" t="e">
        <f aca="false">#REF!</f>
        <v>#REF!</v>
      </c>
      <c r="E180" s="0" t="e">
        <f aca="false">#REF!</f>
        <v>#REF!</v>
      </c>
      <c r="F180" s="0" t="e">
        <f aca="false">#REF!</f>
        <v>#REF!</v>
      </c>
      <c r="G180" s="0" t="e">
        <f aca="false">#REF!</f>
        <v>#REF!</v>
      </c>
      <c r="H180" s="0" t="e">
        <f aca="false">#REF!</f>
        <v>#REF!</v>
      </c>
      <c r="I180" s="0" t="e">
        <f aca="false">#REF!</f>
        <v>#REF!</v>
      </c>
      <c r="J180" s="0" t="e">
        <f aca="false">#REF!</f>
        <v>#REF!</v>
      </c>
      <c r="K180" s="0" t="e">
        <f aca="false">#REF!</f>
        <v>#REF!</v>
      </c>
      <c r="L180" s="0" t="e">
        <f aca="false">#REF!</f>
        <v>#REF!</v>
      </c>
      <c r="M180" s="0" t="e">
        <f aca="false">#REF!</f>
        <v>#REF!</v>
      </c>
    </row>
    <row r="181" customFormat="false" ht="13.5" hidden="false" customHeight="false" outlineLevel="0" collapsed="false">
      <c r="A181" s="0" t="s">
        <v>120</v>
      </c>
      <c r="B181" s="1" t="n">
        <v>44041</v>
      </c>
      <c r="C181" s="0" t="e">
        <f aca="false">#REF!</f>
        <v>#REF!</v>
      </c>
      <c r="D181" s="0" t="e">
        <f aca="false">#REF!</f>
        <v>#REF!</v>
      </c>
      <c r="E181" s="0" t="e">
        <f aca="false">#REF!</f>
        <v>#REF!</v>
      </c>
      <c r="F181" s="0" t="e">
        <f aca="false">#REF!</f>
        <v>#REF!</v>
      </c>
      <c r="G181" s="0" t="e">
        <f aca="false">#REF!</f>
        <v>#REF!</v>
      </c>
      <c r="H181" s="0" t="e">
        <f aca="false">#REF!</f>
        <v>#REF!</v>
      </c>
      <c r="I181" s="0" t="e">
        <f aca="false">#REF!</f>
        <v>#REF!</v>
      </c>
      <c r="J181" s="0" t="e">
        <f aca="false">#REF!</f>
        <v>#REF!</v>
      </c>
      <c r="K181" s="0" t="e">
        <f aca="false">#REF!</f>
        <v>#REF!</v>
      </c>
      <c r="L181" s="0" t="e">
        <f aca="false">#REF!</f>
        <v>#REF!</v>
      </c>
      <c r="M181" s="0" t="e">
        <f aca="false">#REF!</f>
        <v>#REF!</v>
      </c>
    </row>
    <row r="182" customFormat="false" ht="13.5" hidden="false" customHeight="false" outlineLevel="0" collapsed="false">
      <c r="A182" s="0" t="s">
        <v>120</v>
      </c>
      <c r="B182" s="1" t="n">
        <v>44042</v>
      </c>
      <c r="C182" s="0" t="e">
        <f aca="false">#REF!</f>
        <v>#REF!</v>
      </c>
      <c r="D182" s="0" t="e">
        <f aca="false">#REF!</f>
        <v>#REF!</v>
      </c>
      <c r="E182" s="0" t="e">
        <f aca="false">#REF!</f>
        <v>#REF!</v>
      </c>
      <c r="F182" s="0" t="e">
        <f aca="false">#REF!</f>
        <v>#REF!</v>
      </c>
      <c r="G182" s="0" t="e">
        <f aca="false">#REF!</f>
        <v>#REF!</v>
      </c>
      <c r="H182" s="0" t="e">
        <f aca="false">#REF!</f>
        <v>#REF!</v>
      </c>
      <c r="I182" s="0" t="e">
        <f aca="false">#REF!</f>
        <v>#REF!</v>
      </c>
      <c r="J182" s="0" t="e">
        <f aca="false">#REF!</f>
        <v>#REF!</v>
      </c>
      <c r="K182" s="0" t="e">
        <f aca="false">#REF!</f>
        <v>#REF!</v>
      </c>
      <c r="L182" s="0" t="e">
        <f aca="false">#REF!</f>
        <v>#REF!</v>
      </c>
      <c r="M182" s="0" t="e">
        <f aca="false">#REF!</f>
        <v>#REF!</v>
      </c>
    </row>
    <row r="183" customFormat="false" ht="13.5" hidden="false" customHeight="false" outlineLevel="0" collapsed="false">
      <c r="A183" s="0" t="s">
        <v>120</v>
      </c>
      <c r="B183" s="1" t="n">
        <v>44043</v>
      </c>
      <c r="C183" s="0" t="e">
        <f aca="false">#REF!</f>
        <v>#REF!</v>
      </c>
      <c r="D183" s="0" t="e">
        <f aca="false">#REF!</f>
        <v>#REF!</v>
      </c>
      <c r="E183" s="0" t="e">
        <f aca="false">#REF!</f>
        <v>#REF!</v>
      </c>
      <c r="F183" s="0" t="e">
        <f aca="false">#REF!</f>
        <v>#REF!</v>
      </c>
      <c r="G183" s="0" t="e">
        <f aca="false">#REF!</f>
        <v>#REF!</v>
      </c>
      <c r="H183" s="0" t="e">
        <f aca="false">#REF!</f>
        <v>#REF!</v>
      </c>
      <c r="I183" s="0" t="e">
        <f aca="false">#REF!</f>
        <v>#REF!</v>
      </c>
      <c r="J183" s="0" t="e">
        <f aca="false">#REF!</f>
        <v>#REF!</v>
      </c>
      <c r="K183" s="0" t="e">
        <f aca="false">#REF!</f>
        <v>#REF!</v>
      </c>
      <c r="L183" s="0" t="e">
        <f aca="false">#REF!</f>
        <v>#REF!</v>
      </c>
      <c r="M183" s="0" t="e">
        <f aca="false">#REF!</f>
        <v>#REF!</v>
      </c>
    </row>
    <row r="184" customFormat="false" ht="13.5" hidden="false" customHeight="false" outlineLevel="0" collapsed="false">
      <c r="A184" s="0" t="s">
        <v>120</v>
      </c>
      <c r="B184" s="1" t="n">
        <v>44044</v>
      </c>
      <c r="C184" s="0" t="e">
        <f aca="false">#REF!</f>
        <v>#REF!</v>
      </c>
      <c r="D184" s="0" t="e">
        <f aca="false">#REF!</f>
        <v>#REF!</v>
      </c>
      <c r="E184" s="0" t="e">
        <f aca="false">#REF!</f>
        <v>#REF!</v>
      </c>
      <c r="F184" s="0" t="e">
        <f aca="false">#REF!</f>
        <v>#REF!</v>
      </c>
      <c r="G184" s="0" t="e">
        <f aca="false">#REF!</f>
        <v>#REF!</v>
      </c>
      <c r="H184" s="0" t="e">
        <f aca="false">#REF!</f>
        <v>#REF!</v>
      </c>
      <c r="I184" s="0" t="e">
        <f aca="false">#REF!</f>
        <v>#REF!</v>
      </c>
      <c r="J184" s="0" t="e">
        <f aca="false">#REF!</f>
        <v>#REF!</v>
      </c>
      <c r="K184" s="0" t="e">
        <f aca="false">#REF!</f>
        <v>#REF!</v>
      </c>
      <c r="L184" s="0" t="e">
        <f aca="false">#REF!</f>
        <v>#REF!</v>
      </c>
      <c r="M184" s="0" t="e">
        <f aca="false">#REF!</f>
        <v>#REF!</v>
      </c>
    </row>
    <row r="185" customFormat="false" ht="13.5" hidden="false" customHeight="false" outlineLevel="0" collapsed="false">
      <c r="A185" s="0" t="s">
        <v>120</v>
      </c>
      <c r="B185" s="1" t="n">
        <v>44045</v>
      </c>
      <c r="C185" s="0" t="e">
        <f aca="false">#REF!</f>
        <v>#REF!</v>
      </c>
      <c r="D185" s="0" t="e">
        <f aca="false">#REF!</f>
        <v>#REF!</v>
      </c>
      <c r="E185" s="0" t="e">
        <f aca="false">#REF!</f>
        <v>#REF!</v>
      </c>
      <c r="F185" s="0" t="e">
        <f aca="false">#REF!</f>
        <v>#REF!</v>
      </c>
      <c r="G185" s="0" t="e">
        <f aca="false">#REF!</f>
        <v>#REF!</v>
      </c>
      <c r="H185" s="0" t="e">
        <f aca="false">#REF!</f>
        <v>#REF!</v>
      </c>
      <c r="I185" s="0" t="e">
        <f aca="false">#REF!</f>
        <v>#REF!</v>
      </c>
      <c r="J185" s="0" t="e">
        <f aca="false">#REF!</f>
        <v>#REF!</v>
      </c>
      <c r="K185" s="0" t="e">
        <f aca="false">#REF!</f>
        <v>#REF!</v>
      </c>
      <c r="L185" s="0" t="e">
        <f aca="false">#REF!</f>
        <v>#REF!</v>
      </c>
      <c r="M185" s="0" t="e">
        <f aca="false">#REF!</f>
        <v>#REF!</v>
      </c>
    </row>
    <row r="186" customFormat="false" ht="13.5" hidden="false" customHeight="false" outlineLevel="0" collapsed="false">
      <c r="A186" s="0" t="s">
        <v>120</v>
      </c>
      <c r="B186" s="1" t="n">
        <v>44046</v>
      </c>
      <c r="C186" s="0" t="e">
        <f aca="false">#REF!</f>
        <v>#REF!</v>
      </c>
      <c r="D186" s="0" t="e">
        <f aca="false">#REF!</f>
        <v>#REF!</v>
      </c>
      <c r="E186" s="0" t="e">
        <f aca="false">#REF!</f>
        <v>#REF!</v>
      </c>
      <c r="F186" s="0" t="e">
        <f aca="false">#REF!</f>
        <v>#REF!</v>
      </c>
      <c r="G186" s="0" t="e">
        <f aca="false">#REF!</f>
        <v>#REF!</v>
      </c>
      <c r="H186" s="0" t="e">
        <f aca="false">#REF!</f>
        <v>#REF!</v>
      </c>
      <c r="I186" s="0" t="e">
        <f aca="false">#REF!</f>
        <v>#REF!</v>
      </c>
      <c r="J186" s="0" t="e">
        <f aca="false">#REF!</f>
        <v>#REF!</v>
      </c>
      <c r="K186" s="0" t="e">
        <f aca="false">#REF!</f>
        <v>#REF!</v>
      </c>
      <c r="L186" s="0" t="e">
        <f aca="false">#REF!</f>
        <v>#REF!</v>
      </c>
      <c r="M186" s="0" t="e">
        <f aca="false">#REF!</f>
        <v>#REF!</v>
      </c>
    </row>
    <row r="187" customFormat="false" ht="13.5" hidden="false" customHeight="false" outlineLevel="0" collapsed="false">
      <c r="A187" s="0" t="s">
        <v>120</v>
      </c>
      <c r="B187" s="1" t="n">
        <v>44047</v>
      </c>
      <c r="C187" s="0" t="e">
        <f aca="false">#REF!</f>
        <v>#REF!</v>
      </c>
      <c r="D187" s="0" t="e">
        <f aca="false">#REF!</f>
        <v>#REF!</v>
      </c>
      <c r="E187" s="0" t="e">
        <f aca="false">#REF!</f>
        <v>#REF!</v>
      </c>
      <c r="F187" s="0" t="e">
        <f aca="false">#REF!</f>
        <v>#REF!</v>
      </c>
      <c r="G187" s="0" t="e">
        <f aca="false">#REF!</f>
        <v>#REF!</v>
      </c>
      <c r="H187" s="0" t="e">
        <f aca="false">#REF!</f>
        <v>#REF!</v>
      </c>
      <c r="I187" s="0" t="e">
        <f aca="false">#REF!</f>
        <v>#REF!</v>
      </c>
      <c r="J187" s="0" t="e">
        <f aca="false">#REF!</f>
        <v>#REF!</v>
      </c>
      <c r="K187" s="0" t="e">
        <f aca="false">#REF!</f>
        <v>#REF!</v>
      </c>
      <c r="L187" s="0" t="e">
        <f aca="false">#REF!</f>
        <v>#REF!</v>
      </c>
      <c r="M187" s="0" t="e">
        <f aca="false">#REF!</f>
        <v>#REF!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48" colorId="64" zoomScale="100" zoomScaleNormal="100" zoomScalePageLayoutView="100" workbookViewId="0">
      <selection pane="topLeft" activeCell="C151" activeCellId="0" sqref="C151"/>
    </sheetView>
  </sheetViews>
  <sheetFormatPr defaultColWidth="8.9921875" defaultRowHeight="13.5" zeroHeight="false" outlineLevelRow="0" outlineLevelCol="0"/>
  <sheetData>
    <row r="1" customFormat="false" ht="28.5" hidden="false" customHeight="false" outlineLevel="0" collapsed="false">
      <c r="A1" s="3" t="s">
        <v>0</v>
      </c>
      <c r="B1" s="0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121</v>
      </c>
      <c r="B2" s="48" t="n">
        <v>43862</v>
      </c>
    </row>
    <row r="3" customFormat="false" ht="13.5" hidden="false" customHeight="false" outlineLevel="0" collapsed="false">
      <c r="A3" s="0" t="s">
        <v>121</v>
      </c>
      <c r="B3" s="48" t="n">
        <v>43863</v>
      </c>
    </row>
    <row r="4" customFormat="false" ht="13.5" hidden="false" customHeight="false" outlineLevel="0" collapsed="false">
      <c r="A4" s="0" t="s">
        <v>121</v>
      </c>
      <c r="B4" s="48" t="n">
        <v>43864</v>
      </c>
    </row>
    <row r="5" customFormat="false" ht="13.5" hidden="false" customHeight="false" outlineLevel="0" collapsed="false">
      <c r="A5" s="0" t="s">
        <v>121</v>
      </c>
      <c r="B5" s="48" t="n">
        <v>43865</v>
      </c>
    </row>
    <row r="6" customFormat="false" ht="13.5" hidden="false" customHeight="false" outlineLevel="0" collapsed="false">
      <c r="A6" s="0" t="s">
        <v>121</v>
      </c>
      <c r="B6" s="48" t="n">
        <v>43866</v>
      </c>
    </row>
    <row r="7" customFormat="false" ht="13.5" hidden="false" customHeight="false" outlineLevel="0" collapsed="false">
      <c r="A7" s="0" t="s">
        <v>121</v>
      </c>
      <c r="B7" s="48" t="n">
        <v>43867</v>
      </c>
    </row>
    <row r="8" customFormat="false" ht="13.5" hidden="false" customHeight="false" outlineLevel="0" collapsed="false">
      <c r="A8" s="0" t="s">
        <v>121</v>
      </c>
      <c r="B8" s="48" t="n">
        <v>43868</v>
      </c>
    </row>
    <row r="9" customFormat="false" ht="13.5" hidden="false" customHeight="false" outlineLevel="0" collapsed="false">
      <c r="A9" s="0" t="s">
        <v>121</v>
      </c>
      <c r="B9" s="48" t="n">
        <v>43869</v>
      </c>
    </row>
    <row r="10" customFormat="false" ht="13.5" hidden="false" customHeight="false" outlineLevel="0" collapsed="false">
      <c r="A10" s="0" t="s">
        <v>121</v>
      </c>
      <c r="B10" s="48" t="n">
        <v>43870</v>
      </c>
    </row>
    <row r="11" customFormat="false" ht="13.5" hidden="false" customHeight="false" outlineLevel="0" collapsed="false">
      <c r="A11" s="0" t="s">
        <v>121</v>
      </c>
      <c r="B11" s="48" t="n">
        <v>43871</v>
      </c>
    </row>
    <row r="12" customFormat="false" ht="13.5" hidden="false" customHeight="false" outlineLevel="0" collapsed="false">
      <c r="A12" s="0" t="s">
        <v>121</v>
      </c>
      <c r="B12" s="48" t="n">
        <v>43872</v>
      </c>
    </row>
    <row r="13" customFormat="false" ht="13.5" hidden="false" customHeight="false" outlineLevel="0" collapsed="false">
      <c r="A13" s="0" t="s">
        <v>121</v>
      </c>
      <c r="B13" s="48" t="n">
        <v>43873</v>
      </c>
    </row>
    <row r="14" customFormat="false" ht="13.5" hidden="false" customHeight="false" outlineLevel="0" collapsed="false">
      <c r="A14" s="0" t="s">
        <v>121</v>
      </c>
      <c r="B14" s="48" t="n">
        <v>43874</v>
      </c>
    </row>
    <row r="15" customFormat="false" ht="13.5" hidden="false" customHeight="false" outlineLevel="0" collapsed="false">
      <c r="A15" s="0" t="s">
        <v>121</v>
      </c>
      <c r="B15" s="48" t="n">
        <v>43875</v>
      </c>
    </row>
    <row r="16" customFormat="false" ht="13.5" hidden="false" customHeight="false" outlineLevel="0" collapsed="false">
      <c r="A16" s="0" t="s">
        <v>121</v>
      </c>
      <c r="B16" s="48" t="n">
        <v>43876</v>
      </c>
    </row>
    <row r="17" customFormat="false" ht="13.5" hidden="false" customHeight="false" outlineLevel="0" collapsed="false">
      <c r="A17" s="0" t="s">
        <v>121</v>
      </c>
      <c r="B17" s="48" t="n">
        <v>43877</v>
      </c>
    </row>
    <row r="18" customFormat="false" ht="13.5" hidden="false" customHeight="false" outlineLevel="0" collapsed="false">
      <c r="A18" s="0" t="s">
        <v>121</v>
      </c>
      <c r="B18" s="48" t="n">
        <v>43878</v>
      </c>
    </row>
    <row r="19" customFormat="false" ht="13.5" hidden="false" customHeight="false" outlineLevel="0" collapsed="false">
      <c r="A19" s="0" t="s">
        <v>121</v>
      </c>
      <c r="B19" s="48" t="n">
        <v>43879</v>
      </c>
    </row>
    <row r="20" customFormat="false" ht="13.5" hidden="false" customHeight="false" outlineLevel="0" collapsed="false">
      <c r="A20" s="0" t="s">
        <v>121</v>
      </c>
      <c r="B20" s="48" t="n">
        <v>43880</v>
      </c>
    </row>
    <row r="21" customFormat="false" ht="13.5" hidden="false" customHeight="false" outlineLevel="0" collapsed="false">
      <c r="A21" s="0" t="s">
        <v>121</v>
      </c>
      <c r="B21" s="48" t="n">
        <v>43881</v>
      </c>
    </row>
    <row r="22" customFormat="false" ht="13.5" hidden="false" customHeight="false" outlineLevel="0" collapsed="false">
      <c r="A22" s="0" t="s">
        <v>121</v>
      </c>
      <c r="B22" s="48" t="n">
        <v>43882</v>
      </c>
    </row>
    <row r="23" customFormat="false" ht="13.5" hidden="false" customHeight="false" outlineLevel="0" collapsed="false">
      <c r="A23" s="0" t="s">
        <v>121</v>
      </c>
      <c r="B23" s="48" t="n">
        <v>43883</v>
      </c>
    </row>
    <row r="24" customFormat="false" ht="13.5" hidden="false" customHeight="false" outlineLevel="0" collapsed="false">
      <c r="A24" s="0" t="s">
        <v>121</v>
      </c>
      <c r="B24" s="48" t="n">
        <v>43884</v>
      </c>
    </row>
    <row r="25" customFormat="false" ht="13.5" hidden="false" customHeight="false" outlineLevel="0" collapsed="false">
      <c r="A25" s="0" t="s">
        <v>121</v>
      </c>
      <c r="B25" s="48" t="n">
        <v>43885</v>
      </c>
    </row>
    <row r="26" customFormat="false" ht="13.5" hidden="false" customHeight="false" outlineLevel="0" collapsed="false">
      <c r="A26" s="0" t="s">
        <v>121</v>
      </c>
      <c r="B26" s="48" t="n">
        <v>43886</v>
      </c>
    </row>
    <row r="27" customFormat="false" ht="13.5" hidden="false" customHeight="false" outlineLevel="0" collapsed="false">
      <c r="A27" s="0" t="s">
        <v>121</v>
      </c>
      <c r="B27" s="48" t="n">
        <v>43887</v>
      </c>
    </row>
    <row r="28" customFormat="false" ht="13.5" hidden="false" customHeight="false" outlineLevel="0" collapsed="false">
      <c r="A28" s="0" t="s">
        <v>121</v>
      </c>
      <c r="B28" s="48" t="n">
        <v>43888</v>
      </c>
    </row>
    <row r="29" customFormat="false" ht="13.5" hidden="false" customHeight="false" outlineLevel="0" collapsed="false">
      <c r="A29" s="0" t="s">
        <v>121</v>
      </c>
      <c r="B29" s="48" t="n">
        <v>43889</v>
      </c>
    </row>
    <row r="30" customFormat="false" ht="13.5" hidden="false" customHeight="false" outlineLevel="0" collapsed="false">
      <c r="A30" s="0" t="s">
        <v>121</v>
      </c>
      <c r="B30" s="48" t="n">
        <v>43890</v>
      </c>
    </row>
    <row r="31" customFormat="false" ht="13.5" hidden="false" customHeight="false" outlineLevel="0" collapsed="false">
      <c r="A31" s="0" t="s">
        <v>121</v>
      </c>
      <c r="B31" s="48" t="n">
        <v>43891</v>
      </c>
    </row>
    <row r="32" customFormat="false" ht="13.5" hidden="false" customHeight="false" outlineLevel="0" collapsed="false">
      <c r="A32" s="0" t="s">
        <v>121</v>
      </c>
      <c r="B32" s="48" t="n">
        <v>43892</v>
      </c>
    </row>
    <row r="33" customFormat="false" ht="13.5" hidden="false" customHeight="false" outlineLevel="0" collapsed="false">
      <c r="A33" s="0" t="s">
        <v>121</v>
      </c>
      <c r="B33" s="48" t="n">
        <v>43893</v>
      </c>
    </row>
    <row r="34" customFormat="false" ht="13.5" hidden="false" customHeight="false" outlineLevel="0" collapsed="false">
      <c r="A34" s="0" t="s">
        <v>121</v>
      </c>
      <c r="B34" s="48" t="n">
        <v>43894</v>
      </c>
    </row>
    <row r="35" customFormat="false" ht="13.5" hidden="false" customHeight="false" outlineLevel="0" collapsed="false">
      <c r="A35" s="0" t="s">
        <v>121</v>
      </c>
      <c r="B35" s="48" t="n">
        <v>43895</v>
      </c>
    </row>
    <row r="36" customFormat="false" ht="13.5" hidden="false" customHeight="false" outlineLevel="0" collapsed="false">
      <c r="A36" s="0" t="s">
        <v>121</v>
      </c>
      <c r="B36" s="48" t="n">
        <v>43896</v>
      </c>
    </row>
    <row r="37" customFormat="false" ht="13.5" hidden="false" customHeight="false" outlineLevel="0" collapsed="false">
      <c r="A37" s="0" t="s">
        <v>121</v>
      </c>
      <c r="B37" s="48" t="n">
        <v>43897</v>
      </c>
    </row>
    <row r="38" customFormat="false" ht="13.5" hidden="false" customHeight="false" outlineLevel="0" collapsed="false">
      <c r="A38" s="0" t="s">
        <v>121</v>
      </c>
      <c r="B38" s="48" t="n">
        <v>43898</v>
      </c>
    </row>
    <row r="39" customFormat="false" ht="13.5" hidden="false" customHeight="false" outlineLevel="0" collapsed="false">
      <c r="A39" s="0" t="s">
        <v>121</v>
      </c>
      <c r="B39" s="48" t="n">
        <v>43899</v>
      </c>
    </row>
    <row r="40" customFormat="false" ht="13.5" hidden="false" customHeight="false" outlineLevel="0" collapsed="false">
      <c r="A40" s="0" t="s">
        <v>121</v>
      </c>
      <c r="B40" s="48" t="n">
        <v>43900</v>
      </c>
    </row>
    <row r="41" customFormat="false" ht="13.5" hidden="false" customHeight="false" outlineLevel="0" collapsed="false">
      <c r="A41" s="0" t="s">
        <v>121</v>
      </c>
      <c r="B41" s="48" t="n">
        <v>43901</v>
      </c>
    </row>
    <row r="42" customFormat="false" ht="13.5" hidden="false" customHeight="false" outlineLevel="0" collapsed="false">
      <c r="A42" s="0" t="s">
        <v>121</v>
      </c>
      <c r="B42" s="48" t="n">
        <v>43902</v>
      </c>
    </row>
    <row r="43" customFormat="false" ht="13.5" hidden="false" customHeight="false" outlineLevel="0" collapsed="false">
      <c r="A43" s="0" t="s">
        <v>121</v>
      </c>
      <c r="B43" s="48" t="n">
        <v>43903</v>
      </c>
    </row>
    <row r="44" customFormat="false" ht="13.5" hidden="false" customHeight="false" outlineLevel="0" collapsed="false">
      <c r="A44" s="0" t="s">
        <v>121</v>
      </c>
      <c r="B44" s="48" t="n">
        <v>43904</v>
      </c>
    </row>
    <row r="45" customFormat="false" ht="13.5" hidden="false" customHeight="false" outlineLevel="0" collapsed="false">
      <c r="A45" s="0" t="s">
        <v>121</v>
      </c>
      <c r="B45" s="48" t="n">
        <v>43905</v>
      </c>
    </row>
    <row r="46" customFormat="false" ht="13.5" hidden="false" customHeight="false" outlineLevel="0" collapsed="false">
      <c r="A46" s="0" t="s">
        <v>121</v>
      </c>
      <c r="B46" s="48" t="n">
        <v>43906</v>
      </c>
      <c r="C46" s="0" t="n">
        <v>1</v>
      </c>
      <c r="D46" s="0" t="n">
        <f aca="false">C46-C45</f>
        <v>1</v>
      </c>
      <c r="H46" s="0" t="n">
        <v>1</v>
      </c>
      <c r="J46" s="0" t="n">
        <v>0.7</v>
      </c>
    </row>
    <row r="47" customFormat="false" ht="13.5" hidden="false" customHeight="false" outlineLevel="0" collapsed="false">
      <c r="A47" s="0" t="s">
        <v>121</v>
      </c>
      <c r="B47" s="48" t="n">
        <v>43907</v>
      </c>
      <c r="C47" s="0" t="n">
        <v>1</v>
      </c>
      <c r="D47" s="0" t="n">
        <f aca="false">C47-C46</f>
        <v>0</v>
      </c>
      <c r="H47" s="0" t="n">
        <v>1</v>
      </c>
      <c r="J47" s="0" t="n">
        <v>0.7</v>
      </c>
    </row>
    <row r="48" customFormat="false" ht="13.5" hidden="false" customHeight="false" outlineLevel="0" collapsed="false">
      <c r="A48" s="0" t="s">
        <v>121</v>
      </c>
      <c r="B48" s="48" t="n">
        <v>43908</v>
      </c>
      <c r="C48" s="0" t="n">
        <v>1</v>
      </c>
      <c r="D48" s="0" t="n">
        <f aca="false">C48-C47</f>
        <v>0</v>
      </c>
      <c r="H48" s="0" t="n">
        <v>1</v>
      </c>
      <c r="J48" s="0" t="n">
        <v>0.7</v>
      </c>
    </row>
    <row r="49" customFormat="false" ht="13.5" hidden="false" customHeight="false" outlineLevel="0" collapsed="false">
      <c r="A49" s="0" t="s">
        <v>121</v>
      </c>
      <c r="B49" s="48" t="n">
        <v>43909</v>
      </c>
      <c r="C49" s="0" t="n">
        <v>4</v>
      </c>
      <c r="D49" s="0" t="n">
        <f aca="false">C49-C48</f>
        <v>3</v>
      </c>
      <c r="H49" s="0" t="n">
        <v>4</v>
      </c>
      <c r="J49" s="0" t="n">
        <v>3</v>
      </c>
    </row>
    <row r="50" customFormat="false" ht="13.5" hidden="false" customHeight="false" outlineLevel="0" collapsed="false">
      <c r="A50" s="0" t="s">
        <v>121</v>
      </c>
      <c r="B50" s="48" t="n">
        <v>43910</v>
      </c>
      <c r="C50" s="0" t="n">
        <v>6</v>
      </c>
      <c r="D50" s="0" t="n">
        <f aca="false">C50-C49</f>
        <v>2</v>
      </c>
      <c r="H50" s="0" t="n">
        <v>6</v>
      </c>
      <c r="J50" s="0" t="n">
        <v>4</v>
      </c>
    </row>
    <row r="51" customFormat="false" ht="13.5" hidden="false" customHeight="false" outlineLevel="0" collapsed="false">
      <c r="A51" s="0" t="s">
        <v>121</v>
      </c>
      <c r="B51" s="48" t="n">
        <v>43911</v>
      </c>
      <c r="C51" s="0" t="n">
        <v>6</v>
      </c>
      <c r="D51" s="0" t="n">
        <f aca="false">C51-C50</f>
        <v>0</v>
      </c>
      <c r="H51" s="0" t="n">
        <v>6</v>
      </c>
      <c r="J51" s="0" t="n">
        <v>4</v>
      </c>
    </row>
    <row r="52" customFormat="false" ht="13.5" hidden="false" customHeight="false" outlineLevel="0" collapsed="false">
      <c r="A52" s="0" t="s">
        <v>121</v>
      </c>
      <c r="B52" s="48" t="n">
        <v>43912</v>
      </c>
      <c r="C52" s="0" t="n">
        <v>6</v>
      </c>
      <c r="D52" s="0" t="n">
        <f aca="false">C52-C51</f>
        <v>0</v>
      </c>
      <c r="H52" s="0" t="n">
        <v>6</v>
      </c>
      <c r="J52" s="0" t="n">
        <v>4</v>
      </c>
    </row>
    <row r="53" customFormat="false" ht="13.5" hidden="false" customHeight="false" outlineLevel="0" collapsed="false">
      <c r="A53" s="0" t="s">
        <v>121</v>
      </c>
      <c r="B53" s="48" t="n">
        <v>43913</v>
      </c>
      <c r="C53" s="0" t="n">
        <v>6</v>
      </c>
      <c r="D53" s="0" t="n">
        <f aca="false">C53-C52</f>
        <v>0</v>
      </c>
      <c r="H53" s="0" t="n">
        <v>6</v>
      </c>
      <c r="J53" s="0" t="n">
        <v>4</v>
      </c>
    </row>
    <row r="54" customFormat="false" ht="13.5" hidden="false" customHeight="false" outlineLevel="0" collapsed="false">
      <c r="A54" s="0" t="s">
        <v>121</v>
      </c>
      <c r="B54" s="48" t="n">
        <v>43914</v>
      </c>
      <c r="C54" s="0" t="n">
        <v>9</v>
      </c>
      <c r="D54" s="0" t="n">
        <f aca="false">C54-C53</f>
        <v>3</v>
      </c>
      <c r="H54" s="0" t="n">
        <v>9</v>
      </c>
      <c r="J54" s="0" t="n">
        <v>6</v>
      </c>
    </row>
    <row r="55" customFormat="false" ht="13.5" hidden="false" customHeight="false" outlineLevel="0" collapsed="false">
      <c r="A55" s="0" t="s">
        <v>121</v>
      </c>
      <c r="B55" s="48" t="n">
        <v>43915</v>
      </c>
      <c r="C55" s="0" t="n">
        <v>9</v>
      </c>
      <c r="D55" s="0" t="n">
        <f aca="false">C55-C54</f>
        <v>0</v>
      </c>
      <c r="H55" s="0" t="n">
        <v>9</v>
      </c>
      <c r="J55" s="0" t="n">
        <v>6</v>
      </c>
    </row>
    <row r="56" customFormat="false" ht="13.5" hidden="false" customHeight="false" outlineLevel="0" collapsed="false">
      <c r="A56" s="0" t="s">
        <v>121</v>
      </c>
      <c r="B56" s="48" t="n">
        <v>43916</v>
      </c>
      <c r="C56" s="0" t="n">
        <v>9</v>
      </c>
      <c r="D56" s="0" t="n">
        <f aca="false">C56-C55</f>
        <v>0</v>
      </c>
      <c r="H56" s="0" t="n">
        <v>9</v>
      </c>
      <c r="J56" s="0" t="n">
        <v>6</v>
      </c>
    </row>
    <row r="57" customFormat="false" ht="13.5" hidden="false" customHeight="false" outlineLevel="0" collapsed="false">
      <c r="A57" s="0" t="s">
        <v>121</v>
      </c>
      <c r="B57" s="48" t="n">
        <v>43917</v>
      </c>
      <c r="C57" s="0" t="n">
        <v>12</v>
      </c>
      <c r="D57" s="0" t="n">
        <f aca="false">C57-C56</f>
        <v>3</v>
      </c>
      <c r="H57" s="0" t="n">
        <v>12</v>
      </c>
      <c r="J57" s="0" t="n">
        <v>9</v>
      </c>
    </row>
    <row r="58" customFormat="false" ht="13.5" hidden="false" customHeight="false" outlineLevel="0" collapsed="false">
      <c r="A58" s="0" t="s">
        <v>121</v>
      </c>
      <c r="B58" s="48" t="n">
        <v>43918</v>
      </c>
      <c r="C58" s="0" t="n">
        <v>12</v>
      </c>
      <c r="D58" s="0" t="n">
        <f aca="false">C58-C57</f>
        <v>0</v>
      </c>
      <c r="H58" s="0" t="n">
        <v>12</v>
      </c>
      <c r="J58" s="0" t="n">
        <v>9</v>
      </c>
    </row>
    <row r="59" customFormat="false" ht="13.5" hidden="false" customHeight="false" outlineLevel="0" collapsed="false">
      <c r="A59" s="0" t="s">
        <v>121</v>
      </c>
      <c r="B59" s="48" t="n">
        <v>43919</v>
      </c>
      <c r="C59" s="0" t="n">
        <v>12</v>
      </c>
      <c r="D59" s="0" t="n">
        <f aca="false">C59-C58</f>
        <v>0</v>
      </c>
      <c r="H59" s="0" t="n">
        <v>12</v>
      </c>
      <c r="J59" s="0" t="n">
        <v>9</v>
      </c>
    </row>
    <row r="60" customFormat="false" ht="13.5" hidden="false" customHeight="false" outlineLevel="0" collapsed="false">
      <c r="A60" s="0" t="s">
        <v>121</v>
      </c>
      <c r="B60" s="48" t="n">
        <v>43920</v>
      </c>
      <c r="C60" s="0" t="n">
        <v>12</v>
      </c>
      <c r="D60" s="0" t="n">
        <f aca="false">C60-C59</f>
        <v>0</v>
      </c>
      <c r="H60" s="0" t="n">
        <v>12</v>
      </c>
      <c r="J60" s="0" t="n">
        <v>9</v>
      </c>
    </row>
    <row r="61" customFormat="false" ht="13.5" hidden="false" customHeight="false" outlineLevel="0" collapsed="false">
      <c r="A61" s="0" t="s">
        <v>121</v>
      </c>
      <c r="B61" s="48" t="n">
        <v>43921</v>
      </c>
      <c r="C61" s="0" t="n">
        <v>12</v>
      </c>
      <c r="D61" s="0" t="n">
        <f aca="false">C61-C60</f>
        <v>0</v>
      </c>
      <c r="H61" s="0" t="n">
        <v>12</v>
      </c>
      <c r="J61" s="0" t="n">
        <v>9</v>
      </c>
    </row>
    <row r="62" customFormat="false" ht="13.5" hidden="false" customHeight="false" outlineLevel="0" collapsed="false">
      <c r="A62" s="0" t="s">
        <v>121</v>
      </c>
      <c r="B62" s="48" t="n">
        <v>43922</v>
      </c>
      <c r="C62" s="0" t="n">
        <v>12</v>
      </c>
      <c r="D62" s="0" t="n">
        <f aca="false">C62-C61</f>
        <v>0</v>
      </c>
      <c r="G62" s="0" t="n">
        <v>1</v>
      </c>
      <c r="H62" s="0" t="n">
        <v>11</v>
      </c>
      <c r="J62" s="0" t="n">
        <v>9</v>
      </c>
    </row>
    <row r="63" customFormat="false" ht="13.5" hidden="false" customHeight="false" outlineLevel="0" collapsed="false">
      <c r="A63" s="0" t="s">
        <v>121</v>
      </c>
      <c r="B63" s="48" t="n">
        <v>43923</v>
      </c>
      <c r="C63" s="0" t="n">
        <v>15</v>
      </c>
      <c r="D63" s="0" t="n">
        <f aca="false">C63-C62</f>
        <v>3</v>
      </c>
      <c r="G63" s="0" t="n">
        <v>1</v>
      </c>
      <c r="H63" s="0" t="n">
        <v>14</v>
      </c>
      <c r="J63" s="0" t="n">
        <v>11</v>
      </c>
    </row>
    <row r="64" customFormat="false" ht="13.5" hidden="false" customHeight="false" outlineLevel="0" collapsed="false">
      <c r="A64" s="0" t="s">
        <v>121</v>
      </c>
      <c r="B64" s="48" t="n">
        <v>43924</v>
      </c>
      <c r="C64" s="0" t="n">
        <v>15</v>
      </c>
      <c r="D64" s="0" t="n">
        <f aca="false">C64-C63</f>
        <v>0</v>
      </c>
      <c r="G64" s="0" t="n">
        <v>1</v>
      </c>
      <c r="H64" s="0" t="n">
        <v>14</v>
      </c>
      <c r="J64" s="0" t="n">
        <v>11</v>
      </c>
    </row>
    <row r="65" customFormat="false" ht="13.5" hidden="false" customHeight="false" outlineLevel="0" collapsed="false">
      <c r="A65" s="0" t="s">
        <v>121</v>
      </c>
      <c r="B65" s="48" t="n">
        <v>43925</v>
      </c>
      <c r="C65" s="0" t="n">
        <v>16</v>
      </c>
      <c r="D65" s="0" t="n">
        <f aca="false">C65-C64</f>
        <v>1</v>
      </c>
      <c r="G65" s="0" t="n">
        <v>1</v>
      </c>
      <c r="H65" s="0" t="n">
        <v>15</v>
      </c>
      <c r="J65" s="0" t="n">
        <v>11</v>
      </c>
    </row>
    <row r="66" customFormat="false" ht="13.5" hidden="false" customHeight="false" outlineLevel="0" collapsed="false">
      <c r="A66" s="0" t="s">
        <v>121</v>
      </c>
      <c r="B66" s="48" t="n">
        <v>43926</v>
      </c>
      <c r="C66" s="0" t="n">
        <v>16</v>
      </c>
      <c r="D66" s="0" t="n">
        <f aca="false">C66-C65</f>
        <v>0</v>
      </c>
      <c r="G66" s="0" t="n">
        <v>1</v>
      </c>
      <c r="H66" s="0" t="n">
        <v>15</v>
      </c>
      <c r="J66" s="0" t="n">
        <v>11</v>
      </c>
    </row>
    <row r="67" customFormat="false" ht="13.5" hidden="false" customHeight="false" outlineLevel="0" collapsed="false">
      <c r="A67" s="0" t="s">
        <v>121</v>
      </c>
      <c r="B67" s="48" t="n">
        <v>43927</v>
      </c>
      <c r="C67" s="0" t="n">
        <v>16</v>
      </c>
      <c r="D67" s="0" t="n">
        <f aca="false">C67-C66</f>
        <v>0</v>
      </c>
      <c r="G67" s="0" t="n">
        <v>1</v>
      </c>
      <c r="H67" s="0" t="n">
        <v>15</v>
      </c>
      <c r="J67" s="0" t="n">
        <v>11</v>
      </c>
    </row>
    <row r="68" customFormat="false" ht="13.5" hidden="false" customHeight="false" outlineLevel="0" collapsed="false">
      <c r="A68" s="0" t="s">
        <v>121</v>
      </c>
      <c r="B68" s="48" t="n">
        <v>43928</v>
      </c>
      <c r="C68" s="0" t="n">
        <v>16</v>
      </c>
      <c r="D68" s="0" t="n">
        <f aca="false">C68-C67</f>
        <v>0</v>
      </c>
      <c r="G68" s="0" t="n">
        <v>3</v>
      </c>
      <c r="H68" s="0" t="n">
        <v>13</v>
      </c>
      <c r="J68" s="0" t="n">
        <v>11</v>
      </c>
      <c r="L68" s="0" t="n">
        <v>854</v>
      </c>
      <c r="M68" s="0" t="n">
        <v>609</v>
      </c>
    </row>
    <row r="69" customFormat="false" ht="13.5" hidden="false" customHeight="false" outlineLevel="0" collapsed="false">
      <c r="A69" s="0" t="s">
        <v>121</v>
      </c>
      <c r="B69" s="48" t="n">
        <v>43929</v>
      </c>
      <c r="C69" s="0" t="n">
        <v>16</v>
      </c>
      <c r="D69" s="0" t="n">
        <f aca="false">C69-C68</f>
        <v>0</v>
      </c>
      <c r="G69" s="0" t="n">
        <v>3</v>
      </c>
      <c r="H69" s="0" t="n">
        <v>13</v>
      </c>
      <c r="J69" s="0" t="n">
        <v>11</v>
      </c>
      <c r="L69" s="0" t="n">
        <v>854</v>
      </c>
      <c r="M69" s="0" t="n">
        <v>609</v>
      </c>
    </row>
    <row r="70" customFormat="false" ht="13.5" hidden="false" customHeight="false" outlineLevel="0" collapsed="false">
      <c r="A70" s="0" t="s">
        <v>121</v>
      </c>
      <c r="B70" s="48" t="n">
        <v>43930</v>
      </c>
      <c r="C70" s="0" t="n">
        <v>18</v>
      </c>
      <c r="D70" s="0" t="n">
        <f aca="false">C70-C69</f>
        <v>2</v>
      </c>
      <c r="G70" s="0" t="n">
        <v>3</v>
      </c>
      <c r="H70" s="0" t="n">
        <v>15</v>
      </c>
      <c r="J70" s="0" t="n">
        <v>13</v>
      </c>
      <c r="L70" s="0" t="n">
        <v>854</v>
      </c>
      <c r="M70" s="0" t="n">
        <v>609</v>
      </c>
    </row>
    <row r="71" customFormat="false" ht="13.5" hidden="false" customHeight="false" outlineLevel="0" collapsed="false">
      <c r="A71" s="0" t="s">
        <v>121</v>
      </c>
      <c r="B71" s="48" t="n">
        <v>43931</v>
      </c>
      <c r="C71" s="0" t="n">
        <v>18</v>
      </c>
      <c r="D71" s="0" t="n">
        <f aca="false">C71-C70</f>
        <v>0</v>
      </c>
      <c r="G71" s="0" t="n">
        <v>3</v>
      </c>
      <c r="H71" s="0" t="n">
        <v>15</v>
      </c>
      <c r="J71" s="0" t="n">
        <v>13</v>
      </c>
      <c r="L71" s="0" t="n">
        <v>854</v>
      </c>
      <c r="M71" s="0" t="n">
        <v>609</v>
      </c>
    </row>
    <row r="72" customFormat="false" ht="13.5" hidden="false" customHeight="false" outlineLevel="0" collapsed="false">
      <c r="A72" s="0" t="s">
        <v>121</v>
      </c>
      <c r="B72" s="48" t="n">
        <v>43932</v>
      </c>
      <c r="C72" s="0" t="n">
        <v>18</v>
      </c>
      <c r="D72" s="0" t="n">
        <f aca="false">C72-C71</f>
        <v>0</v>
      </c>
      <c r="G72" s="0" t="n">
        <v>3</v>
      </c>
      <c r="H72" s="0" t="n">
        <v>15</v>
      </c>
      <c r="J72" s="0" t="n">
        <v>13</v>
      </c>
      <c r="L72" s="0" t="n">
        <v>854</v>
      </c>
      <c r="M72" s="0" t="n">
        <v>609</v>
      </c>
    </row>
    <row r="73" customFormat="false" ht="13.5" hidden="false" customHeight="false" outlineLevel="0" collapsed="false">
      <c r="A73" s="0" t="s">
        <v>121</v>
      </c>
      <c r="B73" s="48" t="n">
        <v>43933</v>
      </c>
      <c r="C73" s="0" t="n">
        <v>18</v>
      </c>
      <c r="D73" s="0" t="n">
        <f aca="false">C73-C72</f>
        <v>0</v>
      </c>
      <c r="G73" s="0" t="n">
        <v>3</v>
      </c>
      <c r="H73" s="0" t="n">
        <v>15</v>
      </c>
      <c r="J73" s="0" t="n">
        <v>13</v>
      </c>
      <c r="L73" s="0" t="n">
        <v>854</v>
      </c>
      <c r="M73" s="0" t="n">
        <v>609</v>
      </c>
    </row>
    <row r="74" customFormat="false" ht="13.5" hidden="false" customHeight="false" outlineLevel="0" collapsed="false">
      <c r="A74" s="0" t="s">
        <v>121</v>
      </c>
      <c r="B74" s="48" t="n">
        <v>43934</v>
      </c>
      <c r="C74" s="0" t="n">
        <v>21</v>
      </c>
      <c r="D74" s="0" t="n">
        <f aca="false">C74-C73</f>
        <v>3</v>
      </c>
      <c r="G74" s="0" t="n">
        <v>3</v>
      </c>
      <c r="H74" s="0" t="n">
        <v>18</v>
      </c>
      <c r="J74" s="0" t="n">
        <v>15</v>
      </c>
      <c r="L74" s="0" t="n">
        <v>854</v>
      </c>
      <c r="M74" s="0" t="n">
        <v>609</v>
      </c>
    </row>
    <row r="75" customFormat="false" ht="13.5" hidden="false" customHeight="false" outlineLevel="0" collapsed="false">
      <c r="A75" s="0" t="s">
        <v>121</v>
      </c>
      <c r="B75" s="48" t="n">
        <v>43935</v>
      </c>
      <c r="C75" s="0" t="n">
        <v>21</v>
      </c>
      <c r="D75" s="0" t="n">
        <f aca="false">C75-C74</f>
        <v>0</v>
      </c>
      <c r="E75" s="0" t="n">
        <v>0</v>
      </c>
      <c r="F75" s="0" t="n">
        <v>0</v>
      </c>
      <c r="G75" s="0" t="n">
        <v>4</v>
      </c>
      <c r="H75" s="0" t="n">
        <v>17</v>
      </c>
      <c r="I75" s="0" t="n">
        <v>0</v>
      </c>
      <c r="J75" s="0" t="n">
        <v>15</v>
      </c>
      <c r="K75" s="0" t="n">
        <v>0</v>
      </c>
      <c r="L75" s="0" t="n">
        <v>854</v>
      </c>
      <c r="M75" s="0" t="n">
        <v>609</v>
      </c>
    </row>
    <row r="76" customFormat="false" ht="13.5" hidden="false" customHeight="false" outlineLevel="0" collapsed="false">
      <c r="A76" s="0" t="s">
        <v>121</v>
      </c>
      <c r="B76" s="48" t="n">
        <v>43936</v>
      </c>
      <c r="C76" s="0" t="n">
        <v>41</v>
      </c>
      <c r="D76" s="0" t="n">
        <f aca="false">C76-C75</f>
        <v>20</v>
      </c>
      <c r="E76" s="0" t="n">
        <v>0</v>
      </c>
      <c r="F76" s="0" t="n">
        <v>0</v>
      </c>
      <c r="G76" s="0" t="n">
        <v>4</v>
      </c>
      <c r="H76" s="0" t="n">
        <v>37</v>
      </c>
      <c r="I76" s="0" t="n">
        <v>0</v>
      </c>
      <c r="J76" s="0" t="n">
        <v>29</v>
      </c>
      <c r="K76" s="0" t="n">
        <v>0</v>
      </c>
      <c r="L76" s="0" t="n">
        <v>854</v>
      </c>
      <c r="M76" s="0" t="n">
        <v>609</v>
      </c>
    </row>
    <row r="77" customFormat="false" ht="13.5" hidden="false" customHeight="false" outlineLevel="0" collapsed="false">
      <c r="A77" s="0" t="s">
        <v>121</v>
      </c>
      <c r="B77" s="48" t="n">
        <v>43937</v>
      </c>
      <c r="C77" s="0" t="n">
        <v>51</v>
      </c>
      <c r="D77" s="0" t="n">
        <f aca="false">C77-C76</f>
        <v>10</v>
      </c>
      <c r="E77" s="0" t="n">
        <v>0</v>
      </c>
      <c r="F77" s="0" t="n">
        <v>0</v>
      </c>
      <c r="G77" s="0" t="n">
        <v>4</v>
      </c>
      <c r="H77" s="0" t="n">
        <v>47</v>
      </c>
      <c r="I77" s="0" t="n">
        <v>0</v>
      </c>
      <c r="J77" s="0" t="n">
        <v>36</v>
      </c>
      <c r="K77" s="0" t="n">
        <v>0</v>
      </c>
      <c r="L77" s="0" t="n">
        <v>854</v>
      </c>
      <c r="M77" s="0" t="n">
        <v>609</v>
      </c>
    </row>
    <row r="78" customFormat="false" ht="13.5" hidden="false" customHeight="false" outlineLevel="0" collapsed="false">
      <c r="A78" s="0" t="s">
        <v>121</v>
      </c>
      <c r="B78" s="48" t="n">
        <v>43938</v>
      </c>
      <c r="C78" s="0" t="n">
        <v>51</v>
      </c>
      <c r="D78" s="0" t="n">
        <f aca="false">C78-C77</f>
        <v>0</v>
      </c>
      <c r="E78" s="0" t="n">
        <v>0</v>
      </c>
      <c r="F78" s="0" t="n">
        <v>0</v>
      </c>
      <c r="G78" s="0" t="n">
        <v>4</v>
      </c>
      <c r="H78" s="0" t="n">
        <v>47</v>
      </c>
      <c r="I78" s="0" t="n">
        <v>0</v>
      </c>
      <c r="J78" s="0" t="n">
        <v>36</v>
      </c>
      <c r="K78" s="0" t="n">
        <v>0</v>
      </c>
      <c r="L78" s="0" t="n">
        <v>854</v>
      </c>
      <c r="M78" s="0" t="n">
        <v>609</v>
      </c>
    </row>
    <row r="79" customFormat="false" ht="13.5" hidden="false" customHeight="false" outlineLevel="0" collapsed="false">
      <c r="A79" s="0" t="s">
        <v>121</v>
      </c>
      <c r="B79" s="48" t="n">
        <v>43939</v>
      </c>
      <c r="C79" s="0" t="n">
        <v>79</v>
      </c>
      <c r="D79" s="0" t="n">
        <f aca="false">C79-C78</f>
        <v>28</v>
      </c>
      <c r="E79" s="0" t="n">
        <v>0</v>
      </c>
      <c r="F79" s="0" t="n">
        <v>0</v>
      </c>
      <c r="G79" s="0" t="n">
        <v>4</v>
      </c>
      <c r="H79" s="0" t="n">
        <v>75</v>
      </c>
      <c r="I79" s="0" t="n">
        <v>0</v>
      </c>
      <c r="J79" s="0" t="n">
        <v>56</v>
      </c>
      <c r="K79" s="0" t="n">
        <v>0</v>
      </c>
      <c r="L79" s="0" t="n">
        <v>854</v>
      </c>
      <c r="M79" s="0" t="n">
        <v>609</v>
      </c>
    </row>
    <row r="80" customFormat="false" ht="13.5" hidden="false" customHeight="false" outlineLevel="0" collapsed="false">
      <c r="A80" s="0" t="s">
        <v>121</v>
      </c>
      <c r="B80" s="48" t="n">
        <v>43940</v>
      </c>
      <c r="C80" s="0" t="n">
        <v>79</v>
      </c>
      <c r="D80" s="0" t="n">
        <f aca="false">C80-C79</f>
        <v>0</v>
      </c>
      <c r="E80" s="0" t="n">
        <v>0</v>
      </c>
      <c r="F80" s="0" t="n">
        <v>0</v>
      </c>
      <c r="G80" s="0" t="n">
        <v>4</v>
      </c>
      <c r="H80" s="0" t="n">
        <v>75</v>
      </c>
      <c r="I80" s="0" t="n">
        <v>0</v>
      </c>
      <c r="J80" s="0" t="n">
        <v>56</v>
      </c>
      <c r="K80" s="0" t="n">
        <v>0</v>
      </c>
      <c r="L80" s="0" t="n">
        <v>854</v>
      </c>
      <c r="M80" s="0" t="n">
        <v>609</v>
      </c>
    </row>
    <row r="81" customFormat="false" ht="13.5" hidden="false" customHeight="false" outlineLevel="0" collapsed="false">
      <c r="A81" s="0" t="s">
        <v>121</v>
      </c>
      <c r="B81" s="48" t="n">
        <v>43941</v>
      </c>
      <c r="C81" s="0" t="n">
        <v>79</v>
      </c>
      <c r="D81" s="0" t="n">
        <f aca="false">C81-C80</f>
        <v>0</v>
      </c>
      <c r="E81" s="0" t="n">
        <v>0</v>
      </c>
      <c r="F81" s="0" t="n">
        <v>0</v>
      </c>
      <c r="G81" s="0" t="n">
        <v>4</v>
      </c>
      <c r="H81" s="0" t="n">
        <v>75</v>
      </c>
      <c r="I81" s="0" t="n">
        <v>0</v>
      </c>
      <c r="J81" s="0" t="n">
        <v>56</v>
      </c>
      <c r="K81" s="0" t="n">
        <v>0</v>
      </c>
      <c r="L81" s="0" t="n">
        <v>854</v>
      </c>
      <c r="M81" s="0" t="n">
        <v>609</v>
      </c>
    </row>
    <row r="82" customFormat="false" ht="13.5" hidden="false" customHeight="false" outlineLevel="0" collapsed="false">
      <c r="A82" s="0" t="s">
        <v>121</v>
      </c>
      <c r="B82" s="48" t="n">
        <v>43942</v>
      </c>
      <c r="C82" s="0" t="n">
        <v>79</v>
      </c>
      <c r="D82" s="0" t="n">
        <f aca="false">C82-C81</f>
        <v>0</v>
      </c>
      <c r="E82" s="0" t="n">
        <v>0</v>
      </c>
      <c r="F82" s="0" t="n">
        <v>0</v>
      </c>
      <c r="G82" s="0" t="n">
        <v>7</v>
      </c>
      <c r="H82" s="0" t="n">
        <v>72</v>
      </c>
      <c r="I82" s="0" t="n">
        <v>0</v>
      </c>
      <c r="J82" s="0" t="n">
        <v>56</v>
      </c>
      <c r="K82" s="0" t="n">
        <v>0</v>
      </c>
      <c r="L82" s="0" t="n">
        <v>854</v>
      </c>
      <c r="M82" s="0" t="n">
        <v>609</v>
      </c>
    </row>
    <row r="83" customFormat="false" ht="13.5" hidden="false" customHeight="false" outlineLevel="0" collapsed="false">
      <c r="A83" s="0" t="s">
        <v>121</v>
      </c>
      <c r="B83" s="48" t="n">
        <v>43943</v>
      </c>
      <c r="C83" s="0" t="n">
        <v>83</v>
      </c>
      <c r="D83" s="0" t="n">
        <f aca="false">C83-C82</f>
        <v>4</v>
      </c>
      <c r="E83" s="0" t="n">
        <v>0</v>
      </c>
      <c r="F83" s="0" t="n">
        <v>0</v>
      </c>
      <c r="G83" s="0" t="n">
        <v>7</v>
      </c>
      <c r="H83" s="0" t="n">
        <v>76</v>
      </c>
      <c r="I83" s="0" t="n">
        <v>0</v>
      </c>
      <c r="J83" s="0" t="n">
        <v>59</v>
      </c>
      <c r="K83" s="0" t="n">
        <v>0</v>
      </c>
      <c r="L83" s="0" t="n">
        <v>854</v>
      </c>
      <c r="M83" s="0" t="n">
        <v>609</v>
      </c>
    </row>
    <row r="84" customFormat="false" ht="13.5" hidden="false" customHeight="false" outlineLevel="0" collapsed="false">
      <c r="A84" s="0" t="s">
        <v>121</v>
      </c>
      <c r="B84" s="48" t="n">
        <v>43944</v>
      </c>
      <c r="C84" s="0" t="n">
        <v>84</v>
      </c>
      <c r="D84" s="0" t="n">
        <f aca="false">C84-C83</f>
        <v>1</v>
      </c>
      <c r="E84" s="0" t="n">
        <v>1</v>
      </c>
      <c r="F84" s="0" t="n">
        <v>1</v>
      </c>
      <c r="G84" s="0" t="n">
        <v>7</v>
      </c>
      <c r="H84" s="0" t="n">
        <v>76</v>
      </c>
      <c r="I84" s="0" t="n">
        <v>0</v>
      </c>
      <c r="J84" s="0" t="n">
        <v>60</v>
      </c>
      <c r="K84" s="0" t="n">
        <v>0.7</v>
      </c>
      <c r="L84" s="0" t="n">
        <v>854</v>
      </c>
      <c r="M84" s="0" t="n">
        <v>609</v>
      </c>
    </row>
    <row r="85" customFormat="false" ht="13.5" hidden="false" customHeight="false" outlineLevel="0" collapsed="false">
      <c r="A85" s="0" t="s">
        <v>121</v>
      </c>
      <c r="B85" s="48" t="n">
        <v>43945</v>
      </c>
      <c r="C85" s="0" t="n">
        <v>84</v>
      </c>
      <c r="D85" s="0" t="n">
        <f aca="false">C85-C84</f>
        <v>0</v>
      </c>
      <c r="E85" s="0" t="n">
        <v>1</v>
      </c>
      <c r="F85" s="0" t="n">
        <v>0</v>
      </c>
      <c r="G85" s="0" t="n">
        <v>7</v>
      </c>
      <c r="H85" s="0" t="n">
        <v>76</v>
      </c>
      <c r="I85" s="0" t="n">
        <v>0</v>
      </c>
      <c r="J85" s="0" t="n">
        <v>60</v>
      </c>
      <c r="K85" s="0" t="n">
        <v>0.7</v>
      </c>
      <c r="L85" s="0" t="n">
        <v>854</v>
      </c>
      <c r="M85" s="0" t="n">
        <v>609</v>
      </c>
    </row>
    <row r="86" customFormat="false" ht="13.5" hidden="false" customHeight="false" outlineLevel="0" collapsed="false">
      <c r="A86" s="0" t="s">
        <v>121</v>
      </c>
      <c r="B86" s="48" t="n">
        <v>43946</v>
      </c>
      <c r="C86" s="0" t="n">
        <v>214</v>
      </c>
      <c r="D86" s="0" t="n">
        <f aca="false">C86-C85</f>
        <v>130</v>
      </c>
      <c r="E86" s="0" t="n">
        <v>1</v>
      </c>
      <c r="F86" s="0" t="n">
        <v>0</v>
      </c>
      <c r="G86" s="0" t="n">
        <v>7</v>
      </c>
      <c r="H86" s="0" t="n">
        <v>206</v>
      </c>
      <c r="I86" s="0" t="n">
        <v>0</v>
      </c>
      <c r="J86" s="0" t="n">
        <v>153</v>
      </c>
      <c r="K86" s="0" t="n">
        <v>0.7</v>
      </c>
      <c r="L86" s="0" t="n">
        <v>854</v>
      </c>
      <c r="M86" s="0" t="n">
        <v>609</v>
      </c>
    </row>
    <row r="87" customFormat="false" ht="13.5" hidden="false" customHeight="false" outlineLevel="0" collapsed="false">
      <c r="A87" s="0" t="s">
        <v>121</v>
      </c>
      <c r="B87" s="48" t="n">
        <v>43947</v>
      </c>
      <c r="C87" s="0" t="n">
        <v>214</v>
      </c>
      <c r="D87" s="0" t="n">
        <f aca="false">C87-C86</f>
        <v>0</v>
      </c>
      <c r="E87" s="0" t="n">
        <v>1</v>
      </c>
      <c r="F87" s="0" t="n">
        <v>0</v>
      </c>
      <c r="G87" s="0" t="n">
        <v>7</v>
      </c>
      <c r="H87" s="0" t="n">
        <v>206</v>
      </c>
      <c r="I87" s="0" t="n">
        <v>0</v>
      </c>
      <c r="J87" s="0" t="n">
        <v>153</v>
      </c>
      <c r="K87" s="0" t="n">
        <v>0.7</v>
      </c>
      <c r="L87" s="0" t="n">
        <v>854</v>
      </c>
      <c r="M87" s="0" t="n">
        <v>609</v>
      </c>
    </row>
    <row r="88" customFormat="false" ht="13.5" hidden="false" customHeight="false" outlineLevel="0" collapsed="false">
      <c r="A88" s="0" t="s">
        <v>121</v>
      </c>
      <c r="B88" s="48" t="n">
        <v>43948</v>
      </c>
      <c r="C88" s="0" t="n">
        <v>258</v>
      </c>
      <c r="D88" s="0" t="n">
        <f aca="false">C88-C87</f>
        <v>44</v>
      </c>
      <c r="E88" s="0" t="n">
        <v>1</v>
      </c>
      <c r="F88" s="0" t="n">
        <v>0</v>
      </c>
      <c r="G88" s="0" t="n">
        <v>8</v>
      </c>
      <c r="H88" s="0" t="n">
        <v>249</v>
      </c>
      <c r="I88" s="0" t="n">
        <v>0</v>
      </c>
      <c r="J88" s="0" t="n">
        <v>184</v>
      </c>
      <c r="K88" s="0" t="n">
        <v>0.7</v>
      </c>
      <c r="L88" s="0" t="n">
        <v>854</v>
      </c>
      <c r="M88" s="0" t="n">
        <v>609</v>
      </c>
    </row>
    <row r="89" customFormat="false" ht="13.5" hidden="false" customHeight="false" outlineLevel="0" collapsed="false">
      <c r="A89" s="0" t="s">
        <v>121</v>
      </c>
      <c r="B89" s="48" t="n">
        <v>43949</v>
      </c>
      <c r="C89" s="0" t="n">
        <v>258</v>
      </c>
      <c r="D89" s="0" t="n">
        <f aca="false">C89-C88</f>
        <v>0</v>
      </c>
      <c r="E89" s="0" t="n">
        <v>1</v>
      </c>
      <c r="F89" s="0" t="n">
        <v>0</v>
      </c>
      <c r="G89" s="0" t="n">
        <v>9</v>
      </c>
      <c r="H89" s="0" t="n">
        <v>248</v>
      </c>
      <c r="I89" s="0" t="n">
        <v>0</v>
      </c>
      <c r="J89" s="0" t="n">
        <v>184</v>
      </c>
      <c r="K89" s="0" t="n">
        <v>0.7</v>
      </c>
      <c r="L89" s="0" t="n">
        <v>854</v>
      </c>
      <c r="M89" s="0" t="n">
        <v>609</v>
      </c>
    </row>
    <row r="90" customFormat="false" ht="13.5" hidden="false" customHeight="false" outlineLevel="0" collapsed="false">
      <c r="A90" s="0" t="s">
        <v>121</v>
      </c>
      <c r="B90" s="48" t="n">
        <v>43950</v>
      </c>
      <c r="C90" s="0" t="n">
        <v>315</v>
      </c>
      <c r="D90" s="0" t="n">
        <f aca="false">C90-C89</f>
        <v>57</v>
      </c>
      <c r="E90" s="0" t="n">
        <v>1</v>
      </c>
      <c r="F90" s="0" t="n">
        <v>0</v>
      </c>
      <c r="G90" s="0" t="n">
        <v>9</v>
      </c>
      <c r="H90" s="0" t="n">
        <v>305</v>
      </c>
      <c r="I90" s="0" t="n">
        <v>0</v>
      </c>
      <c r="J90" s="0" t="n">
        <v>225</v>
      </c>
      <c r="K90" s="0" t="n">
        <v>0.7</v>
      </c>
      <c r="L90" s="0" t="n">
        <v>854</v>
      </c>
      <c r="M90" s="0" t="n">
        <v>609</v>
      </c>
    </row>
    <row r="91" customFormat="false" ht="13.5" hidden="false" customHeight="false" outlineLevel="0" collapsed="false">
      <c r="A91" s="0" t="s">
        <v>121</v>
      </c>
      <c r="B91" s="48" t="n">
        <v>43951</v>
      </c>
      <c r="C91" s="0" t="n">
        <v>315</v>
      </c>
      <c r="D91" s="0" t="n">
        <f aca="false">C91-C90</f>
        <v>0</v>
      </c>
      <c r="E91" s="0" t="n">
        <v>1</v>
      </c>
      <c r="F91" s="0" t="n">
        <v>0</v>
      </c>
      <c r="G91" s="0" t="n">
        <v>9</v>
      </c>
      <c r="H91" s="0" t="n">
        <v>305</v>
      </c>
      <c r="I91" s="0" t="n">
        <v>0</v>
      </c>
      <c r="J91" s="0" t="n">
        <v>225</v>
      </c>
      <c r="K91" s="0" t="n">
        <v>0.7</v>
      </c>
      <c r="L91" s="0" t="n">
        <v>854</v>
      </c>
      <c r="M91" s="0" t="n">
        <v>609</v>
      </c>
    </row>
    <row r="92" customFormat="false" ht="13.5" hidden="false" customHeight="false" outlineLevel="0" collapsed="false">
      <c r="A92" s="0" t="s">
        <v>121</v>
      </c>
      <c r="B92" s="48" t="n">
        <v>43952</v>
      </c>
      <c r="C92" s="0" t="n">
        <v>315</v>
      </c>
      <c r="D92" s="0" t="n">
        <f aca="false">C92-C91</f>
        <v>0</v>
      </c>
      <c r="E92" s="0" t="n">
        <v>1</v>
      </c>
      <c r="F92" s="0" t="n">
        <v>0</v>
      </c>
      <c r="G92" s="0" t="n">
        <v>9</v>
      </c>
      <c r="H92" s="0" t="n">
        <v>305</v>
      </c>
      <c r="I92" s="0" t="n">
        <v>0</v>
      </c>
      <c r="J92" s="0" t="n">
        <v>225</v>
      </c>
      <c r="K92" s="0" t="n">
        <v>0.7</v>
      </c>
      <c r="L92" s="0" t="n">
        <v>854</v>
      </c>
      <c r="M92" s="0" t="n">
        <v>609</v>
      </c>
    </row>
    <row r="93" customFormat="false" ht="13.5" hidden="false" customHeight="false" outlineLevel="0" collapsed="false">
      <c r="A93" s="0" t="s">
        <v>121</v>
      </c>
      <c r="B93" s="48" t="n">
        <v>43953</v>
      </c>
      <c r="C93" s="0" t="n">
        <v>315</v>
      </c>
      <c r="D93" s="0" t="n">
        <f aca="false">C93-C92</f>
        <v>0</v>
      </c>
      <c r="E93" s="0" t="n">
        <v>1</v>
      </c>
      <c r="F93" s="0" t="n">
        <v>0</v>
      </c>
      <c r="G93" s="0" t="n">
        <v>9</v>
      </c>
      <c r="H93" s="0" t="n">
        <v>305</v>
      </c>
      <c r="I93" s="0" t="n">
        <v>0</v>
      </c>
      <c r="J93" s="0" t="n">
        <v>225</v>
      </c>
      <c r="K93" s="0" t="n">
        <v>0.7</v>
      </c>
      <c r="L93" s="0" t="n">
        <v>854</v>
      </c>
      <c r="M93" s="0" t="n">
        <v>609</v>
      </c>
    </row>
    <row r="94" customFormat="false" ht="13.5" hidden="false" customHeight="false" outlineLevel="0" collapsed="false">
      <c r="A94" s="0" t="s">
        <v>121</v>
      </c>
      <c r="B94" s="48" t="n">
        <v>43954</v>
      </c>
      <c r="C94" s="0" t="n">
        <v>315</v>
      </c>
      <c r="D94" s="0" t="n">
        <f aca="false">C94-C93</f>
        <v>0</v>
      </c>
      <c r="E94" s="0" t="n">
        <v>1</v>
      </c>
      <c r="F94" s="0" t="n">
        <v>0</v>
      </c>
      <c r="G94" s="0" t="n">
        <v>9</v>
      </c>
      <c r="H94" s="0" t="n">
        <v>305</v>
      </c>
      <c r="I94" s="0" t="n">
        <v>0</v>
      </c>
      <c r="J94" s="0" t="n">
        <v>225</v>
      </c>
      <c r="K94" s="0" t="n">
        <v>0.7</v>
      </c>
      <c r="L94" s="0" t="n">
        <v>854</v>
      </c>
      <c r="M94" s="0" t="n">
        <v>609</v>
      </c>
    </row>
    <row r="95" customFormat="false" ht="13.5" hidden="false" customHeight="false" outlineLevel="0" collapsed="false">
      <c r="A95" s="0" t="s">
        <v>121</v>
      </c>
      <c r="B95" s="48" t="n">
        <v>43955</v>
      </c>
      <c r="C95" s="0" t="n">
        <v>315</v>
      </c>
      <c r="D95" s="0" t="n">
        <f aca="false">C95-C94</f>
        <v>0</v>
      </c>
      <c r="E95" s="0" t="n">
        <v>1</v>
      </c>
      <c r="F95" s="0" t="n">
        <v>0</v>
      </c>
      <c r="G95" s="0" t="n">
        <v>9</v>
      </c>
      <c r="H95" s="0" t="n">
        <v>305</v>
      </c>
      <c r="I95" s="0" t="n">
        <v>0</v>
      </c>
      <c r="J95" s="0" t="n">
        <v>225</v>
      </c>
      <c r="K95" s="0" t="n">
        <v>0.7</v>
      </c>
      <c r="L95" s="0" t="n">
        <v>854</v>
      </c>
      <c r="M95" s="0" t="n">
        <v>609</v>
      </c>
    </row>
    <row r="96" customFormat="false" ht="13.5" hidden="false" customHeight="false" outlineLevel="0" collapsed="false">
      <c r="A96" s="0" t="s">
        <v>121</v>
      </c>
      <c r="B96" s="48" t="n">
        <v>43956</v>
      </c>
      <c r="C96" s="0" t="n">
        <v>315</v>
      </c>
      <c r="D96" s="0" t="n">
        <f aca="false">C96-C95</f>
        <v>0</v>
      </c>
      <c r="E96" s="0" t="n">
        <v>3</v>
      </c>
      <c r="F96" s="0" t="n">
        <v>2</v>
      </c>
      <c r="G96" s="0" t="n">
        <v>13</v>
      </c>
      <c r="H96" s="0" t="n">
        <v>299</v>
      </c>
      <c r="I96" s="0" t="n">
        <v>0</v>
      </c>
      <c r="J96" s="0" t="n">
        <v>225</v>
      </c>
      <c r="K96" s="0" t="n">
        <v>2</v>
      </c>
      <c r="L96" s="0" t="n">
        <v>854</v>
      </c>
      <c r="M96" s="0" t="n">
        <v>609</v>
      </c>
    </row>
    <row r="97" customFormat="false" ht="13.5" hidden="false" customHeight="false" outlineLevel="0" collapsed="false">
      <c r="A97" s="0" t="s">
        <v>121</v>
      </c>
      <c r="B97" s="48" t="n">
        <v>43957</v>
      </c>
      <c r="C97" s="0" t="n">
        <v>315</v>
      </c>
      <c r="D97" s="0" t="n">
        <f aca="false">C97-C96</f>
        <v>0</v>
      </c>
      <c r="E97" s="0" t="n">
        <v>3</v>
      </c>
      <c r="F97" s="0" t="n">
        <v>0</v>
      </c>
      <c r="G97" s="0" t="n">
        <v>13</v>
      </c>
      <c r="H97" s="0" t="n">
        <v>299</v>
      </c>
      <c r="I97" s="0" t="n">
        <v>0</v>
      </c>
      <c r="J97" s="0" t="n">
        <v>225</v>
      </c>
      <c r="K97" s="0" t="n">
        <v>2</v>
      </c>
      <c r="L97" s="0" t="n">
        <v>854</v>
      </c>
      <c r="M97" s="0" t="n">
        <v>609</v>
      </c>
    </row>
    <row r="98" customFormat="false" ht="13.5" hidden="false" customHeight="false" outlineLevel="0" collapsed="false">
      <c r="A98" s="0" t="s">
        <v>121</v>
      </c>
      <c r="B98" s="48" t="n">
        <v>43958</v>
      </c>
      <c r="C98" s="0" t="n">
        <v>439</v>
      </c>
      <c r="D98" s="0" t="n">
        <f aca="false">C98-C97</f>
        <v>124</v>
      </c>
      <c r="E98" s="0" t="n">
        <v>4</v>
      </c>
      <c r="F98" s="0" t="n">
        <v>1</v>
      </c>
      <c r="G98" s="0" t="n">
        <v>13</v>
      </c>
      <c r="H98" s="0" t="n">
        <v>422</v>
      </c>
      <c r="I98" s="0" t="n">
        <v>0</v>
      </c>
      <c r="J98" s="0" t="n">
        <v>313</v>
      </c>
      <c r="K98" s="0" t="n">
        <v>3</v>
      </c>
      <c r="L98" s="0" t="n">
        <v>854</v>
      </c>
      <c r="M98" s="0" t="n">
        <v>609</v>
      </c>
    </row>
    <row r="99" customFormat="false" ht="13.5" hidden="false" customHeight="false" outlineLevel="0" collapsed="false">
      <c r="A99" s="0" t="s">
        <v>121</v>
      </c>
      <c r="B99" s="48" t="n">
        <v>43959</v>
      </c>
      <c r="C99" s="0" t="n">
        <v>439</v>
      </c>
      <c r="D99" s="0" t="n">
        <f aca="false">C99-C98</f>
        <v>0</v>
      </c>
      <c r="E99" s="0" t="n">
        <v>4</v>
      </c>
      <c r="F99" s="0" t="n">
        <v>0</v>
      </c>
      <c r="G99" s="0" t="n">
        <v>13</v>
      </c>
      <c r="H99" s="0" t="n">
        <v>422</v>
      </c>
      <c r="I99" s="0" t="n">
        <v>0</v>
      </c>
      <c r="J99" s="0" t="n">
        <v>313</v>
      </c>
      <c r="K99" s="0" t="n">
        <v>3</v>
      </c>
      <c r="L99" s="0" t="n">
        <v>854</v>
      </c>
      <c r="M99" s="0" t="n">
        <v>609</v>
      </c>
    </row>
    <row r="100" customFormat="false" ht="13.5" hidden="false" customHeight="false" outlineLevel="0" collapsed="false">
      <c r="A100" s="0" t="s">
        <v>121</v>
      </c>
      <c r="B100" s="48" t="n">
        <v>43960</v>
      </c>
      <c r="C100" s="0" t="n">
        <v>439</v>
      </c>
      <c r="D100" s="0" t="n">
        <f aca="false">C100-C99</f>
        <v>0</v>
      </c>
      <c r="E100" s="0" t="n">
        <v>4</v>
      </c>
      <c r="F100" s="0" t="n">
        <v>0</v>
      </c>
      <c r="G100" s="0" t="n">
        <v>13</v>
      </c>
      <c r="H100" s="0" t="n">
        <v>422</v>
      </c>
      <c r="I100" s="0" t="n">
        <v>0</v>
      </c>
      <c r="J100" s="0" t="n">
        <v>313</v>
      </c>
      <c r="K100" s="0" t="n">
        <v>3</v>
      </c>
      <c r="L100" s="0" t="n">
        <v>854</v>
      </c>
      <c r="M100" s="0" t="n">
        <v>609</v>
      </c>
    </row>
    <row r="101" customFormat="false" ht="13.5" hidden="false" customHeight="false" outlineLevel="0" collapsed="false">
      <c r="A101" s="0" t="s">
        <v>121</v>
      </c>
      <c r="B101" s="48" t="n">
        <v>43961</v>
      </c>
      <c r="C101" s="0" t="n">
        <v>439</v>
      </c>
      <c r="D101" s="0" t="n">
        <f aca="false">C101-C100</f>
        <v>0</v>
      </c>
      <c r="E101" s="0" t="n">
        <v>4</v>
      </c>
      <c r="F101" s="0" t="n">
        <v>0</v>
      </c>
      <c r="G101" s="0" t="n">
        <v>13</v>
      </c>
      <c r="H101" s="0" t="n">
        <v>422</v>
      </c>
      <c r="I101" s="0" t="n">
        <v>0</v>
      </c>
      <c r="J101" s="0" t="n">
        <v>313</v>
      </c>
      <c r="K101" s="0" t="n">
        <v>3</v>
      </c>
      <c r="L101" s="0" t="n">
        <v>854</v>
      </c>
      <c r="M101" s="0" t="n">
        <v>609</v>
      </c>
    </row>
    <row r="102" customFormat="false" ht="13.5" hidden="false" customHeight="false" outlineLevel="0" collapsed="false">
      <c r="A102" s="0" t="s">
        <v>121</v>
      </c>
      <c r="B102" s="48" t="n">
        <v>43962</v>
      </c>
      <c r="C102" s="0" t="n">
        <v>439</v>
      </c>
      <c r="D102" s="0" t="n">
        <f aca="false">C102-C101</f>
        <v>0</v>
      </c>
      <c r="E102" s="0" t="n">
        <v>4</v>
      </c>
      <c r="F102" s="0" t="n">
        <v>0</v>
      </c>
      <c r="G102" s="0" t="n">
        <v>13</v>
      </c>
      <c r="H102" s="0" t="n">
        <v>422</v>
      </c>
      <c r="I102" s="0" t="n">
        <v>0</v>
      </c>
      <c r="J102" s="0" t="n">
        <v>313</v>
      </c>
      <c r="K102" s="0" t="n">
        <v>3</v>
      </c>
      <c r="L102" s="0" t="n">
        <v>854</v>
      </c>
      <c r="M102" s="0" t="n">
        <v>609</v>
      </c>
    </row>
    <row r="103" customFormat="false" ht="13.5" hidden="false" customHeight="false" outlineLevel="0" collapsed="false">
      <c r="A103" s="0" t="s">
        <v>121</v>
      </c>
      <c r="B103" s="48" t="n">
        <v>43963</v>
      </c>
      <c r="C103" s="0" t="n">
        <v>439</v>
      </c>
      <c r="D103" s="0" t="n">
        <f aca="false">C103-C102</f>
        <v>0</v>
      </c>
      <c r="E103" s="0" t="n">
        <v>4</v>
      </c>
      <c r="F103" s="0" t="n">
        <v>0</v>
      </c>
      <c r="G103" s="0" t="n">
        <v>13</v>
      </c>
      <c r="H103" s="0" t="n">
        <v>422</v>
      </c>
      <c r="I103" s="0" t="n">
        <v>0</v>
      </c>
      <c r="J103" s="0" t="n">
        <v>313</v>
      </c>
      <c r="K103" s="0" t="n">
        <v>3</v>
      </c>
      <c r="L103" s="0" t="n">
        <v>854</v>
      </c>
      <c r="M103" s="0" t="n">
        <v>609</v>
      </c>
    </row>
    <row r="104" customFormat="false" ht="13.5" hidden="false" customHeight="false" outlineLevel="0" collapsed="false">
      <c r="A104" s="0" t="s">
        <v>121</v>
      </c>
      <c r="B104" s="48" t="n">
        <v>43964</v>
      </c>
      <c r="C104" s="0" t="n">
        <v>439</v>
      </c>
      <c r="D104" s="0" t="n">
        <f aca="false">C104-C103</f>
        <v>0</v>
      </c>
      <c r="E104" s="0" t="n">
        <v>4</v>
      </c>
      <c r="F104" s="0" t="n">
        <v>0</v>
      </c>
      <c r="G104" s="0" t="n">
        <v>13</v>
      </c>
      <c r="H104" s="0" t="n">
        <v>422</v>
      </c>
      <c r="I104" s="0" t="n">
        <v>0</v>
      </c>
      <c r="J104" s="0" t="n">
        <v>313</v>
      </c>
      <c r="K104" s="0" t="n">
        <v>3</v>
      </c>
      <c r="L104" s="0" t="n">
        <v>854</v>
      </c>
      <c r="M104" s="0" t="n">
        <v>609</v>
      </c>
    </row>
    <row r="105" customFormat="false" ht="13.5" hidden="false" customHeight="false" outlineLevel="0" collapsed="false">
      <c r="A105" s="0" t="s">
        <v>121</v>
      </c>
      <c r="B105" s="48" t="n">
        <v>43965</v>
      </c>
      <c r="C105" s="0" t="n">
        <v>522</v>
      </c>
      <c r="D105" s="0" t="n">
        <f aca="false">C105-C104</f>
        <v>83</v>
      </c>
      <c r="E105" s="0" t="n">
        <v>6</v>
      </c>
      <c r="F105" s="0" t="n">
        <v>2</v>
      </c>
      <c r="G105" s="0" t="n">
        <v>13</v>
      </c>
      <c r="H105" s="0" t="n">
        <v>503</v>
      </c>
      <c r="I105" s="0" t="n">
        <v>0</v>
      </c>
      <c r="J105" s="0" t="n">
        <v>372</v>
      </c>
      <c r="K105" s="0" t="n">
        <v>4</v>
      </c>
      <c r="L105" s="0" t="n">
        <v>854</v>
      </c>
      <c r="M105" s="0" t="n">
        <v>609</v>
      </c>
    </row>
    <row r="106" customFormat="false" ht="13.5" hidden="false" customHeight="false" outlineLevel="0" collapsed="false">
      <c r="A106" s="0" t="s">
        <v>121</v>
      </c>
      <c r="B106" s="48" t="n">
        <v>43966</v>
      </c>
      <c r="C106" s="0" t="n">
        <v>583</v>
      </c>
      <c r="D106" s="0" t="n">
        <f aca="false">C106-C105</f>
        <v>61</v>
      </c>
      <c r="E106" s="0" t="n">
        <v>7</v>
      </c>
      <c r="F106" s="0" t="n">
        <v>1</v>
      </c>
      <c r="G106" s="0" t="n">
        <v>13</v>
      </c>
      <c r="H106" s="0" t="n">
        <v>563</v>
      </c>
      <c r="I106" s="0" t="n">
        <v>0</v>
      </c>
      <c r="J106" s="0" t="n">
        <v>416</v>
      </c>
      <c r="K106" s="0" t="n">
        <v>5</v>
      </c>
      <c r="L106" s="0" t="n">
        <v>854</v>
      </c>
      <c r="M106" s="0" t="n">
        <v>609</v>
      </c>
    </row>
    <row r="107" customFormat="false" ht="13.5" hidden="false" customHeight="false" outlineLevel="0" collapsed="false">
      <c r="A107" s="0" t="s">
        <v>121</v>
      </c>
      <c r="B107" s="48" t="n">
        <v>43967</v>
      </c>
      <c r="C107" s="0" t="n">
        <v>594</v>
      </c>
      <c r="D107" s="0" t="n">
        <f aca="false">C107-C106</f>
        <v>11</v>
      </c>
      <c r="E107" s="0" t="n">
        <v>7</v>
      </c>
      <c r="F107" s="0" t="n">
        <v>0</v>
      </c>
      <c r="G107" s="0" t="n">
        <v>22</v>
      </c>
      <c r="H107" s="0" t="n">
        <v>565</v>
      </c>
      <c r="I107" s="0" t="n">
        <v>0</v>
      </c>
      <c r="J107" s="0" t="n">
        <v>425</v>
      </c>
      <c r="K107" s="0" t="n">
        <v>5</v>
      </c>
      <c r="L107" s="0" t="n">
        <v>854</v>
      </c>
      <c r="M107" s="0" t="n">
        <v>612</v>
      </c>
    </row>
    <row r="108" customFormat="false" ht="13.5" hidden="false" customHeight="false" outlineLevel="0" collapsed="false">
      <c r="A108" s="0" t="s">
        <v>121</v>
      </c>
      <c r="B108" s="48" t="n">
        <v>43968</v>
      </c>
      <c r="C108" s="0" t="n">
        <v>594</v>
      </c>
      <c r="D108" s="0" t="n">
        <f aca="false">C108-C107</f>
        <v>0</v>
      </c>
      <c r="E108" s="0" t="n">
        <v>7</v>
      </c>
      <c r="F108" s="0" t="n">
        <v>0</v>
      </c>
      <c r="G108" s="0" t="n">
        <v>22</v>
      </c>
      <c r="H108" s="0" t="n">
        <v>565</v>
      </c>
      <c r="I108" s="0" t="n">
        <v>0</v>
      </c>
      <c r="J108" s="0" t="n">
        <v>425</v>
      </c>
      <c r="K108" s="0" t="n">
        <v>5</v>
      </c>
      <c r="L108" s="0" t="n">
        <v>854</v>
      </c>
      <c r="M108" s="0" t="n">
        <v>612</v>
      </c>
    </row>
    <row r="109" customFormat="false" ht="13.5" hidden="false" customHeight="false" outlineLevel="0" collapsed="false">
      <c r="A109" s="0" t="s">
        <v>121</v>
      </c>
      <c r="B109" s="48" t="n">
        <v>43969</v>
      </c>
      <c r="C109" s="0" t="n">
        <v>594</v>
      </c>
      <c r="D109" s="0" t="n">
        <f aca="false">C109-C108</f>
        <v>0</v>
      </c>
      <c r="E109" s="0" t="n">
        <v>7</v>
      </c>
      <c r="F109" s="0" t="n">
        <v>0</v>
      </c>
      <c r="G109" s="0" t="n">
        <v>22</v>
      </c>
      <c r="H109" s="0" t="n">
        <v>565</v>
      </c>
      <c r="I109" s="0" t="n">
        <v>0</v>
      </c>
      <c r="J109" s="0" t="n">
        <v>425</v>
      </c>
      <c r="K109" s="0" t="n">
        <v>5</v>
      </c>
      <c r="L109" s="0" t="n">
        <v>854</v>
      </c>
      <c r="M109" s="0" t="n">
        <v>611</v>
      </c>
    </row>
    <row r="110" customFormat="false" ht="13.5" hidden="false" customHeight="false" outlineLevel="0" collapsed="false">
      <c r="A110" s="0" t="s">
        <v>121</v>
      </c>
      <c r="B110" s="48" t="n">
        <v>43970</v>
      </c>
      <c r="C110" s="0" t="n">
        <v>719</v>
      </c>
      <c r="D110" s="0" t="n">
        <f aca="false">C110-C109</f>
        <v>125</v>
      </c>
      <c r="E110" s="0" t="n">
        <v>7</v>
      </c>
      <c r="F110" s="0" t="n">
        <v>0</v>
      </c>
      <c r="G110" s="0" t="n">
        <v>22</v>
      </c>
      <c r="H110" s="0" t="n">
        <v>690</v>
      </c>
      <c r="I110" s="0" t="n">
        <v>0</v>
      </c>
      <c r="J110" s="0" t="n">
        <v>515</v>
      </c>
      <c r="K110" s="0" t="n">
        <v>5</v>
      </c>
      <c r="L110" s="0" t="n">
        <v>854</v>
      </c>
      <c r="M110" s="0" t="n">
        <v>611</v>
      </c>
    </row>
    <row r="111" customFormat="false" ht="13.5" hidden="false" customHeight="false" outlineLevel="0" collapsed="false">
      <c r="A111" s="0" t="s">
        <v>121</v>
      </c>
      <c r="B111" s="48" t="n">
        <v>43971</v>
      </c>
      <c r="C111" s="0" t="n">
        <v>719</v>
      </c>
      <c r="D111" s="0" t="n">
        <f aca="false">C111-C110</f>
        <v>0</v>
      </c>
      <c r="E111" s="0" t="n">
        <v>7</v>
      </c>
      <c r="F111" s="0" t="n">
        <v>0</v>
      </c>
      <c r="G111" s="0" t="n">
        <v>22</v>
      </c>
      <c r="H111" s="0" t="n">
        <v>690</v>
      </c>
      <c r="I111" s="0" t="n">
        <v>0</v>
      </c>
      <c r="J111" s="0" t="n">
        <v>515</v>
      </c>
      <c r="K111" s="0" t="n">
        <v>5</v>
      </c>
      <c r="L111" s="0" t="n">
        <v>854</v>
      </c>
      <c r="M111" s="0" t="n">
        <v>611</v>
      </c>
    </row>
    <row r="112" customFormat="false" ht="13.5" hidden="false" customHeight="false" outlineLevel="0" collapsed="false">
      <c r="A112" s="0" t="s">
        <v>121</v>
      </c>
      <c r="B112" s="48" t="n">
        <v>43972</v>
      </c>
      <c r="C112" s="0" t="n">
        <v>825</v>
      </c>
      <c r="D112" s="0" t="n">
        <f aca="false">C112-C111</f>
        <v>106</v>
      </c>
      <c r="E112" s="0" t="n">
        <v>7</v>
      </c>
      <c r="F112" s="0" t="n">
        <v>0</v>
      </c>
      <c r="G112" s="0" t="n">
        <v>22</v>
      </c>
      <c r="H112" s="0" t="n">
        <v>796</v>
      </c>
      <c r="I112" s="0" t="n">
        <v>0</v>
      </c>
      <c r="J112" s="0" t="n">
        <v>591</v>
      </c>
      <c r="K112" s="0" t="n">
        <v>5</v>
      </c>
      <c r="L112" s="0" t="n">
        <v>854</v>
      </c>
      <c r="M112" s="0" t="n">
        <v>611</v>
      </c>
    </row>
    <row r="113" customFormat="false" ht="13.5" hidden="false" customHeight="false" outlineLevel="0" collapsed="false">
      <c r="A113" s="0" t="s">
        <v>121</v>
      </c>
      <c r="B113" s="48" t="n">
        <v>43973</v>
      </c>
      <c r="C113" s="0" t="n">
        <v>903</v>
      </c>
      <c r="D113" s="0" t="n">
        <f aca="false">C113-C112</f>
        <v>78</v>
      </c>
      <c r="E113" s="0" t="n">
        <v>10</v>
      </c>
      <c r="F113" s="0" t="n">
        <v>3</v>
      </c>
      <c r="G113" s="0" t="n">
        <v>22</v>
      </c>
      <c r="H113" s="0" t="n">
        <v>871</v>
      </c>
      <c r="I113" s="0" t="n">
        <v>0</v>
      </c>
      <c r="J113" s="0" t="n">
        <v>646</v>
      </c>
      <c r="K113" s="0" t="n">
        <v>7</v>
      </c>
      <c r="L113" s="0" t="n">
        <v>854</v>
      </c>
      <c r="M113" s="0" t="n">
        <v>611</v>
      </c>
    </row>
    <row r="114" customFormat="false" ht="13.5" hidden="false" customHeight="false" outlineLevel="0" collapsed="false">
      <c r="A114" s="0" t="s">
        <v>121</v>
      </c>
      <c r="B114" s="48" t="n">
        <v>43974</v>
      </c>
      <c r="C114" s="0" t="n">
        <v>960</v>
      </c>
      <c r="D114" s="0" t="n">
        <f aca="false">C114-C113</f>
        <v>57</v>
      </c>
      <c r="E114" s="0" t="n">
        <v>11</v>
      </c>
      <c r="F114" s="0" t="n">
        <v>1</v>
      </c>
      <c r="G114" s="0" t="n">
        <v>165</v>
      </c>
      <c r="H114" s="0" t="n">
        <v>784</v>
      </c>
      <c r="I114" s="0" t="n">
        <v>0</v>
      </c>
      <c r="J114" s="0" t="n">
        <v>687</v>
      </c>
      <c r="K114" s="0" t="n">
        <v>8</v>
      </c>
      <c r="L114" s="0" t="n">
        <v>854</v>
      </c>
      <c r="M114" s="0" t="n">
        <v>611</v>
      </c>
    </row>
    <row r="115" customFormat="false" ht="13.5" hidden="false" customHeight="false" outlineLevel="0" collapsed="false">
      <c r="A115" s="0" t="s">
        <v>121</v>
      </c>
      <c r="B115" s="48" t="n">
        <v>43975</v>
      </c>
      <c r="C115" s="0" t="n">
        <v>960</v>
      </c>
      <c r="D115" s="0" t="n">
        <f aca="false">C115-C114</f>
        <v>0</v>
      </c>
      <c r="E115" s="0" t="n">
        <v>11</v>
      </c>
      <c r="F115" s="0" t="n">
        <v>0</v>
      </c>
      <c r="G115" s="0" t="n">
        <v>165</v>
      </c>
      <c r="H115" s="0" t="n">
        <v>784</v>
      </c>
      <c r="I115" s="0" t="n">
        <v>0</v>
      </c>
      <c r="J115" s="0" t="n">
        <v>687</v>
      </c>
      <c r="K115" s="0" t="n">
        <v>8</v>
      </c>
      <c r="L115" s="0" t="n">
        <v>854</v>
      </c>
      <c r="M115" s="0" t="n">
        <v>611</v>
      </c>
    </row>
    <row r="116" customFormat="false" ht="13.5" hidden="false" customHeight="false" outlineLevel="0" collapsed="false">
      <c r="A116" s="0" t="s">
        <v>121</v>
      </c>
      <c r="B116" s="48" t="n">
        <v>43976</v>
      </c>
      <c r="C116" s="0" t="n">
        <v>960</v>
      </c>
      <c r="D116" s="0" t="n">
        <f aca="false">C116-C115</f>
        <v>0</v>
      </c>
      <c r="E116" s="0" t="n">
        <v>11</v>
      </c>
      <c r="F116" s="0" t="n">
        <v>0</v>
      </c>
      <c r="G116" s="0" t="n">
        <v>165</v>
      </c>
      <c r="H116" s="0" t="n">
        <v>784</v>
      </c>
      <c r="I116" s="0" t="n">
        <v>0</v>
      </c>
      <c r="J116" s="0" t="n">
        <v>687</v>
      </c>
      <c r="K116" s="0" t="n">
        <v>8</v>
      </c>
      <c r="L116" s="0" t="n">
        <v>854</v>
      </c>
      <c r="M116" s="0" t="n">
        <v>611</v>
      </c>
    </row>
    <row r="117" customFormat="false" ht="13.5" hidden="false" customHeight="false" outlineLevel="0" collapsed="false">
      <c r="A117" s="0" t="s">
        <v>121</v>
      </c>
      <c r="B117" s="48" t="n">
        <v>43977</v>
      </c>
      <c r="C117" s="0" t="n">
        <v>1043</v>
      </c>
      <c r="D117" s="0" t="n">
        <f aca="false">C117-C116</f>
        <v>83</v>
      </c>
      <c r="E117" s="0" t="n">
        <v>12</v>
      </c>
      <c r="F117" s="0" t="n">
        <v>1</v>
      </c>
      <c r="G117" s="0" t="n">
        <v>165</v>
      </c>
      <c r="H117" s="0" t="n">
        <v>866</v>
      </c>
      <c r="I117" s="0" t="n">
        <v>0</v>
      </c>
      <c r="J117" s="0" t="n">
        <v>746</v>
      </c>
      <c r="K117" s="0" t="n">
        <v>9</v>
      </c>
      <c r="L117" s="0" t="n">
        <v>854</v>
      </c>
      <c r="M117" s="0" t="n">
        <v>611</v>
      </c>
    </row>
    <row r="118" customFormat="false" ht="13.5" hidden="false" customHeight="false" outlineLevel="0" collapsed="false">
      <c r="A118" s="0" t="s">
        <v>121</v>
      </c>
      <c r="B118" s="48" t="n">
        <v>43978</v>
      </c>
      <c r="C118" s="0" t="n">
        <v>1043</v>
      </c>
      <c r="D118" s="0" t="n">
        <f aca="false">C118-C117</f>
        <v>0</v>
      </c>
      <c r="E118" s="0" t="n">
        <v>12</v>
      </c>
      <c r="F118" s="0" t="n">
        <v>0</v>
      </c>
      <c r="G118" s="0" t="n">
        <v>165</v>
      </c>
      <c r="H118" s="0" t="n">
        <v>866</v>
      </c>
      <c r="I118" s="0" t="n">
        <v>0</v>
      </c>
      <c r="J118" s="0" t="n">
        <v>746</v>
      </c>
      <c r="K118" s="0" t="n">
        <v>9</v>
      </c>
      <c r="L118" s="0" t="n">
        <v>854</v>
      </c>
      <c r="M118" s="0" t="n">
        <v>611</v>
      </c>
    </row>
    <row r="119" customFormat="false" ht="13.5" hidden="false" customHeight="false" outlineLevel="0" collapsed="false">
      <c r="A119" s="0" t="s">
        <v>121</v>
      </c>
      <c r="B119" s="48" t="n">
        <v>43979</v>
      </c>
      <c r="C119" s="0" t="n">
        <v>1043</v>
      </c>
      <c r="D119" s="0" t="n">
        <f aca="false">C119-C118</f>
        <v>0</v>
      </c>
      <c r="E119" s="0" t="n">
        <v>12</v>
      </c>
      <c r="F119" s="0" t="n">
        <v>0</v>
      </c>
      <c r="G119" s="0" t="n">
        <v>165</v>
      </c>
      <c r="H119" s="0" t="n">
        <v>866</v>
      </c>
      <c r="I119" s="0" t="n">
        <v>0</v>
      </c>
      <c r="J119" s="0" t="n">
        <v>746</v>
      </c>
      <c r="K119" s="0" t="n">
        <v>9</v>
      </c>
      <c r="L119" s="0" t="n">
        <v>854</v>
      </c>
      <c r="M119" s="0" t="n">
        <v>611</v>
      </c>
    </row>
    <row r="120" customFormat="false" ht="13.5" hidden="false" customHeight="false" outlineLevel="0" collapsed="false">
      <c r="A120" s="0" t="s">
        <v>121</v>
      </c>
      <c r="B120" s="48" t="n">
        <v>43980</v>
      </c>
      <c r="C120" s="0" t="n">
        <v>1043</v>
      </c>
      <c r="D120" s="0" t="n">
        <f aca="false">C120-C119</f>
        <v>0</v>
      </c>
      <c r="E120" s="0" t="n">
        <v>12</v>
      </c>
      <c r="F120" s="0" t="n">
        <v>0</v>
      </c>
      <c r="G120" s="0" t="n">
        <v>165</v>
      </c>
      <c r="H120" s="0" t="n">
        <v>866</v>
      </c>
      <c r="I120" s="0" t="n">
        <v>0</v>
      </c>
      <c r="J120" s="0" t="n">
        <v>746</v>
      </c>
      <c r="K120" s="0" t="n">
        <v>9</v>
      </c>
      <c r="L120" s="0" t="n">
        <v>854</v>
      </c>
      <c r="M120" s="0" t="n">
        <v>611</v>
      </c>
    </row>
    <row r="121" customFormat="false" ht="13.5" hidden="false" customHeight="false" outlineLevel="0" collapsed="false">
      <c r="A121" s="0" t="s">
        <v>121</v>
      </c>
      <c r="B121" s="48" t="n">
        <v>43981</v>
      </c>
      <c r="C121" s="0" t="n">
        <v>1306</v>
      </c>
      <c r="D121" s="0" t="n">
        <f aca="false">C121-C120</f>
        <v>263</v>
      </c>
      <c r="E121" s="0" t="n">
        <v>12</v>
      </c>
      <c r="F121" s="0" t="n">
        <v>0</v>
      </c>
      <c r="G121" s="0" t="n">
        <v>200</v>
      </c>
      <c r="H121" s="0" t="n">
        <v>1094</v>
      </c>
      <c r="I121" s="0" t="n">
        <v>0</v>
      </c>
      <c r="J121" s="0" t="n">
        <v>934</v>
      </c>
      <c r="K121" s="0" t="n">
        <v>9</v>
      </c>
      <c r="L121" s="0" t="n">
        <v>854</v>
      </c>
      <c r="M121" s="0" t="n">
        <v>611</v>
      </c>
    </row>
    <row r="122" customFormat="false" ht="13.5" hidden="false" customHeight="false" outlineLevel="0" collapsed="false">
      <c r="A122" s="0" t="s">
        <v>121</v>
      </c>
      <c r="B122" s="48" t="n">
        <v>43982</v>
      </c>
      <c r="C122" s="0" t="n">
        <v>1306</v>
      </c>
      <c r="D122" s="0" t="n">
        <f aca="false">C122-C121</f>
        <v>0</v>
      </c>
      <c r="E122" s="0" t="n">
        <v>12</v>
      </c>
      <c r="F122" s="0" t="n">
        <v>0</v>
      </c>
      <c r="G122" s="0" t="n">
        <v>200</v>
      </c>
      <c r="H122" s="0" t="n">
        <v>1094</v>
      </c>
      <c r="I122" s="0" t="n">
        <v>0</v>
      </c>
      <c r="J122" s="0" t="n">
        <v>934</v>
      </c>
      <c r="K122" s="0" t="n">
        <v>9</v>
      </c>
      <c r="L122" s="0" t="n">
        <v>854</v>
      </c>
      <c r="M122" s="0" t="n">
        <v>611</v>
      </c>
    </row>
    <row r="123" customFormat="false" ht="13.5" hidden="false" customHeight="false" outlineLevel="0" collapsed="false">
      <c r="A123" s="0" t="s">
        <v>121</v>
      </c>
      <c r="B123" s="48" t="n">
        <v>43983</v>
      </c>
      <c r="C123" s="0" t="n">
        <v>1306</v>
      </c>
      <c r="D123" s="0" t="n">
        <f aca="false">C123-C122</f>
        <v>0</v>
      </c>
      <c r="E123" s="0" t="n">
        <v>12</v>
      </c>
      <c r="F123" s="0" t="n">
        <v>0</v>
      </c>
      <c r="G123" s="0" t="n">
        <v>200</v>
      </c>
      <c r="H123" s="0" t="n">
        <v>1094</v>
      </c>
      <c r="I123" s="0" t="n">
        <v>0</v>
      </c>
      <c r="J123" s="0" t="n">
        <v>934</v>
      </c>
      <c r="K123" s="0" t="n">
        <v>9</v>
      </c>
      <c r="L123" s="0" t="n">
        <v>8268</v>
      </c>
      <c r="M123" s="0" t="n">
        <v>5913</v>
      </c>
    </row>
    <row r="124" customFormat="false" ht="13.5" hidden="false" customHeight="false" outlineLevel="0" collapsed="false">
      <c r="A124" s="0" t="s">
        <v>121</v>
      </c>
      <c r="B124" s="48" t="n">
        <v>43984</v>
      </c>
      <c r="C124" s="0" t="n">
        <v>1306</v>
      </c>
      <c r="D124" s="0" t="n">
        <f aca="false">C124-C123</f>
        <v>0</v>
      </c>
      <c r="E124" s="0" t="n">
        <v>12</v>
      </c>
      <c r="F124" s="0" t="n">
        <v>0</v>
      </c>
      <c r="G124" s="0" t="n">
        <v>200</v>
      </c>
      <c r="H124" s="0" t="n">
        <v>1094</v>
      </c>
      <c r="I124" s="0" t="n">
        <v>0</v>
      </c>
      <c r="J124" s="0" t="n">
        <v>934</v>
      </c>
      <c r="K124" s="0" t="n">
        <v>9</v>
      </c>
      <c r="L124" s="0" t="n">
        <v>8268</v>
      </c>
      <c r="M124" s="0" t="n">
        <v>5912</v>
      </c>
    </row>
    <row r="125" customFormat="false" ht="13.5" hidden="false" customHeight="false" outlineLevel="0" collapsed="false">
      <c r="A125" s="0" t="s">
        <v>121</v>
      </c>
      <c r="B125" s="48" t="n">
        <v>43985</v>
      </c>
      <c r="C125" s="0" t="n">
        <v>1306</v>
      </c>
      <c r="D125" s="0" t="n">
        <f aca="false">C125-C124</f>
        <v>0</v>
      </c>
      <c r="E125" s="0" t="n">
        <v>12</v>
      </c>
      <c r="F125" s="0" t="n">
        <v>0</v>
      </c>
      <c r="G125" s="0" t="n">
        <v>200</v>
      </c>
      <c r="H125" s="0" t="n">
        <v>1094</v>
      </c>
      <c r="I125" s="0" t="n">
        <v>0</v>
      </c>
      <c r="J125" s="0" t="n">
        <v>934</v>
      </c>
      <c r="K125" s="0" t="n">
        <v>9</v>
      </c>
      <c r="L125" s="0" t="n">
        <v>8268</v>
      </c>
      <c r="M125" s="0" t="n">
        <v>5911</v>
      </c>
    </row>
    <row r="126" customFormat="false" ht="13.5" hidden="false" customHeight="false" outlineLevel="0" collapsed="false">
      <c r="A126" s="0" t="s">
        <v>121</v>
      </c>
      <c r="B126" s="48" t="n">
        <v>43986</v>
      </c>
      <c r="C126" s="0" t="n">
        <v>1306</v>
      </c>
      <c r="D126" s="0" t="n">
        <f aca="false">C126-C125</f>
        <v>0</v>
      </c>
      <c r="E126" s="0" t="n">
        <v>12</v>
      </c>
      <c r="F126" s="0" t="n">
        <v>0</v>
      </c>
      <c r="G126" s="0" t="n">
        <v>200</v>
      </c>
      <c r="H126" s="0" t="n">
        <v>1094</v>
      </c>
      <c r="I126" s="0" t="n">
        <v>0</v>
      </c>
      <c r="J126" s="0" t="n">
        <v>934</v>
      </c>
      <c r="K126" s="0" t="n">
        <v>9</v>
      </c>
      <c r="L126" s="0" t="n">
        <v>8268</v>
      </c>
      <c r="M126" s="0" t="n">
        <v>5911</v>
      </c>
    </row>
    <row r="127" customFormat="false" ht="13.5" hidden="false" customHeight="false" outlineLevel="0" collapsed="false">
      <c r="A127" s="0" t="s">
        <v>121</v>
      </c>
      <c r="B127" s="48" t="n">
        <v>43987</v>
      </c>
      <c r="C127" s="0" t="n">
        <v>1306</v>
      </c>
      <c r="D127" s="0" t="n">
        <f aca="false">C127-C126</f>
        <v>0</v>
      </c>
      <c r="E127" s="0" t="n">
        <v>12</v>
      </c>
      <c r="F127" s="0" t="n">
        <v>0</v>
      </c>
      <c r="G127" s="0" t="n">
        <v>200</v>
      </c>
      <c r="H127" s="0" t="n">
        <v>1094</v>
      </c>
      <c r="I127" s="0" t="n">
        <v>0</v>
      </c>
      <c r="J127" s="0" t="n">
        <v>934</v>
      </c>
      <c r="K127" s="0" t="n">
        <v>9</v>
      </c>
      <c r="L127" s="0" t="n">
        <v>8268</v>
      </c>
      <c r="M127" s="0" t="n">
        <v>5910</v>
      </c>
    </row>
    <row r="128" customFormat="false" ht="13.5" hidden="false" customHeight="false" outlineLevel="0" collapsed="false">
      <c r="A128" s="0" t="s">
        <v>121</v>
      </c>
      <c r="B128" s="48" t="n">
        <v>43988</v>
      </c>
      <c r="C128" s="0" t="n">
        <v>1306</v>
      </c>
      <c r="D128" s="0" t="n">
        <f aca="false">C128-C127</f>
        <v>0</v>
      </c>
      <c r="E128" s="0" t="n">
        <v>12</v>
      </c>
      <c r="F128" s="0" t="n">
        <v>0</v>
      </c>
      <c r="G128" s="0" t="n">
        <v>200</v>
      </c>
      <c r="H128" s="0" t="n">
        <v>1094</v>
      </c>
      <c r="I128" s="0" t="n">
        <v>0</v>
      </c>
      <c r="J128" s="0" t="n">
        <v>934</v>
      </c>
      <c r="K128" s="0" t="n">
        <v>9</v>
      </c>
      <c r="L128" s="0" t="n">
        <v>8268</v>
      </c>
      <c r="M128" s="0" t="n">
        <v>5910</v>
      </c>
    </row>
    <row r="129" customFormat="false" ht="13.5" hidden="false" customHeight="false" outlineLevel="0" collapsed="false">
      <c r="A129" s="0" t="s">
        <v>121</v>
      </c>
      <c r="B129" s="48" t="n">
        <v>43989</v>
      </c>
      <c r="C129" s="0" t="n">
        <v>1306</v>
      </c>
      <c r="D129" s="0" t="n">
        <f aca="false">C129-C128</f>
        <v>0</v>
      </c>
      <c r="E129" s="0" t="n">
        <v>12</v>
      </c>
      <c r="F129" s="0" t="n">
        <v>0</v>
      </c>
      <c r="G129" s="0" t="n">
        <v>200</v>
      </c>
      <c r="H129" s="0" t="n">
        <v>1094</v>
      </c>
      <c r="I129" s="0" t="n">
        <v>0</v>
      </c>
      <c r="J129" s="0" t="n">
        <v>933</v>
      </c>
      <c r="K129" s="0" t="n">
        <v>9</v>
      </c>
      <c r="L129" s="0" t="n">
        <v>8268</v>
      </c>
      <c r="M129" s="0" t="n">
        <v>5909</v>
      </c>
    </row>
    <row r="130" customFormat="false" ht="13.5" hidden="false" customHeight="false" outlineLevel="0" collapsed="false">
      <c r="A130" s="0" t="s">
        <v>121</v>
      </c>
      <c r="B130" s="48" t="n">
        <v>43990</v>
      </c>
      <c r="C130" s="0" t="n">
        <v>1306</v>
      </c>
      <c r="D130" s="0" t="n">
        <f aca="false">C130-C129</f>
        <v>0</v>
      </c>
      <c r="E130" s="0" t="n">
        <v>12</v>
      </c>
      <c r="F130" s="0" t="n">
        <v>0</v>
      </c>
      <c r="G130" s="0" t="n">
        <v>200</v>
      </c>
      <c r="H130" s="0" t="n">
        <v>1094</v>
      </c>
      <c r="I130" s="0" t="n">
        <v>0</v>
      </c>
      <c r="J130" s="0" t="n">
        <v>933</v>
      </c>
      <c r="K130" s="0" t="n">
        <v>9</v>
      </c>
      <c r="L130" s="0" t="n">
        <v>8268</v>
      </c>
      <c r="M130" s="0" t="n">
        <v>5909</v>
      </c>
    </row>
    <row r="131" customFormat="false" ht="13.5" hidden="false" customHeight="false" outlineLevel="0" collapsed="false">
      <c r="A131" s="0" t="s">
        <v>121</v>
      </c>
      <c r="B131" s="48" t="n">
        <v>43991</v>
      </c>
      <c r="C131" s="0" t="n">
        <v>1306</v>
      </c>
      <c r="D131" s="0" t="n">
        <f aca="false">C131-C130</f>
        <v>0</v>
      </c>
      <c r="E131" s="0" t="n">
        <v>12</v>
      </c>
      <c r="F131" s="0" t="n">
        <v>0</v>
      </c>
      <c r="G131" s="0" t="n">
        <v>200</v>
      </c>
      <c r="H131" s="0" t="n">
        <v>1094</v>
      </c>
      <c r="I131" s="0" t="n">
        <v>0</v>
      </c>
      <c r="J131" s="0" t="n">
        <v>933</v>
      </c>
      <c r="K131" s="0" t="n">
        <v>9</v>
      </c>
      <c r="L131" s="0" t="n">
        <v>8268</v>
      </c>
      <c r="M131" s="0" t="n">
        <v>5908</v>
      </c>
    </row>
    <row r="132" customFormat="false" ht="13.5" hidden="false" customHeight="false" outlineLevel="0" collapsed="false">
      <c r="A132" s="0" t="s">
        <v>121</v>
      </c>
      <c r="B132" s="48" t="n">
        <v>43992</v>
      </c>
      <c r="C132" s="0" t="n">
        <v>1306</v>
      </c>
      <c r="D132" s="0" t="n">
        <f aca="false">C132-C131</f>
        <v>0</v>
      </c>
      <c r="E132" s="0" t="n">
        <v>12</v>
      </c>
      <c r="F132" s="0" t="n">
        <v>0</v>
      </c>
      <c r="G132" s="0" t="n">
        <v>200</v>
      </c>
      <c r="H132" s="0" t="n">
        <v>1094</v>
      </c>
      <c r="I132" s="0" t="n">
        <v>0</v>
      </c>
      <c r="J132" s="0" t="n">
        <v>933</v>
      </c>
      <c r="K132" s="0" t="n">
        <v>9</v>
      </c>
      <c r="L132" s="0" t="n">
        <v>8268</v>
      </c>
      <c r="M132" s="0" t="n">
        <v>5908</v>
      </c>
    </row>
    <row r="133" customFormat="false" ht="13.5" hidden="false" customHeight="false" outlineLevel="0" collapsed="false">
      <c r="A133" s="0" t="s">
        <v>121</v>
      </c>
      <c r="B133" s="48" t="n">
        <v>43993</v>
      </c>
      <c r="C133" s="0" t="n">
        <v>1306</v>
      </c>
      <c r="D133" s="0" t="n">
        <f aca="false">C133-C132</f>
        <v>0</v>
      </c>
      <c r="E133" s="0" t="n">
        <v>12</v>
      </c>
      <c r="F133" s="0" t="n">
        <v>0</v>
      </c>
      <c r="G133" s="0" t="n">
        <v>200</v>
      </c>
      <c r="H133" s="0" t="n">
        <v>1094</v>
      </c>
      <c r="I133" s="0" t="n">
        <v>0</v>
      </c>
      <c r="J133" s="0" t="n">
        <v>933</v>
      </c>
      <c r="K133" s="0" t="n">
        <v>9</v>
      </c>
      <c r="L133" s="0" t="n">
        <v>8268</v>
      </c>
      <c r="M133" s="0" t="n">
        <v>5907</v>
      </c>
    </row>
    <row r="134" customFormat="false" ht="13.5" hidden="false" customHeight="false" outlineLevel="0" collapsed="false">
      <c r="A134" s="0" t="s">
        <v>121</v>
      </c>
      <c r="B134" s="48" t="n">
        <v>43994</v>
      </c>
      <c r="C134" s="0" t="n">
        <v>1306</v>
      </c>
      <c r="D134" s="0" t="n">
        <f aca="false">C134-C133</f>
        <v>0</v>
      </c>
      <c r="E134" s="0" t="n">
        <v>12</v>
      </c>
      <c r="F134" s="0" t="n">
        <v>0</v>
      </c>
      <c r="G134" s="0" t="n">
        <v>200</v>
      </c>
      <c r="H134" s="0" t="n">
        <v>1094</v>
      </c>
      <c r="I134" s="0" t="n">
        <v>0</v>
      </c>
      <c r="J134" s="0" t="n">
        <v>933</v>
      </c>
      <c r="K134" s="0" t="n">
        <v>9</v>
      </c>
      <c r="L134" s="0" t="n">
        <v>8268</v>
      </c>
      <c r="M134" s="0" t="n">
        <v>5907</v>
      </c>
    </row>
    <row r="135" customFormat="false" ht="13.5" hidden="false" customHeight="false" outlineLevel="0" collapsed="false">
      <c r="A135" s="0" t="s">
        <v>121</v>
      </c>
      <c r="B135" s="48" t="n">
        <v>43995</v>
      </c>
      <c r="C135" s="0" t="n">
        <v>1306</v>
      </c>
      <c r="D135" s="0" t="n">
        <f aca="false">C135-C134</f>
        <v>0</v>
      </c>
      <c r="E135" s="0" t="n">
        <v>12</v>
      </c>
      <c r="F135" s="0" t="n">
        <v>0</v>
      </c>
      <c r="G135" s="0" t="n">
        <v>200</v>
      </c>
      <c r="H135" s="0" t="n">
        <v>1094</v>
      </c>
      <c r="I135" s="0" t="n">
        <v>0</v>
      </c>
      <c r="J135" s="0" t="n">
        <v>933</v>
      </c>
      <c r="K135" s="0" t="n">
        <v>9</v>
      </c>
      <c r="L135" s="0" t="n">
        <v>8268</v>
      </c>
      <c r="M135" s="0" t="n">
        <v>5906</v>
      </c>
    </row>
    <row r="136" customFormat="false" ht="13.5" hidden="false" customHeight="false" outlineLevel="0" collapsed="false">
      <c r="A136" s="0" t="s">
        <v>121</v>
      </c>
      <c r="B136" s="48" t="n">
        <v>43996</v>
      </c>
      <c r="C136" s="0" t="n">
        <v>1306</v>
      </c>
      <c r="D136" s="0" t="n">
        <f aca="false">C136-C135</f>
        <v>0</v>
      </c>
      <c r="E136" s="0" t="n">
        <v>12</v>
      </c>
      <c r="F136" s="0" t="n">
        <v>0</v>
      </c>
      <c r="G136" s="0" t="n">
        <v>200</v>
      </c>
      <c r="H136" s="0" t="n">
        <v>1094</v>
      </c>
      <c r="I136" s="0" t="n">
        <v>0</v>
      </c>
      <c r="J136" s="0" t="n">
        <v>933</v>
      </c>
      <c r="K136" s="0" t="n">
        <v>9</v>
      </c>
      <c r="L136" s="0" t="n">
        <v>8268</v>
      </c>
      <c r="M136" s="0" t="n">
        <v>5906</v>
      </c>
    </row>
    <row r="137" customFormat="false" ht="13.5" hidden="false" customHeight="false" outlineLevel="0" collapsed="false">
      <c r="A137" s="0" t="s">
        <v>121</v>
      </c>
      <c r="B137" s="48" t="n">
        <v>43997</v>
      </c>
      <c r="C137" s="0" t="n">
        <v>1306</v>
      </c>
      <c r="D137" s="0" t="n">
        <f aca="false">C137-C136</f>
        <v>0</v>
      </c>
      <c r="E137" s="0" t="n">
        <v>12</v>
      </c>
      <c r="F137" s="0" t="n">
        <v>0</v>
      </c>
      <c r="G137" s="0" t="n">
        <v>200</v>
      </c>
      <c r="H137" s="0" t="n">
        <v>1094</v>
      </c>
      <c r="I137" s="0" t="n">
        <v>0</v>
      </c>
      <c r="J137" s="0" t="n">
        <v>933</v>
      </c>
      <c r="K137" s="0" t="n">
        <v>9</v>
      </c>
      <c r="L137" s="0" t="n">
        <v>8268</v>
      </c>
      <c r="M137" s="0" t="n">
        <v>5905</v>
      </c>
    </row>
    <row r="138" customFormat="false" ht="13.5" hidden="false" customHeight="false" outlineLevel="0" collapsed="false">
      <c r="A138" s="0" t="s">
        <v>121</v>
      </c>
      <c r="B138" s="48" t="n">
        <v>43998</v>
      </c>
      <c r="C138" s="0" t="n">
        <v>1306</v>
      </c>
      <c r="D138" s="0" t="n">
        <f aca="false">C138-C137</f>
        <v>0</v>
      </c>
      <c r="E138" s="0" t="n">
        <v>12</v>
      </c>
      <c r="F138" s="0" t="n">
        <v>0</v>
      </c>
      <c r="G138" s="0" t="n">
        <v>200</v>
      </c>
      <c r="H138" s="0" t="n">
        <v>1094</v>
      </c>
      <c r="I138" s="0" t="n">
        <v>0</v>
      </c>
      <c r="J138" s="0" t="n">
        <v>933</v>
      </c>
      <c r="K138" s="0" t="n">
        <v>9</v>
      </c>
      <c r="L138" s="0" t="n">
        <v>8268</v>
      </c>
      <c r="M138" s="0" t="n">
        <v>5904</v>
      </c>
    </row>
    <row r="139" customFormat="false" ht="13.5" hidden="false" customHeight="false" outlineLevel="0" collapsed="false">
      <c r="A139" s="0" t="s">
        <v>121</v>
      </c>
      <c r="B139" s="48" t="n">
        <v>43999</v>
      </c>
      <c r="C139" s="0" t="n">
        <v>1306</v>
      </c>
      <c r="D139" s="0" t="n">
        <f aca="false">C139-C138</f>
        <v>0</v>
      </c>
      <c r="E139" s="0" t="n">
        <v>12</v>
      </c>
      <c r="F139" s="0" t="n">
        <v>0</v>
      </c>
      <c r="G139" s="0" t="n">
        <v>200</v>
      </c>
      <c r="H139" s="0" t="n">
        <v>1094</v>
      </c>
      <c r="I139" s="0" t="n">
        <v>0</v>
      </c>
      <c r="J139" s="0" t="n">
        <v>933</v>
      </c>
      <c r="K139" s="0" t="n">
        <v>9</v>
      </c>
      <c r="L139" s="0" t="n">
        <v>8268</v>
      </c>
      <c r="M139" s="0" t="n">
        <v>5904</v>
      </c>
    </row>
    <row r="140" customFormat="false" ht="13.5" hidden="false" customHeight="false" outlineLevel="0" collapsed="false">
      <c r="A140" s="0" t="s">
        <v>121</v>
      </c>
      <c r="B140" s="48" t="n">
        <v>44000</v>
      </c>
      <c r="C140" s="0" t="n">
        <v>1664</v>
      </c>
      <c r="D140" s="0" t="n">
        <f aca="false">C140-C139</f>
        <v>358</v>
      </c>
      <c r="E140" s="0" t="n">
        <v>32</v>
      </c>
      <c r="F140" s="0" t="n">
        <v>20</v>
      </c>
      <c r="G140" s="0" t="n">
        <v>515</v>
      </c>
      <c r="H140" s="0" t="n">
        <v>1117</v>
      </c>
      <c r="I140" s="0" t="n">
        <v>0</v>
      </c>
      <c r="J140" s="0" t="n">
        <v>1188</v>
      </c>
      <c r="K140" s="0" t="n">
        <v>23</v>
      </c>
      <c r="L140" s="0" t="n">
        <v>16000</v>
      </c>
      <c r="M140" s="0" t="n">
        <v>11424</v>
      </c>
    </row>
    <row r="141" customFormat="false" ht="13.5" hidden="false" customHeight="false" outlineLevel="0" collapsed="false">
      <c r="A141" s="0" t="s">
        <v>121</v>
      </c>
      <c r="B141" s="48" t="n">
        <v>44001</v>
      </c>
      <c r="C141" s="0" t="n">
        <v>1664</v>
      </c>
      <c r="D141" s="0" t="n">
        <f aca="false">C141-C140</f>
        <v>0</v>
      </c>
      <c r="E141" s="0" t="n">
        <v>32</v>
      </c>
      <c r="F141" s="0" t="n">
        <v>0</v>
      </c>
      <c r="G141" s="0" t="n">
        <v>515</v>
      </c>
      <c r="H141" s="0" t="n">
        <v>1117</v>
      </c>
      <c r="I141" s="0" t="n">
        <v>0</v>
      </c>
      <c r="J141" s="0" t="n">
        <v>1188</v>
      </c>
      <c r="K141" s="0" t="n">
        <v>23</v>
      </c>
      <c r="L141" s="0" t="n">
        <v>16000</v>
      </c>
      <c r="M141" s="0" t="n">
        <v>11423</v>
      </c>
    </row>
    <row r="142" customFormat="false" ht="13.5" hidden="false" customHeight="false" outlineLevel="0" collapsed="false">
      <c r="A142" s="0" t="s">
        <v>121</v>
      </c>
      <c r="B142" s="48" t="n">
        <v>44002</v>
      </c>
      <c r="C142" s="0" t="n">
        <v>1664</v>
      </c>
      <c r="D142" s="0" t="n">
        <f aca="false">C142-C141</f>
        <v>0</v>
      </c>
      <c r="E142" s="0" t="n">
        <v>32</v>
      </c>
      <c r="F142" s="0" t="n">
        <v>0</v>
      </c>
      <c r="G142" s="0" t="n">
        <v>515</v>
      </c>
      <c r="H142" s="0" t="n">
        <v>1117</v>
      </c>
      <c r="I142" s="0" t="n">
        <v>0</v>
      </c>
      <c r="J142" s="0" t="n">
        <v>1188</v>
      </c>
      <c r="K142" s="0" t="n">
        <v>23</v>
      </c>
      <c r="L142" s="0" t="n">
        <v>16000</v>
      </c>
      <c r="M142" s="0" t="n">
        <v>11422</v>
      </c>
    </row>
    <row r="143" customFormat="false" ht="13.5" hidden="false" customHeight="false" outlineLevel="0" collapsed="false">
      <c r="A143" s="0" t="s">
        <v>121</v>
      </c>
      <c r="B143" s="48" t="n">
        <v>44003</v>
      </c>
      <c r="C143" s="0" t="n">
        <v>1664</v>
      </c>
      <c r="D143" s="0" t="n">
        <v>0</v>
      </c>
      <c r="E143" s="0" t="n">
        <v>32</v>
      </c>
      <c r="F143" s="0" t="n">
        <v>0</v>
      </c>
      <c r="G143" s="0" t="n">
        <v>515</v>
      </c>
      <c r="H143" s="0" t="n">
        <v>1117</v>
      </c>
      <c r="I143" s="0" t="n">
        <v>0</v>
      </c>
      <c r="J143" s="0" t="n">
        <v>1188</v>
      </c>
      <c r="K143" s="0" t="n">
        <v>23</v>
      </c>
      <c r="L143" s="0" t="n">
        <v>16000</v>
      </c>
      <c r="M143" s="0" t="n">
        <v>11421</v>
      </c>
    </row>
    <row r="144" customFormat="false" ht="13.5" hidden="false" customHeight="false" outlineLevel="0" collapsed="false">
      <c r="A144" s="0" t="s">
        <v>121</v>
      </c>
      <c r="B144" s="48" t="n">
        <v>44004</v>
      </c>
      <c r="C144" s="0" t="n">
        <v>1664</v>
      </c>
      <c r="D144" s="0" t="n">
        <v>0</v>
      </c>
      <c r="E144" s="0" t="n">
        <v>32</v>
      </c>
      <c r="F144" s="0" t="n">
        <v>0</v>
      </c>
      <c r="G144" s="0" t="n">
        <v>515</v>
      </c>
      <c r="H144" s="0" t="n">
        <v>1117</v>
      </c>
      <c r="I144" s="0" t="n">
        <v>0</v>
      </c>
      <c r="J144" s="0" t="n">
        <v>1188</v>
      </c>
      <c r="K144" s="0" t="n">
        <v>23</v>
      </c>
      <c r="L144" s="0" t="n">
        <v>16000</v>
      </c>
      <c r="M144" s="0" t="n">
        <v>11420</v>
      </c>
    </row>
    <row r="145" customFormat="false" ht="13.5" hidden="false" customHeight="false" outlineLevel="0" collapsed="false">
      <c r="A145" s="0" t="s">
        <v>121</v>
      </c>
      <c r="B145" s="48" t="n">
        <v>44005</v>
      </c>
      <c r="C145" s="0" t="n">
        <v>1664</v>
      </c>
      <c r="D145" s="0" t="n">
        <v>0</v>
      </c>
      <c r="E145" s="0" t="n">
        <v>32</v>
      </c>
      <c r="F145" s="0" t="n">
        <v>0</v>
      </c>
      <c r="G145" s="0" t="n">
        <v>515</v>
      </c>
      <c r="H145" s="0" t="n">
        <v>1117</v>
      </c>
      <c r="I145" s="0" t="n">
        <v>0</v>
      </c>
      <c r="J145" s="0" t="n">
        <v>1188</v>
      </c>
      <c r="K145" s="0" t="n">
        <v>23</v>
      </c>
      <c r="L145" s="0" t="n">
        <v>16000</v>
      </c>
      <c r="M145" s="0" t="n">
        <v>11419</v>
      </c>
    </row>
    <row r="146" customFormat="false" ht="13.5" hidden="false" customHeight="false" outlineLevel="0" collapsed="false">
      <c r="A146" s="0" t="s">
        <v>121</v>
      </c>
      <c r="B146" s="48" t="n">
        <v>44006</v>
      </c>
      <c r="C146" s="0" t="n">
        <v>1664</v>
      </c>
      <c r="D146" s="0" t="n">
        <v>0</v>
      </c>
      <c r="E146" s="0" t="n">
        <v>32</v>
      </c>
      <c r="F146" s="0" t="n">
        <v>0</v>
      </c>
      <c r="G146" s="0" t="n">
        <v>515</v>
      </c>
      <c r="H146" s="0" t="n">
        <v>1117</v>
      </c>
      <c r="I146" s="0" t="n">
        <v>0</v>
      </c>
      <c r="J146" s="0" t="n">
        <v>1187</v>
      </c>
      <c r="K146" s="0" t="n">
        <v>23</v>
      </c>
      <c r="L146" s="0" t="n">
        <v>16000</v>
      </c>
      <c r="M146" s="0" t="n">
        <v>11418</v>
      </c>
    </row>
    <row r="147" customFormat="false" ht="13.5" hidden="false" customHeight="false" outlineLevel="0" collapsed="false">
      <c r="A147" s="0" t="s">
        <v>121</v>
      </c>
      <c r="B147" s="48" t="n">
        <v>44007</v>
      </c>
      <c r="C147" s="0" t="n">
        <v>1664</v>
      </c>
      <c r="D147" s="0" t="n">
        <v>0</v>
      </c>
      <c r="E147" s="0" t="n">
        <v>32</v>
      </c>
      <c r="F147" s="0" t="n">
        <v>0</v>
      </c>
      <c r="G147" s="0" t="n">
        <v>515</v>
      </c>
      <c r="H147" s="0" t="n">
        <v>1117</v>
      </c>
      <c r="I147" s="0" t="n">
        <v>0</v>
      </c>
      <c r="J147" s="0" t="n">
        <v>1187</v>
      </c>
      <c r="K147" s="0" t="n">
        <v>23</v>
      </c>
      <c r="L147" s="0" t="n">
        <v>16000</v>
      </c>
      <c r="M147" s="0" t="n">
        <v>11417</v>
      </c>
    </row>
    <row r="148" customFormat="false" ht="13.5" hidden="false" customHeight="false" outlineLevel="0" collapsed="false">
      <c r="A148" s="0" t="s">
        <v>121</v>
      </c>
      <c r="B148" s="48" t="n">
        <v>44008</v>
      </c>
      <c r="C148" s="0" t="n">
        <v>1664</v>
      </c>
      <c r="D148" s="0" t="n">
        <v>0</v>
      </c>
      <c r="E148" s="0" t="n">
        <v>32</v>
      </c>
      <c r="F148" s="0" t="n">
        <v>0</v>
      </c>
      <c r="G148" s="0" t="n">
        <v>515</v>
      </c>
      <c r="H148" s="0" t="n">
        <v>1117</v>
      </c>
      <c r="I148" s="0" t="n">
        <v>0</v>
      </c>
      <c r="J148" s="0" t="n">
        <v>1187</v>
      </c>
      <c r="K148" s="0" t="n">
        <v>23</v>
      </c>
      <c r="L148" s="0" t="n">
        <v>16000</v>
      </c>
      <c r="M148" s="0" t="n">
        <v>11416</v>
      </c>
    </row>
    <row r="149" customFormat="false" ht="13.5" hidden="false" customHeight="false" outlineLevel="0" collapsed="false">
      <c r="A149" s="0" t="s">
        <v>121</v>
      </c>
      <c r="B149" s="48" t="n">
        <v>44009</v>
      </c>
      <c r="C149" s="0" t="n">
        <v>2001</v>
      </c>
      <c r="D149" s="0" t="n">
        <v>337</v>
      </c>
      <c r="E149" s="0" t="n">
        <v>32</v>
      </c>
      <c r="F149" s="0" t="n">
        <v>0</v>
      </c>
      <c r="G149" s="0" t="n">
        <v>515</v>
      </c>
      <c r="H149" s="0" t="n">
        <v>1454</v>
      </c>
      <c r="I149" s="0" t="n">
        <v>0</v>
      </c>
      <c r="J149" s="0" t="n">
        <v>1428</v>
      </c>
      <c r="K149" s="0" t="n">
        <v>23</v>
      </c>
      <c r="L149" s="0" t="n">
        <v>16000</v>
      </c>
      <c r="M149" s="0" t="n">
        <v>11415</v>
      </c>
    </row>
    <row r="150" customFormat="false" ht="13.5" hidden="false" customHeight="false" outlineLevel="0" collapsed="false">
      <c r="A150" s="0" t="s">
        <v>121</v>
      </c>
      <c r="B150" s="48" t="n">
        <v>44010</v>
      </c>
      <c r="C150" s="0" t="n">
        <v>2001</v>
      </c>
      <c r="D150" s="0" t="n">
        <v>0</v>
      </c>
      <c r="E150" s="0" t="n">
        <v>32</v>
      </c>
      <c r="F150" s="0" t="n">
        <v>0</v>
      </c>
      <c r="G150" s="0" t="n">
        <v>515</v>
      </c>
      <c r="H150" s="0" t="n">
        <v>1454</v>
      </c>
      <c r="I150" s="0" t="n">
        <v>0</v>
      </c>
      <c r="J150" s="0" t="n">
        <v>1427</v>
      </c>
      <c r="K150" s="0" t="n">
        <v>23</v>
      </c>
      <c r="L150" s="0" t="n">
        <v>16000</v>
      </c>
      <c r="M150" s="0" t="n">
        <v>11414</v>
      </c>
    </row>
    <row r="151" customFormat="false" ht="13.5" hidden="false" customHeight="false" outlineLevel="0" collapsed="false">
      <c r="A151" s="0" t="s">
        <v>121</v>
      </c>
      <c r="B151" s="48" t="n">
        <v>44011</v>
      </c>
      <c r="C151" s="0" t="n">
        <v>2001</v>
      </c>
      <c r="D151" s="0" t="n">
        <v>0</v>
      </c>
      <c r="E151" s="0" t="n">
        <v>32</v>
      </c>
      <c r="F151" s="0" t="n">
        <v>0</v>
      </c>
      <c r="G151" s="0" t="n">
        <v>515</v>
      </c>
      <c r="H151" s="0" t="n">
        <v>1454</v>
      </c>
      <c r="I151" s="0" t="n">
        <v>0</v>
      </c>
      <c r="J151" s="0" t="n">
        <v>1427</v>
      </c>
      <c r="K151" s="0" t="n">
        <v>23</v>
      </c>
      <c r="L151" s="0" t="n">
        <v>16000</v>
      </c>
      <c r="M151" s="0" t="n">
        <v>11413</v>
      </c>
    </row>
    <row r="152" customFormat="false" ht="13.5" hidden="false" customHeight="false" outlineLevel="0" collapsed="false">
      <c r="A152" s="0" t="s">
        <v>121</v>
      </c>
      <c r="B152" s="48" t="n">
        <v>44012</v>
      </c>
    </row>
    <row r="153" customFormat="false" ht="13.5" hidden="false" customHeight="false" outlineLevel="0" collapsed="false">
      <c r="A153" s="0" t="s">
        <v>121</v>
      </c>
      <c r="B153" s="48" t="n">
        <v>44013</v>
      </c>
    </row>
    <row r="154" customFormat="false" ht="13.5" hidden="false" customHeight="false" outlineLevel="0" collapsed="false">
      <c r="A154" s="0" t="s">
        <v>121</v>
      </c>
      <c r="B154" s="48" t="n">
        <v>44014</v>
      </c>
    </row>
    <row r="155" customFormat="false" ht="13.5" hidden="false" customHeight="false" outlineLevel="0" collapsed="false">
      <c r="A155" s="0" t="s">
        <v>121</v>
      </c>
      <c r="B155" s="48" t="n">
        <v>44015</v>
      </c>
    </row>
    <row r="156" customFormat="false" ht="13.5" hidden="false" customHeight="false" outlineLevel="0" collapsed="false">
      <c r="A156" s="0" t="s">
        <v>121</v>
      </c>
      <c r="B156" s="48" t="n">
        <v>44016</v>
      </c>
    </row>
    <row r="157" customFormat="false" ht="13.5" hidden="false" customHeight="false" outlineLevel="0" collapsed="false">
      <c r="A157" s="0" t="s">
        <v>121</v>
      </c>
      <c r="B157" s="48" t="n">
        <v>44017</v>
      </c>
    </row>
    <row r="158" customFormat="false" ht="13.5" hidden="false" customHeight="false" outlineLevel="0" collapsed="false">
      <c r="A158" s="0" t="s">
        <v>121</v>
      </c>
      <c r="B158" s="48" t="n">
        <v>44018</v>
      </c>
    </row>
    <row r="159" customFormat="false" ht="13.5" hidden="false" customHeight="false" outlineLevel="0" collapsed="false">
      <c r="A159" s="0" t="s">
        <v>121</v>
      </c>
      <c r="B159" s="48" t="n">
        <v>44019</v>
      </c>
    </row>
    <row r="160" customFormat="false" ht="13.5" hidden="false" customHeight="false" outlineLevel="0" collapsed="false">
      <c r="A160" s="0" t="s">
        <v>121</v>
      </c>
      <c r="B160" s="48" t="n">
        <v>44020</v>
      </c>
    </row>
    <row r="161" customFormat="false" ht="13.5" hidden="false" customHeight="false" outlineLevel="0" collapsed="false">
      <c r="A161" s="0" t="s">
        <v>121</v>
      </c>
      <c r="B161" s="48" t="n">
        <v>44021</v>
      </c>
    </row>
    <row r="162" customFormat="false" ht="13.5" hidden="false" customHeight="false" outlineLevel="0" collapsed="false">
      <c r="A162" s="0" t="s">
        <v>121</v>
      </c>
      <c r="B162" s="48" t="n">
        <v>44022</v>
      </c>
    </row>
    <row r="163" customFormat="false" ht="13.5" hidden="false" customHeight="false" outlineLevel="0" collapsed="false">
      <c r="A163" s="0" t="s">
        <v>121</v>
      </c>
      <c r="B163" s="48" t="n">
        <v>44023</v>
      </c>
    </row>
    <row r="164" customFormat="false" ht="13.5" hidden="false" customHeight="false" outlineLevel="0" collapsed="false">
      <c r="A164" s="0" t="s">
        <v>121</v>
      </c>
      <c r="B164" s="48" t="n">
        <v>44024</v>
      </c>
    </row>
    <row r="165" customFormat="false" ht="13.5" hidden="false" customHeight="false" outlineLevel="0" collapsed="false">
      <c r="A165" s="0" t="s">
        <v>121</v>
      </c>
      <c r="B165" s="48" t="n">
        <v>44025</v>
      </c>
    </row>
    <row r="166" customFormat="false" ht="13.5" hidden="false" customHeight="false" outlineLevel="0" collapsed="false">
      <c r="A166" s="0" t="s">
        <v>121</v>
      </c>
      <c r="B166" s="48" t="n">
        <v>44026</v>
      </c>
    </row>
    <row r="167" customFormat="false" ht="13.5" hidden="false" customHeight="false" outlineLevel="0" collapsed="false">
      <c r="A167" s="0" t="s">
        <v>121</v>
      </c>
      <c r="B167" s="48" t="n">
        <v>44027</v>
      </c>
    </row>
    <row r="168" customFormat="false" ht="13.5" hidden="false" customHeight="false" outlineLevel="0" collapsed="false">
      <c r="A168" s="0" t="s">
        <v>121</v>
      </c>
      <c r="B168" s="48" t="n">
        <v>44028</v>
      </c>
    </row>
    <row r="169" customFormat="false" ht="13.5" hidden="false" customHeight="false" outlineLevel="0" collapsed="false">
      <c r="A169" s="0" t="s">
        <v>121</v>
      </c>
      <c r="B169" s="48" t="n">
        <v>44029</v>
      </c>
    </row>
    <row r="170" customFormat="false" ht="13.5" hidden="false" customHeight="false" outlineLevel="0" collapsed="false">
      <c r="A170" s="0" t="s">
        <v>121</v>
      </c>
      <c r="B170" s="48" t="n">
        <v>44030</v>
      </c>
    </row>
    <row r="171" customFormat="false" ht="13.5" hidden="false" customHeight="false" outlineLevel="0" collapsed="false">
      <c r="A171" s="0" t="s">
        <v>121</v>
      </c>
      <c r="B171" s="48" t="n">
        <v>44031</v>
      </c>
    </row>
    <row r="172" customFormat="false" ht="13.5" hidden="false" customHeight="false" outlineLevel="0" collapsed="false">
      <c r="A172" s="0" t="s">
        <v>121</v>
      </c>
      <c r="B172" s="48" t="n">
        <v>44032</v>
      </c>
    </row>
    <row r="173" customFormat="false" ht="13.5" hidden="false" customHeight="false" outlineLevel="0" collapsed="false">
      <c r="A173" s="0" t="s">
        <v>121</v>
      </c>
      <c r="B173" s="48" t="n">
        <v>44033</v>
      </c>
    </row>
    <row r="174" customFormat="false" ht="13.5" hidden="false" customHeight="false" outlineLevel="0" collapsed="false">
      <c r="A174" s="0" t="s">
        <v>121</v>
      </c>
      <c r="B174" s="48" t="n">
        <v>44034</v>
      </c>
    </row>
    <row r="175" customFormat="false" ht="13.5" hidden="false" customHeight="false" outlineLevel="0" collapsed="false">
      <c r="A175" s="0" t="s">
        <v>121</v>
      </c>
      <c r="B175" s="48" t="n">
        <v>44035</v>
      </c>
    </row>
    <row r="176" customFormat="false" ht="13.5" hidden="false" customHeight="false" outlineLevel="0" collapsed="false">
      <c r="A176" s="0" t="s">
        <v>121</v>
      </c>
      <c r="B176" s="48" t="n">
        <v>44036</v>
      </c>
    </row>
    <row r="177" customFormat="false" ht="13.5" hidden="false" customHeight="false" outlineLevel="0" collapsed="false">
      <c r="A177" s="0" t="s">
        <v>121</v>
      </c>
      <c r="B177" s="48" t="n">
        <v>44037</v>
      </c>
    </row>
    <row r="178" customFormat="false" ht="13.5" hidden="false" customHeight="false" outlineLevel="0" collapsed="false">
      <c r="A178" s="0" t="s">
        <v>121</v>
      </c>
      <c r="B178" s="48" t="n">
        <v>44038</v>
      </c>
    </row>
    <row r="179" customFormat="false" ht="13.5" hidden="false" customHeight="false" outlineLevel="0" collapsed="false">
      <c r="A179" s="0" t="s">
        <v>121</v>
      </c>
      <c r="B179" s="48" t="n">
        <v>44039</v>
      </c>
    </row>
    <row r="180" customFormat="false" ht="13.5" hidden="false" customHeight="false" outlineLevel="0" collapsed="false">
      <c r="A180" s="0" t="s">
        <v>121</v>
      </c>
      <c r="B180" s="48" t="n">
        <v>44040</v>
      </c>
    </row>
    <row r="181" customFormat="false" ht="13.5" hidden="false" customHeight="false" outlineLevel="0" collapsed="false">
      <c r="A181" s="0" t="s">
        <v>121</v>
      </c>
      <c r="B181" s="48" t="n">
        <v>44041</v>
      </c>
    </row>
    <row r="182" customFormat="false" ht="13.5" hidden="false" customHeight="false" outlineLevel="0" collapsed="false">
      <c r="A182" s="0" t="s">
        <v>121</v>
      </c>
      <c r="B182" s="48" t="n">
        <v>44042</v>
      </c>
    </row>
    <row r="183" customFormat="false" ht="13.5" hidden="false" customHeight="false" outlineLevel="0" collapsed="false">
      <c r="A183" s="0" t="s">
        <v>121</v>
      </c>
      <c r="B183" s="48" t="n">
        <v>44043</v>
      </c>
    </row>
    <row r="184" customFormat="false" ht="13.5" hidden="false" customHeight="false" outlineLevel="0" collapsed="false">
      <c r="A184" s="0" t="s">
        <v>121</v>
      </c>
      <c r="B184" s="48" t="n">
        <v>44044</v>
      </c>
    </row>
    <row r="185" customFormat="false" ht="13.5" hidden="false" customHeight="false" outlineLevel="0" collapsed="false">
      <c r="A185" s="0" t="s">
        <v>121</v>
      </c>
      <c r="B185" s="48" t="n">
        <v>44045</v>
      </c>
    </row>
    <row r="186" customFormat="false" ht="13.5" hidden="false" customHeight="false" outlineLevel="0" collapsed="false">
      <c r="A186" s="0" t="s">
        <v>121</v>
      </c>
      <c r="B186" s="48" t="n">
        <v>44046</v>
      </c>
    </row>
    <row r="187" customFormat="false" ht="13.5" hidden="false" customHeight="false" outlineLevel="0" collapsed="false">
      <c r="A187" s="0" t="s">
        <v>121</v>
      </c>
      <c r="B187" s="48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M38" activeCellId="0" sqref="M38"/>
    </sheetView>
  </sheetViews>
  <sheetFormatPr defaultColWidth="8.9921875" defaultRowHeight="13.5" zeroHeight="false" outlineLevelRow="0" outlineLevelCol="0"/>
  <cols>
    <col collapsed="false" customWidth="true" hidden="false" outlineLevel="0" max="2" min="2" style="1" width="8.73"/>
  </cols>
  <sheetData>
    <row r="1" customFormat="false" ht="28.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19" t="s">
        <v>10</v>
      </c>
      <c r="L1" s="5" t="s">
        <v>11</v>
      </c>
      <c r="M1" s="5" t="s">
        <v>12</v>
      </c>
    </row>
    <row r="2" customFormat="false" ht="13.5" hidden="false" customHeight="false" outlineLevel="0" collapsed="false">
      <c r="A2" s="0" t="s">
        <v>122</v>
      </c>
      <c r="B2" s="1" t="n">
        <v>43862</v>
      </c>
    </row>
    <row r="3" customFormat="false" ht="13.5" hidden="false" customHeight="false" outlineLevel="0" collapsed="false">
      <c r="A3" s="0" t="s">
        <v>122</v>
      </c>
      <c r="B3" s="1" t="n">
        <v>43863</v>
      </c>
    </row>
    <row r="4" customFormat="false" ht="13.5" hidden="false" customHeight="false" outlineLevel="0" collapsed="false">
      <c r="A4" s="0" t="s">
        <v>122</v>
      </c>
      <c r="B4" s="1" t="n">
        <v>43864</v>
      </c>
    </row>
    <row r="5" customFormat="false" ht="13.5" hidden="false" customHeight="false" outlineLevel="0" collapsed="false">
      <c r="A5" s="0" t="s">
        <v>122</v>
      </c>
      <c r="B5" s="1" t="n">
        <v>43865</v>
      </c>
    </row>
    <row r="6" customFormat="false" ht="13.5" hidden="false" customHeight="false" outlineLevel="0" collapsed="false">
      <c r="A6" s="0" t="s">
        <v>122</v>
      </c>
      <c r="B6" s="1" t="n">
        <v>43866</v>
      </c>
    </row>
    <row r="7" customFormat="false" ht="13.5" hidden="false" customHeight="false" outlineLevel="0" collapsed="false">
      <c r="A7" s="0" t="s">
        <v>122</v>
      </c>
      <c r="B7" s="1" t="n">
        <v>43867</v>
      </c>
    </row>
    <row r="8" customFormat="false" ht="13.5" hidden="false" customHeight="false" outlineLevel="0" collapsed="false">
      <c r="A8" s="0" t="s">
        <v>122</v>
      </c>
      <c r="B8" s="1" t="n">
        <v>43868</v>
      </c>
    </row>
    <row r="9" customFormat="false" ht="13.5" hidden="false" customHeight="false" outlineLevel="0" collapsed="false">
      <c r="A9" s="0" t="s">
        <v>122</v>
      </c>
      <c r="B9" s="1" t="n">
        <v>43869</v>
      </c>
    </row>
    <row r="10" customFormat="false" ht="13.5" hidden="false" customHeight="false" outlineLevel="0" collapsed="false">
      <c r="A10" s="0" t="s">
        <v>122</v>
      </c>
      <c r="B10" s="1" t="n">
        <v>43870</v>
      </c>
    </row>
    <row r="11" customFormat="false" ht="13.5" hidden="false" customHeight="false" outlineLevel="0" collapsed="false">
      <c r="A11" s="0" t="s">
        <v>122</v>
      </c>
      <c r="B11" s="1" t="n">
        <v>43871</v>
      </c>
    </row>
    <row r="12" customFormat="false" ht="13.5" hidden="false" customHeight="false" outlineLevel="0" collapsed="false">
      <c r="A12" s="0" t="s">
        <v>122</v>
      </c>
      <c r="B12" s="1" t="n">
        <v>43872</v>
      </c>
    </row>
    <row r="13" customFormat="false" ht="13.5" hidden="false" customHeight="false" outlineLevel="0" collapsed="false">
      <c r="A13" s="0" t="s">
        <v>122</v>
      </c>
      <c r="B13" s="1" t="n">
        <v>43873</v>
      </c>
    </row>
    <row r="14" customFormat="false" ht="13.5" hidden="false" customHeight="false" outlineLevel="0" collapsed="false">
      <c r="A14" s="0" t="s">
        <v>122</v>
      </c>
      <c r="B14" s="1" t="n">
        <v>43874</v>
      </c>
    </row>
    <row r="15" customFormat="false" ht="13.5" hidden="false" customHeight="false" outlineLevel="0" collapsed="false">
      <c r="A15" s="0" t="s">
        <v>122</v>
      </c>
      <c r="B15" s="1" t="n">
        <v>43875</v>
      </c>
    </row>
    <row r="16" customFormat="false" ht="13.5" hidden="false" customHeight="false" outlineLevel="0" collapsed="false">
      <c r="A16" s="0" t="s">
        <v>122</v>
      </c>
      <c r="B16" s="1" t="n">
        <v>43876</v>
      </c>
    </row>
    <row r="17" customFormat="false" ht="13.5" hidden="false" customHeight="false" outlineLevel="0" collapsed="false">
      <c r="A17" s="0" t="s">
        <v>122</v>
      </c>
      <c r="B17" s="1" t="n">
        <v>43877</v>
      </c>
    </row>
    <row r="18" customFormat="false" ht="13.5" hidden="false" customHeight="false" outlineLevel="0" collapsed="false">
      <c r="A18" s="0" t="s">
        <v>122</v>
      </c>
      <c r="B18" s="1" t="n">
        <v>43878</v>
      </c>
    </row>
    <row r="19" customFormat="false" ht="13.5" hidden="false" customHeight="false" outlineLevel="0" collapsed="false">
      <c r="A19" s="0" t="s">
        <v>122</v>
      </c>
      <c r="B19" s="1" t="n">
        <v>43879</v>
      </c>
    </row>
    <row r="20" customFormat="false" ht="13.5" hidden="false" customHeight="false" outlineLevel="0" collapsed="false">
      <c r="A20" s="0" t="s">
        <v>122</v>
      </c>
      <c r="B20" s="1" t="n">
        <v>43880</v>
      </c>
    </row>
    <row r="21" customFormat="false" ht="13.5" hidden="false" customHeight="false" outlineLevel="0" collapsed="false">
      <c r="A21" s="0" t="s">
        <v>122</v>
      </c>
      <c r="B21" s="1" t="n">
        <v>43881</v>
      </c>
    </row>
    <row r="22" customFormat="false" ht="13.5" hidden="false" customHeight="false" outlineLevel="0" collapsed="false">
      <c r="A22" s="0" t="s">
        <v>122</v>
      </c>
      <c r="B22" s="1" t="n">
        <v>43882</v>
      </c>
    </row>
    <row r="23" customFormat="false" ht="13.5" hidden="false" customHeight="false" outlineLevel="0" collapsed="false">
      <c r="A23" s="0" t="s">
        <v>122</v>
      </c>
      <c r="B23" s="1" t="n">
        <v>43883</v>
      </c>
    </row>
    <row r="24" customFormat="false" ht="13.5" hidden="false" customHeight="false" outlineLevel="0" collapsed="false">
      <c r="A24" s="0" t="s">
        <v>122</v>
      </c>
      <c r="B24" s="1" t="n">
        <v>43884</v>
      </c>
    </row>
    <row r="25" customFormat="false" ht="13.5" hidden="false" customHeight="false" outlineLevel="0" collapsed="false">
      <c r="A25" s="0" t="s">
        <v>122</v>
      </c>
      <c r="B25" s="1" t="n">
        <v>43885</v>
      </c>
    </row>
    <row r="26" customFormat="false" ht="13.5" hidden="false" customHeight="false" outlineLevel="0" collapsed="false">
      <c r="A26" s="0" t="s">
        <v>122</v>
      </c>
      <c r="B26" s="1" t="n">
        <v>43886</v>
      </c>
    </row>
    <row r="27" customFormat="false" ht="13.5" hidden="false" customHeight="false" outlineLevel="0" collapsed="false">
      <c r="A27" s="0" t="s">
        <v>122</v>
      </c>
      <c r="B27" s="1" t="n">
        <v>43887</v>
      </c>
    </row>
    <row r="28" customFormat="false" ht="13.5" hidden="false" customHeight="false" outlineLevel="0" collapsed="false">
      <c r="A28" s="0" t="s">
        <v>122</v>
      </c>
      <c r="B28" s="1" t="n">
        <v>43888</v>
      </c>
    </row>
    <row r="29" customFormat="false" ht="13.5" hidden="false" customHeight="false" outlineLevel="0" collapsed="false">
      <c r="A29" s="0" t="s">
        <v>122</v>
      </c>
      <c r="B29" s="1" t="n">
        <v>43889</v>
      </c>
    </row>
    <row r="30" customFormat="false" ht="13.5" hidden="false" customHeight="false" outlineLevel="0" collapsed="false">
      <c r="A30" s="0" t="s">
        <v>122</v>
      </c>
      <c r="B30" s="1" t="n">
        <v>43890</v>
      </c>
    </row>
    <row r="31" customFormat="false" ht="13.5" hidden="false" customHeight="false" outlineLevel="0" collapsed="false">
      <c r="A31" s="0" t="s">
        <v>122</v>
      </c>
      <c r="B31" s="1" t="n">
        <v>43891</v>
      </c>
    </row>
    <row r="32" customFormat="false" ht="13.5" hidden="false" customHeight="false" outlineLevel="0" collapsed="false">
      <c r="A32" s="0" t="s">
        <v>122</v>
      </c>
      <c r="B32" s="1" t="n">
        <v>43892</v>
      </c>
    </row>
    <row r="33" customFormat="false" ht="13.5" hidden="false" customHeight="false" outlineLevel="0" collapsed="false">
      <c r="A33" s="0" t="s">
        <v>122</v>
      </c>
      <c r="B33" s="1" t="n">
        <v>43893</v>
      </c>
    </row>
    <row r="34" customFormat="false" ht="13.5" hidden="false" customHeight="false" outlineLevel="0" collapsed="false">
      <c r="A34" s="0" t="s">
        <v>122</v>
      </c>
      <c r="B34" s="1" t="n">
        <v>43894</v>
      </c>
    </row>
    <row r="35" customFormat="false" ht="13.5" hidden="false" customHeight="false" outlineLevel="0" collapsed="false">
      <c r="A35" s="0" t="s">
        <v>122</v>
      </c>
      <c r="B35" s="1" t="n">
        <v>43895</v>
      </c>
    </row>
    <row r="36" customFormat="false" ht="13.5" hidden="false" customHeight="false" outlineLevel="0" collapsed="false">
      <c r="A36" s="0" t="s">
        <v>122</v>
      </c>
      <c r="B36" s="1" t="n">
        <v>43896</v>
      </c>
    </row>
    <row r="37" customFormat="false" ht="13.5" hidden="false" customHeight="false" outlineLevel="0" collapsed="false">
      <c r="A37" s="0" t="s">
        <v>122</v>
      </c>
      <c r="B37" s="1" t="n">
        <v>43897</v>
      </c>
    </row>
    <row r="38" customFormat="false" ht="13.5" hidden="false" customHeight="false" outlineLevel="0" collapsed="false">
      <c r="A38" s="0" t="s">
        <v>122</v>
      </c>
      <c r="B38" s="1" t="n">
        <v>43898</v>
      </c>
    </row>
    <row r="39" customFormat="false" ht="13.5" hidden="false" customHeight="false" outlineLevel="0" collapsed="false">
      <c r="A39" s="0" t="s">
        <v>122</v>
      </c>
      <c r="B39" s="1" t="n">
        <v>43899</v>
      </c>
    </row>
    <row r="40" customFormat="false" ht="13.5" hidden="false" customHeight="false" outlineLevel="0" collapsed="false">
      <c r="A40" s="0" t="s">
        <v>122</v>
      </c>
      <c r="B40" s="1" t="n">
        <v>43900</v>
      </c>
    </row>
    <row r="41" customFormat="false" ht="13.5" hidden="false" customHeight="false" outlineLevel="0" collapsed="false">
      <c r="A41" s="0" t="s">
        <v>122</v>
      </c>
      <c r="B41" s="1" t="n">
        <v>43901</v>
      </c>
    </row>
    <row r="42" customFormat="false" ht="13.5" hidden="false" customHeight="false" outlineLevel="0" collapsed="false">
      <c r="A42" s="0" t="s">
        <v>122</v>
      </c>
      <c r="B42" s="1" t="n">
        <v>43902</v>
      </c>
    </row>
    <row r="43" customFormat="false" ht="13.5" hidden="false" customHeight="false" outlineLevel="0" collapsed="false">
      <c r="A43" s="0" t="s">
        <v>122</v>
      </c>
      <c r="B43" s="1" t="n">
        <v>43903</v>
      </c>
    </row>
    <row r="44" customFormat="false" ht="13.5" hidden="false" customHeight="false" outlineLevel="0" collapsed="false">
      <c r="A44" s="0" t="s">
        <v>122</v>
      </c>
      <c r="B44" s="1" t="n">
        <v>43904</v>
      </c>
    </row>
    <row r="45" customFormat="false" ht="13.5" hidden="false" customHeight="false" outlineLevel="0" collapsed="false">
      <c r="A45" s="0" t="s">
        <v>122</v>
      </c>
      <c r="B45" s="1" t="n">
        <v>43905</v>
      </c>
    </row>
    <row r="46" customFormat="false" ht="13.5" hidden="false" customHeight="false" outlineLevel="0" collapsed="false">
      <c r="A46" s="0" t="s">
        <v>122</v>
      </c>
      <c r="B46" s="1" t="n">
        <v>43906</v>
      </c>
    </row>
    <row r="47" customFormat="false" ht="13.5" hidden="false" customHeight="false" outlineLevel="0" collapsed="false">
      <c r="A47" s="0" t="s">
        <v>122</v>
      </c>
      <c r="B47" s="1" t="n">
        <v>43907</v>
      </c>
    </row>
    <row r="48" customFormat="false" ht="13.5" hidden="false" customHeight="false" outlineLevel="0" collapsed="false">
      <c r="A48" s="0" t="s">
        <v>122</v>
      </c>
      <c r="B48" s="1" t="n">
        <v>43908</v>
      </c>
    </row>
    <row r="49" customFormat="false" ht="13.5" hidden="false" customHeight="false" outlineLevel="0" collapsed="false">
      <c r="A49" s="0" t="s">
        <v>122</v>
      </c>
      <c r="B49" s="1" t="n">
        <v>43909</v>
      </c>
    </row>
    <row r="50" customFormat="false" ht="13.5" hidden="false" customHeight="false" outlineLevel="0" collapsed="false">
      <c r="A50" s="0" t="s">
        <v>122</v>
      </c>
      <c r="B50" s="1" t="n">
        <v>43910</v>
      </c>
    </row>
    <row r="51" customFormat="false" ht="13.5" hidden="false" customHeight="false" outlineLevel="0" collapsed="false">
      <c r="A51" s="0" t="s">
        <v>122</v>
      </c>
      <c r="B51" s="1" t="n">
        <v>43911</v>
      </c>
      <c r="C51" s="0" t="n">
        <v>3</v>
      </c>
      <c r="H51" s="0" t="n">
        <v>3</v>
      </c>
      <c r="J51" s="0" t="n">
        <v>0.1</v>
      </c>
    </row>
    <row r="52" customFormat="false" ht="13.5" hidden="false" customHeight="false" outlineLevel="0" collapsed="false">
      <c r="A52" s="0" t="s">
        <v>122</v>
      </c>
      <c r="B52" s="1" t="n">
        <v>43912</v>
      </c>
      <c r="C52" s="0" t="n">
        <v>3</v>
      </c>
      <c r="H52" s="0" t="n">
        <v>3</v>
      </c>
      <c r="J52" s="0" t="n">
        <v>0.1</v>
      </c>
    </row>
    <row r="53" customFormat="false" ht="13.5" hidden="false" customHeight="false" outlineLevel="0" collapsed="false">
      <c r="A53" s="0" t="s">
        <v>122</v>
      </c>
      <c r="B53" s="1" t="n">
        <v>43913</v>
      </c>
      <c r="C53" s="0" t="n">
        <v>3</v>
      </c>
      <c r="H53" s="0" t="n">
        <v>3</v>
      </c>
      <c r="J53" s="0" t="n">
        <v>0.1</v>
      </c>
    </row>
    <row r="54" customFormat="false" ht="13.5" hidden="false" customHeight="false" outlineLevel="0" collapsed="false">
      <c r="A54" s="0" t="s">
        <v>122</v>
      </c>
      <c r="B54" s="1" t="n">
        <v>43914</v>
      </c>
      <c r="C54" s="0" t="n">
        <v>12</v>
      </c>
      <c r="D54" s="0" t="n">
        <v>9</v>
      </c>
      <c r="H54" s="0" t="n">
        <v>12</v>
      </c>
      <c r="J54" s="0" t="n">
        <v>0.4</v>
      </c>
    </row>
    <row r="55" customFormat="false" ht="13.5" hidden="false" customHeight="false" outlineLevel="0" collapsed="false">
      <c r="A55" s="0" t="s">
        <v>122</v>
      </c>
      <c r="B55" s="1" t="n">
        <v>43915</v>
      </c>
      <c r="C55" s="0" t="n">
        <v>17</v>
      </c>
      <c r="D55" s="0" t="n">
        <v>5</v>
      </c>
      <c r="H55" s="0" t="n">
        <v>17</v>
      </c>
      <c r="J55" s="0" t="n">
        <v>0.6</v>
      </c>
    </row>
    <row r="56" customFormat="false" ht="13.5" hidden="false" customHeight="false" outlineLevel="0" collapsed="false">
      <c r="A56" s="0" t="s">
        <v>122</v>
      </c>
      <c r="B56" s="1" t="n">
        <v>43916</v>
      </c>
      <c r="C56" s="0" t="n">
        <v>19</v>
      </c>
      <c r="D56" s="0" t="n">
        <v>2</v>
      </c>
      <c r="H56" s="0" t="n">
        <v>19</v>
      </c>
      <c r="J56" s="0" t="n">
        <v>0.7</v>
      </c>
    </row>
    <row r="57" customFormat="false" ht="13.5" hidden="false" customHeight="false" outlineLevel="0" collapsed="false">
      <c r="A57" s="0" t="s">
        <v>122</v>
      </c>
      <c r="B57" s="1" t="n">
        <v>43917</v>
      </c>
      <c r="C57" s="0" t="n">
        <v>23</v>
      </c>
      <c r="D57" s="0" t="n">
        <v>4</v>
      </c>
      <c r="H57" s="0" t="n">
        <v>23</v>
      </c>
      <c r="J57" s="0" t="n">
        <v>0.8</v>
      </c>
    </row>
    <row r="58" customFormat="false" ht="13.5" hidden="false" customHeight="false" outlineLevel="0" collapsed="false">
      <c r="A58" s="0" t="s">
        <v>122</v>
      </c>
      <c r="B58" s="1" t="n">
        <v>43918</v>
      </c>
      <c r="C58" s="0" t="n">
        <v>26</v>
      </c>
      <c r="D58" s="0" t="n">
        <v>3</v>
      </c>
      <c r="H58" s="0" t="n">
        <v>26</v>
      </c>
      <c r="J58" s="0" t="n">
        <v>0.9</v>
      </c>
    </row>
    <row r="59" customFormat="false" ht="13.5" hidden="false" customHeight="false" outlineLevel="0" collapsed="false">
      <c r="A59" s="0" t="s">
        <v>122</v>
      </c>
      <c r="B59" s="1" t="n">
        <v>43919</v>
      </c>
      <c r="C59" s="0" t="n">
        <v>26</v>
      </c>
      <c r="H59" s="0" t="n">
        <v>26</v>
      </c>
      <c r="J59" s="0" t="n">
        <v>0.9</v>
      </c>
    </row>
    <row r="60" customFormat="false" ht="13.5" hidden="false" customHeight="false" outlineLevel="0" collapsed="false">
      <c r="A60" s="0" t="s">
        <v>122</v>
      </c>
      <c r="B60" s="1" t="n">
        <v>43920</v>
      </c>
      <c r="C60" s="0" t="n">
        <v>39</v>
      </c>
      <c r="D60" s="0" t="n">
        <v>13</v>
      </c>
      <c r="H60" s="0" t="n">
        <v>39</v>
      </c>
      <c r="J60" s="0" t="n">
        <v>1</v>
      </c>
    </row>
    <row r="61" customFormat="false" ht="13.5" hidden="false" customHeight="false" outlineLevel="0" collapsed="false">
      <c r="A61" s="0" t="s">
        <v>122</v>
      </c>
      <c r="B61" s="1" t="n">
        <v>43921</v>
      </c>
      <c r="C61" s="0" t="n">
        <v>43</v>
      </c>
      <c r="D61" s="0" t="n">
        <v>4</v>
      </c>
      <c r="H61" s="0" t="n">
        <v>43</v>
      </c>
      <c r="J61" s="0" t="n">
        <v>2</v>
      </c>
    </row>
    <row r="62" customFormat="false" ht="13.5" hidden="false" customHeight="false" outlineLevel="0" collapsed="false">
      <c r="A62" s="0" t="s">
        <v>122</v>
      </c>
      <c r="B62" s="1" t="n">
        <v>43922</v>
      </c>
      <c r="C62" s="0" t="n">
        <v>57</v>
      </c>
      <c r="D62" s="0" t="n">
        <v>14</v>
      </c>
      <c r="H62" s="0" t="n">
        <v>57</v>
      </c>
      <c r="I62" s="0" t="n">
        <v>6</v>
      </c>
      <c r="J62" s="0" t="n">
        <v>2</v>
      </c>
    </row>
    <row r="63" customFormat="false" ht="13.5" hidden="false" customHeight="false" outlineLevel="0" collapsed="false">
      <c r="A63" s="0" t="s">
        <v>122</v>
      </c>
      <c r="B63" s="1" t="n">
        <v>43923</v>
      </c>
      <c r="C63" s="0" t="n">
        <v>57</v>
      </c>
      <c r="H63" s="0" t="n">
        <v>57</v>
      </c>
      <c r="I63" s="0" t="n">
        <v>6</v>
      </c>
      <c r="J63" s="0" t="n">
        <v>2</v>
      </c>
    </row>
    <row r="64" customFormat="false" ht="13.5" hidden="false" customHeight="false" outlineLevel="0" collapsed="false">
      <c r="A64" s="0" t="s">
        <v>122</v>
      </c>
      <c r="B64" s="1" t="n">
        <v>43924</v>
      </c>
      <c r="C64" s="0" t="n">
        <v>59</v>
      </c>
      <c r="D64" s="0" t="n">
        <v>2</v>
      </c>
      <c r="H64" s="0" t="n">
        <v>59</v>
      </c>
      <c r="I64" s="0" t="n">
        <v>6</v>
      </c>
      <c r="J64" s="0" t="n">
        <v>2</v>
      </c>
    </row>
    <row r="65" customFormat="false" ht="13.5" hidden="false" customHeight="false" outlineLevel="0" collapsed="false">
      <c r="A65" s="0" t="s">
        <v>122</v>
      </c>
      <c r="B65" s="1" t="n">
        <v>43925</v>
      </c>
      <c r="C65" s="0" t="n">
        <v>70</v>
      </c>
      <c r="D65" s="0" t="n">
        <v>11</v>
      </c>
      <c r="H65" s="0" t="n">
        <v>70</v>
      </c>
      <c r="I65" s="0" t="n">
        <v>6</v>
      </c>
      <c r="J65" s="0" t="n">
        <v>3</v>
      </c>
    </row>
    <row r="66" customFormat="false" ht="13.5" hidden="false" customHeight="false" outlineLevel="0" collapsed="false">
      <c r="A66" s="0" t="s">
        <v>122</v>
      </c>
      <c r="B66" s="1" t="n">
        <v>43926</v>
      </c>
      <c r="C66" s="0" t="n">
        <v>70</v>
      </c>
      <c r="H66" s="0" t="n">
        <v>70</v>
      </c>
      <c r="I66" s="0" t="n">
        <v>6</v>
      </c>
      <c r="J66" s="0" t="n">
        <v>3</v>
      </c>
    </row>
    <row r="67" customFormat="false" ht="13.5" hidden="false" customHeight="false" outlineLevel="0" collapsed="false">
      <c r="A67" s="0" t="s">
        <v>122</v>
      </c>
      <c r="B67" s="1" t="n">
        <v>43927</v>
      </c>
      <c r="C67" s="0" t="n">
        <v>72</v>
      </c>
      <c r="D67" s="0" t="n">
        <v>2</v>
      </c>
      <c r="G67" s="0" t="n">
        <v>2</v>
      </c>
      <c r="H67" s="0" t="n">
        <v>70</v>
      </c>
      <c r="I67" s="0" t="n">
        <v>6</v>
      </c>
      <c r="J67" s="0" t="n">
        <v>3</v>
      </c>
    </row>
    <row r="68" customFormat="false" ht="13.5" hidden="false" customHeight="false" outlineLevel="0" collapsed="false">
      <c r="A68" s="0" t="s">
        <v>122</v>
      </c>
      <c r="B68" s="1" t="n">
        <v>43928</v>
      </c>
      <c r="C68" s="0" t="n">
        <v>82</v>
      </c>
      <c r="D68" s="0" t="n">
        <v>10</v>
      </c>
      <c r="G68" s="0" t="n">
        <v>2</v>
      </c>
      <c r="H68" s="0" t="n">
        <v>80</v>
      </c>
      <c r="I68" s="0" t="n">
        <v>6</v>
      </c>
      <c r="J68" s="0" t="n">
        <v>3</v>
      </c>
    </row>
    <row r="69" customFormat="false" ht="13.5" hidden="false" customHeight="false" outlineLevel="0" collapsed="false">
      <c r="A69" s="0" t="s">
        <v>122</v>
      </c>
      <c r="B69" s="1" t="n">
        <v>43929</v>
      </c>
      <c r="C69" s="0" t="n">
        <v>88</v>
      </c>
      <c r="D69" s="0" t="n">
        <v>6</v>
      </c>
      <c r="G69" s="0" t="n">
        <v>2</v>
      </c>
      <c r="H69" s="0" t="n">
        <v>86</v>
      </c>
      <c r="I69" s="0" t="n">
        <v>6</v>
      </c>
      <c r="J69" s="0" t="n">
        <v>3</v>
      </c>
    </row>
    <row r="70" customFormat="false" ht="13.5" hidden="false" customHeight="false" outlineLevel="0" collapsed="false">
      <c r="A70" s="0" t="s">
        <v>122</v>
      </c>
      <c r="B70" s="1" t="n">
        <v>43930</v>
      </c>
      <c r="C70" s="0" t="n">
        <v>93</v>
      </c>
      <c r="D70" s="0" t="n">
        <v>5</v>
      </c>
      <c r="G70" s="0" t="n">
        <v>11</v>
      </c>
      <c r="H70" s="0" t="n">
        <v>82</v>
      </c>
      <c r="I70" s="0" t="n">
        <v>1</v>
      </c>
      <c r="J70" s="0" t="n">
        <v>3</v>
      </c>
    </row>
    <row r="71" customFormat="false" ht="13.5" hidden="false" customHeight="false" outlineLevel="0" collapsed="false">
      <c r="A71" s="0" t="s">
        <v>122</v>
      </c>
      <c r="B71" s="1" t="n">
        <v>43931</v>
      </c>
      <c r="C71" s="0" t="n">
        <v>93</v>
      </c>
      <c r="G71" s="0" t="n">
        <v>11</v>
      </c>
      <c r="H71" s="0" t="n">
        <v>82</v>
      </c>
      <c r="I71" s="0" t="n">
        <v>1</v>
      </c>
      <c r="J71" s="0" t="n">
        <v>3</v>
      </c>
    </row>
    <row r="72" customFormat="false" ht="13.5" hidden="false" customHeight="false" outlineLevel="0" collapsed="false">
      <c r="A72" s="0" t="s">
        <v>122</v>
      </c>
      <c r="B72" s="1" t="n">
        <v>43932</v>
      </c>
      <c r="C72" s="0" t="n">
        <v>93</v>
      </c>
      <c r="G72" s="0" t="n">
        <v>11</v>
      </c>
      <c r="H72" s="0" t="n">
        <v>82</v>
      </c>
      <c r="I72" s="0" t="n">
        <v>1</v>
      </c>
      <c r="J72" s="0" t="n">
        <v>3</v>
      </c>
    </row>
    <row r="73" customFormat="false" ht="13.5" hidden="false" customHeight="false" outlineLevel="0" collapsed="false">
      <c r="A73" s="0" t="s">
        <v>122</v>
      </c>
      <c r="B73" s="1" t="n">
        <v>43933</v>
      </c>
      <c r="C73" s="0" t="n">
        <v>102</v>
      </c>
      <c r="D73" s="0" t="n">
        <v>9</v>
      </c>
      <c r="G73" s="0" t="n">
        <v>11</v>
      </c>
      <c r="H73" s="0" t="n">
        <v>91</v>
      </c>
      <c r="I73" s="0" t="n">
        <v>1</v>
      </c>
      <c r="J73" s="0" t="n">
        <v>4</v>
      </c>
    </row>
    <row r="74" customFormat="false" ht="13.5" hidden="false" customHeight="false" outlineLevel="0" collapsed="false">
      <c r="A74" s="0" t="s">
        <v>122</v>
      </c>
      <c r="B74" s="1" t="n">
        <v>43934</v>
      </c>
      <c r="C74" s="0" t="n">
        <v>106</v>
      </c>
      <c r="D74" s="0" t="n">
        <v>4</v>
      </c>
      <c r="G74" s="0" t="n">
        <v>20</v>
      </c>
      <c r="H74" s="0" t="n">
        <v>86</v>
      </c>
      <c r="I74" s="0" t="n">
        <v>1</v>
      </c>
      <c r="J74" s="0" t="n">
        <v>4</v>
      </c>
    </row>
    <row r="75" customFormat="false" ht="13.5" hidden="false" customHeight="false" outlineLevel="0" collapsed="false">
      <c r="A75" s="0" t="s">
        <v>122</v>
      </c>
      <c r="B75" s="1" t="n">
        <v>43935</v>
      </c>
      <c r="C75" s="0" t="n">
        <v>106</v>
      </c>
      <c r="D75" s="0" t="n">
        <v>0</v>
      </c>
      <c r="E75" s="0" t="n">
        <v>0</v>
      </c>
      <c r="F75" s="0" t="n">
        <v>0</v>
      </c>
      <c r="G75" s="0" t="n">
        <v>21</v>
      </c>
      <c r="H75" s="0" t="n">
        <v>85</v>
      </c>
      <c r="I75" s="0" t="n">
        <v>1</v>
      </c>
      <c r="J75" s="0" t="n">
        <v>4</v>
      </c>
    </row>
    <row r="76" customFormat="false" ht="13.5" hidden="false" customHeight="false" outlineLevel="0" collapsed="false">
      <c r="A76" s="0" t="s">
        <v>122</v>
      </c>
      <c r="B76" s="1" t="n">
        <v>43936</v>
      </c>
      <c r="C76" s="0" t="n">
        <v>108</v>
      </c>
      <c r="D76" s="0" t="n">
        <v>2</v>
      </c>
      <c r="E76" s="0" t="n">
        <v>0</v>
      </c>
      <c r="F76" s="0" t="n">
        <v>0</v>
      </c>
      <c r="G76" s="0" t="n">
        <v>23</v>
      </c>
      <c r="H76" s="0" t="n">
        <v>85</v>
      </c>
      <c r="I76" s="0" t="n">
        <v>1</v>
      </c>
      <c r="J76" s="0" t="n">
        <v>4</v>
      </c>
    </row>
    <row r="77" customFormat="false" ht="13.5" hidden="false" customHeight="false" outlineLevel="0" collapsed="false">
      <c r="A77" s="0" t="s">
        <v>122</v>
      </c>
      <c r="B77" s="1" t="n">
        <v>43937</v>
      </c>
      <c r="C77" s="0" t="n">
        <v>110</v>
      </c>
      <c r="D77" s="0" t="n">
        <v>2</v>
      </c>
      <c r="E77" s="0" t="n">
        <v>0</v>
      </c>
      <c r="F77" s="0" t="n">
        <v>0</v>
      </c>
      <c r="G77" s="0" t="n">
        <v>29</v>
      </c>
      <c r="H77" s="0" t="n">
        <v>81</v>
      </c>
      <c r="I77" s="0" t="n">
        <v>1</v>
      </c>
      <c r="J77" s="0" t="n">
        <v>4</v>
      </c>
    </row>
    <row r="78" customFormat="false" ht="13.5" hidden="false" customHeight="false" outlineLevel="0" collapsed="false">
      <c r="A78" s="0" t="s">
        <v>122</v>
      </c>
      <c r="B78" s="1" t="n">
        <v>43938</v>
      </c>
      <c r="C78" s="0" t="n">
        <v>111</v>
      </c>
      <c r="D78" s="0" t="n">
        <v>1</v>
      </c>
      <c r="E78" s="0" t="n">
        <v>0</v>
      </c>
      <c r="F78" s="0" t="n">
        <v>0</v>
      </c>
      <c r="G78" s="0" t="n">
        <v>33</v>
      </c>
      <c r="H78" s="0" t="n">
        <v>78</v>
      </c>
      <c r="I78" s="0" t="n">
        <v>1</v>
      </c>
      <c r="J78" s="0" t="n">
        <v>4</v>
      </c>
    </row>
    <row r="79" customFormat="false" ht="13.5" hidden="false" customHeight="false" outlineLevel="0" collapsed="false">
      <c r="A79" s="0" t="s">
        <v>122</v>
      </c>
      <c r="B79" s="1" t="n">
        <v>43939</v>
      </c>
      <c r="C79" s="0" t="n">
        <v>117</v>
      </c>
      <c r="D79" s="0" t="n">
        <v>6</v>
      </c>
      <c r="E79" s="0" t="n">
        <v>0</v>
      </c>
      <c r="F79" s="0" t="n">
        <v>0</v>
      </c>
      <c r="G79" s="0" t="n">
        <v>33</v>
      </c>
      <c r="H79" s="0" t="n">
        <v>84</v>
      </c>
      <c r="I79" s="0" t="n">
        <v>1</v>
      </c>
      <c r="J79" s="0" t="n">
        <v>4</v>
      </c>
      <c r="K79" s="0" t="n">
        <v>0</v>
      </c>
      <c r="L79" s="0" t="n">
        <v>2357</v>
      </c>
      <c r="M79" s="0" t="n">
        <v>85</v>
      </c>
    </row>
    <row r="80" customFormat="false" ht="13.5" hidden="false" customHeight="false" outlineLevel="0" collapsed="false">
      <c r="A80" s="0" t="s">
        <v>122</v>
      </c>
      <c r="B80" s="1" t="n">
        <v>43940</v>
      </c>
      <c r="C80" s="0" t="n">
        <v>120</v>
      </c>
      <c r="D80" s="0" t="n">
        <v>3</v>
      </c>
      <c r="E80" s="0" t="n">
        <v>0</v>
      </c>
      <c r="F80" s="0" t="n">
        <v>0</v>
      </c>
      <c r="G80" s="0" t="n">
        <v>35</v>
      </c>
      <c r="H80" s="0" t="n">
        <v>85</v>
      </c>
      <c r="I80" s="0" t="n">
        <v>1</v>
      </c>
      <c r="J80" s="0" t="n">
        <v>4</v>
      </c>
      <c r="K80" s="0" t="n">
        <v>0</v>
      </c>
      <c r="L80" s="0" t="n">
        <v>2357</v>
      </c>
      <c r="M80" s="0" t="n">
        <v>85</v>
      </c>
    </row>
    <row r="81" customFormat="false" ht="13.5" hidden="false" customHeight="false" outlineLevel="0" collapsed="false">
      <c r="A81" s="0" t="s">
        <v>122</v>
      </c>
      <c r="B81" s="1" t="n">
        <v>43941</v>
      </c>
      <c r="C81" s="0" t="n">
        <v>121</v>
      </c>
      <c r="D81" s="0" t="n">
        <v>1</v>
      </c>
      <c r="E81" s="0" t="n">
        <v>0</v>
      </c>
      <c r="F81" s="0" t="n">
        <v>0</v>
      </c>
      <c r="G81" s="0" t="n">
        <v>39</v>
      </c>
      <c r="H81" s="0" t="n">
        <v>82</v>
      </c>
      <c r="I81" s="0" t="n">
        <v>1</v>
      </c>
      <c r="J81" s="0" t="n">
        <v>4</v>
      </c>
      <c r="K81" s="0" t="n">
        <v>0</v>
      </c>
      <c r="L81" s="0" t="n">
        <v>2357</v>
      </c>
      <c r="M81" s="0" t="n">
        <v>85</v>
      </c>
    </row>
    <row r="82" customFormat="false" ht="13.5" hidden="false" customHeight="false" outlineLevel="0" collapsed="false">
      <c r="A82" s="0" t="s">
        <v>122</v>
      </c>
      <c r="B82" s="1" t="n">
        <v>43942</v>
      </c>
      <c r="C82" s="0" t="n">
        <v>121</v>
      </c>
      <c r="D82" s="0" t="n">
        <v>0</v>
      </c>
      <c r="E82" s="0" t="n">
        <v>0</v>
      </c>
      <c r="F82" s="0" t="n">
        <v>0</v>
      </c>
      <c r="G82" s="0" t="n">
        <v>41</v>
      </c>
      <c r="H82" s="0" t="n">
        <v>80</v>
      </c>
      <c r="I82" s="0" t="n">
        <v>1</v>
      </c>
      <c r="J82" s="0" t="n">
        <v>4</v>
      </c>
      <c r="K82" s="0" t="n">
        <v>0</v>
      </c>
      <c r="L82" s="0" t="n">
        <v>2357</v>
      </c>
      <c r="M82" s="0" t="n">
        <v>85</v>
      </c>
    </row>
    <row r="83" customFormat="false" ht="13.5" hidden="false" customHeight="false" outlineLevel="0" collapsed="false">
      <c r="A83" s="0" t="s">
        <v>122</v>
      </c>
      <c r="B83" s="1" t="n">
        <v>43943</v>
      </c>
      <c r="C83" s="0" t="n">
        <v>121</v>
      </c>
      <c r="D83" s="0" t="n">
        <v>0</v>
      </c>
      <c r="E83" s="0" t="n">
        <v>0</v>
      </c>
      <c r="F83" s="0" t="n">
        <v>0</v>
      </c>
      <c r="G83" s="0" t="n">
        <v>44</v>
      </c>
      <c r="H83" s="0" t="n">
        <v>77</v>
      </c>
      <c r="I83" s="0" t="n">
        <v>1</v>
      </c>
      <c r="J83" s="0" t="n">
        <v>4</v>
      </c>
      <c r="K83" s="0" t="n">
        <v>0</v>
      </c>
      <c r="L83" s="0" t="n">
        <v>2357</v>
      </c>
      <c r="M83" s="0" t="n">
        <v>85</v>
      </c>
    </row>
    <row r="84" customFormat="false" ht="13.5" hidden="false" customHeight="false" outlineLevel="0" collapsed="false">
      <c r="A84" s="0" t="s">
        <v>122</v>
      </c>
      <c r="B84" s="1" t="n">
        <v>43944</v>
      </c>
      <c r="C84" s="0" t="n">
        <v>121</v>
      </c>
      <c r="D84" s="0" t="n">
        <v>0</v>
      </c>
      <c r="E84" s="0" t="n">
        <v>0</v>
      </c>
      <c r="F84" s="0" t="n">
        <v>0</v>
      </c>
      <c r="G84" s="0" t="n">
        <v>52</v>
      </c>
      <c r="H84" s="0" t="n">
        <v>69</v>
      </c>
      <c r="I84" s="0" t="n">
        <v>1</v>
      </c>
      <c r="J84" s="0" t="n">
        <v>4</v>
      </c>
      <c r="K84" s="0" t="n">
        <v>0</v>
      </c>
      <c r="L84" s="0" t="n">
        <v>2357</v>
      </c>
      <c r="M84" s="0" t="n">
        <v>85</v>
      </c>
    </row>
    <row r="85" customFormat="false" ht="13.5" hidden="false" customHeight="false" outlineLevel="0" collapsed="false">
      <c r="A85" s="0" t="s">
        <v>122</v>
      </c>
      <c r="B85" s="1" t="n">
        <v>43945</v>
      </c>
      <c r="C85" s="0" t="n">
        <v>121</v>
      </c>
      <c r="D85" s="0" t="n">
        <v>0</v>
      </c>
      <c r="E85" s="0" t="n">
        <v>0</v>
      </c>
      <c r="F85" s="0" t="n">
        <v>0</v>
      </c>
      <c r="G85" s="0" t="n">
        <v>58</v>
      </c>
      <c r="H85" s="0" t="n">
        <v>63</v>
      </c>
      <c r="I85" s="0" t="n">
        <v>1</v>
      </c>
      <c r="J85" s="0" t="n">
        <v>4</v>
      </c>
      <c r="K85" s="0" t="n">
        <v>0</v>
      </c>
      <c r="L85" s="0" t="n">
        <v>2357</v>
      </c>
      <c r="M85" s="0" t="n">
        <v>85</v>
      </c>
    </row>
    <row r="86" customFormat="false" ht="13.5" hidden="false" customHeight="false" outlineLevel="0" collapsed="false">
      <c r="A86" s="0" t="s">
        <v>122</v>
      </c>
      <c r="B86" s="1" t="n">
        <v>43946</v>
      </c>
      <c r="C86" s="0" t="n">
        <v>122</v>
      </c>
      <c r="D86" s="0" t="n">
        <v>1</v>
      </c>
      <c r="E86" s="0" t="n">
        <v>0</v>
      </c>
      <c r="F86" s="0" t="n">
        <v>0</v>
      </c>
      <c r="G86" s="0" t="n">
        <v>61</v>
      </c>
      <c r="H86" s="0" t="n">
        <v>61</v>
      </c>
      <c r="I86" s="0" t="n">
        <v>1</v>
      </c>
      <c r="J86" s="0" t="n">
        <v>4</v>
      </c>
      <c r="K86" s="0" t="n">
        <v>0</v>
      </c>
      <c r="L86" s="0" t="n">
        <v>2357</v>
      </c>
      <c r="M86" s="0" t="n">
        <v>85</v>
      </c>
    </row>
    <row r="87" customFormat="false" ht="13.5" hidden="false" customHeight="false" outlineLevel="0" collapsed="false">
      <c r="A87" s="0" t="s">
        <v>122</v>
      </c>
      <c r="B87" s="1" t="n">
        <v>43947</v>
      </c>
      <c r="C87" s="0" t="n">
        <v>123</v>
      </c>
      <c r="D87" s="0" t="n">
        <v>1</v>
      </c>
      <c r="E87" s="0" t="n">
        <v>0</v>
      </c>
      <c r="F87" s="0" t="n">
        <v>0</v>
      </c>
      <c r="G87" s="0" t="n">
        <v>62</v>
      </c>
      <c r="H87" s="0" t="n">
        <v>61</v>
      </c>
      <c r="I87" s="0" t="n">
        <v>1</v>
      </c>
      <c r="J87" s="0" t="n">
        <v>4</v>
      </c>
      <c r="K87" s="0" t="n">
        <v>0</v>
      </c>
      <c r="L87" s="0" t="n">
        <v>2357</v>
      </c>
      <c r="M87" s="0" t="n">
        <v>85</v>
      </c>
    </row>
    <row r="88" customFormat="false" ht="13.5" hidden="false" customHeight="false" outlineLevel="0" collapsed="false">
      <c r="A88" s="0" t="s">
        <v>122</v>
      </c>
      <c r="B88" s="1" t="n">
        <v>43948</v>
      </c>
      <c r="C88" s="0" t="n">
        <v>124</v>
      </c>
      <c r="D88" s="0" t="n">
        <v>1</v>
      </c>
      <c r="E88" s="0" t="n">
        <v>0</v>
      </c>
      <c r="F88" s="0" t="n">
        <v>0</v>
      </c>
      <c r="G88" s="0" t="n">
        <v>71</v>
      </c>
      <c r="H88" s="0" t="n">
        <v>53</v>
      </c>
      <c r="I88" s="0" t="n">
        <v>1</v>
      </c>
      <c r="J88" s="0" t="n">
        <v>4</v>
      </c>
      <c r="K88" s="0" t="n">
        <v>0</v>
      </c>
      <c r="L88" s="0" t="n">
        <v>2357</v>
      </c>
      <c r="M88" s="0" t="n">
        <v>85</v>
      </c>
    </row>
    <row r="89" customFormat="false" ht="13.5" hidden="false" customHeight="false" outlineLevel="0" collapsed="false">
      <c r="A89" s="0" t="s">
        <v>122</v>
      </c>
      <c r="B89" s="1" t="n">
        <v>43949</v>
      </c>
      <c r="C89" s="0" t="n">
        <v>128</v>
      </c>
      <c r="D89" s="0" t="n">
        <v>4</v>
      </c>
      <c r="E89" s="0" t="n">
        <v>0</v>
      </c>
      <c r="F89" s="0" t="n">
        <v>0</v>
      </c>
      <c r="G89" s="0" t="n">
        <v>75</v>
      </c>
      <c r="H89" s="0" t="n">
        <v>53</v>
      </c>
      <c r="I89" s="0" t="n">
        <v>1</v>
      </c>
      <c r="J89" s="0" t="n">
        <v>5</v>
      </c>
      <c r="K89" s="0" t="n">
        <v>0</v>
      </c>
      <c r="L89" s="0" t="n">
        <v>2357</v>
      </c>
      <c r="M89" s="0" t="n">
        <v>85</v>
      </c>
    </row>
    <row r="90" customFormat="false" ht="13.5" hidden="false" customHeight="false" outlineLevel="0" collapsed="false">
      <c r="A90" s="0" t="s">
        <v>122</v>
      </c>
      <c r="B90" s="1" t="n">
        <v>43950</v>
      </c>
      <c r="C90" s="0" t="n">
        <v>128</v>
      </c>
      <c r="D90" s="0" t="n">
        <v>0</v>
      </c>
      <c r="E90" s="0" t="n">
        <v>0</v>
      </c>
      <c r="F90" s="0" t="n">
        <v>0</v>
      </c>
      <c r="G90" s="0" t="n">
        <v>82</v>
      </c>
      <c r="H90" s="0" t="n">
        <v>46</v>
      </c>
      <c r="I90" s="0" t="n">
        <v>1</v>
      </c>
      <c r="J90" s="0" t="n">
        <v>5</v>
      </c>
      <c r="K90" s="0" t="n">
        <v>0</v>
      </c>
      <c r="L90" s="0" t="n">
        <v>2357</v>
      </c>
      <c r="M90" s="0" t="n">
        <v>85</v>
      </c>
    </row>
    <row r="91" customFormat="false" ht="13.5" hidden="false" customHeight="false" outlineLevel="0" collapsed="false">
      <c r="A91" s="0" t="s">
        <v>122</v>
      </c>
      <c r="B91" s="1" t="n">
        <v>43951</v>
      </c>
      <c r="C91" s="0" t="n">
        <v>128</v>
      </c>
      <c r="D91" s="0" t="n">
        <v>0</v>
      </c>
      <c r="E91" s="0" t="n">
        <v>0</v>
      </c>
      <c r="F91" s="0" t="n">
        <v>0</v>
      </c>
      <c r="G91" s="0" t="n">
        <v>90</v>
      </c>
      <c r="H91" s="0" t="n">
        <v>38</v>
      </c>
      <c r="I91" s="0" t="n">
        <v>1</v>
      </c>
      <c r="J91" s="0" t="n">
        <v>5</v>
      </c>
      <c r="K91" s="0" t="n">
        <v>0</v>
      </c>
      <c r="L91" s="0" t="n">
        <v>3107</v>
      </c>
      <c r="M91" s="0" t="n">
        <v>112</v>
      </c>
    </row>
    <row r="92" customFormat="false" ht="13.5" hidden="false" customHeight="false" outlineLevel="0" collapsed="false">
      <c r="A92" s="0" t="s">
        <v>122</v>
      </c>
      <c r="B92" s="1" t="n">
        <v>43952</v>
      </c>
      <c r="C92" s="0" t="n">
        <v>128</v>
      </c>
      <c r="D92" s="0" t="n">
        <v>0</v>
      </c>
      <c r="E92" s="0" t="n">
        <v>0</v>
      </c>
      <c r="F92" s="0" t="n">
        <v>0</v>
      </c>
      <c r="G92" s="0" t="n">
        <v>92</v>
      </c>
      <c r="H92" s="0" t="n">
        <v>36</v>
      </c>
      <c r="I92" s="0" t="n">
        <v>1</v>
      </c>
      <c r="J92" s="0" t="n">
        <v>5</v>
      </c>
      <c r="K92" s="0" t="n">
        <v>0</v>
      </c>
      <c r="L92" s="0" t="n">
        <v>3228</v>
      </c>
      <c r="M92" s="0" t="n">
        <v>117</v>
      </c>
    </row>
    <row r="93" customFormat="false" ht="13.5" hidden="false" customHeight="false" outlineLevel="0" collapsed="false">
      <c r="A93" s="0" t="s">
        <v>122</v>
      </c>
      <c r="B93" s="1" t="n">
        <v>43953</v>
      </c>
      <c r="C93" s="0" t="n">
        <v>132</v>
      </c>
      <c r="D93" s="0" t="n">
        <v>4</v>
      </c>
      <c r="E93" s="0" t="n">
        <v>0</v>
      </c>
      <c r="F93" s="0" t="n">
        <v>0</v>
      </c>
      <c r="G93" s="0" t="n">
        <v>94</v>
      </c>
      <c r="H93" s="0" t="n">
        <v>38</v>
      </c>
      <c r="I93" s="0" t="n">
        <v>1</v>
      </c>
      <c r="J93" s="0" t="n">
        <v>5</v>
      </c>
      <c r="K93" s="0" t="n">
        <v>0</v>
      </c>
      <c r="L93" s="0" t="n">
        <v>3228</v>
      </c>
      <c r="M93" s="0" t="n">
        <v>117</v>
      </c>
    </row>
    <row r="94" customFormat="false" ht="13.5" hidden="false" customHeight="false" outlineLevel="0" collapsed="false">
      <c r="A94" s="0" t="s">
        <v>122</v>
      </c>
      <c r="B94" s="1" t="n">
        <v>43954</v>
      </c>
      <c r="C94" s="0" t="n">
        <v>135</v>
      </c>
      <c r="D94" s="0" t="n">
        <v>3</v>
      </c>
      <c r="E94" s="0" t="n">
        <v>0</v>
      </c>
      <c r="F94" s="0" t="n">
        <v>0</v>
      </c>
      <c r="G94" s="0" t="n">
        <v>97</v>
      </c>
      <c r="H94" s="0" t="n">
        <v>38</v>
      </c>
      <c r="I94" s="0" t="n">
        <v>1</v>
      </c>
      <c r="J94" s="0" t="n">
        <v>5</v>
      </c>
      <c r="K94" s="0" t="n">
        <v>0</v>
      </c>
      <c r="L94" s="0" t="n">
        <v>3393</v>
      </c>
      <c r="M94" s="0" t="n">
        <v>123</v>
      </c>
    </row>
    <row r="95" customFormat="false" ht="13.5" hidden="false" customHeight="false" outlineLevel="0" collapsed="false">
      <c r="A95" s="0" t="s">
        <v>122</v>
      </c>
      <c r="B95" s="1" t="n">
        <v>43955</v>
      </c>
      <c r="C95" s="0" t="n">
        <v>149</v>
      </c>
      <c r="D95" s="0" t="n">
        <v>14</v>
      </c>
      <c r="E95" s="0" t="n">
        <v>0</v>
      </c>
      <c r="F95" s="0" t="n">
        <v>0</v>
      </c>
      <c r="G95" s="0" t="n">
        <v>98</v>
      </c>
      <c r="H95" s="0" t="n">
        <v>51</v>
      </c>
      <c r="I95" s="0" t="n">
        <v>1</v>
      </c>
      <c r="J95" s="0" t="n">
        <v>5</v>
      </c>
      <c r="K95" s="0" t="n">
        <v>0</v>
      </c>
      <c r="L95" s="0" t="n">
        <v>3611</v>
      </c>
      <c r="M95" s="0" t="n">
        <v>130</v>
      </c>
    </row>
    <row r="96" customFormat="false" ht="13.5" hidden="false" customHeight="false" outlineLevel="0" collapsed="false">
      <c r="A96" s="0" t="s">
        <v>122</v>
      </c>
      <c r="B96" s="1" t="n">
        <v>43956</v>
      </c>
      <c r="C96" s="0" t="n">
        <v>149</v>
      </c>
      <c r="D96" s="0" t="n">
        <v>0</v>
      </c>
      <c r="E96" s="0" t="n">
        <v>0</v>
      </c>
      <c r="F96" s="0" t="n">
        <v>0</v>
      </c>
      <c r="G96" s="0" t="n">
        <v>99</v>
      </c>
      <c r="H96" s="0" t="n">
        <v>50</v>
      </c>
      <c r="I96" s="0" t="n">
        <v>1</v>
      </c>
      <c r="J96" s="0" t="n">
        <v>5</v>
      </c>
      <c r="K96" s="0" t="n">
        <v>0</v>
      </c>
      <c r="L96" s="0" t="n">
        <v>3772</v>
      </c>
      <c r="M96" s="0" t="n">
        <v>136</v>
      </c>
    </row>
    <row r="97" customFormat="false" ht="13.5" hidden="false" customHeight="false" outlineLevel="0" collapsed="false">
      <c r="A97" s="0" t="s">
        <v>122</v>
      </c>
      <c r="B97" s="1" t="n">
        <v>43957</v>
      </c>
      <c r="C97" s="0" t="n">
        <v>151</v>
      </c>
      <c r="D97" s="0" t="n">
        <v>2</v>
      </c>
      <c r="E97" s="0" t="n">
        <v>0</v>
      </c>
      <c r="F97" s="0" t="n">
        <v>0</v>
      </c>
      <c r="G97" s="0" t="n">
        <v>101</v>
      </c>
      <c r="H97" s="0" t="n">
        <v>50</v>
      </c>
      <c r="I97" s="0" t="n">
        <v>1</v>
      </c>
      <c r="J97" s="0" t="n">
        <v>5</v>
      </c>
      <c r="K97" s="0" t="n">
        <v>0</v>
      </c>
      <c r="L97" s="0" t="n">
        <v>3861</v>
      </c>
      <c r="M97" s="0" t="n">
        <v>139</v>
      </c>
    </row>
    <row r="98" customFormat="false" ht="13.5" hidden="false" customHeight="false" outlineLevel="0" collapsed="false">
      <c r="A98" s="0" t="s">
        <v>122</v>
      </c>
      <c r="B98" s="1" t="n">
        <v>43958</v>
      </c>
      <c r="C98" s="0" t="n">
        <v>158</v>
      </c>
      <c r="D98" s="0" t="n">
        <v>7</v>
      </c>
      <c r="E98" s="0" t="n">
        <v>0</v>
      </c>
      <c r="F98" s="0" t="n">
        <v>0</v>
      </c>
      <c r="G98" s="0" t="n">
        <v>101</v>
      </c>
      <c r="H98" s="0" t="n">
        <v>57</v>
      </c>
      <c r="I98" s="0" t="n">
        <v>1</v>
      </c>
      <c r="J98" s="0" t="n">
        <v>6</v>
      </c>
      <c r="K98" s="0" t="n">
        <v>0</v>
      </c>
      <c r="L98" s="0" t="n">
        <v>3907</v>
      </c>
      <c r="M98" s="0" t="n">
        <v>141</v>
      </c>
    </row>
    <row r="99" customFormat="false" ht="13.5" hidden="false" customHeight="false" outlineLevel="0" collapsed="false">
      <c r="A99" s="0" t="s">
        <v>122</v>
      </c>
      <c r="B99" s="1" t="n">
        <v>43959</v>
      </c>
      <c r="C99" s="0" t="n">
        <v>186</v>
      </c>
      <c r="D99" s="0" t="n">
        <v>35</v>
      </c>
      <c r="E99" s="0" t="n">
        <v>0</v>
      </c>
      <c r="F99" s="0" t="n">
        <v>0</v>
      </c>
      <c r="G99" s="0" t="n">
        <v>101</v>
      </c>
      <c r="H99" s="0" t="n">
        <v>92</v>
      </c>
      <c r="I99" s="0" t="n">
        <v>1</v>
      </c>
      <c r="J99" s="0" t="n">
        <v>7</v>
      </c>
      <c r="K99" s="0" t="n">
        <v>0</v>
      </c>
      <c r="L99" s="0" t="n">
        <v>3968</v>
      </c>
      <c r="M99" s="0" t="n">
        <v>143</v>
      </c>
    </row>
    <row r="100" customFormat="false" ht="13.5" hidden="false" customHeight="false" outlineLevel="0" collapsed="false">
      <c r="A100" s="0" t="s">
        <v>122</v>
      </c>
      <c r="B100" s="1" t="n">
        <v>43960</v>
      </c>
      <c r="C100" s="0" t="n">
        <v>186</v>
      </c>
      <c r="D100" s="0" t="n">
        <v>0</v>
      </c>
      <c r="E100" s="0" t="n">
        <v>0</v>
      </c>
      <c r="F100" s="0" t="n">
        <v>0</v>
      </c>
      <c r="G100" s="0" t="n">
        <v>101</v>
      </c>
      <c r="H100" s="0" t="n">
        <v>92</v>
      </c>
      <c r="I100" s="0" t="n">
        <v>1</v>
      </c>
      <c r="J100" s="0" t="n">
        <v>7</v>
      </c>
      <c r="K100" s="0" t="n">
        <v>0</v>
      </c>
      <c r="L100" s="0" t="n">
        <v>3968</v>
      </c>
      <c r="M100" s="0" t="n">
        <v>143</v>
      </c>
    </row>
    <row r="101" customFormat="false" ht="13.5" hidden="false" customHeight="false" outlineLevel="0" collapsed="false">
      <c r="A101" s="0" t="s">
        <v>122</v>
      </c>
      <c r="B101" s="1" t="n">
        <v>43961</v>
      </c>
      <c r="C101" s="0" t="n">
        <v>186</v>
      </c>
      <c r="D101" s="0" t="n">
        <v>0</v>
      </c>
      <c r="E101" s="0" t="n">
        <v>0</v>
      </c>
      <c r="F101" s="0" t="n">
        <v>0</v>
      </c>
      <c r="G101" s="0" t="n">
        <v>101</v>
      </c>
      <c r="H101" s="0" t="n">
        <v>92</v>
      </c>
      <c r="I101" s="0" t="n">
        <v>1</v>
      </c>
      <c r="J101" s="0" t="n">
        <v>7</v>
      </c>
      <c r="K101" s="0" t="n">
        <v>0</v>
      </c>
      <c r="L101" s="0" t="n">
        <v>3968</v>
      </c>
      <c r="M101" s="0" t="n">
        <v>143</v>
      </c>
    </row>
    <row r="102" customFormat="false" ht="13.5" hidden="false" customHeight="false" outlineLevel="0" collapsed="false">
      <c r="A102" s="0" t="s">
        <v>122</v>
      </c>
      <c r="B102" s="1" t="n">
        <v>43962</v>
      </c>
      <c r="C102" s="0" t="n">
        <v>186</v>
      </c>
      <c r="D102" s="0" t="n">
        <v>0</v>
      </c>
      <c r="E102" s="0" t="n">
        <v>0</v>
      </c>
      <c r="F102" s="0" t="n">
        <v>0</v>
      </c>
      <c r="G102" s="0" t="n">
        <v>101</v>
      </c>
      <c r="H102" s="0" t="n">
        <v>92</v>
      </c>
      <c r="I102" s="0" t="n">
        <v>1</v>
      </c>
      <c r="J102" s="0" t="n">
        <v>7</v>
      </c>
      <c r="K102" s="0" t="n">
        <v>0</v>
      </c>
      <c r="L102" s="0" t="n">
        <v>3968</v>
      </c>
      <c r="M102" s="0" t="n">
        <v>143</v>
      </c>
    </row>
    <row r="103" customFormat="false" ht="13.5" hidden="false" customHeight="false" outlineLevel="0" collapsed="false">
      <c r="A103" s="0" t="s">
        <v>122</v>
      </c>
      <c r="B103" s="1" t="n">
        <v>43963</v>
      </c>
      <c r="C103" s="0" t="n">
        <v>186</v>
      </c>
      <c r="D103" s="0" t="n">
        <v>-7</v>
      </c>
      <c r="E103" s="0" t="n">
        <v>0</v>
      </c>
      <c r="F103" s="0" t="n">
        <v>0</v>
      </c>
      <c r="G103" s="0" t="n">
        <v>101</v>
      </c>
      <c r="H103" s="0" t="n">
        <v>85</v>
      </c>
      <c r="I103" s="0" t="n">
        <v>1</v>
      </c>
      <c r="J103" s="0" t="n">
        <v>7</v>
      </c>
      <c r="K103" s="0" t="n">
        <v>0</v>
      </c>
      <c r="L103" s="0" t="n">
        <v>3968</v>
      </c>
      <c r="M103" s="0" t="n">
        <v>143</v>
      </c>
    </row>
    <row r="104" customFormat="false" ht="13.5" hidden="false" customHeight="false" outlineLevel="0" collapsed="false">
      <c r="A104" s="0" t="s">
        <v>122</v>
      </c>
      <c r="B104" s="1" t="n">
        <v>43964</v>
      </c>
      <c r="C104" s="0" t="n">
        <v>186</v>
      </c>
      <c r="D104" s="0" t="n">
        <v>0</v>
      </c>
      <c r="E104" s="0" t="n">
        <v>0</v>
      </c>
      <c r="F104" s="0" t="n">
        <v>0</v>
      </c>
      <c r="G104" s="0" t="n">
        <v>101</v>
      </c>
      <c r="H104" s="0" t="n">
        <v>85</v>
      </c>
      <c r="I104" s="0" t="n">
        <v>1</v>
      </c>
      <c r="J104" s="0" t="n">
        <v>7</v>
      </c>
      <c r="K104" s="0" t="n">
        <v>0</v>
      </c>
      <c r="L104" s="0" t="n">
        <v>3968</v>
      </c>
      <c r="M104" s="0" t="n">
        <v>143</v>
      </c>
    </row>
    <row r="105" customFormat="false" ht="13.5" hidden="false" customHeight="false" outlineLevel="0" collapsed="false">
      <c r="A105" s="0" t="s">
        <v>122</v>
      </c>
      <c r="B105" s="1" t="n">
        <v>43965</v>
      </c>
      <c r="C105" s="0" t="n">
        <v>212</v>
      </c>
      <c r="D105" s="0" t="n">
        <v>26</v>
      </c>
      <c r="E105" s="0" t="n">
        <v>0</v>
      </c>
      <c r="F105" s="0" t="n">
        <v>0</v>
      </c>
      <c r="G105" s="0" t="n">
        <v>107</v>
      </c>
      <c r="H105" s="0" t="n">
        <v>105</v>
      </c>
      <c r="I105" s="0" t="n">
        <v>1</v>
      </c>
      <c r="J105" s="0" t="n">
        <v>8</v>
      </c>
      <c r="K105" s="0" t="n">
        <v>0</v>
      </c>
      <c r="L105" s="0" t="n">
        <v>5670</v>
      </c>
      <c r="M105" s="0" t="n">
        <v>205</v>
      </c>
    </row>
    <row r="106" customFormat="false" ht="13.5" hidden="false" customHeight="false" outlineLevel="0" collapsed="false">
      <c r="A106" s="0" t="s">
        <v>122</v>
      </c>
      <c r="B106" s="1" t="n">
        <v>43966</v>
      </c>
      <c r="C106" s="0" t="n">
        <v>230</v>
      </c>
      <c r="D106" s="0" t="n">
        <v>18</v>
      </c>
      <c r="E106" s="0" t="n">
        <v>0</v>
      </c>
      <c r="F106" s="0" t="n">
        <v>0</v>
      </c>
      <c r="G106" s="0" t="n">
        <v>108</v>
      </c>
      <c r="H106" s="0" t="n">
        <v>122</v>
      </c>
      <c r="I106" s="0" t="n">
        <v>1</v>
      </c>
      <c r="J106" s="0" t="n">
        <v>8</v>
      </c>
      <c r="K106" s="0" t="n">
        <v>0</v>
      </c>
      <c r="L106" s="0" t="n">
        <v>5670</v>
      </c>
      <c r="M106" s="0" t="n">
        <v>205</v>
      </c>
    </row>
    <row r="107" customFormat="false" ht="13.5" hidden="false" customHeight="false" outlineLevel="0" collapsed="false">
      <c r="A107" s="0" t="s">
        <v>122</v>
      </c>
      <c r="B107" s="1" t="n">
        <v>43967</v>
      </c>
      <c r="C107" s="0" t="n">
        <v>238</v>
      </c>
      <c r="D107" s="0" t="n">
        <v>8</v>
      </c>
      <c r="E107" s="0" t="n">
        <v>0</v>
      </c>
      <c r="F107" s="0" t="n">
        <v>0</v>
      </c>
      <c r="G107" s="0" t="n">
        <v>112</v>
      </c>
      <c r="H107" s="0" t="n">
        <v>126</v>
      </c>
      <c r="I107" s="0" t="n">
        <v>1</v>
      </c>
      <c r="J107" s="0" t="n">
        <v>9</v>
      </c>
      <c r="K107" s="0" t="n">
        <v>0</v>
      </c>
      <c r="L107" s="0" t="n">
        <v>5670</v>
      </c>
      <c r="M107" s="0" t="n">
        <v>205</v>
      </c>
    </row>
    <row r="108" customFormat="false" ht="13.5" hidden="false" customHeight="false" outlineLevel="0" collapsed="false">
      <c r="A108" s="0" t="s">
        <v>122</v>
      </c>
      <c r="B108" s="1" t="n">
        <v>43968</v>
      </c>
      <c r="C108" s="0" t="n">
        <v>283</v>
      </c>
      <c r="D108" s="0" t="n">
        <v>45</v>
      </c>
      <c r="E108" s="0" t="n">
        <v>0</v>
      </c>
      <c r="F108" s="0" t="n">
        <v>0</v>
      </c>
      <c r="G108" s="0" t="n">
        <v>114</v>
      </c>
      <c r="H108" s="0" t="n">
        <v>169</v>
      </c>
      <c r="I108" s="0" t="n">
        <v>3</v>
      </c>
      <c r="J108" s="0" t="n">
        <v>10</v>
      </c>
      <c r="K108" s="0" t="n">
        <v>0</v>
      </c>
      <c r="L108" s="0" t="n">
        <v>5670</v>
      </c>
      <c r="M108" s="0" t="n">
        <v>205</v>
      </c>
    </row>
    <row r="109" customFormat="false" ht="13.5" hidden="false" customHeight="false" outlineLevel="0" collapsed="false">
      <c r="A109" s="0" t="s">
        <v>122</v>
      </c>
      <c r="B109" s="1" t="n">
        <v>43969</v>
      </c>
      <c r="C109" s="0" t="n">
        <v>304</v>
      </c>
      <c r="D109" s="0" t="n">
        <v>21</v>
      </c>
      <c r="E109" s="0" t="n">
        <v>1</v>
      </c>
      <c r="F109" s="0" t="n">
        <v>1</v>
      </c>
      <c r="G109" s="0" t="n">
        <v>114</v>
      </c>
      <c r="H109" s="0" t="n">
        <v>189</v>
      </c>
      <c r="I109" s="0" t="n">
        <v>2</v>
      </c>
      <c r="J109" s="0" t="n">
        <v>11</v>
      </c>
      <c r="K109" s="0" t="n">
        <v>0.04</v>
      </c>
      <c r="L109" s="0" t="n">
        <v>5670</v>
      </c>
      <c r="M109" s="0" t="n">
        <v>205</v>
      </c>
    </row>
    <row r="110" customFormat="false" ht="13.5" hidden="false" customHeight="false" outlineLevel="0" collapsed="false">
      <c r="A110" s="0" t="s">
        <v>122</v>
      </c>
      <c r="B110" s="1" t="n">
        <v>43970</v>
      </c>
      <c r="C110" s="0" t="n">
        <v>322</v>
      </c>
      <c r="D110" s="0" t="n">
        <v>18</v>
      </c>
      <c r="E110" s="0" t="n">
        <v>1</v>
      </c>
      <c r="F110" s="0" t="n">
        <v>0</v>
      </c>
      <c r="G110" s="0" t="n">
        <v>119</v>
      </c>
      <c r="H110" s="0" t="n">
        <v>202</v>
      </c>
      <c r="I110" s="0" t="n">
        <v>1</v>
      </c>
      <c r="J110" s="0" t="n">
        <v>12</v>
      </c>
      <c r="K110" s="0" t="n">
        <v>0.04</v>
      </c>
      <c r="L110" s="0" t="n">
        <v>5670</v>
      </c>
      <c r="M110" s="0" t="n">
        <v>205</v>
      </c>
    </row>
    <row r="111" customFormat="false" ht="13.5" hidden="false" customHeight="false" outlineLevel="0" collapsed="false">
      <c r="A111" s="0" t="s">
        <v>122</v>
      </c>
      <c r="B111" s="1" t="n">
        <v>43971</v>
      </c>
      <c r="C111" s="0" t="n">
        <v>326</v>
      </c>
      <c r="D111" s="0" t="n">
        <v>4</v>
      </c>
      <c r="E111" s="0" t="n">
        <v>2</v>
      </c>
      <c r="F111" s="0" t="n">
        <v>1</v>
      </c>
      <c r="G111" s="0" t="n">
        <v>119</v>
      </c>
      <c r="H111" s="0" t="n">
        <v>205</v>
      </c>
      <c r="I111" s="0" t="n">
        <v>0</v>
      </c>
      <c r="J111" s="0" t="n">
        <v>12</v>
      </c>
      <c r="K111" s="0" t="n">
        <v>0.07</v>
      </c>
      <c r="L111" s="0" t="n">
        <v>5670</v>
      </c>
      <c r="M111" s="0" t="n">
        <v>205</v>
      </c>
    </row>
    <row r="112" customFormat="false" ht="13.5" hidden="false" customHeight="false" outlineLevel="0" collapsed="false">
      <c r="A112" s="0" t="s">
        <v>122</v>
      </c>
      <c r="B112" s="1" t="n">
        <v>43972</v>
      </c>
      <c r="C112" s="0" t="n">
        <v>371</v>
      </c>
      <c r="D112" s="0" t="n">
        <v>45</v>
      </c>
      <c r="E112" s="0" t="n">
        <v>2</v>
      </c>
      <c r="F112" s="0" t="n">
        <v>0</v>
      </c>
      <c r="G112" s="0" t="n">
        <v>131</v>
      </c>
      <c r="H112" s="0" t="n">
        <v>238</v>
      </c>
      <c r="I112" s="0" t="n">
        <v>0</v>
      </c>
      <c r="J112" s="0" t="n">
        <v>13</v>
      </c>
      <c r="K112" s="0" t="n">
        <v>0.07</v>
      </c>
      <c r="L112" s="0" t="n">
        <v>5670</v>
      </c>
      <c r="M112" s="0" t="n">
        <v>205</v>
      </c>
    </row>
    <row r="113" customFormat="false" ht="13.5" hidden="false" customHeight="false" outlineLevel="0" collapsed="false">
      <c r="A113" s="0" t="s">
        <v>122</v>
      </c>
      <c r="B113" s="1" t="n">
        <v>43973</v>
      </c>
      <c r="C113" s="0" t="n">
        <v>405</v>
      </c>
      <c r="D113" s="0" t="n">
        <v>34</v>
      </c>
      <c r="E113" s="0" t="n">
        <v>2</v>
      </c>
      <c r="F113" s="0" t="n">
        <v>0</v>
      </c>
      <c r="G113" s="0" t="n">
        <v>131</v>
      </c>
      <c r="H113" s="0" t="n">
        <v>272</v>
      </c>
      <c r="I113" s="0" t="n">
        <v>1</v>
      </c>
      <c r="J113" s="0" t="n">
        <v>15</v>
      </c>
      <c r="K113" s="0" t="n">
        <v>0.07</v>
      </c>
      <c r="L113" s="0" t="n">
        <v>5670</v>
      </c>
      <c r="M113" s="0" t="n">
        <v>205</v>
      </c>
    </row>
    <row r="114" customFormat="false" ht="13.5" hidden="false" customHeight="false" outlineLevel="0" collapsed="false">
      <c r="A114" s="0" t="s">
        <v>122</v>
      </c>
      <c r="B114" s="1" t="n">
        <v>43974</v>
      </c>
      <c r="C114" s="0" t="n">
        <v>448</v>
      </c>
      <c r="D114" s="0" t="n">
        <v>43</v>
      </c>
      <c r="E114" s="0" t="n">
        <v>2</v>
      </c>
      <c r="F114" s="0" t="n">
        <v>0</v>
      </c>
      <c r="G114" s="0" t="n">
        <v>135</v>
      </c>
      <c r="H114" s="0" t="n">
        <v>311</v>
      </c>
      <c r="I114" s="0" t="n">
        <v>2</v>
      </c>
      <c r="J114" s="0" t="n">
        <v>16</v>
      </c>
      <c r="K114" s="0" t="n">
        <v>0.07</v>
      </c>
      <c r="L114" s="0" t="n">
        <v>5670</v>
      </c>
      <c r="M114" s="0" t="n">
        <v>205</v>
      </c>
    </row>
    <row r="115" customFormat="false" ht="13.5" hidden="false" customHeight="false" outlineLevel="0" collapsed="false">
      <c r="A115" s="0" t="s">
        <v>122</v>
      </c>
      <c r="B115" s="1" t="n">
        <v>43975</v>
      </c>
      <c r="C115" s="0" t="n">
        <v>488</v>
      </c>
      <c r="D115" s="0" t="n">
        <v>40</v>
      </c>
      <c r="E115" s="0" t="n">
        <v>2</v>
      </c>
      <c r="F115" s="0" t="n">
        <v>0</v>
      </c>
      <c r="G115" s="0" t="n">
        <v>138</v>
      </c>
      <c r="H115" s="0" t="n">
        <v>348</v>
      </c>
      <c r="I115" s="0" t="n">
        <v>4</v>
      </c>
      <c r="J115" s="0" t="n">
        <v>18</v>
      </c>
      <c r="K115" s="0" t="n">
        <v>0.07</v>
      </c>
      <c r="L115" s="0" t="n">
        <v>5670</v>
      </c>
      <c r="M115" s="0" t="n">
        <v>205</v>
      </c>
    </row>
    <row r="116" customFormat="false" ht="13.5" hidden="false" customHeight="false" outlineLevel="0" collapsed="false">
      <c r="A116" s="0" t="s">
        <v>122</v>
      </c>
      <c r="B116" s="1" t="n">
        <v>43976</v>
      </c>
      <c r="C116" s="0" t="n">
        <v>527</v>
      </c>
      <c r="D116" s="0" t="n">
        <v>39</v>
      </c>
      <c r="E116" s="0" t="n">
        <v>2</v>
      </c>
      <c r="F116" s="0" t="n">
        <v>0</v>
      </c>
      <c r="G116" s="0" t="n">
        <v>142</v>
      </c>
      <c r="H116" s="0" t="n">
        <v>383</v>
      </c>
      <c r="I116" s="0" t="n">
        <v>6</v>
      </c>
      <c r="J116" s="0" t="n">
        <v>19</v>
      </c>
      <c r="K116" s="0" t="n">
        <v>0.07</v>
      </c>
      <c r="L116" s="0" t="n">
        <v>5670</v>
      </c>
      <c r="M116" s="0" t="n">
        <v>205</v>
      </c>
    </row>
    <row r="117" customFormat="false" ht="13.5" hidden="false" customHeight="false" outlineLevel="0" collapsed="false">
      <c r="A117" s="0" t="s">
        <v>122</v>
      </c>
      <c r="B117" s="1" t="n">
        <v>43977</v>
      </c>
      <c r="C117" s="0" t="n">
        <v>542</v>
      </c>
      <c r="D117" s="0" t="n">
        <v>15</v>
      </c>
      <c r="E117" s="0" t="n">
        <v>2</v>
      </c>
      <c r="F117" s="0" t="n">
        <v>0</v>
      </c>
      <c r="G117" s="0" t="n">
        <v>147</v>
      </c>
      <c r="H117" s="0" t="n">
        <v>393</v>
      </c>
      <c r="I117" s="0" t="n">
        <v>6</v>
      </c>
      <c r="J117" s="0" t="n">
        <v>20</v>
      </c>
      <c r="K117" s="0" t="n">
        <v>0.07</v>
      </c>
      <c r="L117" s="0" t="n">
        <v>5670</v>
      </c>
      <c r="M117" s="0" t="n">
        <v>205</v>
      </c>
    </row>
    <row r="118" customFormat="false" ht="13.5" hidden="false" customHeight="false" outlineLevel="0" collapsed="false">
      <c r="A118" s="0" t="s">
        <v>122</v>
      </c>
      <c r="B118" s="1" t="n">
        <v>43978</v>
      </c>
      <c r="C118" s="0" t="n">
        <v>586</v>
      </c>
      <c r="D118" s="0" t="n">
        <v>44</v>
      </c>
      <c r="E118" s="0" t="n">
        <v>2</v>
      </c>
      <c r="F118" s="0" t="n">
        <v>0</v>
      </c>
      <c r="G118" s="0" t="n">
        <v>147</v>
      </c>
      <c r="H118" s="0" t="n">
        <v>437</v>
      </c>
      <c r="I118" s="0" t="n">
        <v>6</v>
      </c>
      <c r="J118" s="0" t="n">
        <v>21</v>
      </c>
      <c r="K118" s="0" t="n">
        <v>0.07</v>
      </c>
      <c r="L118" s="0" t="n">
        <v>9340</v>
      </c>
      <c r="M118" s="0" t="n">
        <v>338</v>
      </c>
    </row>
    <row r="119" customFormat="false" ht="13.5" hidden="false" customHeight="false" outlineLevel="0" collapsed="false">
      <c r="A119" s="0" t="s">
        <v>122</v>
      </c>
      <c r="B119" s="1" t="n">
        <v>43979</v>
      </c>
      <c r="C119" s="0" t="n">
        <v>612</v>
      </c>
      <c r="D119" s="0" t="n">
        <v>26</v>
      </c>
      <c r="E119" s="0" t="n">
        <v>2</v>
      </c>
      <c r="F119" s="0" t="n">
        <v>0</v>
      </c>
      <c r="G119" s="0" t="n">
        <v>151</v>
      </c>
      <c r="H119" s="0" t="n">
        <v>459</v>
      </c>
      <c r="I119" s="0" t="n">
        <v>10</v>
      </c>
      <c r="J119" s="0" t="n">
        <v>22</v>
      </c>
      <c r="K119" s="0" t="n">
        <v>0.07</v>
      </c>
      <c r="L119" s="0" t="n">
        <v>9681</v>
      </c>
      <c r="M119" s="0" t="n">
        <v>351</v>
      </c>
    </row>
    <row r="120" customFormat="false" ht="13.5" hidden="false" customHeight="false" outlineLevel="0" collapsed="false">
      <c r="A120" s="0" t="s">
        <v>122</v>
      </c>
      <c r="B120" s="1" t="n">
        <v>43980</v>
      </c>
      <c r="C120" s="0" t="n">
        <v>656</v>
      </c>
      <c r="D120" s="0" t="n">
        <v>44</v>
      </c>
      <c r="E120" s="0" t="n">
        <v>2</v>
      </c>
      <c r="F120" s="0" t="n">
        <v>0</v>
      </c>
      <c r="G120" s="0" t="n">
        <v>154</v>
      </c>
      <c r="H120" s="0" t="n">
        <v>500</v>
      </c>
      <c r="I120" s="0" t="n">
        <v>10</v>
      </c>
      <c r="J120" s="0" t="n">
        <v>24</v>
      </c>
      <c r="K120" s="0" t="n">
        <v>0.07</v>
      </c>
      <c r="L120" s="0" t="n">
        <v>9848</v>
      </c>
      <c r="M120" s="0" t="n">
        <v>357</v>
      </c>
    </row>
    <row r="121" customFormat="false" ht="13.5" hidden="false" customHeight="false" outlineLevel="0" collapsed="false">
      <c r="A121" s="0" t="s">
        <v>122</v>
      </c>
      <c r="B121" s="1" t="n">
        <v>43981</v>
      </c>
      <c r="C121" s="0" t="n">
        <v>698</v>
      </c>
      <c r="D121" s="0" t="n">
        <v>42</v>
      </c>
      <c r="E121" s="0" t="n">
        <v>5</v>
      </c>
      <c r="F121" s="0" t="n">
        <v>3</v>
      </c>
      <c r="G121" s="0" t="n">
        <v>164</v>
      </c>
      <c r="H121" s="0" t="n">
        <v>529</v>
      </c>
      <c r="I121" s="0" t="n">
        <v>9</v>
      </c>
      <c r="J121" s="0" t="n">
        <v>25</v>
      </c>
      <c r="K121" s="0" t="n">
        <v>0.2</v>
      </c>
      <c r="L121" s="0" t="n">
        <v>10249</v>
      </c>
      <c r="M121" s="0" t="n">
        <v>371</v>
      </c>
    </row>
    <row r="122" customFormat="false" ht="13.5" hidden="false" customHeight="false" outlineLevel="0" collapsed="false">
      <c r="A122" s="0" t="s">
        <v>122</v>
      </c>
      <c r="B122" s="1" t="n">
        <v>43982</v>
      </c>
      <c r="C122" s="0" t="n">
        <v>758</v>
      </c>
      <c r="D122" s="0" t="n">
        <v>60</v>
      </c>
      <c r="E122" s="0" t="n">
        <v>6</v>
      </c>
      <c r="F122" s="0" t="n">
        <v>1</v>
      </c>
      <c r="G122" s="0" t="n">
        <v>165</v>
      </c>
      <c r="H122" s="0" t="n">
        <v>587</v>
      </c>
      <c r="I122" s="0" t="n">
        <v>8</v>
      </c>
      <c r="J122" s="0" t="n">
        <v>27</v>
      </c>
      <c r="K122" s="0" t="n">
        <v>0.2</v>
      </c>
      <c r="L122" s="0" t="n">
        <v>10249</v>
      </c>
      <c r="M122" s="0" t="n">
        <v>371</v>
      </c>
    </row>
    <row r="123" customFormat="false" ht="13.5" hidden="false" customHeight="false" outlineLevel="0" collapsed="false">
      <c r="A123" s="0" t="s">
        <v>122</v>
      </c>
      <c r="B123" s="1" t="n">
        <v>43983</v>
      </c>
      <c r="C123" s="0" t="n">
        <v>771</v>
      </c>
      <c r="D123" s="0" t="n">
        <v>13</v>
      </c>
      <c r="E123" s="0" t="n">
        <v>6</v>
      </c>
      <c r="F123" s="0" t="n">
        <v>0</v>
      </c>
      <c r="G123" s="0" t="n">
        <v>168</v>
      </c>
      <c r="H123" s="0" t="n">
        <v>597</v>
      </c>
      <c r="I123" s="0" t="n">
        <v>8</v>
      </c>
      <c r="J123" s="0" t="n">
        <v>28</v>
      </c>
      <c r="K123" s="0" t="n">
        <v>0.2</v>
      </c>
      <c r="L123" s="0" t="n">
        <v>10249</v>
      </c>
      <c r="M123" s="0" t="n">
        <v>371</v>
      </c>
    </row>
    <row r="124" customFormat="false" ht="13.5" hidden="false" customHeight="false" outlineLevel="0" collapsed="false">
      <c r="A124" s="0" t="s">
        <v>122</v>
      </c>
      <c r="B124" s="1" t="n">
        <v>43984</v>
      </c>
      <c r="C124" s="0" t="n">
        <v>826</v>
      </c>
      <c r="D124" s="0" t="n">
        <v>55</v>
      </c>
      <c r="E124" s="0" t="n">
        <v>6</v>
      </c>
      <c r="F124" s="0" t="n">
        <v>0</v>
      </c>
      <c r="G124" s="0" t="n">
        <v>174</v>
      </c>
      <c r="H124" s="0" t="n">
        <v>646</v>
      </c>
      <c r="I124" s="0" t="n">
        <v>8</v>
      </c>
      <c r="J124" s="0" t="n">
        <v>30</v>
      </c>
      <c r="K124" s="0" t="n">
        <v>0.2</v>
      </c>
      <c r="L124" s="0" t="n">
        <v>10249</v>
      </c>
      <c r="M124" s="0" t="n">
        <v>371</v>
      </c>
    </row>
    <row r="125" customFormat="false" ht="13.5" hidden="false" customHeight="false" outlineLevel="0" collapsed="false">
      <c r="A125" s="0" t="s">
        <v>122</v>
      </c>
      <c r="B125" s="1" t="n">
        <v>43985</v>
      </c>
      <c r="C125" s="0" t="n">
        <v>845</v>
      </c>
      <c r="D125" s="0" t="n">
        <v>19</v>
      </c>
      <c r="E125" s="0" t="n">
        <v>6</v>
      </c>
      <c r="F125" s="0" t="n">
        <v>0</v>
      </c>
      <c r="G125" s="0" t="n">
        <v>185</v>
      </c>
      <c r="H125" s="0" t="n">
        <v>654</v>
      </c>
      <c r="I125" s="0" t="n">
        <v>9</v>
      </c>
      <c r="J125" s="0" t="n">
        <v>31</v>
      </c>
      <c r="K125" s="0" t="n">
        <v>0.2</v>
      </c>
      <c r="L125" s="0" t="n">
        <v>11954</v>
      </c>
      <c r="M125" s="0" t="n">
        <v>433</v>
      </c>
    </row>
    <row r="126" customFormat="false" ht="13.5" hidden="false" customHeight="false" outlineLevel="0" collapsed="false">
      <c r="A126" s="0" t="s">
        <v>122</v>
      </c>
      <c r="B126" s="1" t="n">
        <v>43986</v>
      </c>
      <c r="C126" s="0" t="n">
        <v>908</v>
      </c>
      <c r="D126" s="0" t="n">
        <v>63</v>
      </c>
      <c r="E126" s="0" t="n">
        <v>6</v>
      </c>
      <c r="F126" s="0" t="n">
        <v>0</v>
      </c>
      <c r="G126" s="0" t="n">
        <v>195</v>
      </c>
      <c r="H126" s="0" t="n">
        <v>707</v>
      </c>
      <c r="I126" s="0" t="n">
        <v>9</v>
      </c>
      <c r="J126" s="0" t="n">
        <v>33</v>
      </c>
      <c r="K126" s="0" t="n">
        <v>0.2</v>
      </c>
      <c r="L126" s="0" t="n">
        <v>11954</v>
      </c>
      <c r="M126" s="0" t="n">
        <v>433</v>
      </c>
    </row>
    <row r="127" customFormat="false" ht="13.5" hidden="false" customHeight="false" outlineLevel="0" collapsed="false">
      <c r="A127" s="0" t="s">
        <v>122</v>
      </c>
      <c r="B127" s="1" t="n">
        <v>43987</v>
      </c>
      <c r="C127" s="0" t="n">
        <v>957</v>
      </c>
      <c r="D127" s="0" t="n">
        <v>49</v>
      </c>
      <c r="E127" s="0" t="n">
        <v>7</v>
      </c>
      <c r="F127" s="0" t="n">
        <v>1</v>
      </c>
      <c r="G127" s="0" t="n">
        <v>200</v>
      </c>
      <c r="H127" s="0" t="n">
        <v>750</v>
      </c>
      <c r="I127" s="0" t="n">
        <v>9</v>
      </c>
      <c r="J127" s="0" t="n">
        <v>35</v>
      </c>
      <c r="K127" s="0" t="n">
        <v>0.3</v>
      </c>
      <c r="L127" s="0" t="n">
        <v>12608</v>
      </c>
      <c r="M127" s="0" t="n">
        <v>456</v>
      </c>
    </row>
    <row r="128" customFormat="false" ht="13.5" hidden="false" customHeight="false" outlineLevel="0" collapsed="false">
      <c r="A128" s="0" t="s">
        <v>122</v>
      </c>
      <c r="B128" s="1" t="n">
        <v>43988</v>
      </c>
      <c r="C128" s="0" t="n">
        <v>975</v>
      </c>
      <c r="D128" s="0" t="n">
        <v>18</v>
      </c>
      <c r="E128" s="0" t="n">
        <v>7</v>
      </c>
      <c r="F128" s="0" t="n">
        <v>0</v>
      </c>
      <c r="G128" s="0" t="n">
        <v>201</v>
      </c>
      <c r="H128" s="0" t="n">
        <v>767</v>
      </c>
      <c r="I128" s="0" t="n">
        <v>9</v>
      </c>
      <c r="J128" s="0" t="n">
        <v>35</v>
      </c>
      <c r="K128" s="0" t="n">
        <v>0.3</v>
      </c>
      <c r="L128" s="0" t="n">
        <v>12907</v>
      </c>
      <c r="M128" s="0" t="n">
        <v>467</v>
      </c>
    </row>
    <row r="129" customFormat="false" ht="13.5" hidden="false" customHeight="false" outlineLevel="0" collapsed="false">
      <c r="A129" s="0" t="s">
        <v>122</v>
      </c>
      <c r="B129" s="1" t="n">
        <v>43989</v>
      </c>
      <c r="C129" s="0" t="n">
        <v>1026</v>
      </c>
      <c r="D129" s="0" t="n">
        <v>51</v>
      </c>
      <c r="E129" s="0" t="n">
        <v>8</v>
      </c>
      <c r="F129" s="0" t="n">
        <v>1</v>
      </c>
      <c r="G129" s="0" t="n">
        <v>212</v>
      </c>
      <c r="H129" s="0" t="n">
        <v>806</v>
      </c>
      <c r="I129" s="0" t="n">
        <v>8</v>
      </c>
      <c r="J129" s="0" t="n">
        <v>37</v>
      </c>
      <c r="K129" s="0" t="n">
        <v>0.3</v>
      </c>
      <c r="L129" s="0" t="n">
        <v>13230</v>
      </c>
      <c r="M129" s="0" t="n">
        <v>479</v>
      </c>
    </row>
    <row r="130" customFormat="false" ht="13.5" hidden="false" customHeight="false" outlineLevel="0" collapsed="false">
      <c r="A130" s="0" t="s">
        <v>122</v>
      </c>
      <c r="B130" s="1" t="n">
        <v>43990</v>
      </c>
      <c r="C130" s="0" t="n">
        <v>1052</v>
      </c>
      <c r="D130" s="0" t="n">
        <v>26</v>
      </c>
      <c r="E130" s="0" t="n">
        <v>9</v>
      </c>
      <c r="F130" s="0" t="n">
        <v>1</v>
      </c>
      <c r="G130" s="0" t="n">
        <v>233</v>
      </c>
      <c r="H130" s="0" t="n">
        <v>810</v>
      </c>
      <c r="I130" s="0" t="n">
        <v>9</v>
      </c>
      <c r="J130" s="0" t="n">
        <v>38</v>
      </c>
      <c r="K130" s="0" t="n">
        <v>0.3</v>
      </c>
      <c r="L130" s="0" t="n">
        <v>13608</v>
      </c>
      <c r="M130" s="0" t="n">
        <v>492</v>
      </c>
    </row>
    <row r="131" customFormat="false" ht="13.5" hidden="false" customHeight="false" outlineLevel="0" collapsed="false">
      <c r="A131" s="0" t="s">
        <v>122</v>
      </c>
      <c r="B131" s="1" t="n">
        <v>43991</v>
      </c>
      <c r="C131" s="0" t="n">
        <v>1094</v>
      </c>
      <c r="D131" s="0" t="n">
        <v>42</v>
      </c>
      <c r="E131" s="0" t="n">
        <v>9</v>
      </c>
      <c r="F131" s="0" t="n">
        <v>0</v>
      </c>
      <c r="G131" s="0" t="n">
        <v>254</v>
      </c>
      <c r="H131" s="0" t="n">
        <v>831</v>
      </c>
      <c r="I131" s="0" t="n">
        <v>10</v>
      </c>
      <c r="J131" s="0" t="n">
        <v>40</v>
      </c>
      <c r="K131" s="0" t="n">
        <v>0.3</v>
      </c>
      <c r="L131" s="0" t="n">
        <v>13707</v>
      </c>
      <c r="M131" s="0" t="n">
        <v>496</v>
      </c>
    </row>
    <row r="132" customFormat="false" ht="13.5" hidden="false" customHeight="false" outlineLevel="0" collapsed="false">
      <c r="A132" s="0" t="s">
        <v>122</v>
      </c>
      <c r="B132" s="1" t="n">
        <v>43992</v>
      </c>
      <c r="C132" s="0" t="n">
        <v>1138</v>
      </c>
      <c r="D132" s="0" t="n">
        <v>44</v>
      </c>
      <c r="E132" s="0" t="n">
        <v>9</v>
      </c>
      <c r="F132" s="0" t="n">
        <v>0</v>
      </c>
      <c r="G132" s="0" t="n">
        <v>274</v>
      </c>
      <c r="H132" s="0" t="n">
        <v>855</v>
      </c>
      <c r="I132" s="0" t="n">
        <v>9</v>
      </c>
      <c r="J132" s="0" t="n">
        <v>41</v>
      </c>
      <c r="K132" s="0" t="n">
        <v>0.3</v>
      </c>
      <c r="L132" s="0" t="n">
        <v>13707</v>
      </c>
      <c r="M132" s="0" t="n">
        <v>496</v>
      </c>
    </row>
    <row r="133" customFormat="false" ht="13.5" hidden="false" customHeight="false" outlineLevel="0" collapsed="false">
      <c r="A133" s="0" t="s">
        <v>122</v>
      </c>
      <c r="B133" s="1" t="n">
        <v>43993</v>
      </c>
      <c r="C133" s="0" t="n">
        <v>1162</v>
      </c>
      <c r="D133" s="0" t="n">
        <v>24</v>
      </c>
      <c r="E133" s="0" t="n">
        <v>10</v>
      </c>
      <c r="F133" s="0" t="n">
        <v>1</v>
      </c>
      <c r="G133" s="0" t="n">
        <v>296</v>
      </c>
      <c r="H133" s="0" t="n">
        <v>856</v>
      </c>
      <c r="I133" s="0" t="n">
        <v>8</v>
      </c>
      <c r="J133" s="0" t="n">
        <v>42</v>
      </c>
      <c r="K133" s="0" t="n">
        <v>0.4</v>
      </c>
      <c r="L133" s="0" t="n">
        <v>14525</v>
      </c>
      <c r="M133" s="0" t="n">
        <v>525</v>
      </c>
    </row>
    <row r="134" customFormat="false" ht="13.5" hidden="false" customHeight="false" outlineLevel="0" collapsed="false">
      <c r="A134" s="0" t="s">
        <v>122</v>
      </c>
      <c r="B134" s="1" t="n">
        <v>43994</v>
      </c>
      <c r="C134" s="0" t="n">
        <v>1203</v>
      </c>
      <c r="D134" s="0" t="n">
        <v>41</v>
      </c>
      <c r="E134" s="0" t="n">
        <v>10</v>
      </c>
      <c r="F134" s="0" t="n">
        <v>0</v>
      </c>
      <c r="G134" s="0" t="n">
        <v>312</v>
      </c>
      <c r="H134" s="0" t="n">
        <v>881</v>
      </c>
      <c r="I134" s="0" t="n">
        <v>8</v>
      </c>
      <c r="J134" s="0" t="n">
        <v>44</v>
      </c>
      <c r="K134" s="0" t="n">
        <v>0.4</v>
      </c>
      <c r="L134" s="0" t="n">
        <v>14857</v>
      </c>
      <c r="M134" s="0" t="n">
        <v>537</v>
      </c>
    </row>
    <row r="135" customFormat="false" ht="13.5" hidden="false" customHeight="false" outlineLevel="0" collapsed="false">
      <c r="A135" s="0" t="s">
        <v>122</v>
      </c>
      <c r="B135" s="1" t="n">
        <v>43995</v>
      </c>
      <c r="C135" s="0" t="n">
        <v>1240</v>
      </c>
      <c r="D135" s="0" t="n">
        <v>37</v>
      </c>
      <c r="E135" s="0" t="n">
        <v>10</v>
      </c>
      <c r="F135" s="0" t="n">
        <v>0</v>
      </c>
      <c r="G135" s="0" t="n">
        <v>344</v>
      </c>
      <c r="H135" s="0" t="n">
        <v>886</v>
      </c>
      <c r="I135" s="0" t="n">
        <v>10</v>
      </c>
      <c r="J135" s="0" t="n">
        <v>45</v>
      </c>
      <c r="K135" s="0" t="n">
        <v>0.4</v>
      </c>
      <c r="L135" s="0" t="n">
        <v>15148</v>
      </c>
      <c r="M135" s="0" t="n">
        <v>548</v>
      </c>
    </row>
    <row r="136" customFormat="false" ht="13.5" hidden="false" customHeight="false" outlineLevel="0" collapsed="false">
      <c r="A136" s="0" t="s">
        <v>122</v>
      </c>
      <c r="B136" s="1" t="n">
        <v>43996</v>
      </c>
      <c r="C136" s="0" t="n">
        <v>1252</v>
      </c>
      <c r="D136" s="0" t="n">
        <v>12</v>
      </c>
      <c r="E136" s="0" t="n">
        <v>10</v>
      </c>
      <c r="F136" s="0" t="n">
        <v>0</v>
      </c>
      <c r="G136" s="0" t="n">
        <v>362</v>
      </c>
      <c r="H136" s="0" t="n">
        <v>880</v>
      </c>
      <c r="I136" s="0" t="n">
        <v>9</v>
      </c>
      <c r="J136" s="0" t="n">
        <v>45</v>
      </c>
      <c r="K136" s="0" t="n">
        <v>0.4</v>
      </c>
      <c r="L136" s="0" t="n">
        <v>15495</v>
      </c>
      <c r="M136" s="0" t="n">
        <v>560</v>
      </c>
    </row>
    <row r="137" customFormat="false" ht="13.5" hidden="false" customHeight="false" outlineLevel="0" collapsed="false">
      <c r="A137" s="0" t="s">
        <v>122</v>
      </c>
      <c r="B137" s="1" t="n">
        <v>43997</v>
      </c>
      <c r="C137" s="0" t="n">
        <v>1272</v>
      </c>
      <c r="D137" s="0" t="n">
        <v>20</v>
      </c>
      <c r="E137" s="0" t="n">
        <v>10</v>
      </c>
      <c r="F137" s="0" t="n">
        <v>0</v>
      </c>
      <c r="G137" s="0" t="n">
        <v>367</v>
      </c>
      <c r="H137" s="0" t="n">
        <v>895</v>
      </c>
      <c r="I137" s="0" t="n">
        <v>9</v>
      </c>
      <c r="J137" s="0" t="n">
        <v>46</v>
      </c>
      <c r="K137" s="0" t="n">
        <v>0.4</v>
      </c>
      <c r="L137" s="0" t="n">
        <v>15756</v>
      </c>
      <c r="M137" s="0" t="n">
        <v>570</v>
      </c>
    </row>
    <row r="138" customFormat="false" ht="13.5" hidden="false" customHeight="false" outlineLevel="0" collapsed="false">
      <c r="A138" s="0" t="s">
        <v>122</v>
      </c>
      <c r="B138" s="1" t="n">
        <v>43998</v>
      </c>
      <c r="C138" s="0" t="n">
        <v>1290</v>
      </c>
      <c r="D138" s="0" t="n">
        <v>18</v>
      </c>
      <c r="E138" s="0" t="n">
        <v>10</v>
      </c>
      <c r="F138" s="0" t="n">
        <v>0</v>
      </c>
      <c r="G138" s="0" t="n">
        <v>384</v>
      </c>
      <c r="H138" s="0" t="n">
        <v>896</v>
      </c>
      <c r="I138" s="0" t="n">
        <v>9</v>
      </c>
      <c r="J138" s="0" t="n">
        <v>47</v>
      </c>
      <c r="K138" s="0" t="n">
        <v>0.4</v>
      </c>
      <c r="L138" s="0" t="n">
        <v>15981</v>
      </c>
      <c r="M138" s="0" t="n">
        <v>578</v>
      </c>
    </row>
    <row r="139" customFormat="false" ht="13.5" hidden="false" customHeight="false" outlineLevel="0" collapsed="false">
      <c r="A139" s="0" t="s">
        <v>122</v>
      </c>
      <c r="B139" s="1" t="n">
        <v>43999</v>
      </c>
      <c r="C139" s="0" t="n">
        <v>1317</v>
      </c>
      <c r="D139" s="0" t="n">
        <v>27</v>
      </c>
      <c r="E139" s="0" t="n">
        <v>12</v>
      </c>
      <c r="F139" s="0" t="n">
        <v>2</v>
      </c>
      <c r="G139" s="0" t="n">
        <v>417</v>
      </c>
      <c r="H139" s="0" t="n">
        <v>888</v>
      </c>
      <c r="I139" s="0" t="n">
        <v>6</v>
      </c>
      <c r="J139" s="0" t="n">
        <v>48</v>
      </c>
      <c r="K139" s="0" t="n">
        <v>0.4</v>
      </c>
      <c r="L139" s="0" t="n">
        <v>16093</v>
      </c>
      <c r="M139" s="0" t="n">
        <v>582</v>
      </c>
    </row>
    <row r="140" customFormat="false" ht="13.5" hidden="false" customHeight="false" outlineLevel="0" collapsed="false">
      <c r="A140" s="0" t="s">
        <v>122</v>
      </c>
      <c r="B140" s="1" t="n">
        <v>44000</v>
      </c>
      <c r="C140" s="0" t="n">
        <v>1378</v>
      </c>
      <c r="D140" s="0" t="n">
        <v>61</v>
      </c>
      <c r="E140" s="0" t="n">
        <v>12</v>
      </c>
      <c r="F140" s="0" t="n">
        <v>0</v>
      </c>
      <c r="G140" s="0" t="n">
        <v>450</v>
      </c>
      <c r="H140" s="0" t="n">
        <v>916</v>
      </c>
      <c r="I140" s="0" t="n">
        <v>8</v>
      </c>
      <c r="J140" s="0" t="n">
        <v>50</v>
      </c>
      <c r="K140" s="0" t="n">
        <v>0.4</v>
      </c>
      <c r="L140" s="0" t="n">
        <v>16402</v>
      </c>
      <c r="M140" s="0" t="n">
        <v>593</v>
      </c>
    </row>
    <row r="141" customFormat="false" ht="13.5" hidden="false" customHeight="false" outlineLevel="0" collapsed="false">
      <c r="A141" s="0" t="s">
        <v>122</v>
      </c>
      <c r="B141" s="1" t="n">
        <v>44001</v>
      </c>
      <c r="C141" s="0" t="n">
        <v>1403</v>
      </c>
      <c r="D141" s="0" t="n">
        <v>25</v>
      </c>
      <c r="E141" s="0" t="n">
        <v>13</v>
      </c>
      <c r="F141" s="0" t="n">
        <v>1</v>
      </c>
      <c r="G141" s="0" t="n">
        <v>463</v>
      </c>
      <c r="H141" s="0" t="n">
        <v>927</v>
      </c>
      <c r="I141" s="0" t="n">
        <v>8</v>
      </c>
      <c r="J141" s="0" t="n">
        <v>51</v>
      </c>
      <c r="K141" s="0" t="n">
        <v>0.5</v>
      </c>
      <c r="L141" s="0" t="n">
        <v>16402</v>
      </c>
      <c r="M141" s="0" t="n">
        <v>593</v>
      </c>
    </row>
    <row r="142" customFormat="false" ht="13.5" hidden="false" customHeight="false" outlineLevel="0" collapsed="false">
      <c r="A142" s="0" t="s">
        <v>122</v>
      </c>
      <c r="B142" s="1" t="n">
        <v>44002</v>
      </c>
      <c r="C142" s="0" t="n">
        <v>1443</v>
      </c>
      <c r="D142" s="0" t="n">
        <v>40</v>
      </c>
      <c r="E142" s="0" t="n">
        <v>13</v>
      </c>
      <c r="F142" s="0" t="n">
        <v>0</v>
      </c>
      <c r="G142" s="0" t="n">
        <v>498</v>
      </c>
      <c r="H142" s="0" t="n">
        <v>932</v>
      </c>
      <c r="I142" s="0" t="n">
        <v>6</v>
      </c>
      <c r="J142" s="0" t="n">
        <v>52</v>
      </c>
      <c r="K142" s="0" t="n">
        <v>0.5</v>
      </c>
      <c r="L142" s="0" t="n">
        <v>17905</v>
      </c>
      <c r="M142" s="0" t="n">
        <v>647</v>
      </c>
    </row>
    <row r="143" customFormat="false" ht="13.5" hidden="false" customHeight="false" outlineLevel="0" collapsed="false">
      <c r="A143" s="0" t="s">
        <v>122</v>
      </c>
      <c r="B143" s="1" t="n">
        <v>44003</v>
      </c>
      <c r="C143" s="0" t="n">
        <v>1503</v>
      </c>
      <c r="D143" s="0" t="n">
        <v>60</v>
      </c>
      <c r="E143" s="0" t="n">
        <v>13</v>
      </c>
      <c r="F143" s="0" t="n">
        <v>0</v>
      </c>
      <c r="G143" s="0" t="n">
        <v>618</v>
      </c>
      <c r="H143" s="0" t="n">
        <v>872</v>
      </c>
      <c r="I143" s="0" t="n">
        <v>7</v>
      </c>
      <c r="J143" s="0" t="n">
        <v>54</v>
      </c>
      <c r="K143" s="0" t="n">
        <v>0.5</v>
      </c>
      <c r="L143" s="0" t="n">
        <v>17905</v>
      </c>
      <c r="M143" s="0" t="n">
        <v>647</v>
      </c>
    </row>
    <row r="144" customFormat="false" ht="13.5" hidden="false" customHeight="false" outlineLevel="0" collapsed="false">
      <c r="A144" s="0" t="s">
        <v>122</v>
      </c>
      <c r="B144" s="1" t="n">
        <v>44004</v>
      </c>
      <c r="C144" s="0" t="n">
        <v>1596</v>
      </c>
      <c r="D144" s="0" t="n">
        <v>93</v>
      </c>
      <c r="E144" s="0" t="n">
        <v>14</v>
      </c>
      <c r="F144" s="0" t="n">
        <v>1</v>
      </c>
      <c r="G144" s="0" t="n">
        <v>655</v>
      </c>
      <c r="H144" s="0" t="n">
        <v>927</v>
      </c>
      <c r="I144" s="0" t="n">
        <v>9</v>
      </c>
      <c r="J144" s="0" t="n">
        <v>58</v>
      </c>
      <c r="K144" s="0" t="n">
        <v>0.5</v>
      </c>
      <c r="L144" s="0" t="n">
        <v>18119</v>
      </c>
      <c r="M144" s="0" t="n">
        <v>655</v>
      </c>
    </row>
    <row r="145" customFormat="false" ht="13.5" hidden="false" customHeight="false" outlineLevel="0" collapsed="false">
      <c r="A145" s="0" t="s">
        <v>122</v>
      </c>
      <c r="B145" s="1" t="n">
        <v>44005</v>
      </c>
      <c r="C145" s="0" t="n">
        <v>1640</v>
      </c>
      <c r="D145" s="0" t="n">
        <v>44</v>
      </c>
      <c r="E145" s="0" t="n">
        <v>15</v>
      </c>
      <c r="F145" s="0" t="n">
        <v>1</v>
      </c>
      <c r="G145" s="0" t="n">
        <v>692</v>
      </c>
      <c r="H145" s="0" t="n">
        <v>933</v>
      </c>
      <c r="I145" s="0" t="n">
        <v>8</v>
      </c>
      <c r="J145" s="0" t="n">
        <v>59</v>
      </c>
      <c r="K145" s="0" t="n">
        <v>0.5</v>
      </c>
      <c r="L145" s="0" t="n">
        <v>18741</v>
      </c>
      <c r="M145" s="0" t="n">
        <v>677</v>
      </c>
    </row>
    <row r="146" customFormat="false" ht="13.5" hidden="false" customHeight="false" outlineLevel="0" collapsed="false">
      <c r="A146" s="0" t="s">
        <v>122</v>
      </c>
      <c r="B146" s="1" t="n">
        <v>44006</v>
      </c>
      <c r="C146" s="0" t="n">
        <v>1724</v>
      </c>
      <c r="D146" s="0" t="n">
        <v>84</v>
      </c>
      <c r="E146" s="0" t="n">
        <v>15</v>
      </c>
      <c r="F146" s="0" t="n">
        <v>0</v>
      </c>
      <c r="G146" s="0" t="n">
        <v>732</v>
      </c>
      <c r="H146" s="0" t="n">
        <v>977</v>
      </c>
      <c r="I146" s="0" t="n">
        <v>11</v>
      </c>
      <c r="J146" s="0" t="n">
        <v>62</v>
      </c>
      <c r="K146" s="0" t="n">
        <v>0.5</v>
      </c>
      <c r="L146" s="0" t="n">
        <v>19027</v>
      </c>
      <c r="M146" s="0" t="n">
        <v>688</v>
      </c>
    </row>
    <row r="147" customFormat="false" ht="13.5" hidden="false" customHeight="false" outlineLevel="0" collapsed="false">
      <c r="A147" s="0" t="s">
        <v>122</v>
      </c>
      <c r="B147" s="1" t="n">
        <v>44007</v>
      </c>
      <c r="C147" s="0" t="n">
        <v>1787</v>
      </c>
      <c r="D147" s="0" t="n">
        <v>63</v>
      </c>
      <c r="E147" s="0" t="n">
        <v>16</v>
      </c>
      <c r="F147" s="0" t="n">
        <v>1</v>
      </c>
      <c r="G147" s="0" t="n">
        <v>779</v>
      </c>
      <c r="H147" s="0" t="n">
        <v>992</v>
      </c>
      <c r="I147" s="0" t="n">
        <v>8</v>
      </c>
      <c r="J147" s="0" t="n">
        <v>65</v>
      </c>
      <c r="K147" s="0" t="n">
        <v>0.6</v>
      </c>
      <c r="L147" s="0" t="n">
        <v>19392</v>
      </c>
      <c r="M147" s="0" t="n">
        <v>701</v>
      </c>
    </row>
    <row r="148" customFormat="false" ht="13.5" hidden="false" customHeight="false" outlineLevel="0" collapsed="false">
      <c r="A148" s="0" t="s">
        <v>122</v>
      </c>
      <c r="B148" s="1" t="n">
        <v>44008</v>
      </c>
      <c r="C148" s="0" t="n">
        <v>1829</v>
      </c>
      <c r="D148" s="0" t="n">
        <v>42</v>
      </c>
      <c r="E148" s="0" t="n">
        <v>16</v>
      </c>
      <c r="F148" s="0" t="n">
        <v>0</v>
      </c>
      <c r="G148" s="0" t="n">
        <v>823</v>
      </c>
      <c r="H148" s="0" t="n">
        <v>990</v>
      </c>
      <c r="I148" s="0" t="n">
        <v>26</v>
      </c>
      <c r="J148" s="0" t="n">
        <v>66</v>
      </c>
      <c r="K148" s="0" t="n">
        <v>0.6</v>
      </c>
      <c r="L148" s="0" t="n">
        <v>19757</v>
      </c>
      <c r="M148" s="0" t="n">
        <v>714</v>
      </c>
    </row>
    <row r="149" customFormat="false" ht="13.5" hidden="false" customHeight="false" outlineLevel="0" collapsed="false">
      <c r="A149" s="0" t="s">
        <v>122</v>
      </c>
      <c r="B149" s="1" t="n">
        <v>44009</v>
      </c>
      <c r="C149" s="0" t="n">
        <v>1922</v>
      </c>
      <c r="D149" s="0" t="n">
        <v>93</v>
      </c>
      <c r="E149" s="0" t="n">
        <v>16</v>
      </c>
      <c r="F149" s="0" t="n">
        <v>0</v>
      </c>
      <c r="G149" s="0" t="n">
        <v>862</v>
      </c>
      <c r="H149" s="0" t="n">
        <v>1044</v>
      </c>
      <c r="I149" s="0" t="n">
        <v>20</v>
      </c>
      <c r="J149" s="0" t="n">
        <v>69</v>
      </c>
      <c r="K149" s="0" t="n">
        <v>0.6</v>
      </c>
      <c r="L149" s="0" t="n">
        <v>20066</v>
      </c>
      <c r="M149" s="0" t="n">
        <v>725</v>
      </c>
    </row>
    <row r="150" customFormat="false" ht="13.5" hidden="false" customHeight="false" outlineLevel="0" collapsed="false">
      <c r="A150" s="0" t="s">
        <v>122</v>
      </c>
      <c r="B150" s="1" t="n">
        <v>44010</v>
      </c>
      <c r="C150" s="0" t="n">
        <v>2005</v>
      </c>
      <c r="D150" s="0" t="n">
        <v>83</v>
      </c>
      <c r="E150" s="0" t="n">
        <v>16</v>
      </c>
      <c r="F150" s="0" t="n">
        <v>0</v>
      </c>
      <c r="G150" s="0" t="n">
        <v>907</v>
      </c>
      <c r="H150" s="0" t="n">
        <v>1082</v>
      </c>
      <c r="I150" s="0" t="n">
        <v>21</v>
      </c>
      <c r="J150" s="0" t="n">
        <v>72</v>
      </c>
      <c r="K150" s="0" t="n">
        <v>0.6</v>
      </c>
      <c r="L150" s="0" t="n">
        <v>20066</v>
      </c>
      <c r="M150" s="0" t="n">
        <v>725</v>
      </c>
    </row>
    <row r="151" customFormat="false" ht="13.5" hidden="false" customHeight="false" outlineLevel="0" collapsed="false">
      <c r="A151" s="0" t="s">
        <v>122</v>
      </c>
      <c r="B151" s="1" t="n">
        <v>44011</v>
      </c>
      <c r="C151" s="0" t="n">
        <v>2078</v>
      </c>
      <c r="D151" s="0" t="n">
        <v>73</v>
      </c>
      <c r="E151" s="0" t="n">
        <v>18</v>
      </c>
      <c r="F151" s="0" t="n">
        <v>2</v>
      </c>
      <c r="G151" s="0" t="n">
        <v>944</v>
      </c>
      <c r="H151" s="0" t="n">
        <v>1116</v>
      </c>
      <c r="I151" s="0" t="n">
        <v>24</v>
      </c>
      <c r="J151" s="0" t="n">
        <v>75</v>
      </c>
      <c r="K151" s="0" t="n">
        <v>0.7</v>
      </c>
      <c r="L151" s="0" t="n">
        <v>20964</v>
      </c>
      <c r="M151" s="0" t="n">
        <v>757</v>
      </c>
    </row>
    <row r="152" customFormat="false" ht="13.5" hidden="false" customHeight="false" outlineLevel="0" collapsed="false">
      <c r="A152" s="0" t="s">
        <v>122</v>
      </c>
      <c r="B152" s="1" t="n">
        <v>44012</v>
      </c>
    </row>
    <row r="153" customFormat="false" ht="13.5" hidden="false" customHeight="false" outlineLevel="0" collapsed="false">
      <c r="A153" s="0" t="s">
        <v>122</v>
      </c>
      <c r="B153" s="1" t="n">
        <v>44013</v>
      </c>
    </row>
    <row r="154" customFormat="false" ht="13.5" hidden="false" customHeight="false" outlineLevel="0" collapsed="false">
      <c r="A154" s="0" t="s">
        <v>122</v>
      </c>
      <c r="B154" s="1" t="n">
        <v>44014</v>
      </c>
    </row>
    <row r="155" customFormat="false" ht="13.5" hidden="false" customHeight="false" outlineLevel="0" collapsed="false">
      <c r="A155" s="0" t="s">
        <v>122</v>
      </c>
      <c r="B155" s="1" t="n">
        <v>44015</v>
      </c>
    </row>
    <row r="156" customFormat="false" ht="13.5" hidden="false" customHeight="false" outlineLevel="0" collapsed="false">
      <c r="A156" s="0" t="s">
        <v>122</v>
      </c>
      <c r="B156" s="1" t="n">
        <v>44016</v>
      </c>
    </row>
    <row r="157" customFormat="false" ht="13.5" hidden="false" customHeight="false" outlineLevel="0" collapsed="false">
      <c r="A157" s="0" t="s">
        <v>122</v>
      </c>
      <c r="B157" s="1" t="n">
        <v>44017</v>
      </c>
    </row>
    <row r="158" customFormat="false" ht="13.5" hidden="false" customHeight="false" outlineLevel="0" collapsed="false">
      <c r="A158" s="0" t="s">
        <v>122</v>
      </c>
      <c r="B158" s="1" t="n">
        <v>44018</v>
      </c>
    </row>
    <row r="159" customFormat="false" ht="13.5" hidden="false" customHeight="false" outlineLevel="0" collapsed="false">
      <c r="A159" s="0" t="s">
        <v>122</v>
      </c>
      <c r="B159" s="1" t="n">
        <v>44019</v>
      </c>
    </row>
    <row r="160" customFormat="false" ht="13.5" hidden="false" customHeight="false" outlineLevel="0" collapsed="false">
      <c r="A160" s="0" t="s">
        <v>122</v>
      </c>
      <c r="B160" s="1" t="n">
        <v>44020</v>
      </c>
    </row>
    <row r="161" customFormat="false" ht="13.5" hidden="false" customHeight="false" outlineLevel="0" collapsed="false">
      <c r="A161" s="0" t="s">
        <v>122</v>
      </c>
      <c r="B161" s="1" t="n">
        <v>44021</v>
      </c>
    </row>
    <row r="162" customFormat="false" ht="13.5" hidden="false" customHeight="false" outlineLevel="0" collapsed="false">
      <c r="A162" s="0" t="s">
        <v>122</v>
      </c>
      <c r="B162" s="1" t="n">
        <v>44022</v>
      </c>
    </row>
    <row r="163" customFormat="false" ht="13.5" hidden="false" customHeight="false" outlineLevel="0" collapsed="false">
      <c r="A163" s="0" t="s">
        <v>122</v>
      </c>
      <c r="B163" s="1" t="n">
        <v>44023</v>
      </c>
    </row>
    <row r="164" customFormat="false" ht="13.5" hidden="false" customHeight="false" outlineLevel="0" collapsed="false">
      <c r="A164" s="0" t="s">
        <v>122</v>
      </c>
      <c r="B164" s="1" t="n">
        <v>44024</v>
      </c>
    </row>
    <row r="165" customFormat="false" ht="13.5" hidden="false" customHeight="false" outlineLevel="0" collapsed="false">
      <c r="A165" s="0" t="s">
        <v>122</v>
      </c>
      <c r="B165" s="1" t="n">
        <v>44025</v>
      </c>
    </row>
    <row r="166" customFormat="false" ht="13.5" hidden="false" customHeight="false" outlineLevel="0" collapsed="false">
      <c r="A166" s="0" t="s">
        <v>122</v>
      </c>
      <c r="B166" s="1" t="n">
        <v>44026</v>
      </c>
    </row>
    <row r="167" customFormat="false" ht="13.5" hidden="false" customHeight="false" outlineLevel="0" collapsed="false">
      <c r="A167" s="0" t="s">
        <v>122</v>
      </c>
      <c r="B167" s="1" t="n">
        <v>44027</v>
      </c>
    </row>
    <row r="168" customFormat="false" ht="13.5" hidden="false" customHeight="false" outlineLevel="0" collapsed="false">
      <c r="A168" s="0" t="s">
        <v>122</v>
      </c>
      <c r="B168" s="1" t="n">
        <v>44028</v>
      </c>
    </row>
    <row r="169" customFormat="false" ht="13.5" hidden="false" customHeight="false" outlineLevel="0" collapsed="false">
      <c r="A169" s="0" t="s">
        <v>122</v>
      </c>
      <c r="B169" s="1" t="n">
        <v>44029</v>
      </c>
    </row>
    <row r="170" customFormat="false" ht="13.5" hidden="false" customHeight="false" outlineLevel="0" collapsed="false">
      <c r="A170" s="0" t="s">
        <v>122</v>
      </c>
      <c r="B170" s="1" t="n">
        <v>44030</v>
      </c>
    </row>
    <row r="171" customFormat="false" ht="13.5" hidden="false" customHeight="false" outlineLevel="0" collapsed="false">
      <c r="A171" s="0" t="s">
        <v>122</v>
      </c>
      <c r="B171" s="1" t="n">
        <v>44031</v>
      </c>
    </row>
    <row r="172" customFormat="false" ht="13.5" hidden="false" customHeight="false" outlineLevel="0" collapsed="false">
      <c r="A172" s="0" t="s">
        <v>122</v>
      </c>
      <c r="B172" s="1" t="n">
        <v>44032</v>
      </c>
    </row>
    <row r="173" customFormat="false" ht="13.5" hidden="false" customHeight="false" outlineLevel="0" collapsed="false">
      <c r="A173" s="0" t="s">
        <v>122</v>
      </c>
      <c r="B173" s="1" t="n">
        <v>44033</v>
      </c>
    </row>
    <row r="174" customFormat="false" ht="13.5" hidden="false" customHeight="false" outlineLevel="0" collapsed="false">
      <c r="A174" s="0" t="s">
        <v>122</v>
      </c>
      <c r="B174" s="1" t="n">
        <v>44034</v>
      </c>
    </row>
    <row r="175" customFormat="false" ht="13.5" hidden="false" customHeight="false" outlineLevel="0" collapsed="false">
      <c r="A175" s="0" t="s">
        <v>122</v>
      </c>
      <c r="B175" s="1" t="n">
        <v>44035</v>
      </c>
    </row>
    <row r="176" customFormat="false" ht="13.5" hidden="false" customHeight="false" outlineLevel="0" collapsed="false">
      <c r="A176" s="0" t="s">
        <v>122</v>
      </c>
      <c r="B176" s="1" t="n">
        <v>44036</v>
      </c>
    </row>
    <row r="177" customFormat="false" ht="13.5" hidden="false" customHeight="false" outlineLevel="0" collapsed="false">
      <c r="A177" s="0" t="s">
        <v>122</v>
      </c>
      <c r="B177" s="1" t="n">
        <v>44037</v>
      </c>
    </row>
    <row r="178" customFormat="false" ht="13.5" hidden="false" customHeight="false" outlineLevel="0" collapsed="false">
      <c r="A178" s="0" t="s">
        <v>122</v>
      </c>
      <c r="B178" s="1" t="n">
        <v>44038</v>
      </c>
    </row>
    <row r="179" customFormat="false" ht="13.5" hidden="false" customHeight="false" outlineLevel="0" collapsed="false">
      <c r="A179" s="0" t="s">
        <v>122</v>
      </c>
      <c r="B179" s="1" t="n">
        <v>44039</v>
      </c>
    </row>
    <row r="180" customFormat="false" ht="13.5" hidden="false" customHeight="false" outlineLevel="0" collapsed="false">
      <c r="A180" s="0" t="s">
        <v>122</v>
      </c>
      <c r="B180" s="1" t="n">
        <v>44040</v>
      </c>
    </row>
    <row r="181" customFormat="false" ht="13.5" hidden="false" customHeight="false" outlineLevel="0" collapsed="false">
      <c r="A181" s="0" t="s">
        <v>122</v>
      </c>
      <c r="B181" s="1" t="n">
        <v>44041</v>
      </c>
    </row>
    <row r="182" customFormat="false" ht="13.5" hidden="false" customHeight="false" outlineLevel="0" collapsed="false">
      <c r="A182" s="0" t="s">
        <v>122</v>
      </c>
      <c r="B182" s="1" t="n">
        <v>44042</v>
      </c>
    </row>
    <row r="183" customFormat="false" ht="13.5" hidden="false" customHeight="false" outlineLevel="0" collapsed="false">
      <c r="A183" s="0" t="s">
        <v>122</v>
      </c>
      <c r="B183" s="1" t="n">
        <v>44043</v>
      </c>
    </row>
    <row r="184" customFormat="false" ht="13.5" hidden="false" customHeight="false" outlineLevel="0" collapsed="false">
      <c r="A184" s="0" t="s">
        <v>122</v>
      </c>
      <c r="B184" s="1" t="n">
        <v>44044</v>
      </c>
    </row>
    <row r="185" customFormat="false" ht="13.5" hidden="false" customHeight="false" outlineLevel="0" collapsed="false">
      <c r="A185" s="0" t="s">
        <v>122</v>
      </c>
      <c r="B185" s="1" t="n">
        <v>44045</v>
      </c>
    </row>
    <row r="186" customFormat="false" ht="13.5" hidden="false" customHeight="false" outlineLevel="0" collapsed="false">
      <c r="A186" s="0" t="s">
        <v>122</v>
      </c>
      <c r="B186" s="1" t="n">
        <v>44046</v>
      </c>
    </row>
    <row r="187" customFormat="false" ht="13.5" hidden="false" customHeight="false" outlineLevel="0" collapsed="false">
      <c r="A187" s="0" t="s">
        <v>122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P157" activeCellId="0" sqref="P15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123</v>
      </c>
      <c r="B2" s="1" t="n">
        <v>43862</v>
      </c>
      <c r="C2" s="6" t="n">
        <v>9692</v>
      </c>
      <c r="D2" s="6"/>
      <c r="E2" s="6" t="n">
        <v>213</v>
      </c>
      <c r="F2" s="6"/>
      <c r="G2" s="6" t="n">
        <v>171</v>
      </c>
      <c r="H2" s="6" t="n">
        <v>9308</v>
      </c>
      <c r="I2" s="6" t="n">
        <v>1527</v>
      </c>
      <c r="J2" s="6"/>
      <c r="K2" s="6"/>
      <c r="L2" s="6"/>
      <c r="M2" s="6"/>
    </row>
    <row r="3" customFormat="false" ht="15.75" hidden="false" customHeight="false" outlineLevel="0" collapsed="false">
      <c r="A3" s="0" t="s">
        <v>123</v>
      </c>
      <c r="B3" s="1" t="n">
        <v>43863</v>
      </c>
      <c r="C3" s="6" t="n">
        <v>11791</v>
      </c>
      <c r="D3" s="6" t="n">
        <v>2099</v>
      </c>
      <c r="E3" s="6" t="n">
        <v>259</v>
      </c>
      <c r="F3" s="6" t="n">
        <v>46</v>
      </c>
      <c r="G3" s="6" t="n">
        <v>243</v>
      </c>
      <c r="H3" s="6" t="n">
        <v>11289</v>
      </c>
      <c r="I3" s="6" t="n">
        <v>1795</v>
      </c>
      <c r="J3" s="6"/>
      <c r="K3" s="6"/>
      <c r="L3" s="6"/>
      <c r="M3" s="6"/>
    </row>
    <row r="4" customFormat="false" ht="15.75" hidden="false" customHeight="false" outlineLevel="0" collapsed="false">
      <c r="A4" s="0" t="s">
        <v>123</v>
      </c>
      <c r="B4" s="1" t="n">
        <v>43864</v>
      </c>
      <c r="C4" s="6" t="n">
        <v>14380</v>
      </c>
      <c r="D4" s="6" t="n">
        <v>2589</v>
      </c>
      <c r="E4" s="6" t="n">
        <v>304</v>
      </c>
      <c r="F4" s="6" t="n">
        <v>45</v>
      </c>
      <c r="G4" s="6" t="n">
        <v>328</v>
      </c>
      <c r="H4" s="6" t="n">
        <v>13748</v>
      </c>
      <c r="I4" s="6" t="n">
        <v>2110</v>
      </c>
      <c r="J4" s="6"/>
      <c r="K4" s="6"/>
      <c r="L4" s="6"/>
      <c r="M4" s="6"/>
    </row>
    <row r="5" customFormat="false" ht="15.75" hidden="false" customHeight="false" outlineLevel="0" collapsed="false">
      <c r="A5" s="0" t="s">
        <v>123</v>
      </c>
      <c r="B5" s="1" t="n">
        <v>43865</v>
      </c>
      <c r="C5" s="6" t="n">
        <v>17205</v>
      </c>
      <c r="D5" s="6" t="n">
        <v>2825</v>
      </c>
      <c r="E5" s="6" t="n">
        <v>361</v>
      </c>
      <c r="F5" s="6" t="n">
        <v>57</v>
      </c>
      <c r="G5" s="6" t="n">
        <v>475</v>
      </c>
      <c r="H5" s="6" t="n">
        <v>16369</v>
      </c>
      <c r="I5" s="6" t="n">
        <v>2296</v>
      </c>
      <c r="J5" s="6"/>
      <c r="K5" s="6"/>
      <c r="L5" s="6"/>
      <c r="M5" s="6"/>
    </row>
    <row r="6" customFormat="false" ht="15.75" hidden="false" customHeight="false" outlineLevel="0" collapsed="false">
      <c r="A6" s="0" t="s">
        <v>123</v>
      </c>
      <c r="B6" s="1" t="n">
        <v>43866</v>
      </c>
      <c r="C6" s="6" t="n">
        <v>20438</v>
      </c>
      <c r="D6" s="6" t="n">
        <v>3233</v>
      </c>
      <c r="E6" s="6" t="n">
        <v>425</v>
      </c>
      <c r="F6" s="6" t="n">
        <v>64</v>
      </c>
      <c r="G6" s="6" t="n">
        <v>632</v>
      </c>
      <c r="H6" s="6" t="n">
        <v>19381</v>
      </c>
      <c r="I6" s="6" t="n">
        <v>2788</v>
      </c>
      <c r="J6" s="6"/>
      <c r="K6" s="6"/>
      <c r="L6" s="6"/>
      <c r="M6" s="6"/>
    </row>
    <row r="7" customFormat="false" ht="15.75" hidden="false" customHeight="false" outlineLevel="0" collapsed="false">
      <c r="A7" s="0" t="s">
        <v>123</v>
      </c>
      <c r="B7" s="1" t="n">
        <v>43867</v>
      </c>
      <c r="C7" s="6" t="n">
        <v>24324</v>
      </c>
      <c r="D7" s="6" t="n">
        <v>3886</v>
      </c>
      <c r="E7" s="6" t="n">
        <v>490</v>
      </c>
      <c r="F7" s="6" t="n">
        <v>65</v>
      </c>
      <c r="G7" s="6" t="n">
        <v>892</v>
      </c>
      <c r="H7" s="6" t="n">
        <v>22942</v>
      </c>
      <c r="I7" s="6" t="n">
        <v>3219</v>
      </c>
      <c r="J7" s="6"/>
      <c r="K7" s="6"/>
      <c r="L7" s="6"/>
      <c r="M7" s="6"/>
    </row>
    <row r="8" customFormat="false" ht="15.75" hidden="false" customHeight="false" outlineLevel="0" collapsed="false">
      <c r="A8" s="0" t="s">
        <v>123</v>
      </c>
      <c r="B8" s="1" t="n">
        <v>43868</v>
      </c>
      <c r="C8" s="6" t="n">
        <v>28018</v>
      </c>
      <c r="D8" s="6" t="n">
        <v>3694</v>
      </c>
      <c r="E8" s="6" t="n">
        <v>563</v>
      </c>
      <c r="F8" s="6" t="n">
        <v>73</v>
      </c>
      <c r="G8" s="6" t="n">
        <v>1153</v>
      </c>
      <c r="H8" s="6" t="n">
        <v>26302</v>
      </c>
      <c r="I8" s="6" t="n">
        <v>3859</v>
      </c>
      <c r="J8" s="6"/>
      <c r="K8" s="6"/>
      <c r="L8" s="6"/>
      <c r="M8" s="6"/>
    </row>
    <row r="9" customFormat="false" ht="15.75" hidden="false" customHeight="false" outlineLevel="0" collapsed="false">
      <c r="A9" s="0" t="s">
        <v>123</v>
      </c>
      <c r="B9" s="1" t="n">
        <v>43869</v>
      </c>
      <c r="C9" s="6" t="n">
        <v>31161</v>
      </c>
      <c r="D9" s="6" t="n">
        <v>3143</v>
      </c>
      <c r="E9" s="6" t="n">
        <v>636</v>
      </c>
      <c r="F9" s="6" t="n">
        <v>73</v>
      </c>
      <c r="G9" s="6" t="n">
        <v>1540</v>
      </c>
      <c r="H9" s="6" t="n">
        <v>28985</v>
      </c>
      <c r="I9" s="6" t="n">
        <v>4821</v>
      </c>
      <c r="J9" s="6"/>
      <c r="K9" s="6"/>
      <c r="L9" s="6"/>
      <c r="M9" s="6"/>
    </row>
    <row r="10" customFormat="false" ht="15.75" hidden="false" customHeight="false" outlineLevel="0" collapsed="false">
      <c r="A10" s="0" t="s">
        <v>123</v>
      </c>
      <c r="B10" s="1" t="n">
        <v>43870</v>
      </c>
      <c r="C10" s="6" t="n">
        <v>34546</v>
      </c>
      <c r="D10" s="6" t="n">
        <v>3385</v>
      </c>
      <c r="E10" s="6" t="n">
        <v>722</v>
      </c>
      <c r="F10" s="6" t="n">
        <v>86</v>
      </c>
      <c r="G10" s="6" t="n">
        <v>2050</v>
      </c>
      <c r="H10" s="6" t="n">
        <v>31774</v>
      </c>
      <c r="I10" s="6" t="n">
        <v>6101</v>
      </c>
      <c r="J10" s="6"/>
      <c r="K10" s="6"/>
      <c r="L10" s="6"/>
      <c r="M10" s="6"/>
    </row>
    <row r="11" customFormat="false" ht="15.75" hidden="false" customHeight="false" outlineLevel="0" collapsed="false">
      <c r="A11" s="0" t="s">
        <v>123</v>
      </c>
      <c r="B11" s="1" t="n">
        <v>43871</v>
      </c>
      <c r="C11" s="6" t="n">
        <v>37198</v>
      </c>
      <c r="D11" s="6" t="n">
        <v>2652</v>
      </c>
      <c r="E11" s="6" t="n">
        <v>811</v>
      </c>
      <c r="F11" s="6" t="n">
        <v>89</v>
      </c>
      <c r="G11" s="6" t="n">
        <v>2649</v>
      </c>
      <c r="H11" s="6" t="n">
        <v>33738</v>
      </c>
      <c r="I11" s="6" t="n">
        <v>6188</v>
      </c>
      <c r="J11" s="6"/>
      <c r="K11" s="6"/>
      <c r="L11" s="6"/>
      <c r="M11" s="6"/>
    </row>
    <row r="12" customFormat="false" ht="15.75" hidden="false" customHeight="false" outlineLevel="0" collapsed="false">
      <c r="A12" s="0" t="s">
        <v>123</v>
      </c>
      <c r="B12" s="1" t="n">
        <v>43872</v>
      </c>
      <c r="C12" s="6" t="n">
        <v>40171</v>
      </c>
      <c r="D12" s="6" t="n">
        <v>2973</v>
      </c>
      <c r="E12" s="6" t="n">
        <v>908</v>
      </c>
      <c r="F12" s="6" t="n">
        <v>97</v>
      </c>
      <c r="G12" s="6" t="n">
        <v>3281</v>
      </c>
      <c r="H12" s="6" t="n">
        <v>35982</v>
      </c>
      <c r="I12" s="6" t="n">
        <v>6484</v>
      </c>
      <c r="J12" s="6"/>
      <c r="K12" s="6"/>
      <c r="L12" s="6"/>
      <c r="M12" s="6"/>
    </row>
    <row r="13" customFormat="false" ht="15.75" hidden="false" customHeight="false" outlineLevel="0" collapsed="false">
      <c r="A13" s="0" t="s">
        <v>123</v>
      </c>
      <c r="B13" s="1" t="n">
        <v>43873</v>
      </c>
      <c r="C13" s="6" t="n">
        <v>42638</v>
      </c>
      <c r="D13" s="6" t="n">
        <v>2467</v>
      </c>
      <c r="E13" s="6" t="n">
        <v>1016</v>
      </c>
      <c r="F13" s="6" t="n">
        <v>108</v>
      </c>
      <c r="G13" s="6" t="n">
        <v>3996</v>
      </c>
      <c r="H13" s="6" t="n">
        <v>37626</v>
      </c>
      <c r="I13" s="6" t="n">
        <v>7333</v>
      </c>
      <c r="J13" s="6"/>
      <c r="K13" s="6"/>
      <c r="L13" s="6"/>
      <c r="M13" s="6"/>
    </row>
    <row r="14" customFormat="false" ht="15.75" hidden="false" customHeight="false" outlineLevel="0" collapsed="false">
      <c r="A14" s="0" t="s">
        <v>123</v>
      </c>
      <c r="B14" s="1" t="n">
        <v>43874</v>
      </c>
      <c r="C14" s="6" t="n">
        <v>44653</v>
      </c>
      <c r="D14" s="6" t="n">
        <v>2015</v>
      </c>
      <c r="E14" s="6" t="n">
        <v>1113</v>
      </c>
      <c r="F14" s="6" t="n">
        <v>97</v>
      </c>
      <c r="G14" s="6" t="n">
        <v>4740</v>
      </c>
      <c r="H14" s="6" t="n">
        <v>38800</v>
      </c>
      <c r="I14" s="6" t="n">
        <v>8204</v>
      </c>
      <c r="J14" s="6"/>
      <c r="K14" s="6"/>
      <c r="L14" s="6"/>
      <c r="M14" s="6"/>
    </row>
    <row r="15" customFormat="false" ht="15.75" hidden="false" customHeight="false" outlineLevel="0" collapsed="false">
      <c r="A15" s="0" t="s">
        <v>123</v>
      </c>
      <c r="B15" s="1" t="n">
        <v>43875</v>
      </c>
      <c r="C15" s="6" t="n">
        <v>59804</v>
      </c>
      <c r="D15" s="6" t="n">
        <v>15151</v>
      </c>
      <c r="E15" s="6" t="n">
        <v>1259</v>
      </c>
      <c r="F15" s="6" t="n">
        <v>146</v>
      </c>
      <c r="G15" s="6" t="n">
        <v>5642</v>
      </c>
      <c r="H15" s="6" t="n">
        <v>52903</v>
      </c>
      <c r="I15" s="6" t="n">
        <v>8030</v>
      </c>
      <c r="J15" s="6"/>
      <c r="K15" s="6"/>
      <c r="L15" s="6"/>
      <c r="M15" s="6"/>
    </row>
    <row r="16" customFormat="false" ht="15.75" hidden="false" customHeight="false" outlineLevel="0" collapsed="false">
      <c r="A16" s="0" t="s">
        <v>123</v>
      </c>
      <c r="B16" s="1" t="n">
        <v>43876</v>
      </c>
      <c r="C16" s="6" t="n">
        <v>63851</v>
      </c>
      <c r="D16" s="6" t="n">
        <v>4047</v>
      </c>
      <c r="E16" s="6" t="n">
        <v>1380</v>
      </c>
      <c r="F16" s="6" t="n">
        <v>121</v>
      </c>
      <c r="G16" s="6" t="n">
        <v>6723</v>
      </c>
      <c r="H16" s="6" t="n">
        <v>55748</v>
      </c>
      <c r="I16" s="6" t="n">
        <v>10204</v>
      </c>
      <c r="J16" s="6"/>
      <c r="K16" s="6"/>
      <c r="L16" s="6"/>
      <c r="M16" s="6"/>
    </row>
    <row r="17" customFormat="false" ht="15.75" hidden="false" customHeight="false" outlineLevel="0" collapsed="false">
      <c r="A17" s="0" t="s">
        <v>123</v>
      </c>
      <c r="B17" s="1" t="n">
        <v>43877</v>
      </c>
      <c r="C17" s="6" t="n">
        <v>66492</v>
      </c>
      <c r="D17" s="6" t="n">
        <v>2641</v>
      </c>
      <c r="E17" s="6" t="n">
        <v>1523</v>
      </c>
      <c r="F17" s="6" t="n">
        <v>143</v>
      </c>
      <c r="G17" s="6" t="n">
        <v>8096</v>
      </c>
      <c r="H17" s="6" t="n">
        <v>56873</v>
      </c>
      <c r="I17" s="6" t="n">
        <v>11053</v>
      </c>
      <c r="J17" s="6"/>
      <c r="K17" s="6"/>
      <c r="L17" s="6"/>
      <c r="M17" s="6"/>
    </row>
    <row r="18" customFormat="false" ht="15.75" hidden="false" customHeight="false" outlineLevel="0" collapsed="false">
      <c r="A18" s="0" t="s">
        <v>123</v>
      </c>
      <c r="B18" s="1" t="n">
        <v>43878</v>
      </c>
      <c r="C18" s="6" t="n">
        <v>68500</v>
      </c>
      <c r="D18" s="6" t="n">
        <v>2008</v>
      </c>
      <c r="E18" s="6" t="n">
        <v>1665</v>
      </c>
      <c r="F18" s="6" t="n">
        <v>142</v>
      </c>
      <c r="G18" s="6" t="n">
        <v>9419</v>
      </c>
      <c r="H18" s="6" t="n">
        <v>57416</v>
      </c>
      <c r="I18" s="6" t="n">
        <v>11272</v>
      </c>
      <c r="J18" s="6"/>
      <c r="K18" s="6"/>
      <c r="L18" s="6"/>
      <c r="M18" s="6"/>
    </row>
    <row r="19" customFormat="false" ht="15.75" hidden="false" customHeight="false" outlineLevel="0" collapsed="false">
      <c r="A19" s="0" t="s">
        <v>123</v>
      </c>
      <c r="B19" s="1" t="n">
        <v>43879</v>
      </c>
      <c r="C19" s="6" t="n">
        <v>70548</v>
      </c>
      <c r="D19" s="6" t="n">
        <v>2048</v>
      </c>
      <c r="E19" s="6" t="n">
        <v>1770</v>
      </c>
      <c r="F19" s="6" t="n">
        <v>105</v>
      </c>
      <c r="G19" s="6" t="n">
        <v>10851</v>
      </c>
      <c r="H19" s="6" t="n">
        <v>57927</v>
      </c>
      <c r="I19" s="6" t="n">
        <v>10644</v>
      </c>
      <c r="J19" s="6"/>
      <c r="K19" s="6"/>
      <c r="L19" s="6"/>
      <c r="M19" s="6"/>
    </row>
    <row r="20" customFormat="false" ht="15.75" hidden="false" customHeight="false" outlineLevel="0" collapsed="false">
      <c r="A20" s="0" t="s">
        <v>123</v>
      </c>
      <c r="B20" s="1" t="n">
        <v>43880</v>
      </c>
      <c r="C20" s="6" t="n">
        <v>72436</v>
      </c>
      <c r="D20" s="6" t="n">
        <v>1888</v>
      </c>
      <c r="E20" s="6" t="n">
        <v>1868</v>
      </c>
      <c r="F20" s="6" t="n">
        <v>98</v>
      </c>
      <c r="G20" s="6" t="n">
        <v>12552</v>
      </c>
      <c r="H20" s="6" t="n">
        <v>58016</v>
      </c>
      <c r="I20" s="6" t="n">
        <v>11741</v>
      </c>
      <c r="J20" s="6"/>
      <c r="K20" s="6"/>
      <c r="L20" s="6"/>
      <c r="M20" s="6"/>
    </row>
    <row r="21" customFormat="false" ht="15.75" hidden="false" customHeight="false" outlineLevel="0" collapsed="false">
      <c r="A21" s="0" t="s">
        <v>123</v>
      </c>
      <c r="B21" s="1" t="n">
        <v>43881</v>
      </c>
      <c r="C21" s="6" t="n">
        <v>74185</v>
      </c>
      <c r="D21" s="6" t="n">
        <v>1749</v>
      </c>
      <c r="E21" s="6" t="n">
        <v>2004</v>
      </c>
      <c r="F21" s="6" t="n">
        <v>136</v>
      </c>
      <c r="G21" s="6" t="n">
        <v>14376</v>
      </c>
      <c r="H21" s="6" t="n">
        <v>57805</v>
      </c>
      <c r="I21" s="6" t="n">
        <v>11977</v>
      </c>
      <c r="J21" s="6"/>
      <c r="K21" s="6"/>
      <c r="L21" s="6"/>
      <c r="M21" s="6"/>
    </row>
    <row r="22" customFormat="false" ht="15.75" hidden="false" customHeight="false" outlineLevel="0" collapsed="false">
      <c r="A22" s="0" t="s">
        <v>123</v>
      </c>
      <c r="B22" s="1" t="n">
        <v>43882</v>
      </c>
      <c r="C22" s="6" t="n">
        <v>74576</v>
      </c>
      <c r="D22" s="6" t="n">
        <v>391</v>
      </c>
      <c r="E22" s="6" t="n">
        <v>2118</v>
      </c>
      <c r="F22" s="6" t="n">
        <v>114</v>
      </c>
      <c r="G22" s="6" t="n">
        <v>16157</v>
      </c>
      <c r="H22" s="6" t="n">
        <v>56301</v>
      </c>
      <c r="I22" s="6" t="n">
        <v>11864</v>
      </c>
      <c r="J22" s="6"/>
      <c r="K22" s="6"/>
      <c r="L22" s="6"/>
      <c r="M22" s="6"/>
    </row>
    <row r="23" customFormat="false" ht="15.75" hidden="false" customHeight="false" outlineLevel="0" collapsed="false">
      <c r="A23" s="0" t="s">
        <v>123</v>
      </c>
      <c r="B23" s="1" t="n">
        <v>43883</v>
      </c>
      <c r="C23" s="6" t="n">
        <v>75891</v>
      </c>
      <c r="D23" s="6" t="n">
        <v>1315</v>
      </c>
      <c r="E23" s="6" t="n">
        <v>2236</v>
      </c>
      <c r="F23" s="6" t="n">
        <v>118</v>
      </c>
      <c r="G23" s="6" t="n">
        <v>18266</v>
      </c>
      <c r="H23" s="6" t="n">
        <v>55389</v>
      </c>
      <c r="I23" s="6" t="n">
        <v>11633</v>
      </c>
      <c r="J23" s="6"/>
      <c r="K23" s="6"/>
      <c r="L23" s="6"/>
      <c r="M23" s="6"/>
    </row>
    <row r="24" customFormat="false" ht="15.75" hidden="false" customHeight="false" outlineLevel="0" collapsed="false">
      <c r="A24" s="0" t="s">
        <v>123</v>
      </c>
      <c r="B24" s="1" t="n">
        <v>43884</v>
      </c>
      <c r="C24" s="6" t="n">
        <v>76288</v>
      </c>
      <c r="D24" s="6" t="n">
        <v>397</v>
      </c>
      <c r="E24" s="6" t="n">
        <v>2345</v>
      </c>
      <c r="F24" s="6" t="n">
        <v>109</v>
      </c>
      <c r="G24" s="6" t="n">
        <v>20659</v>
      </c>
      <c r="H24" s="6" t="n">
        <v>53284</v>
      </c>
      <c r="I24" s="6" t="n">
        <v>11477</v>
      </c>
      <c r="J24" s="6"/>
      <c r="K24" s="6"/>
      <c r="L24" s="6"/>
      <c r="M24" s="6"/>
    </row>
    <row r="25" customFormat="false" ht="15.75" hidden="false" customHeight="false" outlineLevel="0" collapsed="false">
      <c r="A25" s="0" t="s">
        <v>123</v>
      </c>
      <c r="B25" s="1" t="n">
        <v>43885</v>
      </c>
      <c r="C25" s="6" t="n">
        <v>76741</v>
      </c>
      <c r="D25" s="6" t="n">
        <v>453</v>
      </c>
      <c r="E25" s="6" t="n">
        <v>2442</v>
      </c>
      <c r="F25" s="6" t="n">
        <v>97</v>
      </c>
      <c r="G25" s="6" t="n">
        <v>22888</v>
      </c>
      <c r="H25" s="6" t="n">
        <v>51411</v>
      </c>
      <c r="I25" s="6" t="n">
        <v>10968</v>
      </c>
      <c r="J25" s="6"/>
      <c r="K25" s="6"/>
      <c r="L25" s="6"/>
      <c r="M25" s="6"/>
    </row>
    <row r="26" customFormat="false" ht="15.75" hidden="false" customHeight="false" outlineLevel="0" collapsed="false">
      <c r="A26" s="0" t="s">
        <v>123</v>
      </c>
      <c r="B26" s="1" t="n">
        <v>43886</v>
      </c>
      <c r="C26" s="6" t="n">
        <v>77150</v>
      </c>
      <c r="D26" s="6" t="n">
        <v>409</v>
      </c>
      <c r="E26" s="6" t="n">
        <v>2592</v>
      </c>
      <c r="F26" s="6" t="n">
        <v>150</v>
      </c>
      <c r="G26" s="6" t="n">
        <v>24734</v>
      </c>
      <c r="H26" s="6" t="n">
        <v>49824</v>
      </c>
      <c r="I26" s="6" t="n">
        <v>9915</v>
      </c>
      <c r="J26" s="6"/>
      <c r="K26" s="6"/>
      <c r="L26" s="6"/>
      <c r="M26" s="6"/>
    </row>
    <row r="27" customFormat="false" ht="15.75" hidden="false" customHeight="false" outlineLevel="0" collapsed="false">
      <c r="A27" s="0" t="s">
        <v>123</v>
      </c>
      <c r="B27" s="1" t="n">
        <v>43887</v>
      </c>
      <c r="C27" s="6" t="n">
        <v>77658</v>
      </c>
      <c r="D27" s="6" t="n">
        <v>508</v>
      </c>
      <c r="E27" s="6" t="n">
        <v>2663</v>
      </c>
      <c r="F27" s="6" t="n">
        <v>71</v>
      </c>
      <c r="G27" s="6" t="n">
        <v>27323</v>
      </c>
      <c r="H27" s="6" t="n">
        <v>47672</v>
      </c>
      <c r="I27" s="6" t="n">
        <v>9126</v>
      </c>
      <c r="J27" s="6"/>
      <c r="K27" s="6"/>
      <c r="L27" s="6"/>
      <c r="M27" s="6"/>
    </row>
    <row r="28" customFormat="false" ht="15.75" hidden="false" customHeight="false" outlineLevel="0" collapsed="false">
      <c r="A28" s="0" t="s">
        <v>123</v>
      </c>
      <c r="B28" s="1" t="n">
        <v>43888</v>
      </c>
      <c r="C28" s="6" t="n">
        <v>78064</v>
      </c>
      <c r="D28" s="6" t="n">
        <v>406</v>
      </c>
      <c r="E28" s="6" t="n">
        <v>2715</v>
      </c>
      <c r="F28" s="6" t="n">
        <v>52</v>
      </c>
      <c r="G28" s="6" t="n">
        <v>29745</v>
      </c>
      <c r="H28" s="6" t="n">
        <v>45604</v>
      </c>
      <c r="I28" s="6" t="n">
        <v>8752</v>
      </c>
      <c r="J28" s="6"/>
      <c r="K28" s="6"/>
      <c r="L28" s="6"/>
      <c r="M28" s="6"/>
    </row>
    <row r="29" customFormat="false" ht="15.75" hidden="false" customHeight="false" outlineLevel="0" collapsed="false">
      <c r="A29" s="0" t="s">
        <v>123</v>
      </c>
      <c r="B29" s="1" t="n">
        <v>43889</v>
      </c>
      <c r="C29" s="6" t="n">
        <v>78497</v>
      </c>
      <c r="D29" s="6" t="n">
        <v>433</v>
      </c>
      <c r="E29" s="6" t="n">
        <v>2744</v>
      </c>
      <c r="F29" s="6" t="n">
        <v>29</v>
      </c>
      <c r="G29" s="6" t="n">
        <v>32495</v>
      </c>
      <c r="H29" s="6" t="n">
        <v>43258</v>
      </c>
      <c r="I29" s="6" t="n">
        <v>8346</v>
      </c>
      <c r="J29" s="6"/>
      <c r="K29" s="6"/>
      <c r="L29" s="6"/>
      <c r="M29" s="6"/>
    </row>
    <row r="30" customFormat="false" ht="15.75" hidden="false" customHeight="false" outlineLevel="0" collapsed="false">
      <c r="A30" s="0" t="s">
        <v>123</v>
      </c>
      <c r="B30" s="1" t="n">
        <v>43890</v>
      </c>
      <c r="C30" s="6" t="n">
        <v>78824</v>
      </c>
      <c r="D30" s="6" t="n">
        <v>327</v>
      </c>
      <c r="E30" s="6" t="n">
        <v>2788</v>
      </c>
      <c r="F30" s="6" t="n">
        <v>44</v>
      </c>
      <c r="G30" s="6" t="n">
        <v>36117</v>
      </c>
      <c r="H30" s="6" t="n">
        <v>39919</v>
      </c>
      <c r="I30" s="6" t="n">
        <v>7952</v>
      </c>
      <c r="J30" s="6"/>
      <c r="K30" s="6"/>
      <c r="L30" s="6"/>
      <c r="M30" s="6"/>
    </row>
    <row r="31" customFormat="false" ht="15.75" hidden="false" customHeight="false" outlineLevel="0" collapsed="false">
      <c r="A31" s="0" t="s">
        <v>123</v>
      </c>
      <c r="B31" s="1" t="n">
        <v>43891</v>
      </c>
      <c r="C31" s="6" t="n">
        <v>79251</v>
      </c>
      <c r="D31" s="6" t="n">
        <v>427</v>
      </c>
      <c r="E31" s="6" t="n">
        <v>2835</v>
      </c>
      <c r="F31" s="6" t="n">
        <v>47</v>
      </c>
      <c r="G31" s="6" t="n">
        <v>39002</v>
      </c>
      <c r="H31" s="6" t="n">
        <v>37414</v>
      </c>
      <c r="I31" s="6" t="n">
        <v>7664</v>
      </c>
      <c r="J31" s="6"/>
      <c r="K31" s="6"/>
      <c r="L31" s="6"/>
      <c r="M31" s="6"/>
    </row>
    <row r="32" customFormat="false" ht="15.75" hidden="false" customHeight="false" outlineLevel="0" collapsed="false">
      <c r="A32" s="0" t="s">
        <v>123</v>
      </c>
      <c r="B32" s="1" t="n">
        <v>43892</v>
      </c>
      <c r="C32" s="6" t="n">
        <v>79824</v>
      </c>
      <c r="D32" s="6" t="n">
        <v>573</v>
      </c>
      <c r="E32" s="6" t="n">
        <v>2870</v>
      </c>
      <c r="F32" s="6" t="n">
        <v>35</v>
      </c>
      <c r="G32" s="6" t="n">
        <v>41625</v>
      </c>
      <c r="H32" s="6" t="n">
        <v>35329</v>
      </c>
      <c r="I32" s="6" t="n">
        <v>7365</v>
      </c>
      <c r="J32" s="6"/>
      <c r="K32" s="6"/>
      <c r="L32" s="6"/>
      <c r="M32" s="6"/>
    </row>
    <row r="33" customFormat="false" ht="15.75" hidden="false" customHeight="false" outlineLevel="0" collapsed="false">
      <c r="A33" s="0" t="s">
        <v>123</v>
      </c>
      <c r="B33" s="1" t="n">
        <v>43893</v>
      </c>
      <c r="C33" s="6" t="n">
        <v>80026</v>
      </c>
      <c r="D33" s="6" t="n">
        <v>202</v>
      </c>
      <c r="E33" s="6" t="n">
        <v>2912</v>
      </c>
      <c r="F33" s="6" t="n">
        <v>42</v>
      </c>
      <c r="G33" s="6" t="n">
        <v>44462</v>
      </c>
      <c r="H33" s="6" t="n">
        <v>32652</v>
      </c>
      <c r="I33" s="6" t="n">
        <v>7110</v>
      </c>
      <c r="J33" s="6"/>
      <c r="K33" s="6"/>
      <c r="L33" s="6"/>
      <c r="M33" s="6"/>
    </row>
    <row r="34" customFormat="false" ht="15.75" hidden="false" customHeight="false" outlineLevel="0" collapsed="false">
      <c r="A34" s="0" t="s">
        <v>123</v>
      </c>
      <c r="B34" s="1" t="n">
        <v>43894</v>
      </c>
      <c r="C34" s="6" t="n">
        <v>80151</v>
      </c>
      <c r="D34" s="6" t="n">
        <v>125</v>
      </c>
      <c r="E34" s="6" t="n">
        <v>2943</v>
      </c>
      <c r="F34" s="6" t="n">
        <v>31</v>
      </c>
      <c r="G34" s="6" t="n">
        <v>47204</v>
      </c>
      <c r="H34" s="6" t="n">
        <v>30004</v>
      </c>
      <c r="I34" s="6" t="n">
        <v>6806</v>
      </c>
      <c r="J34" s="6"/>
      <c r="K34" s="6"/>
      <c r="L34" s="6"/>
      <c r="M34" s="6"/>
    </row>
    <row r="35" customFormat="false" ht="15.75" hidden="false" customHeight="false" outlineLevel="0" collapsed="false">
      <c r="A35" s="0" t="s">
        <v>123</v>
      </c>
      <c r="B35" s="1" t="n">
        <v>43895</v>
      </c>
      <c r="C35" s="6" t="n">
        <v>80270</v>
      </c>
      <c r="D35" s="6" t="n">
        <v>119</v>
      </c>
      <c r="E35" s="6" t="n">
        <v>2981</v>
      </c>
      <c r="F35" s="6" t="n">
        <v>38</v>
      </c>
      <c r="G35" s="6" t="n">
        <v>49856</v>
      </c>
      <c r="H35" s="6" t="n">
        <v>27433</v>
      </c>
      <c r="I35" s="6" t="n">
        <v>6416</v>
      </c>
      <c r="J35" s="6"/>
      <c r="K35" s="6"/>
      <c r="L35" s="6"/>
      <c r="M35" s="6"/>
    </row>
    <row r="36" customFormat="false" ht="15.75" hidden="false" customHeight="false" outlineLevel="0" collapsed="false">
      <c r="A36" s="0" t="s">
        <v>123</v>
      </c>
      <c r="B36" s="1" t="n">
        <v>43896</v>
      </c>
      <c r="C36" s="6" t="n">
        <v>80409</v>
      </c>
      <c r="D36" s="6" t="n">
        <v>139</v>
      </c>
      <c r="E36" s="6" t="n">
        <v>3012</v>
      </c>
      <c r="F36" s="6" t="n">
        <v>31</v>
      </c>
      <c r="G36" s="6" t="n">
        <v>52045</v>
      </c>
      <c r="H36" s="6" t="n">
        <v>25352</v>
      </c>
      <c r="I36" s="6" t="n">
        <v>5952</v>
      </c>
      <c r="J36" s="6"/>
      <c r="K36" s="6"/>
      <c r="L36" s="6"/>
      <c r="M36" s="6"/>
    </row>
    <row r="37" customFormat="false" ht="15.75" hidden="false" customHeight="false" outlineLevel="0" collapsed="false">
      <c r="A37" s="0" t="s">
        <v>123</v>
      </c>
      <c r="B37" s="1" t="n">
        <v>43897</v>
      </c>
      <c r="C37" s="8" t="n">
        <v>80552</v>
      </c>
      <c r="D37" s="8" t="n">
        <v>143</v>
      </c>
      <c r="E37" s="8" t="n">
        <v>3042</v>
      </c>
      <c r="F37" s="8" t="n">
        <v>30</v>
      </c>
      <c r="G37" s="8" t="n">
        <v>53726</v>
      </c>
      <c r="H37" s="8" t="n">
        <v>23784</v>
      </c>
      <c r="I37" s="8" t="n">
        <v>5737</v>
      </c>
      <c r="J37" s="8"/>
      <c r="K37" s="8"/>
      <c r="L37" s="8"/>
      <c r="M37" s="8"/>
    </row>
    <row r="38" customFormat="false" ht="15.75" hidden="false" customHeight="false" outlineLevel="0" collapsed="false">
      <c r="A38" s="0" t="s">
        <v>123</v>
      </c>
      <c r="B38" s="1" t="n">
        <v>43898</v>
      </c>
      <c r="C38" s="6" t="n">
        <v>80651</v>
      </c>
      <c r="D38" s="6" t="n">
        <v>99</v>
      </c>
      <c r="E38" s="6" t="n">
        <v>3070</v>
      </c>
      <c r="F38" s="6" t="n">
        <v>28</v>
      </c>
      <c r="G38" s="6" t="n">
        <v>55404</v>
      </c>
      <c r="H38" s="6" t="n">
        <v>22177</v>
      </c>
      <c r="I38" s="6" t="n">
        <v>5489</v>
      </c>
      <c r="J38" s="6"/>
      <c r="K38" s="6"/>
      <c r="L38" s="6"/>
      <c r="M38" s="6"/>
    </row>
    <row r="39" customFormat="false" ht="15.75" hidden="false" customHeight="false" outlineLevel="0" collapsed="false">
      <c r="A39" s="0" t="s">
        <v>123</v>
      </c>
      <c r="B39" s="1" t="n">
        <v>43899</v>
      </c>
      <c r="C39" s="6" t="n">
        <v>80695</v>
      </c>
      <c r="D39" s="6" t="n">
        <v>44</v>
      </c>
      <c r="E39" s="6" t="n">
        <v>3097</v>
      </c>
      <c r="F39" s="6" t="n">
        <v>27</v>
      </c>
      <c r="G39" s="6" t="n">
        <v>57065</v>
      </c>
      <c r="H39" s="6" t="n">
        <v>20533</v>
      </c>
      <c r="I39" s="6" t="n">
        <v>5264</v>
      </c>
      <c r="J39" s="6"/>
      <c r="K39" s="6"/>
      <c r="L39" s="6"/>
      <c r="M39" s="6"/>
    </row>
    <row r="40" customFormat="false" ht="15.75" hidden="false" customHeight="false" outlineLevel="0" collapsed="false">
      <c r="A40" s="0" t="s">
        <v>123</v>
      </c>
      <c r="B40" s="1" t="n">
        <v>43900</v>
      </c>
      <c r="C40" s="6" t="n">
        <v>80735</v>
      </c>
      <c r="D40" s="6" t="n">
        <v>40</v>
      </c>
      <c r="E40" s="6" t="n">
        <v>3119</v>
      </c>
      <c r="F40" s="6" t="n">
        <v>22</v>
      </c>
      <c r="G40" s="6" t="n">
        <v>58600</v>
      </c>
      <c r="H40" s="6" t="n">
        <v>19016</v>
      </c>
      <c r="I40" s="6" t="n">
        <v>5111</v>
      </c>
      <c r="J40" s="6"/>
      <c r="K40" s="6"/>
      <c r="L40" s="6"/>
      <c r="M40" s="6"/>
    </row>
    <row r="41" customFormat="false" ht="15.75" hidden="false" customHeight="false" outlineLevel="0" collapsed="false">
      <c r="A41" s="0" t="s">
        <v>123</v>
      </c>
      <c r="B41" s="1" t="n">
        <v>43901</v>
      </c>
      <c r="C41" s="6" t="n">
        <v>80761</v>
      </c>
      <c r="D41" s="6" t="n">
        <v>26</v>
      </c>
      <c r="E41" s="6" t="n">
        <v>3136</v>
      </c>
      <c r="F41" s="6" t="n">
        <v>17</v>
      </c>
      <c r="G41" s="6" t="n">
        <v>60124</v>
      </c>
      <c r="H41" s="6" t="n">
        <v>17501</v>
      </c>
      <c r="I41" s="6" t="n">
        <v>4794</v>
      </c>
      <c r="J41" s="6" t="n">
        <v>56.1</v>
      </c>
      <c r="K41" s="6"/>
      <c r="L41" s="6"/>
      <c r="M41" s="6"/>
    </row>
    <row r="42" customFormat="false" ht="15.75" hidden="false" customHeight="false" outlineLevel="0" collapsed="false">
      <c r="A42" s="0" t="s">
        <v>123</v>
      </c>
      <c r="B42" s="1" t="n">
        <v>43902</v>
      </c>
      <c r="C42" s="6" t="n">
        <v>80790</v>
      </c>
      <c r="D42" s="6" t="n">
        <v>29</v>
      </c>
      <c r="E42" s="6" t="n">
        <v>3158</v>
      </c>
      <c r="F42" s="6" t="n">
        <v>22</v>
      </c>
      <c r="G42" s="6" t="n">
        <v>61617</v>
      </c>
      <c r="H42" s="6" t="n">
        <v>16015</v>
      </c>
      <c r="I42" s="6" t="n">
        <v>4492</v>
      </c>
      <c r="J42" s="6" t="n">
        <v>56.1</v>
      </c>
      <c r="K42" s="6"/>
      <c r="L42" s="6"/>
      <c r="M42" s="6"/>
    </row>
    <row r="43" customFormat="false" ht="15.75" hidden="false" customHeight="false" outlineLevel="0" collapsed="false">
      <c r="A43" s="0" t="s">
        <v>123</v>
      </c>
      <c r="B43" s="1" t="n">
        <v>43903</v>
      </c>
      <c r="C43" s="6" t="n">
        <v>80796</v>
      </c>
      <c r="D43" s="6" t="n">
        <v>6</v>
      </c>
      <c r="E43" s="6" t="n">
        <v>3169</v>
      </c>
      <c r="F43" s="6" t="n">
        <v>11</v>
      </c>
      <c r="G43" s="6" t="n">
        <v>62841</v>
      </c>
      <c r="H43" s="6" t="n">
        <v>14786</v>
      </c>
      <c r="I43" s="6" t="n">
        <v>4257</v>
      </c>
      <c r="J43" s="6" t="n">
        <v>56.1</v>
      </c>
      <c r="K43" s="6"/>
      <c r="L43" s="6"/>
      <c r="M43" s="6"/>
    </row>
    <row r="44" customFormat="false" ht="15.75" hidden="false" customHeight="false" outlineLevel="0" collapsed="false">
      <c r="A44" s="0" t="s">
        <v>123</v>
      </c>
      <c r="B44" s="1" t="n">
        <v>43904</v>
      </c>
      <c r="C44" s="6" t="n">
        <v>80817</v>
      </c>
      <c r="D44" s="6" t="n">
        <v>21</v>
      </c>
      <c r="E44" s="6" t="n">
        <v>3177</v>
      </c>
      <c r="F44" s="6" t="n">
        <v>8</v>
      </c>
      <c r="G44" s="6" t="n">
        <v>64152</v>
      </c>
      <c r="H44" s="6" t="n">
        <v>13488</v>
      </c>
      <c r="I44" s="6" t="n">
        <v>4020</v>
      </c>
      <c r="J44" s="6" t="n">
        <v>56.1</v>
      </c>
      <c r="K44" s="6"/>
      <c r="L44" s="6"/>
      <c r="M44" s="6"/>
    </row>
    <row r="45" customFormat="false" ht="15.75" hidden="false" customHeight="false" outlineLevel="0" collapsed="false">
      <c r="A45" s="0" t="s">
        <v>123</v>
      </c>
      <c r="B45" s="1" t="n">
        <v>43905</v>
      </c>
      <c r="C45" s="6" t="n">
        <v>80824</v>
      </c>
      <c r="D45" s="6" t="n">
        <v>7</v>
      </c>
      <c r="E45" s="6" t="n">
        <v>3189</v>
      </c>
      <c r="F45" s="6" t="n">
        <v>12</v>
      </c>
      <c r="G45" s="6" t="n">
        <v>65578</v>
      </c>
      <c r="H45" s="6" t="n">
        <v>12057</v>
      </c>
      <c r="I45" s="6" t="n">
        <v>3610</v>
      </c>
      <c r="J45" s="6" t="n">
        <v>56.2</v>
      </c>
      <c r="K45" s="6"/>
      <c r="L45" s="6"/>
      <c r="M45" s="6"/>
    </row>
    <row r="46" customFormat="false" ht="15.75" hidden="false" customHeight="false" outlineLevel="0" collapsed="false">
      <c r="A46" s="0" t="s">
        <v>123</v>
      </c>
      <c r="B46" s="1" t="n">
        <v>43906</v>
      </c>
      <c r="C46" s="6" t="n">
        <v>80851</v>
      </c>
      <c r="D46" s="6" t="n">
        <v>27</v>
      </c>
      <c r="E46" s="6" t="n">
        <v>3199</v>
      </c>
      <c r="F46" s="6" t="n">
        <v>10</v>
      </c>
      <c r="G46" s="6" t="n">
        <v>66934</v>
      </c>
      <c r="H46" s="6" t="n">
        <v>10718</v>
      </c>
      <c r="I46" s="6" t="n">
        <v>3226</v>
      </c>
      <c r="J46" s="6" t="n">
        <v>56.2</v>
      </c>
      <c r="K46" s="6"/>
      <c r="L46" s="6"/>
      <c r="M46" s="6"/>
    </row>
    <row r="47" customFormat="false" ht="15.75" hidden="false" customHeight="false" outlineLevel="0" collapsed="false">
      <c r="A47" s="0" t="s">
        <v>123</v>
      </c>
      <c r="B47" s="1" t="n">
        <v>43907</v>
      </c>
      <c r="C47" s="6" t="n">
        <v>80880</v>
      </c>
      <c r="D47" s="6" t="n">
        <v>29</v>
      </c>
      <c r="E47" s="6" t="n">
        <v>3213</v>
      </c>
      <c r="F47" s="6" t="n">
        <v>14</v>
      </c>
      <c r="G47" s="6" t="n">
        <v>67819</v>
      </c>
      <c r="H47" s="6" t="n">
        <v>9848</v>
      </c>
      <c r="I47" s="6" t="n">
        <v>3226</v>
      </c>
      <c r="J47" s="6" t="n">
        <v>56.2</v>
      </c>
      <c r="K47" s="6"/>
      <c r="L47" s="6"/>
      <c r="M47" s="6"/>
    </row>
    <row r="48" customFormat="false" ht="15.75" hidden="false" customHeight="false" outlineLevel="0" collapsed="false">
      <c r="A48" s="0" t="s">
        <v>123</v>
      </c>
      <c r="B48" s="1" t="n">
        <v>43908</v>
      </c>
      <c r="C48" s="6" t="n">
        <v>80881</v>
      </c>
      <c r="D48" s="6" t="n">
        <v>1</v>
      </c>
      <c r="E48" s="6" t="n">
        <v>3226</v>
      </c>
      <c r="F48" s="6" t="n">
        <v>13</v>
      </c>
      <c r="G48" s="6" t="n">
        <v>68724</v>
      </c>
      <c r="H48" s="6" t="n">
        <v>8931</v>
      </c>
      <c r="I48" s="6" t="n">
        <v>3226</v>
      </c>
      <c r="J48" s="6" t="n">
        <v>56.2</v>
      </c>
      <c r="K48" s="6"/>
      <c r="L48" s="6"/>
      <c r="M48" s="6"/>
    </row>
    <row r="49" customFormat="false" ht="15.75" hidden="false" customHeight="false" outlineLevel="0" collapsed="false">
      <c r="A49" s="0" t="s">
        <v>123</v>
      </c>
      <c r="B49" s="1" t="n">
        <v>43909</v>
      </c>
      <c r="C49" s="6" t="n">
        <v>80894</v>
      </c>
      <c r="D49" s="6" t="n">
        <v>13</v>
      </c>
      <c r="E49" s="6" t="n">
        <v>3237</v>
      </c>
      <c r="F49" s="6" t="n">
        <v>11</v>
      </c>
      <c r="G49" s="6" t="n">
        <v>69614</v>
      </c>
      <c r="H49" s="6" t="n">
        <v>8043</v>
      </c>
      <c r="I49" s="6" t="n">
        <v>2622</v>
      </c>
      <c r="J49" s="6" t="n">
        <v>56</v>
      </c>
      <c r="K49" s="6"/>
      <c r="L49" s="6"/>
      <c r="M49" s="6"/>
    </row>
    <row r="50" customFormat="false" ht="15.75" hidden="false" customHeight="false" outlineLevel="0" collapsed="false">
      <c r="A50" s="0" t="s">
        <v>123</v>
      </c>
      <c r="B50" s="1" t="n">
        <v>43910</v>
      </c>
      <c r="C50" s="6" t="n">
        <v>80928</v>
      </c>
      <c r="D50" s="6" t="n">
        <v>34</v>
      </c>
      <c r="E50" s="6" t="n">
        <v>3245</v>
      </c>
      <c r="F50" s="6" t="n">
        <v>8</v>
      </c>
      <c r="G50" s="6" t="n">
        <v>70420</v>
      </c>
      <c r="H50" s="6" t="n">
        <v>7263</v>
      </c>
      <c r="I50" s="6" t="n">
        <v>2274</v>
      </c>
      <c r="J50" s="6" t="n">
        <v>56</v>
      </c>
      <c r="K50" s="6"/>
      <c r="L50" s="6"/>
      <c r="M50" s="6"/>
    </row>
    <row r="51" customFormat="false" ht="15.75" hidden="false" customHeight="false" outlineLevel="0" collapsed="false">
      <c r="A51" s="0" t="s">
        <v>123</v>
      </c>
      <c r="B51" s="1" t="n">
        <v>43911</v>
      </c>
      <c r="C51" s="6" t="n">
        <v>81008</v>
      </c>
      <c r="D51" s="6" t="n">
        <v>80</v>
      </c>
      <c r="E51" s="6" t="n">
        <v>3255</v>
      </c>
      <c r="F51" s="6" t="n">
        <v>10</v>
      </c>
      <c r="G51" s="6" t="n">
        <v>71740</v>
      </c>
      <c r="H51" s="6" t="n">
        <v>6013</v>
      </c>
      <c r="I51" s="6" t="n">
        <v>1927</v>
      </c>
      <c r="J51" s="6" t="n">
        <v>56</v>
      </c>
      <c r="K51" s="6"/>
      <c r="L51" s="6"/>
      <c r="M51" s="6"/>
    </row>
    <row r="52" customFormat="false" ht="15.75" hidden="false" customHeight="false" outlineLevel="0" collapsed="false">
      <c r="A52" s="0" t="s">
        <v>123</v>
      </c>
      <c r="B52" s="1" t="n">
        <v>43912</v>
      </c>
      <c r="C52" s="6" t="n">
        <v>81008</v>
      </c>
      <c r="D52" s="6" t="n">
        <v>0</v>
      </c>
      <c r="E52" s="6" t="n">
        <v>3255</v>
      </c>
      <c r="F52" s="6" t="n">
        <v>0</v>
      </c>
      <c r="G52" s="6" t="n">
        <v>71740</v>
      </c>
      <c r="H52" s="6" t="n">
        <v>6013</v>
      </c>
      <c r="I52" s="6" t="n">
        <v>1927</v>
      </c>
      <c r="J52" s="6" t="n">
        <v>56</v>
      </c>
      <c r="K52" s="6"/>
      <c r="L52" s="6"/>
      <c r="M52" s="6"/>
    </row>
    <row r="53" customFormat="false" ht="15.75" hidden="false" customHeight="false" outlineLevel="0" collapsed="false">
      <c r="A53" s="0" t="s">
        <v>123</v>
      </c>
      <c r="B53" s="1" t="n">
        <v>43913</v>
      </c>
      <c r="C53" s="6" t="n">
        <v>81054</v>
      </c>
      <c r="D53" s="6" t="n">
        <v>46</v>
      </c>
      <c r="E53" s="6" t="n">
        <v>3261</v>
      </c>
      <c r="F53" s="6" t="n">
        <v>6</v>
      </c>
      <c r="G53" s="6" t="n">
        <v>72440</v>
      </c>
      <c r="H53" s="6" t="n">
        <v>5353</v>
      </c>
      <c r="I53" s="6" t="n">
        <v>1845</v>
      </c>
      <c r="J53" s="6" t="n">
        <v>56</v>
      </c>
      <c r="K53" s="6"/>
      <c r="L53" s="6"/>
      <c r="M53" s="6"/>
    </row>
    <row r="54" customFormat="false" ht="15.75" hidden="false" customHeight="false" outlineLevel="0" collapsed="false">
      <c r="A54" s="0" t="s">
        <v>123</v>
      </c>
      <c r="B54" s="1" t="n">
        <v>43914</v>
      </c>
      <c r="C54" s="6" t="n">
        <v>81093</v>
      </c>
      <c r="D54" s="6" t="n">
        <v>39</v>
      </c>
      <c r="E54" s="6" t="n">
        <v>3270</v>
      </c>
      <c r="F54" s="6" t="n">
        <v>9</v>
      </c>
      <c r="G54" s="6" t="n">
        <v>72703</v>
      </c>
      <c r="H54" s="6" t="n">
        <v>5120</v>
      </c>
      <c r="I54" s="6" t="n">
        <v>1749</v>
      </c>
      <c r="J54" s="6" t="n">
        <v>56</v>
      </c>
      <c r="K54" s="6"/>
      <c r="L54" s="6"/>
      <c r="M54" s="6"/>
    </row>
    <row r="55" customFormat="false" ht="15.75" hidden="false" customHeight="false" outlineLevel="0" collapsed="false">
      <c r="A55" s="0" t="s">
        <v>123</v>
      </c>
      <c r="B55" s="1" t="n">
        <v>43915</v>
      </c>
      <c r="C55" s="7" t="n">
        <v>81171</v>
      </c>
      <c r="D55" s="7" t="n">
        <v>78</v>
      </c>
      <c r="E55" s="7" t="n">
        <v>3277</v>
      </c>
      <c r="F55" s="7" t="n">
        <v>7</v>
      </c>
      <c r="G55" s="7" t="n">
        <v>73159</v>
      </c>
      <c r="H55" s="7" t="n">
        <v>4735</v>
      </c>
      <c r="I55" s="7" t="n">
        <v>1573</v>
      </c>
      <c r="J55" s="7" t="n">
        <v>56</v>
      </c>
      <c r="K55" s="7" t="n">
        <v>2</v>
      </c>
      <c r="L55" s="7"/>
      <c r="M55" s="7"/>
    </row>
    <row r="56" customFormat="false" ht="15.75" hidden="false" customHeight="false" outlineLevel="0" collapsed="false">
      <c r="A56" s="0" t="s">
        <v>123</v>
      </c>
      <c r="B56" s="1" t="n">
        <v>43916</v>
      </c>
      <c r="C56" s="7" t="n">
        <v>81218</v>
      </c>
      <c r="D56" s="7" t="n">
        <v>47</v>
      </c>
      <c r="E56" s="7" t="n">
        <v>3281</v>
      </c>
      <c r="F56" s="7" t="n">
        <v>4</v>
      </c>
      <c r="G56" s="7" t="n">
        <v>73650</v>
      </c>
      <c r="H56" s="7" t="n">
        <v>4287</v>
      </c>
      <c r="I56" s="7" t="n">
        <v>1399</v>
      </c>
      <c r="J56" s="7" t="n">
        <v>56</v>
      </c>
      <c r="K56" s="7" t="n">
        <v>2</v>
      </c>
      <c r="L56" s="7"/>
      <c r="M56" s="7"/>
    </row>
    <row r="57" customFormat="false" ht="15.75" hidden="false" customHeight="false" outlineLevel="0" collapsed="false">
      <c r="A57" s="0" t="s">
        <v>123</v>
      </c>
      <c r="B57" s="1" t="n">
        <v>43917</v>
      </c>
      <c r="C57" s="7" t="n">
        <v>81285</v>
      </c>
      <c r="D57" s="7" t="n">
        <v>67</v>
      </c>
      <c r="E57" s="7" t="n">
        <v>3287</v>
      </c>
      <c r="F57" s="7" t="n">
        <v>6</v>
      </c>
      <c r="G57" s="7" t="n">
        <v>74051</v>
      </c>
      <c r="H57" s="7" t="n">
        <v>3947</v>
      </c>
      <c r="I57" s="7" t="n">
        <v>1235</v>
      </c>
      <c r="J57" s="7" t="n">
        <v>56</v>
      </c>
      <c r="K57" s="7" t="n">
        <v>2</v>
      </c>
      <c r="L57" s="7"/>
      <c r="M57" s="7"/>
    </row>
    <row r="58" customFormat="false" ht="15.75" hidden="false" customHeight="false" outlineLevel="0" collapsed="false">
      <c r="A58" s="0" t="s">
        <v>123</v>
      </c>
      <c r="B58" s="1" t="n">
        <v>43918</v>
      </c>
      <c r="C58" s="7" t="n">
        <v>81340</v>
      </c>
      <c r="D58" s="7" t="n">
        <v>55</v>
      </c>
      <c r="E58" s="7" t="n">
        <v>3292</v>
      </c>
      <c r="F58" s="7" t="n">
        <v>5</v>
      </c>
      <c r="G58" s="7" t="n">
        <v>74588</v>
      </c>
      <c r="H58" s="7" t="n">
        <v>3460</v>
      </c>
      <c r="I58" s="7" t="n">
        <v>1034</v>
      </c>
      <c r="J58" s="7" t="n">
        <v>57</v>
      </c>
      <c r="K58" s="7" t="n">
        <v>2</v>
      </c>
      <c r="L58" s="7"/>
      <c r="M58" s="7"/>
    </row>
    <row r="59" customFormat="false" ht="15.75" hidden="false" customHeight="false" outlineLevel="0" collapsed="false">
      <c r="A59" s="0" t="s">
        <v>123</v>
      </c>
      <c r="B59" s="1" t="n">
        <v>43919</v>
      </c>
      <c r="C59" s="7" t="n">
        <v>81394</v>
      </c>
      <c r="D59" s="7" t="n">
        <v>54</v>
      </c>
      <c r="E59" s="7" t="n">
        <v>3295</v>
      </c>
      <c r="F59" s="7" t="n">
        <v>3</v>
      </c>
      <c r="G59" s="7" t="n">
        <v>74971</v>
      </c>
      <c r="H59" s="7" t="n">
        <v>3128</v>
      </c>
      <c r="I59" s="7" t="n">
        <v>886</v>
      </c>
      <c r="J59" s="7" t="n">
        <v>57</v>
      </c>
      <c r="K59" s="7" t="n">
        <v>2</v>
      </c>
      <c r="L59" s="7"/>
      <c r="M59" s="7"/>
    </row>
    <row r="60" customFormat="false" ht="15.75" hidden="false" customHeight="false" outlineLevel="0" collapsed="false">
      <c r="A60" s="0" t="s">
        <v>123</v>
      </c>
      <c r="B60" s="1" t="n">
        <v>43920</v>
      </c>
      <c r="C60" s="7" t="n">
        <v>81439</v>
      </c>
      <c r="D60" s="7" t="n">
        <v>45</v>
      </c>
      <c r="E60" s="7" t="n">
        <v>3300</v>
      </c>
      <c r="F60" s="7" t="n">
        <v>5</v>
      </c>
      <c r="G60" s="7" t="n">
        <v>75448</v>
      </c>
      <c r="H60" s="7" t="n">
        <v>2691</v>
      </c>
      <c r="I60" s="7" t="n">
        <v>742</v>
      </c>
      <c r="J60" s="7" t="n">
        <v>57</v>
      </c>
      <c r="K60" s="7" t="n">
        <v>2</v>
      </c>
      <c r="L60" s="7"/>
      <c r="M60" s="7"/>
    </row>
    <row r="61" customFormat="false" ht="15.75" hidden="false" customHeight="false" outlineLevel="0" collapsed="false">
      <c r="A61" s="0" t="s">
        <v>123</v>
      </c>
      <c r="B61" s="1" t="n">
        <v>43921</v>
      </c>
      <c r="C61" s="7" t="n">
        <v>81470</v>
      </c>
      <c r="D61" s="7" t="n">
        <v>31</v>
      </c>
      <c r="E61" s="7" t="n">
        <v>3304</v>
      </c>
      <c r="F61" s="7" t="n">
        <v>4</v>
      </c>
      <c r="G61" s="7" t="n">
        <v>75700</v>
      </c>
      <c r="H61" s="7" t="n">
        <v>2466</v>
      </c>
      <c r="I61" s="7" t="n">
        <v>633</v>
      </c>
      <c r="J61" s="7" t="n">
        <v>57</v>
      </c>
      <c r="K61" s="7" t="n">
        <v>2</v>
      </c>
      <c r="L61" s="7"/>
      <c r="M61" s="7"/>
    </row>
    <row r="62" customFormat="false" ht="15.75" hidden="false" customHeight="false" outlineLevel="0" collapsed="false">
      <c r="A62" s="0" t="s">
        <v>123</v>
      </c>
      <c r="B62" s="1" t="n">
        <v>43922</v>
      </c>
      <c r="C62" s="7" t="n">
        <v>81518</v>
      </c>
      <c r="D62" s="7" t="n">
        <v>48</v>
      </c>
      <c r="E62" s="7" t="n">
        <v>3305</v>
      </c>
      <c r="F62" s="7" t="n">
        <v>1</v>
      </c>
      <c r="G62" s="7" t="n">
        <v>76052</v>
      </c>
      <c r="H62" s="7" t="n">
        <v>2161</v>
      </c>
      <c r="I62" s="7" t="n">
        <v>528</v>
      </c>
      <c r="J62" s="7" t="n">
        <v>57</v>
      </c>
      <c r="K62" s="7" t="n">
        <v>2</v>
      </c>
      <c r="L62" s="7"/>
      <c r="M62" s="7"/>
    </row>
    <row r="63" customFormat="false" ht="15.75" hidden="false" customHeight="false" outlineLevel="0" collapsed="false">
      <c r="A63" s="0" t="s">
        <v>123</v>
      </c>
      <c r="B63" s="1" t="n">
        <v>43923</v>
      </c>
      <c r="C63" s="7" t="n">
        <v>81554</v>
      </c>
      <c r="D63" s="7" t="n">
        <v>36</v>
      </c>
      <c r="E63" s="7" t="n">
        <v>3312</v>
      </c>
      <c r="F63" s="7" t="n">
        <v>7</v>
      </c>
      <c r="G63" s="7" t="n">
        <v>76238</v>
      </c>
      <c r="H63" s="7" t="n">
        <v>2004</v>
      </c>
      <c r="I63" s="7" t="n">
        <v>466</v>
      </c>
      <c r="J63" s="7" t="n">
        <v>57</v>
      </c>
      <c r="K63" s="7" t="n">
        <v>2</v>
      </c>
      <c r="L63" s="7"/>
      <c r="M63" s="7"/>
    </row>
    <row r="64" customFormat="false" ht="15.75" hidden="false" customHeight="false" outlineLevel="0" collapsed="false">
      <c r="A64" s="0" t="s">
        <v>123</v>
      </c>
      <c r="B64" s="1" t="n">
        <v>43924</v>
      </c>
      <c r="C64" s="7" t="n">
        <v>81589</v>
      </c>
      <c r="D64" s="7" t="n">
        <v>35</v>
      </c>
      <c r="E64" s="7" t="n">
        <v>3318</v>
      </c>
      <c r="F64" s="7" t="n">
        <v>6</v>
      </c>
      <c r="G64" s="7" t="n">
        <v>76408</v>
      </c>
      <c r="H64" s="7" t="n">
        <v>1863</v>
      </c>
      <c r="I64" s="7" t="n">
        <v>429</v>
      </c>
      <c r="J64" s="7" t="n">
        <v>57</v>
      </c>
      <c r="K64" s="7" t="n">
        <v>2</v>
      </c>
      <c r="L64" s="7"/>
      <c r="M64" s="7"/>
    </row>
    <row r="65" customFormat="false" ht="15.75" hidden="false" customHeight="false" outlineLevel="0" collapsed="false">
      <c r="A65" s="0" t="s">
        <v>123</v>
      </c>
      <c r="B65" s="1" t="n">
        <v>43925</v>
      </c>
      <c r="C65" s="7" t="n">
        <v>81620</v>
      </c>
      <c r="D65" s="7" t="n">
        <v>31</v>
      </c>
      <c r="E65" s="7" t="n">
        <v>3322</v>
      </c>
      <c r="F65" s="7" t="n">
        <v>4</v>
      </c>
      <c r="G65" s="7" t="n">
        <v>76571</v>
      </c>
      <c r="H65" s="7" t="n">
        <v>1727</v>
      </c>
      <c r="I65" s="7" t="n">
        <v>379</v>
      </c>
      <c r="J65" s="7" t="n">
        <v>57</v>
      </c>
      <c r="K65" s="7" t="n">
        <v>2</v>
      </c>
      <c r="L65" s="7"/>
      <c r="M65" s="7"/>
    </row>
    <row r="66" customFormat="false" ht="15.75" hidden="false" customHeight="false" outlineLevel="0" collapsed="false">
      <c r="A66" s="0" t="s">
        <v>123</v>
      </c>
      <c r="B66" s="1" t="n">
        <v>43926</v>
      </c>
      <c r="C66" s="7" t="n">
        <v>81639</v>
      </c>
      <c r="D66" s="7" t="n">
        <v>19</v>
      </c>
      <c r="E66" s="7" t="n">
        <v>3326</v>
      </c>
      <c r="F66" s="7" t="n">
        <v>4</v>
      </c>
      <c r="G66" s="7" t="n">
        <v>76755</v>
      </c>
      <c r="H66" s="7" t="n">
        <v>1558</v>
      </c>
      <c r="I66" s="7" t="n">
        <v>331</v>
      </c>
      <c r="J66" s="7" t="n">
        <v>57</v>
      </c>
      <c r="K66" s="7" t="n">
        <v>2</v>
      </c>
      <c r="L66" s="7"/>
      <c r="M66" s="7"/>
    </row>
    <row r="67" customFormat="false" ht="15.75" hidden="false" customHeight="false" outlineLevel="0" collapsed="false">
      <c r="A67" s="0" t="s">
        <v>123</v>
      </c>
      <c r="B67" s="1" t="n">
        <v>43927</v>
      </c>
      <c r="C67" s="7" t="n">
        <v>81669</v>
      </c>
      <c r="D67" s="7" t="n">
        <v>30</v>
      </c>
      <c r="E67" s="7" t="n">
        <v>3329</v>
      </c>
      <c r="F67" s="7" t="n">
        <v>3</v>
      </c>
      <c r="G67" s="7" t="n">
        <v>76964</v>
      </c>
      <c r="H67" s="7" t="n">
        <v>1376</v>
      </c>
      <c r="I67" s="7" t="n">
        <v>295</v>
      </c>
      <c r="J67" s="7" t="n">
        <v>57</v>
      </c>
      <c r="K67" s="7" t="n">
        <v>2</v>
      </c>
      <c r="L67" s="7"/>
      <c r="M67" s="7"/>
    </row>
    <row r="68" customFormat="false" ht="15.75" hidden="false" customHeight="false" outlineLevel="0" collapsed="false">
      <c r="A68" s="0" t="s">
        <v>123</v>
      </c>
      <c r="B68" s="1" t="n">
        <v>43928</v>
      </c>
      <c r="C68" s="12" t="n">
        <v>81708</v>
      </c>
      <c r="D68" s="12" t="n">
        <v>39</v>
      </c>
      <c r="E68" s="12" t="n">
        <v>3331</v>
      </c>
      <c r="F68" s="12" t="n">
        <v>2</v>
      </c>
      <c r="G68" s="12" t="n">
        <v>77078</v>
      </c>
      <c r="H68" s="12" t="n">
        <v>1299</v>
      </c>
      <c r="I68" s="12" t="n">
        <v>265</v>
      </c>
      <c r="J68" s="12" t="n">
        <v>57</v>
      </c>
      <c r="K68" s="12" t="n">
        <v>2</v>
      </c>
      <c r="L68" s="12"/>
      <c r="M68" s="12"/>
    </row>
    <row r="69" customFormat="false" ht="15.75" hidden="false" customHeight="false" outlineLevel="0" collapsed="false">
      <c r="A69" s="0" t="s">
        <v>123</v>
      </c>
      <c r="B69" s="1" t="n">
        <v>43929</v>
      </c>
      <c r="C69" s="14" t="n">
        <v>81740</v>
      </c>
      <c r="D69" s="14" t="n">
        <v>32</v>
      </c>
      <c r="E69" s="14" t="n">
        <v>3331</v>
      </c>
      <c r="F69" s="14" t="n">
        <v>0</v>
      </c>
      <c r="G69" s="14" t="n">
        <v>77167</v>
      </c>
      <c r="H69" s="14" t="n">
        <v>1242</v>
      </c>
      <c r="I69" s="14" t="n">
        <v>211</v>
      </c>
      <c r="J69" s="14" t="n">
        <v>57</v>
      </c>
      <c r="K69" s="14" t="n">
        <v>2</v>
      </c>
      <c r="L69" s="14"/>
      <c r="M69" s="14"/>
    </row>
    <row r="70" customFormat="false" ht="15.75" hidden="false" customHeight="false" outlineLevel="0" collapsed="false">
      <c r="A70" s="0" t="s">
        <v>123</v>
      </c>
      <c r="B70" s="1" t="n">
        <v>43930</v>
      </c>
      <c r="C70" s="14" t="n">
        <v>81802</v>
      </c>
      <c r="D70" s="14" t="n">
        <v>62</v>
      </c>
      <c r="E70" s="14" t="n">
        <v>3333</v>
      </c>
      <c r="F70" s="14" t="n">
        <v>2</v>
      </c>
      <c r="G70" s="14" t="n">
        <v>77279</v>
      </c>
      <c r="H70" s="14" t="n">
        <v>1190</v>
      </c>
      <c r="I70" s="14" t="n">
        <v>189</v>
      </c>
      <c r="J70" s="14" t="n">
        <v>57</v>
      </c>
      <c r="K70" s="14" t="n">
        <v>2</v>
      </c>
      <c r="L70" s="14"/>
      <c r="M70" s="14"/>
    </row>
    <row r="71" customFormat="false" ht="15.75" hidden="false" customHeight="false" outlineLevel="0" collapsed="false">
      <c r="A71" s="0" t="s">
        <v>123</v>
      </c>
      <c r="B71" s="1" t="n">
        <v>43931</v>
      </c>
      <c r="C71" s="14" t="n">
        <v>81865</v>
      </c>
      <c r="D71" s="14" t="n">
        <v>63</v>
      </c>
      <c r="E71" s="14" t="n">
        <v>3335</v>
      </c>
      <c r="F71" s="14" t="n">
        <v>2</v>
      </c>
      <c r="G71" s="14" t="n">
        <v>77370</v>
      </c>
      <c r="H71" s="14" t="n">
        <v>1160</v>
      </c>
      <c r="I71" s="14" t="n">
        <v>176</v>
      </c>
      <c r="J71" s="14" t="n">
        <v>57</v>
      </c>
      <c r="K71" s="14" t="n">
        <v>2</v>
      </c>
      <c r="L71" s="14"/>
      <c r="M71" s="14"/>
    </row>
    <row r="72" customFormat="false" ht="15.75" hidden="false" customHeight="false" outlineLevel="0" collapsed="false">
      <c r="A72" s="0" t="s">
        <v>123</v>
      </c>
      <c r="B72" s="1" t="n">
        <v>43932</v>
      </c>
      <c r="C72" s="14" t="n">
        <v>81907</v>
      </c>
      <c r="D72" s="14" t="n">
        <v>42</v>
      </c>
      <c r="E72" s="14" t="n">
        <v>3336</v>
      </c>
      <c r="F72" s="14" t="n">
        <v>1</v>
      </c>
      <c r="G72" s="14" t="n">
        <v>77455</v>
      </c>
      <c r="H72" s="14" t="n">
        <v>1116</v>
      </c>
      <c r="I72" s="14" t="n">
        <v>144</v>
      </c>
      <c r="J72" s="14" t="n">
        <v>57</v>
      </c>
      <c r="K72" s="14" t="n">
        <v>2</v>
      </c>
      <c r="L72" s="14"/>
      <c r="M72" s="14"/>
    </row>
    <row r="73" customFormat="false" ht="15.75" hidden="false" customHeight="false" outlineLevel="0" collapsed="false">
      <c r="A73" s="0" t="s">
        <v>123</v>
      </c>
      <c r="B73" s="1" t="n">
        <v>43933</v>
      </c>
      <c r="C73" s="14" t="n">
        <v>81953</v>
      </c>
      <c r="D73" s="14" t="n">
        <v>46</v>
      </c>
      <c r="E73" s="14" t="n">
        <v>3339</v>
      </c>
      <c r="F73" s="14" t="n">
        <v>3</v>
      </c>
      <c r="G73" s="14" t="n">
        <v>77525</v>
      </c>
      <c r="H73" s="14" t="n">
        <v>1089</v>
      </c>
      <c r="I73" s="14" t="n">
        <v>141</v>
      </c>
      <c r="J73" s="14" t="n">
        <v>57</v>
      </c>
      <c r="K73" s="14" t="n">
        <v>2</v>
      </c>
      <c r="L73" s="14"/>
      <c r="M73" s="14"/>
    </row>
    <row r="74" customFormat="false" ht="15.75" hidden="false" customHeight="false" outlineLevel="0" collapsed="false">
      <c r="A74" s="0" t="s">
        <v>123</v>
      </c>
      <c r="B74" s="1" t="n">
        <v>43934</v>
      </c>
      <c r="C74" s="14" t="n">
        <v>82052</v>
      </c>
      <c r="D74" s="14" t="n">
        <v>99</v>
      </c>
      <c r="E74" s="14" t="n">
        <v>3339</v>
      </c>
      <c r="F74" s="14" t="n">
        <v>0</v>
      </c>
      <c r="G74" s="14" t="n">
        <v>77575</v>
      </c>
      <c r="H74" s="14" t="n">
        <v>1138</v>
      </c>
      <c r="I74" s="14" t="n">
        <v>139</v>
      </c>
      <c r="J74" s="14" t="n">
        <v>57</v>
      </c>
      <c r="K74" s="14" t="n">
        <v>2</v>
      </c>
      <c r="L74" s="14"/>
      <c r="M74" s="14"/>
    </row>
    <row r="75" customFormat="false" ht="15.75" hidden="false" customHeight="false" outlineLevel="0" collapsed="false">
      <c r="A75" s="0" t="s">
        <v>123</v>
      </c>
      <c r="B75" s="1" t="n">
        <v>43935</v>
      </c>
      <c r="C75" s="14" t="n">
        <v>82160</v>
      </c>
      <c r="D75" s="14" t="n">
        <v>108</v>
      </c>
      <c r="E75" s="14" t="n">
        <v>3341</v>
      </c>
      <c r="F75" s="14" t="n">
        <v>2</v>
      </c>
      <c r="G75" s="14" t="n">
        <v>77663</v>
      </c>
      <c r="H75" s="14" t="n">
        <v>1156</v>
      </c>
      <c r="I75" s="14" t="n">
        <v>121</v>
      </c>
      <c r="J75" s="14" t="n">
        <v>57</v>
      </c>
      <c r="K75" s="14" t="n">
        <v>2</v>
      </c>
      <c r="L75" s="14"/>
      <c r="M75" s="14"/>
    </row>
    <row r="76" customFormat="false" ht="15.75" hidden="false" customHeight="false" outlineLevel="0" collapsed="false">
      <c r="A76" s="0" t="s">
        <v>123</v>
      </c>
      <c r="B76" s="1" t="n">
        <v>43936</v>
      </c>
      <c r="C76" s="14" t="n">
        <v>82249</v>
      </c>
      <c r="D76" s="14" t="n">
        <v>89</v>
      </c>
      <c r="E76" s="14" t="n">
        <v>3341</v>
      </c>
      <c r="F76" s="14" t="n">
        <v>0</v>
      </c>
      <c r="G76" s="14" t="n">
        <v>77738</v>
      </c>
      <c r="H76" s="14" t="n">
        <v>1170</v>
      </c>
      <c r="I76" s="14" t="n">
        <v>116</v>
      </c>
      <c r="J76" s="14" t="n">
        <v>57</v>
      </c>
      <c r="K76" s="14" t="n">
        <v>2</v>
      </c>
      <c r="L76" s="14"/>
      <c r="M76" s="14"/>
    </row>
    <row r="77" customFormat="false" ht="15.75" hidden="false" customHeight="false" outlineLevel="0" collapsed="false">
      <c r="A77" s="0" t="s">
        <v>123</v>
      </c>
      <c r="B77" s="1" t="n">
        <v>43937</v>
      </c>
      <c r="C77" s="14" t="n">
        <v>82295</v>
      </c>
      <c r="D77" s="14" t="n">
        <f aca="false">C77-C76</f>
        <v>46</v>
      </c>
      <c r="E77" s="14" t="n">
        <v>3342</v>
      </c>
      <c r="F77" s="14" t="n">
        <v>1</v>
      </c>
      <c r="G77" s="14" t="n">
        <v>77816</v>
      </c>
      <c r="H77" s="14" t="n">
        <v>1137</v>
      </c>
      <c r="I77" s="14" t="n">
        <v>113</v>
      </c>
      <c r="J77" s="14" t="n">
        <v>57</v>
      </c>
      <c r="K77" s="14" t="n">
        <v>2</v>
      </c>
      <c r="L77" s="14"/>
      <c r="M77" s="14"/>
    </row>
    <row r="78" customFormat="false" ht="15.75" hidden="false" customHeight="false" outlineLevel="0" collapsed="false">
      <c r="A78" s="0" t="s">
        <v>123</v>
      </c>
      <c r="B78" s="1" t="n">
        <v>43938</v>
      </c>
      <c r="C78" s="14" t="n">
        <v>82341</v>
      </c>
      <c r="D78" s="14" t="n">
        <f aca="false">C78-C77</f>
        <v>46</v>
      </c>
      <c r="E78" s="14" t="n">
        <v>3342</v>
      </c>
      <c r="F78" s="14" t="n">
        <v>0</v>
      </c>
      <c r="G78" s="14" t="n">
        <v>77892</v>
      </c>
      <c r="H78" s="14" t="n">
        <v>1107</v>
      </c>
      <c r="I78" s="14" t="n">
        <v>95</v>
      </c>
      <c r="J78" s="14" t="n">
        <v>57</v>
      </c>
      <c r="K78" s="14" t="n">
        <v>2</v>
      </c>
      <c r="L78" s="14"/>
      <c r="M78" s="14"/>
    </row>
    <row r="79" customFormat="false" ht="15.75" hidden="false" customHeight="false" outlineLevel="0" collapsed="false">
      <c r="A79" s="0" t="s">
        <v>123</v>
      </c>
      <c r="B79" s="1" t="n">
        <v>43939</v>
      </c>
      <c r="C79" s="14" t="n">
        <v>82692</v>
      </c>
      <c r="D79" s="14" t="n">
        <f aca="false">C79-C78</f>
        <v>351</v>
      </c>
      <c r="E79" s="14" t="n">
        <v>4632</v>
      </c>
      <c r="F79" s="14" t="n">
        <v>1290</v>
      </c>
      <c r="G79" s="14" t="n">
        <v>77944</v>
      </c>
      <c r="H79" s="14" t="n">
        <v>116</v>
      </c>
      <c r="I79" s="14" t="n">
        <v>89</v>
      </c>
      <c r="J79" s="14" t="n">
        <v>57</v>
      </c>
      <c r="K79" s="14" t="n">
        <v>3</v>
      </c>
      <c r="L79" s="14"/>
      <c r="M79" s="14"/>
    </row>
    <row r="80" customFormat="false" ht="15.75" hidden="false" customHeight="false" outlineLevel="0" collapsed="false">
      <c r="A80" s="0" t="s">
        <v>123</v>
      </c>
      <c r="B80" s="1" t="n">
        <v>43940</v>
      </c>
      <c r="C80" s="14" t="n">
        <v>82719</v>
      </c>
      <c r="D80" s="14" t="n">
        <v>27</v>
      </c>
      <c r="E80" s="14" t="n">
        <v>4632</v>
      </c>
      <c r="F80" s="14"/>
      <c r="G80" s="14" t="n">
        <v>77029</v>
      </c>
      <c r="H80" s="14" t="n">
        <v>1058</v>
      </c>
      <c r="I80" s="14" t="n">
        <v>85</v>
      </c>
      <c r="J80" s="14" t="n">
        <v>57</v>
      </c>
      <c r="K80" s="14" t="n">
        <v>3</v>
      </c>
      <c r="L80" s="14"/>
      <c r="M80" s="14"/>
    </row>
    <row r="81" customFormat="false" ht="15.75" hidden="false" customHeight="false" outlineLevel="0" collapsed="false">
      <c r="A81" s="0" t="s">
        <v>123</v>
      </c>
      <c r="B81" s="1" t="n">
        <v>43941</v>
      </c>
      <c r="C81" s="14" t="n">
        <v>82735</v>
      </c>
      <c r="D81" s="14" t="n">
        <v>16</v>
      </c>
      <c r="E81" s="14" t="n">
        <v>4632</v>
      </c>
      <c r="F81" s="14"/>
      <c r="G81" s="14" t="n">
        <v>77062</v>
      </c>
      <c r="H81" s="14" t="n">
        <v>1041</v>
      </c>
      <c r="I81" s="14" t="n">
        <v>85</v>
      </c>
      <c r="J81" s="14" t="n">
        <v>57</v>
      </c>
      <c r="K81" s="14" t="n">
        <v>3</v>
      </c>
      <c r="L81" s="14"/>
      <c r="M81" s="14"/>
    </row>
    <row r="82" customFormat="false" ht="15.75" hidden="false" customHeight="false" outlineLevel="0" collapsed="false">
      <c r="A82" s="0" t="s">
        <v>123</v>
      </c>
      <c r="B82" s="1" t="n">
        <v>43942</v>
      </c>
      <c r="C82" s="6" t="n">
        <v>82747</v>
      </c>
      <c r="D82" s="6" t="n">
        <v>12</v>
      </c>
      <c r="E82" s="6" t="n">
        <v>4632</v>
      </c>
      <c r="F82" s="6"/>
      <c r="G82" s="6" t="n">
        <v>77084</v>
      </c>
      <c r="H82" s="6" t="n">
        <v>1031</v>
      </c>
      <c r="I82" s="6" t="n">
        <v>81</v>
      </c>
      <c r="J82" s="6" t="n">
        <v>57</v>
      </c>
      <c r="K82" s="6" t="n">
        <v>3</v>
      </c>
      <c r="L82" s="6"/>
      <c r="M82" s="6"/>
    </row>
    <row r="83" customFormat="false" ht="15.75" hidden="false" customHeight="false" outlineLevel="0" collapsed="false">
      <c r="A83" s="0" t="s">
        <v>123</v>
      </c>
      <c r="B83" s="1" t="n">
        <v>43943</v>
      </c>
      <c r="C83" s="6" t="n">
        <v>82758</v>
      </c>
      <c r="D83" s="6" t="n">
        <v>11</v>
      </c>
      <c r="E83" s="6" t="n">
        <v>4632</v>
      </c>
      <c r="F83" s="6"/>
      <c r="G83" s="6" t="n">
        <v>77123</v>
      </c>
      <c r="H83" s="6" t="n">
        <v>1003</v>
      </c>
      <c r="I83" s="6" t="n">
        <v>82</v>
      </c>
      <c r="J83" s="6" t="n">
        <v>57</v>
      </c>
      <c r="K83" s="6" t="n">
        <v>3</v>
      </c>
      <c r="L83" s="6"/>
      <c r="M83" s="6"/>
    </row>
    <row r="84" customFormat="false" ht="15.75" hidden="false" customHeight="false" outlineLevel="0" collapsed="false">
      <c r="A84" s="0" t="s">
        <v>123</v>
      </c>
      <c r="B84" s="1" t="n">
        <v>43944</v>
      </c>
      <c r="C84" s="6" t="n">
        <v>82788</v>
      </c>
      <c r="D84" s="6" t="n">
        <v>30</v>
      </c>
      <c r="E84" s="6" t="n">
        <v>4632</v>
      </c>
      <c r="F84" s="6"/>
      <c r="G84" s="6" t="n">
        <v>77151</v>
      </c>
      <c r="H84" s="6" t="n">
        <v>1005</v>
      </c>
      <c r="I84" s="6" t="n">
        <v>78</v>
      </c>
      <c r="J84" s="6" t="n">
        <v>58</v>
      </c>
      <c r="K84" s="6" t="n">
        <v>3</v>
      </c>
      <c r="L84" s="6"/>
      <c r="M84" s="6"/>
    </row>
    <row r="85" customFormat="false" ht="15.75" hidden="false" customHeight="false" outlineLevel="0" collapsed="false">
      <c r="A85" s="0" t="s">
        <v>123</v>
      </c>
      <c r="B85" s="1" t="n">
        <v>43945</v>
      </c>
      <c r="C85" s="6" t="n">
        <v>82798</v>
      </c>
      <c r="D85" s="6" t="n">
        <v>10</v>
      </c>
      <c r="E85" s="6" t="n">
        <v>4632</v>
      </c>
      <c r="F85" s="6"/>
      <c r="G85" s="6" t="n">
        <v>77207</v>
      </c>
      <c r="H85" s="6" t="n">
        <v>959</v>
      </c>
      <c r="I85" s="6" t="n">
        <v>63</v>
      </c>
      <c r="J85" s="6" t="n">
        <v>58</v>
      </c>
      <c r="K85" s="6" t="n">
        <v>3</v>
      </c>
      <c r="L85" s="6"/>
      <c r="M85" s="6"/>
    </row>
    <row r="86" customFormat="false" ht="15.75" hidden="false" customHeight="false" outlineLevel="0" collapsed="false">
      <c r="A86" s="0" t="s">
        <v>123</v>
      </c>
      <c r="B86" s="1" t="n">
        <v>43946</v>
      </c>
      <c r="C86" s="6" t="n">
        <v>82804</v>
      </c>
      <c r="D86" s="6" t="n">
        <v>6</v>
      </c>
      <c r="E86" s="6" t="n">
        <v>4632</v>
      </c>
      <c r="F86" s="6"/>
      <c r="G86" s="6" t="n">
        <v>77257</v>
      </c>
      <c r="H86" s="6" t="n">
        <v>915</v>
      </c>
      <c r="I86" s="6" t="n">
        <v>57</v>
      </c>
      <c r="J86" s="6" t="n">
        <v>58</v>
      </c>
      <c r="K86" s="6" t="n">
        <v>3</v>
      </c>
      <c r="L86" s="6"/>
      <c r="M86" s="6"/>
    </row>
    <row r="87" customFormat="false" ht="15.75" hidden="false" customHeight="false" outlineLevel="0" collapsed="false">
      <c r="A87" s="0" t="s">
        <v>123</v>
      </c>
      <c r="B87" s="1" t="n">
        <v>43947</v>
      </c>
      <c r="C87" s="6" t="n">
        <v>82816</v>
      </c>
      <c r="D87" s="6" t="n">
        <v>12</v>
      </c>
      <c r="E87" s="6" t="n">
        <v>4632</v>
      </c>
      <c r="F87" s="6"/>
      <c r="G87" s="6" t="n">
        <v>77346</v>
      </c>
      <c r="H87" s="6" t="n">
        <v>838</v>
      </c>
      <c r="I87" s="6" t="n">
        <v>49</v>
      </c>
      <c r="J87" s="6" t="n">
        <v>58</v>
      </c>
      <c r="K87" s="6" t="n">
        <v>3</v>
      </c>
      <c r="L87" s="6"/>
      <c r="M87" s="6"/>
    </row>
    <row r="88" customFormat="false" ht="15.75" hidden="false" customHeight="false" outlineLevel="0" collapsed="false">
      <c r="A88" s="0" t="s">
        <v>123</v>
      </c>
      <c r="B88" s="1" t="n">
        <v>43948</v>
      </c>
      <c r="C88" s="6" t="n">
        <v>82827</v>
      </c>
      <c r="D88" s="6" t="n">
        <v>11</v>
      </c>
      <c r="E88" s="6" t="n">
        <v>4632</v>
      </c>
      <c r="F88" s="6"/>
      <c r="G88" s="6" t="n">
        <v>77394</v>
      </c>
      <c r="H88" s="6" t="n">
        <v>801</v>
      </c>
      <c r="I88" s="6" t="n">
        <v>51</v>
      </c>
      <c r="J88" s="6" t="n">
        <v>58</v>
      </c>
      <c r="K88" s="6" t="n">
        <v>3</v>
      </c>
      <c r="L88" s="6"/>
      <c r="M88" s="6"/>
    </row>
    <row r="89" customFormat="false" ht="15.75" hidden="false" customHeight="false" outlineLevel="0" collapsed="false">
      <c r="A89" s="0" t="s">
        <v>123</v>
      </c>
      <c r="B89" s="1" t="n">
        <v>43949</v>
      </c>
      <c r="C89" s="2" t="n">
        <v>82830</v>
      </c>
      <c r="D89" s="2" t="n">
        <v>3</v>
      </c>
      <c r="E89" s="2" t="n">
        <v>4633</v>
      </c>
      <c r="F89" s="2" t="n">
        <v>1</v>
      </c>
      <c r="G89" s="2" t="n">
        <v>77474</v>
      </c>
      <c r="H89" s="2" t="n">
        <v>723</v>
      </c>
      <c r="I89" s="2" t="n">
        <v>52</v>
      </c>
      <c r="J89" s="2" t="n">
        <v>58</v>
      </c>
      <c r="K89" s="2" t="n">
        <v>3</v>
      </c>
      <c r="L89" s="6"/>
      <c r="M89" s="6"/>
    </row>
    <row r="90" customFormat="false" ht="15.75" hidden="false" customHeight="false" outlineLevel="0" collapsed="false">
      <c r="A90" s="0" t="s">
        <v>123</v>
      </c>
      <c r="B90" s="1" t="n">
        <v>43950</v>
      </c>
      <c r="C90" s="6" t="n">
        <v>82836</v>
      </c>
      <c r="D90" s="6" t="n">
        <v>6</v>
      </c>
      <c r="E90" s="6" t="n">
        <v>4633</v>
      </c>
      <c r="F90" s="6"/>
      <c r="G90" s="6" t="n">
        <v>77555</v>
      </c>
      <c r="H90" s="6" t="n">
        <v>648</v>
      </c>
      <c r="I90" s="6" t="n">
        <v>50</v>
      </c>
      <c r="J90" s="6" t="n">
        <v>58</v>
      </c>
      <c r="K90" s="6" t="n">
        <v>3</v>
      </c>
      <c r="L90" s="6"/>
      <c r="M90" s="6"/>
    </row>
    <row r="91" customFormat="false" ht="15.75" hidden="false" customHeight="false" outlineLevel="0" collapsed="false">
      <c r="A91" s="0" t="s">
        <v>123</v>
      </c>
      <c r="B91" s="1" t="n">
        <v>43951</v>
      </c>
      <c r="C91" s="6" t="n">
        <v>82858</v>
      </c>
      <c r="D91" s="6" t="n">
        <v>22</v>
      </c>
      <c r="E91" s="6" t="n">
        <v>4633</v>
      </c>
      <c r="F91" s="6"/>
      <c r="G91" s="6" t="n">
        <v>77578</v>
      </c>
      <c r="H91" s="6" t="n">
        <v>647</v>
      </c>
      <c r="I91" s="6" t="n">
        <v>50</v>
      </c>
      <c r="J91" s="6" t="n">
        <v>58</v>
      </c>
      <c r="K91" s="6" t="n">
        <v>3</v>
      </c>
      <c r="L91" s="6"/>
      <c r="M91" s="6"/>
    </row>
    <row r="92" customFormat="false" ht="15.75" hidden="false" customHeight="false" outlineLevel="0" collapsed="false">
      <c r="A92" s="0" t="s">
        <v>123</v>
      </c>
      <c r="B92" s="1" t="n">
        <v>43952</v>
      </c>
      <c r="C92" s="2" t="n">
        <v>82862</v>
      </c>
      <c r="D92" s="2" t="n">
        <v>4</v>
      </c>
      <c r="E92" s="2" t="n">
        <v>4633</v>
      </c>
      <c r="G92" s="2" t="n">
        <v>77610</v>
      </c>
      <c r="H92" s="2" t="n">
        <v>619</v>
      </c>
      <c r="I92" s="2" t="n">
        <v>41</v>
      </c>
      <c r="J92" s="2" t="n">
        <v>58</v>
      </c>
      <c r="K92" s="2" t="n">
        <v>3</v>
      </c>
      <c r="L92" s="6"/>
      <c r="M92" s="6"/>
    </row>
    <row r="93" customFormat="false" ht="15.75" hidden="false" customHeight="false" outlineLevel="0" collapsed="false">
      <c r="A93" s="0" t="s">
        <v>123</v>
      </c>
      <c r="B93" s="1" t="n">
        <v>43953</v>
      </c>
      <c r="C93" s="6" t="n">
        <v>82874</v>
      </c>
      <c r="D93" s="6" t="n">
        <v>12</v>
      </c>
      <c r="E93" s="6" t="n">
        <v>4633</v>
      </c>
      <c r="F93" s="6"/>
      <c r="G93" s="6" t="n">
        <v>77642</v>
      </c>
      <c r="H93" s="6" t="n">
        <v>599</v>
      </c>
      <c r="I93" s="6" t="n">
        <v>38</v>
      </c>
      <c r="J93" s="6" t="n">
        <v>58</v>
      </c>
      <c r="K93" s="6" t="n">
        <v>3</v>
      </c>
      <c r="L93" s="6"/>
      <c r="M93" s="6"/>
    </row>
    <row r="94" customFormat="false" ht="15.75" hidden="false" customHeight="false" outlineLevel="0" collapsed="false">
      <c r="A94" s="0" t="s">
        <v>123</v>
      </c>
      <c r="B94" s="1" t="n">
        <v>43954</v>
      </c>
      <c r="C94" s="6" t="n">
        <v>82875</v>
      </c>
      <c r="D94" s="6" t="n">
        <v>1</v>
      </c>
      <c r="E94" s="6" t="n">
        <v>4633</v>
      </c>
      <c r="F94" s="6"/>
      <c r="G94" s="6" t="n">
        <v>77685</v>
      </c>
      <c r="H94" s="6" t="n">
        <v>557</v>
      </c>
      <c r="I94" s="6" t="n">
        <v>37</v>
      </c>
      <c r="J94" s="6" t="n">
        <v>58</v>
      </c>
      <c r="K94" s="6" t="n">
        <v>3</v>
      </c>
      <c r="L94" s="6"/>
      <c r="M94" s="6"/>
    </row>
    <row r="95" customFormat="false" ht="15.75" hidden="false" customHeight="false" outlineLevel="0" collapsed="false">
      <c r="A95" s="0" t="s">
        <v>123</v>
      </c>
      <c r="B95" s="1" t="n">
        <v>43955</v>
      </c>
      <c r="C95" s="6" t="n">
        <v>82877</v>
      </c>
      <c r="D95" s="6" t="n">
        <v>2</v>
      </c>
      <c r="E95" s="6" t="n">
        <v>4633</v>
      </c>
      <c r="F95" s="6"/>
      <c r="G95" s="6" t="n">
        <v>77713</v>
      </c>
      <c r="H95" s="6" t="n">
        <v>531</v>
      </c>
      <c r="I95" s="6" t="n">
        <v>34</v>
      </c>
      <c r="J95" s="6" t="n">
        <v>58</v>
      </c>
      <c r="K95" s="6" t="n">
        <v>3</v>
      </c>
      <c r="L95" s="6"/>
      <c r="M95" s="6"/>
    </row>
    <row r="96" customFormat="false" ht="15.75" hidden="false" customHeight="false" outlineLevel="0" collapsed="false">
      <c r="A96" s="0" t="s">
        <v>123</v>
      </c>
      <c r="B96" s="1" t="n">
        <v>43956</v>
      </c>
      <c r="C96" s="6" t="n">
        <v>82880</v>
      </c>
      <c r="D96" s="6" t="n">
        <v>3</v>
      </c>
      <c r="E96" s="6" t="n">
        <v>4633</v>
      </c>
      <c r="F96" s="6"/>
      <c r="G96" s="6" t="n">
        <v>77766</v>
      </c>
      <c r="H96" s="6" t="n">
        <v>481</v>
      </c>
      <c r="I96" s="6" t="n">
        <v>33</v>
      </c>
      <c r="J96" s="6" t="n">
        <v>58</v>
      </c>
      <c r="K96" s="6" t="n">
        <v>3</v>
      </c>
      <c r="L96" s="6"/>
      <c r="M96" s="6"/>
    </row>
    <row r="97" customFormat="false" ht="15.75" hidden="false" customHeight="false" outlineLevel="0" collapsed="false">
      <c r="A97" s="0" t="s">
        <v>123</v>
      </c>
      <c r="B97" s="1" t="n">
        <v>43957</v>
      </c>
      <c r="C97" s="6" t="n">
        <v>82881</v>
      </c>
      <c r="D97" s="6" t="n">
        <v>1</v>
      </c>
      <c r="E97" s="6" t="n">
        <v>4633</v>
      </c>
      <c r="F97" s="6"/>
      <c r="G97" s="6" t="n">
        <v>77853</v>
      </c>
      <c r="H97" s="6" t="n">
        <v>395</v>
      </c>
      <c r="I97" s="6" t="n">
        <v>29</v>
      </c>
      <c r="J97" s="6" t="n">
        <v>58</v>
      </c>
      <c r="K97" s="6" t="n">
        <v>3</v>
      </c>
      <c r="L97" s="6"/>
      <c r="M97" s="6"/>
    </row>
    <row r="98" customFormat="false" ht="15.75" hidden="false" customHeight="false" outlineLevel="0" collapsed="false">
      <c r="A98" s="0" t="s">
        <v>123</v>
      </c>
      <c r="B98" s="1" t="n">
        <v>43958</v>
      </c>
      <c r="C98" s="6" t="n">
        <v>82883</v>
      </c>
      <c r="D98" s="6" t="n">
        <v>2</v>
      </c>
      <c r="E98" s="6" t="n">
        <v>4633</v>
      </c>
      <c r="F98" s="6"/>
      <c r="G98" s="6" t="n">
        <v>77911</v>
      </c>
      <c r="H98" s="6" t="n">
        <v>339</v>
      </c>
      <c r="I98" s="6" t="n">
        <v>26</v>
      </c>
      <c r="J98" s="6" t="n">
        <v>58</v>
      </c>
      <c r="K98" s="6" t="n">
        <v>3</v>
      </c>
      <c r="L98" s="6"/>
      <c r="M98" s="6"/>
    </row>
    <row r="99" customFormat="false" ht="15.75" hidden="false" customHeight="false" outlineLevel="0" collapsed="false">
      <c r="A99" s="0" t="s">
        <v>123</v>
      </c>
      <c r="B99" s="1" t="n">
        <v>43959</v>
      </c>
      <c r="C99" s="6" t="n">
        <v>82885</v>
      </c>
      <c r="D99" s="6" t="n">
        <v>2</v>
      </c>
      <c r="E99" s="6" t="n">
        <v>4633</v>
      </c>
      <c r="F99" s="6"/>
      <c r="G99" s="6" t="n">
        <v>77957</v>
      </c>
      <c r="H99" s="6" t="n">
        <v>295</v>
      </c>
      <c r="I99" s="6" t="n">
        <v>23</v>
      </c>
      <c r="J99" s="6" t="n">
        <v>58</v>
      </c>
      <c r="K99" s="6" t="n">
        <v>3</v>
      </c>
      <c r="L99" s="6"/>
      <c r="M99" s="6"/>
    </row>
    <row r="100" customFormat="false" ht="15.75" hidden="false" customHeight="false" outlineLevel="0" collapsed="false">
      <c r="A100" s="0" t="s">
        <v>123</v>
      </c>
      <c r="B100" s="1" t="n">
        <v>43960</v>
      </c>
      <c r="C100" s="6" t="n">
        <v>82886</v>
      </c>
      <c r="D100" s="6" t="n">
        <v>1</v>
      </c>
      <c r="E100" s="6" t="n">
        <v>4633</v>
      </c>
      <c r="F100" s="6"/>
      <c r="G100" s="6" t="n">
        <v>77993</v>
      </c>
      <c r="H100" s="6" t="n">
        <v>260</v>
      </c>
      <c r="I100" s="6" t="n">
        <v>18</v>
      </c>
      <c r="J100" s="6" t="n">
        <v>58</v>
      </c>
      <c r="K100" s="6" t="n">
        <v>3</v>
      </c>
      <c r="L100" s="6"/>
      <c r="M100" s="6"/>
    </row>
    <row r="101" customFormat="false" ht="15.75" hidden="false" customHeight="false" outlineLevel="0" collapsed="false">
      <c r="A101" s="0" t="s">
        <v>123</v>
      </c>
      <c r="B101" s="1" t="n">
        <v>43961</v>
      </c>
      <c r="C101" s="6" t="n">
        <v>82887</v>
      </c>
      <c r="D101" s="6" t="n">
        <v>1</v>
      </c>
      <c r="E101" s="6" t="n">
        <v>4633</v>
      </c>
      <c r="F101" s="6"/>
      <c r="G101" s="6" t="n">
        <v>78046</v>
      </c>
      <c r="H101" s="6" t="n">
        <v>208</v>
      </c>
      <c r="I101" s="6" t="n">
        <v>15</v>
      </c>
      <c r="J101" s="6" t="n">
        <v>58</v>
      </c>
      <c r="K101" s="6" t="n">
        <v>3</v>
      </c>
      <c r="L101" s="6"/>
      <c r="M101" s="6"/>
    </row>
    <row r="102" customFormat="false" ht="15.75" hidden="false" customHeight="false" outlineLevel="0" collapsed="false">
      <c r="A102" s="0" t="s">
        <v>123</v>
      </c>
      <c r="B102" s="1" t="n">
        <v>43962</v>
      </c>
      <c r="C102" s="6" t="n">
        <v>82901</v>
      </c>
      <c r="D102" s="6" t="n">
        <v>14</v>
      </c>
      <c r="E102" s="6" t="n">
        <v>4633</v>
      </c>
      <c r="F102" s="6"/>
      <c r="G102" s="6" t="n">
        <v>78120</v>
      </c>
      <c r="H102" s="6" t="n">
        <v>148</v>
      </c>
      <c r="I102" s="6" t="n">
        <v>13</v>
      </c>
      <c r="J102" s="6" t="n">
        <v>58</v>
      </c>
      <c r="K102" s="6" t="n">
        <v>3</v>
      </c>
      <c r="L102" s="6"/>
      <c r="M102" s="6"/>
    </row>
    <row r="103" customFormat="false" ht="15.75" hidden="false" customHeight="false" outlineLevel="0" collapsed="false">
      <c r="A103" s="0" t="s">
        <v>123</v>
      </c>
      <c r="B103" s="1" t="n">
        <v>43963</v>
      </c>
      <c r="C103" s="6" t="n">
        <v>82918</v>
      </c>
      <c r="D103" s="6" t="n">
        <v>17</v>
      </c>
      <c r="E103" s="6" t="n">
        <v>4633</v>
      </c>
      <c r="F103" s="6"/>
      <c r="G103" s="6" t="n">
        <v>78144</v>
      </c>
      <c r="H103" s="6" t="n">
        <v>141</v>
      </c>
      <c r="I103" s="6" t="n">
        <v>9</v>
      </c>
      <c r="J103" s="6" t="n">
        <v>58</v>
      </c>
      <c r="K103" s="6" t="n">
        <v>3</v>
      </c>
      <c r="L103" s="6"/>
      <c r="M103" s="6"/>
    </row>
    <row r="104" customFormat="false" ht="15.75" hidden="false" customHeight="false" outlineLevel="0" collapsed="false">
      <c r="A104" s="0" t="s">
        <v>123</v>
      </c>
      <c r="B104" s="1" t="n">
        <v>43964</v>
      </c>
      <c r="C104" s="6" t="n">
        <v>82919</v>
      </c>
      <c r="D104" s="6" t="n">
        <v>1</v>
      </c>
      <c r="E104" s="6" t="n">
        <v>4633</v>
      </c>
      <c r="F104" s="6"/>
      <c r="G104" s="6" t="n">
        <v>78171</v>
      </c>
      <c r="H104" s="6" t="n">
        <v>115</v>
      </c>
      <c r="I104" s="6" t="n">
        <v>10</v>
      </c>
      <c r="J104" s="6" t="n">
        <v>58</v>
      </c>
      <c r="K104" s="6" t="n">
        <v>3</v>
      </c>
      <c r="L104" s="6"/>
      <c r="M104" s="6"/>
    </row>
    <row r="105" customFormat="false" ht="15.75" hidden="false" customHeight="false" outlineLevel="0" collapsed="false">
      <c r="A105" s="0" t="s">
        <v>123</v>
      </c>
      <c r="B105" s="1" t="n">
        <v>43965</v>
      </c>
      <c r="C105" s="6" t="n">
        <v>82926</v>
      </c>
      <c r="D105" s="6" t="n">
        <v>7</v>
      </c>
      <c r="E105" s="6" t="n">
        <v>4633</v>
      </c>
      <c r="F105" s="6"/>
      <c r="G105" s="6" t="n">
        <v>78189</v>
      </c>
      <c r="H105" s="6" t="n">
        <v>104</v>
      </c>
      <c r="I105" s="6" t="n">
        <v>10</v>
      </c>
      <c r="J105" s="6" t="n">
        <v>58</v>
      </c>
      <c r="K105" s="6" t="n">
        <v>3</v>
      </c>
      <c r="L105" s="6"/>
      <c r="M105" s="6"/>
    </row>
    <row r="106" customFormat="false" ht="15.75" hidden="false" customHeight="false" outlineLevel="0" collapsed="false">
      <c r="A106" s="0" t="s">
        <v>123</v>
      </c>
      <c r="B106" s="1" t="n">
        <v>43966</v>
      </c>
      <c r="C106" s="6" t="n">
        <v>82929</v>
      </c>
      <c r="D106" s="6" t="n">
        <v>3</v>
      </c>
      <c r="E106" s="6" t="n">
        <v>4633</v>
      </c>
      <c r="F106" s="6"/>
      <c r="G106" s="6" t="n">
        <v>78195</v>
      </c>
      <c r="H106" s="6" t="n">
        <v>101</v>
      </c>
      <c r="I106" s="6" t="n">
        <v>9</v>
      </c>
      <c r="J106" s="6" t="n">
        <v>58</v>
      </c>
      <c r="K106" s="6" t="n">
        <v>3</v>
      </c>
      <c r="L106" s="6"/>
      <c r="M106" s="6"/>
    </row>
    <row r="107" customFormat="false" ht="15.75" hidden="false" customHeight="false" outlineLevel="0" collapsed="false">
      <c r="A107" s="0" t="s">
        <v>123</v>
      </c>
      <c r="B107" s="1" t="n">
        <v>43967</v>
      </c>
      <c r="C107" s="6" t="n">
        <v>82933</v>
      </c>
      <c r="D107" s="6" t="n">
        <v>4</v>
      </c>
      <c r="E107" s="6" t="n">
        <v>4633</v>
      </c>
      <c r="F107" s="6"/>
      <c r="G107" s="6" t="n">
        <v>78209</v>
      </c>
      <c r="H107" s="6" t="n">
        <v>91</v>
      </c>
      <c r="I107" s="6" t="n">
        <v>11</v>
      </c>
      <c r="J107" s="6" t="n">
        <v>58</v>
      </c>
      <c r="K107" s="6" t="n">
        <v>3</v>
      </c>
      <c r="L107" s="6"/>
      <c r="M107" s="6"/>
    </row>
    <row r="108" customFormat="false" ht="15.75" hidden="false" customHeight="false" outlineLevel="0" collapsed="false">
      <c r="A108" s="0" t="s">
        <v>123</v>
      </c>
      <c r="B108" s="1" t="n">
        <v>43968</v>
      </c>
      <c r="C108" s="6" t="n">
        <v>82941</v>
      </c>
      <c r="D108" s="6" t="n">
        <v>8</v>
      </c>
      <c r="E108" s="6" t="n">
        <v>4633</v>
      </c>
      <c r="F108" s="6"/>
      <c r="G108" s="6" t="n">
        <v>78219</v>
      </c>
      <c r="H108" s="6" t="n">
        <v>89</v>
      </c>
      <c r="I108" s="6" t="n">
        <v>11</v>
      </c>
      <c r="J108" s="6" t="n">
        <v>58</v>
      </c>
      <c r="K108" s="6" t="n">
        <v>3</v>
      </c>
      <c r="L108" s="6"/>
      <c r="M108" s="6"/>
    </row>
    <row r="109" customFormat="false" ht="15.75" hidden="false" customHeight="false" outlineLevel="0" collapsed="false">
      <c r="A109" s="0" t="s">
        <v>123</v>
      </c>
      <c r="B109" s="1" t="n">
        <v>43969</v>
      </c>
      <c r="C109" s="6" t="n">
        <v>82947</v>
      </c>
      <c r="D109" s="6" t="n">
        <v>6</v>
      </c>
      <c r="E109" s="7" t="n">
        <v>4633</v>
      </c>
      <c r="F109" s="6"/>
      <c r="G109" s="7" t="n">
        <v>78227</v>
      </c>
      <c r="H109" s="6" t="n">
        <v>87</v>
      </c>
      <c r="I109" s="6" t="n">
        <v>10</v>
      </c>
      <c r="J109" s="6" t="n">
        <v>58</v>
      </c>
      <c r="K109" s="6" t="n">
        <v>3</v>
      </c>
      <c r="L109" s="6"/>
      <c r="M109" s="6"/>
    </row>
    <row r="110" customFormat="false" ht="15.75" hidden="false" customHeight="false" outlineLevel="0" collapsed="false">
      <c r="A110" s="0" t="s">
        <v>123</v>
      </c>
      <c r="B110" s="1" t="n">
        <v>43970</v>
      </c>
      <c r="C110" s="6" t="n">
        <v>82954</v>
      </c>
      <c r="D110" s="6" t="n">
        <v>7</v>
      </c>
      <c r="E110" s="6" t="n">
        <v>4634</v>
      </c>
      <c r="F110" s="6"/>
      <c r="G110" s="6" t="n">
        <v>78238</v>
      </c>
      <c r="H110" s="6" t="n">
        <v>82</v>
      </c>
      <c r="I110" s="6" t="n">
        <v>8</v>
      </c>
      <c r="J110" s="6" t="n">
        <v>58</v>
      </c>
      <c r="K110" s="6" t="n">
        <v>3</v>
      </c>
      <c r="L110" s="6"/>
      <c r="M110" s="6"/>
    </row>
    <row r="111" customFormat="false" ht="15.75" hidden="false" customHeight="false" outlineLevel="0" collapsed="false">
      <c r="A111" s="0" t="s">
        <v>123</v>
      </c>
      <c r="B111" s="1" t="n">
        <v>43971</v>
      </c>
      <c r="C111" s="6" t="n">
        <v>82960</v>
      </c>
      <c r="D111" s="6" t="n">
        <v>6</v>
      </c>
      <c r="E111" s="6" t="n">
        <v>4634</v>
      </c>
      <c r="F111" s="6"/>
      <c r="G111" s="6" t="n">
        <v>78241</v>
      </c>
      <c r="H111" s="6" t="n">
        <v>85</v>
      </c>
      <c r="I111" s="6" t="n">
        <v>10</v>
      </c>
      <c r="J111" s="6" t="n">
        <v>58</v>
      </c>
      <c r="K111" s="6" t="n">
        <v>3</v>
      </c>
      <c r="L111" s="6"/>
      <c r="M111" s="6"/>
    </row>
    <row r="112" customFormat="false" ht="15.75" hidden="false" customHeight="false" outlineLevel="0" collapsed="false">
      <c r="A112" s="0" t="s">
        <v>123</v>
      </c>
      <c r="B112" s="1" t="n">
        <v>43972</v>
      </c>
      <c r="C112" s="6" t="n">
        <v>82965</v>
      </c>
      <c r="D112" s="6" t="n">
        <v>5</v>
      </c>
      <c r="E112" s="6" t="n">
        <v>4634</v>
      </c>
      <c r="F112" s="6"/>
      <c r="G112" s="6" t="n">
        <v>78244</v>
      </c>
      <c r="H112" s="6" t="n">
        <v>87</v>
      </c>
      <c r="I112" s="6" t="n">
        <v>9</v>
      </c>
      <c r="J112" s="6" t="n">
        <v>58</v>
      </c>
      <c r="K112" s="6" t="n">
        <v>3</v>
      </c>
      <c r="L112" s="6"/>
      <c r="M112" s="6"/>
    </row>
    <row r="113" customFormat="false" ht="15.75" hidden="false" customHeight="false" outlineLevel="0" collapsed="false">
      <c r="A113" s="0" t="s">
        <v>123</v>
      </c>
      <c r="B113" s="1" t="n">
        <v>43973</v>
      </c>
      <c r="C113" s="6" t="n">
        <v>82967</v>
      </c>
      <c r="D113" s="6" t="n">
        <v>2</v>
      </c>
      <c r="E113" s="6" t="n">
        <v>4634</v>
      </c>
      <c r="F113" s="6"/>
      <c r="G113" s="6" t="n">
        <v>78249</v>
      </c>
      <c r="H113" s="6" t="n">
        <v>84</v>
      </c>
      <c r="I113" s="6" t="n">
        <v>8</v>
      </c>
      <c r="J113" s="6"/>
      <c r="K113" s="6"/>
      <c r="L113" s="6"/>
      <c r="M113" s="6"/>
    </row>
    <row r="114" customFormat="false" ht="15.75" hidden="false" customHeight="false" outlineLevel="0" collapsed="false">
      <c r="A114" s="0" t="s">
        <v>123</v>
      </c>
      <c r="B114" s="1" t="n">
        <v>43974</v>
      </c>
      <c r="C114" s="6" t="n">
        <v>82971</v>
      </c>
      <c r="D114" s="6" t="n">
        <v>4</v>
      </c>
      <c r="E114" s="6" t="n">
        <v>4634</v>
      </c>
      <c r="F114" s="6"/>
      <c r="G114" s="6" t="n">
        <v>78255</v>
      </c>
      <c r="H114" s="6" t="n">
        <v>82</v>
      </c>
      <c r="I114" s="6" t="n">
        <v>8</v>
      </c>
      <c r="J114" s="6" t="n">
        <v>58</v>
      </c>
      <c r="K114" s="6" t="n">
        <v>3</v>
      </c>
      <c r="L114" s="6"/>
      <c r="M114" s="6"/>
    </row>
    <row r="115" customFormat="false" ht="15.75" hidden="false" customHeight="false" outlineLevel="0" collapsed="false">
      <c r="A115" s="0" t="s">
        <v>123</v>
      </c>
      <c r="B115" s="1" t="n">
        <v>43975</v>
      </c>
      <c r="C115" s="6" t="n">
        <v>82971</v>
      </c>
      <c r="D115" s="6"/>
      <c r="E115" s="6" t="n">
        <v>4634</v>
      </c>
      <c r="F115" s="6"/>
      <c r="G115" s="6" t="n">
        <v>78258</v>
      </c>
      <c r="H115" s="6" t="n">
        <v>79</v>
      </c>
      <c r="I115" s="6" t="n">
        <v>9</v>
      </c>
      <c r="J115" s="6" t="n">
        <v>58</v>
      </c>
      <c r="K115" s="6" t="n">
        <v>3</v>
      </c>
      <c r="L115" s="6"/>
      <c r="M115" s="6"/>
    </row>
    <row r="116" customFormat="false" ht="15.75" hidden="false" customHeight="false" outlineLevel="0" collapsed="false">
      <c r="A116" s="0" t="s">
        <v>123</v>
      </c>
      <c r="B116" s="1" t="n">
        <v>43976</v>
      </c>
      <c r="C116" s="6" t="n">
        <v>82974</v>
      </c>
      <c r="D116" s="6" t="n">
        <v>3</v>
      </c>
      <c r="E116" s="6" t="n">
        <v>4634</v>
      </c>
      <c r="F116" s="6"/>
      <c r="G116" s="6" t="n">
        <v>78261</v>
      </c>
      <c r="H116" s="6" t="n">
        <v>79</v>
      </c>
      <c r="I116" s="6" t="n">
        <v>8</v>
      </c>
      <c r="J116" s="6" t="n">
        <v>58</v>
      </c>
      <c r="K116" s="6" t="n">
        <v>3</v>
      </c>
      <c r="L116" s="6"/>
      <c r="M116" s="6"/>
    </row>
    <row r="117" customFormat="false" ht="15.75" hidden="false" customHeight="false" outlineLevel="0" collapsed="false">
      <c r="A117" s="0" t="s">
        <v>123</v>
      </c>
      <c r="B117" s="1" t="n">
        <v>43977</v>
      </c>
      <c r="C117" s="6" t="n">
        <v>82985</v>
      </c>
      <c r="D117" s="6" t="n">
        <v>11</v>
      </c>
      <c r="E117" s="6" t="n">
        <v>4634</v>
      </c>
      <c r="F117" s="6"/>
      <c r="G117" s="6" t="n">
        <v>78268</v>
      </c>
      <c r="H117" s="6" t="n">
        <v>83</v>
      </c>
      <c r="I117" s="6" t="n">
        <v>7</v>
      </c>
      <c r="J117" s="6" t="n">
        <v>58</v>
      </c>
      <c r="K117" s="6" t="n">
        <v>3</v>
      </c>
      <c r="L117" s="6"/>
      <c r="M117" s="6"/>
    </row>
    <row r="118" customFormat="false" ht="15.75" hidden="false" customHeight="false" outlineLevel="0" collapsed="false">
      <c r="A118" s="0" t="s">
        <v>123</v>
      </c>
      <c r="B118" s="1" t="n">
        <v>43978</v>
      </c>
      <c r="C118" s="6" t="n">
        <v>82992</v>
      </c>
      <c r="D118" s="6" t="n">
        <v>7</v>
      </c>
      <c r="E118" s="6" t="n">
        <v>4634</v>
      </c>
      <c r="F118" s="6"/>
      <c r="G118" s="6" t="n">
        <v>78277</v>
      </c>
      <c r="H118" s="6" t="n">
        <v>81</v>
      </c>
      <c r="I118" s="6" t="n">
        <v>7</v>
      </c>
      <c r="J118" s="6" t="n">
        <v>58</v>
      </c>
      <c r="K118" s="6" t="n">
        <v>3</v>
      </c>
      <c r="L118" s="6"/>
      <c r="M118" s="6"/>
    </row>
    <row r="119" customFormat="false" ht="15.75" hidden="false" customHeight="false" outlineLevel="0" collapsed="false">
      <c r="A119" s="0" t="s">
        <v>123</v>
      </c>
      <c r="B119" s="1" t="n">
        <v>43979</v>
      </c>
      <c r="C119" s="7" t="n">
        <v>82993</v>
      </c>
      <c r="D119" s="6" t="n">
        <v>1</v>
      </c>
      <c r="E119" s="7" t="n">
        <v>4634</v>
      </c>
      <c r="F119" s="6"/>
      <c r="G119" s="7" t="n">
        <v>78280</v>
      </c>
      <c r="H119" s="6" t="n">
        <v>79</v>
      </c>
      <c r="I119" s="6" t="n">
        <v>5</v>
      </c>
      <c r="J119" s="6" t="n">
        <v>58</v>
      </c>
      <c r="K119" s="6" t="n">
        <v>3</v>
      </c>
      <c r="L119" s="6"/>
      <c r="M119" s="6"/>
    </row>
    <row r="120" customFormat="false" ht="15.75" hidden="false" customHeight="false" outlineLevel="0" collapsed="false">
      <c r="A120" s="0" t="s">
        <v>123</v>
      </c>
      <c r="B120" s="1" t="n">
        <v>43980</v>
      </c>
      <c r="C120" s="6" t="n">
        <v>82995</v>
      </c>
      <c r="D120" s="6" t="n">
        <v>2</v>
      </c>
      <c r="E120" s="6" t="n">
        <v>4634</v>
      </c>
      <c r="F120" s="6"/>
      <c r="G120" s="6" t="n">
        <v>78288</v>
      </c>
      <c r="H120" s="6" t="n">
        <v>73</v>
      </c>
      <c r="I120" s="6" t="n">
        <v>4</v>
      </c>
      <c r="J120" s="6" t="n">
        <v>58</v>
      </c>
      <c r="K120" s="6" t="n">
        <v>3</v>
      </c>
      <c r="L120" s="6"/>
      <c r="M120" s="6"/>
    </row>
    <row r="121" customFormat="false" ht="15.75" hidden="false" customHeight="false" outlineLevel="0" collapsed="false">
      <c r="A121" s="0" t="s">
        <v>123</v>
      </c>
      <c r="B121" s="1" t="n">
        <v>43981</v>
      </c>
      <c r="C121" s="6" t="n">
        <v>82995</v>
      </c>
      <c r="D121" s="6"/>
      <c r="E121" s="6" t="n">
        <v>4634</v>
      </c>
      <c r="F121" s="6"/>
      <c r="G121" s="6" t="n">
        <v>78291</v>
      </c>
      <c r="H121" s="6" t="n">
        <v>70</v>
      </c>
      <c r="I121" s="6" t="n">
        <v>4</v>
      </c>
      <c r="J121" s="6" t="n">
        <v>58</v>
      </c>
      <c r="K121" s="6" t="n">
        <v>3</v>
      </c>
      <c r="L121" s="6"/>
      <c r="M121" s="6"/>
    </row>
    <row r="122" customFormat="false" ht="15.75" hidden="false" customHeight="false" outlineLevel="0" collapsed="false">
      <c r="A122" s="0" t="s">
        <v>123</v>
      </c>
      <c r="B122" s="1" t="n">
        <v>43982</v>
      </c>
      <c r="C122" s="6" t="n">
        <v>82999</v>
      </c>
      <c r="D122" s="6" t="n">
        <v>4</v>
      </c>
      <c r="E122" s="6" t="n">
        <v>4634</v>
      </c>
      <c r="F122" s="6"/>
      <c r="G122" s="6" t="n">
        <v>78302</v>
      </c>
      <c r="H122" s="6" t="n">
        <v>63</v>
      </c>
      <c r="I122" s="6" t="n">
        <v>3</v>
      </c>
      <c r="J122" s="6" t="n">
        <v>58</v>
      </c>
      <c r="K122" s="6" t="n">
        <v>3</v>
      </c>
      <c r="L122" s="6"/>
      <c r="M122" s="6"/>
    </row>
    <row r="123" customFormat="false" ht="15.75" hidden="false" customHeight="false" outlineLevel="0" collapsed="false">
      <c r="A123" s="0" t="s">
        <v>123</v>
      </c>
      <c r="B123" s="1" t="n">
        <v>43983</v>
      </c>
      <c r="C123" s="6" t="n">
        <v>83001</v>
      </c>
      <c r="D123" s="6" t="n">
        <v>2</v>
      </c>
      <c r="E123" s="6" t="n">
        <v>4634</v>
      </c>
      <c r="F123" s="6"/>
      <c r="G123" s="6" t="n">
        <v>78304</v>
      </c>
      <c r="H123" s="6" t="n">
        <v>63</v>
      </c>
      <c r="I123" s="6" t="n">
        <v>3</v>
      </c>
      <c r="J123" s="6" t="n">
        <v>58</v>
      </c>
      <c r="K123" s="6" t="n">
        <v>3</v>
      </c>
      <c r="L123" s="6"/>
      <c r="M123" s="6"/>
    </row>
    <row r="124" customFormat="false" ht="15.75" hidden="false" customHeight="false" outlineLevel="0" collapsed="false">
      <c r="A124" s="0" t="s">
        <v>123</v>
      </c>
      <c r="B124" s="1" t="n">
        <v>43984</v>
      </c>
      <c r="C124" s="6" t="n">
        <v>83017</v>
      </c>
      <c r="D124" s="6" t="n">
        <v>16</v>
      </c>
      <c r="E124" s="6" t="n">
        <v>4634</v>
      </c>
      <c r="F124" s="6"/>
      <c r="G124" s="6" t="n">
        <v>78307</v>
      </c>
      <c r="H124" s="6" t="n">
        <v>76</v>
      </c>
      <c r="I124" s="6" t="n">
        <v>3</v>
      </c>
      <c r="J124" s="6" t="n">
        <v>58</v>
      </c>
      <c r="K124" s="6" t="n">
        <v>3</v>
      </c>
      <c r="L124" s="6"/>
      <c r="M124" s="6"/>
    </row>
    <row r="125" customFormat="false" ht="15.75" hidden="false" customHeight="false" outlineLevel="0" collapsed="false">
      <c r="A125" s="0" t="s">
        <v>123</v>
      </c>
      <c r="B125" s="1" t="n">
        <v>43985</v>
      </c>
      <c r="C125" s="6" t="n">
        <v>83021</v>
      </c>
      <c r="D125" s="6" t="n">
        <v>4</v>
      </c>
      <c r="E125" s="6" t="n">
        <v>4634</v>
      </c>
      <c r="F125" s="6"/>
      <c r="G125" s="6" t="n">
        <v>78315</v>
      </c>
      <c r="H125" s="6" t="n">
        <v>73</v>
      </c>
      <c r="I125" s="6" t="n">
        <v>3</v>
      </c>
      <c r="J125" s="6" t="n">
        <v>58</v>
      </c>
      <c r="K125" s="6" t="n">
        <v>3</v>
      </c>
      <c r="L125" s="6"/>
      <c r="M125" s="6"/>
    </row>
    <row r="126" customFormat="false" ht="15.75" hidden="false" customHeight="false" outlineLevel="0" collapsed="false">
      <c r="A126" s="0" t="s">
        <v>123</v>
      </c>
      <c r="B126" s="1" t="n">
        <v>43986</v>
      </c>
      <c r="C126" s="6" t="n">
        <v>83021</v>
      </c>
      <c r="D126" s="6"/>
      <c r="E126" s="6" t="n">
        <v>4634</v>
      </c>
      <c r="F126" s="6"/>
      <c r="G126" s="6" t="n">
        <v>78314</v>
      </c>
      <c r="H126" s="6" t="n">
        <v>73</v>
      </c>
      <c r="I126" s="6" t="n">
        <v>3</v>
      </c>
      <c r="J126" s="6" t="n">
        <v>58</v>
      </c>
      <c r="K126" s="6" t="n">
        <v>3</v>
      </c>
      <c r="L126" s="6"/>
      <c r="M126" s="6"/>
    </row>
    <row r="127" customFormat="false" ht="15.75" hidden="false" customHeight="false" outlineLevel="0" collapsed="false">
      <c r="A127" s="0" t="s">
        <v>123</v>
      </c>
      <c r="B127" s="1" t="n">
        <v>43987</v>
      </c>
      <c r="C127" s="6" t="n">
        <v>83022</v>
      </c>
      <c r="D127" s="6" t="n">
        <v>1</v>
      </c>
      <c r="E127" s="6" t="n">
        <v>4634</v>
      </c>
      <c r="F127" s="6"/>
      <c r="G127" s="6" t="n">
        <v>78319</v>
      </c>
      <c r="H127" s="6" t="n">
        <v>69</v>
      </c>
      <c r="I127" s="6" t="n">
        <v>3</v>
      </c>
      <c r="J127" s="6" t="n">
        <v>58</v>
      </c>
      <c r="K127" s="6" t="n">
        <v>3</v>
      </c>
      <c r="L127" s="6"/>
      <c r="M127" s="6"/>
    </row>
    <row r="128" customFormat="false" ht="15.75" hidden="false" customHeight="false" outlineLevel="0" collapsed="false">
      <c r="A128" s="0" t="s">
        <v>123</v>
      </c>
      <c r="B128" s="1" t="n">
        <v>43988</v>
      </c>
      <c r="C128" s="6" t="n">
        <v>83027</v>
      </c>
      <c r="D128" s="6" t="n">
        <v>5</v>
      </c>
      <c r="E128" s="6" t="n">
        <v>4634</v>
      </c>
      <c r="F128" s="6"/>
      <c r="G128" s="6" t="n">
        <v>78327</v>
      </c>
      <c r="H128" s="6" t="n">
        <v>66</v>
      </c>
      <c r="I128" s="6" t="n">
        <v>2</v>
      </c>
      <c r="J128" s="6" t="n">
        <v>58</v>
      </c>
      <c r="K128" s="6" t="n">
        <v>3</v>
      </c>
      <c r="L128" s="6"/>
      <c r="M128" s="6"/>
    </row>
    <row r="129" customFormat="false" ht="15.75" hidden="false" customHeight="false" outlineLevel="0" collapsed="false">
      <c r="A129" s="0" t="s">
        <v>123</v>
      </c>
      <c r="B129" s="1" t="n">
        <v>43989</v>
      </c>
      <c r="C129" s="6" t="n">
        <v>83030</v>
      </c>
      <c r="D129" s="6" t="n">
        <v>3</v>
      </c>
      <c r="E129" s="6" t="n">
        <v>4634</v>
      </c>
      <c r="F129" s="6"/>
      <c r="G129" s="6" t="n">
        <v>78329</v>
      </c>
      <c r="H129" s="6" t="n">
        <v>67</v>
      </c>
      <c r="I129" s="6" t="n">
        <v>2</v>
      </c>
      <c r="J129" s="6" t="n">
        <v>58</v>
      </c>
      <c r="K129" s="6" t="n">
        <v>3</v>
      </c>
      <c r="L129" s="6"/>
      <c r="M129" s="6"/>
    </row>
    <row r="130" customFormat="false" ht="15.75" hidden="false" customHeight="false" outlineLevel="0" collapsed="false">
      <c r="A130" s="0" t="s">
        <v>123</v>
      </c>
      <c r="B130" s="1" t="n">
        <v>43990</v>
      </c>
      <c r="C130" s="6" t="n">
        <v>83036</v>
      </c>
      <c r="D130" s="6" t="n">
        <v>6</v>
      </c>
      <c r="E130" s="6" t="n">
        <v>4634</v>
      </c>
      <c r="F130" s="6"/>
      <c r="G130" s="6" t="n">
        <v>78332</v>
      </c>
      <c r="H130" s="6" t="n">
        <v>70</v>
      </c>
      <c r="I130" s="6" t="n">
        <v>1</v>
      </c>
      <c r="J130" s="6" t="n">
        <v>58</v>
      </c>
      <c r="K130" s="6" t="n">
        <v>3</v>
      </c>
      <c r="L130" s="6"/>
      <c r="M130" s="6"/>
    </row>
    <row r="131" customFormat="false" ht="15.75" hidden="false" customHeight="false" outlineLevel="0" collapsed="false">
      <c r="A131" s="0" t="s">
        <v>123</v>
      </c>
      <c r="B131" s="1" t="n">
        <v>43991</v>
      </c>
      <c r="C131" s="6" t="n">
        <v>83040</v>
      </c>
      <c r="D131" s="6" t="n">
        <v>4</v>
      </c>
      <c r="E131" s="6" t="n">
        <v>4634</v>
      </c>
      <c r="F131" s="6"/>
      <c r="G131" s="6" t="n">
        <v>78341</v>
      </c>
      <c r="H131" s="6" t="n">
        <v>65</v>
      </c>
      <c r="I131" s="6" t="n">
        <v>1</v>
      </c>
      <c r="J131" s="6" t="n">
        <v>58</v>
      </c>
      <c r="K131" s="6" t="n">
        <v>3</v>
      </c>
      <c r="L131" s="6"/>
      <c r="M131" s="6"/>
    </row>
    <row r="132" customFormat="false" ht="15.75" hidden="false" customHeight="false" outlineLevel="0" collapsed="false">
      <c r="A132" s="0" t="s">
        <v>123</v>
      </c>
      <c r="B132" s="1" t="n">
        <v>43992</v>
      </c>
      <c r="C132" s="6" t="n">
        <v>83043</v>
      </c>
      <c r="D132" s="6" t="n">
        <v>3</v>
      </c>
      <c r="E132" s="6" t="n">
        <v>4634</v>
      </c>
      <c r="F132" s="6"/>
      <c r="G132" s="6" t="n">
        <v>78351</v>
      </c>
      <c r="H132" s="6" t="n">
        <v>58</v>
      </c>
      <c r="I132" s="6" t="n">
        <v>1</v>
      </c>
      <c r="J132" s="6" t="n">
        <v>58</v>
      </c>
      <c r="K132" s="6" t="n">
        <v>3</v>
      </c>
      <c r="L132" s="6"/>
      <c r="M132" s="6"/>
    </row>
    <row r="133" customFormat="false" ht="15.75" hidden="false" customHeight="false" outlineLevel="0" collapsed="false">
      <c r="A133" s="0" t="s">
        <v>123</v>
      </c>
      <c r="B133" s="1" t="n">
        <v>43993</v>
      </c>
      <c r="C133" s="6" t="n">
        <v>83046</v>
      </c>
      <c r="D133" s="6" t="n">
        <v>3</v>
      </c>
      <c r="E133" s="6" t="n">
        <v>4634</v>
      </c>
      <c r="F133" s="6"/>
      <c r="G133" s="6" t="n">
        <v>78357</v>
      </c>
      <c r="H133" s="6" t="n">
        <v>55</v>
      </c>
      <c r="I133" s="6" t="n">
        <v>1</v>
      </c>
      <c r="J133" s="6" t="n">
        <v>58</v>
      </c>
      <c r="K133" s="6" t="n">
        <v>3</v>
      </c>
      <c r="L133" s="6"/>
      <c r="M133" s="6"/>
    </row>
    <row r="134" customFormat="false" ht="15.75" hidden="false" customHeight="false" outlineLevel="0" collapsed="false">
      <c r="A134" s="0" t="s">
        <v>123</v>
      </c>
      <c r="B134" s="1" t="n">
        <v>43994</v>
      </c>
      <c r="C134" s="6" t="n">
        <v>83057</v>
      </c>
      <c r="D134" s="6" t="n">
        <v>11</v>
      </c>
      <c r="E134" s="6" t="n">
        <v>4634</v>
      </c>
      <c r="F134" s="6"/>
      <c r="G134" s="6" t="n">
        <v>78361</v>
      </c>
      <c r="H134" s="6" t="n">
        <v>62</v>
      </c>
      <c r="I134" s="6"/>
      <c r="J134" s="6" t="n">
        <v>58</v>
      </c>
      <c r="K134" s="6" t="n">
        <v>3</v>
      </c>
      <c r="L134" s="6"/>
      <c r="M134" s="6"/>
    </row>
    <row r="135" customFormat="false" ht="15.75" hidden="false" customHeight="false" outlineLevel="0" collapsed="false">
      <c r="A135" s="0" t="s">
        <v>123</v>
      </c>
      <c r="B135" s="1" t="n">
        <v>43995</v>
      </c>
      <c r="C135" s="6" t="n">
        <v>83064</v>
      </c>
      <c r="D135" s="6" t="n">
        <v>7</v>
      </c>
      <c r="E135" s="6" t="n">
        <v>4634</v>
      </c>
      <c r="F135" s="6"/>
      <c r="G135" s="6" t="n">
        <v>78365</v>
      </c>
      <c r="H135" s="6" t="n">
        <v>65</v>
      </c>
      <c r="I135" s="6"/>
      <c r="J135" s="6" t="n">
        <v>58</v>
      </c>
      <c r="K135" s="6" t="n">
        <v>3</v>
      </c>
      <c r="L135" s="6"/>
      <c r="M135" s="6"/>
    </row>
    <row r="136" customFormat="false" ht="15.75" hidden="false" customHeight="false" outlineLevel="0" collapsed="false">
      <c r="A136" s="0" t="s">
        <v>123</v>
      </c>
      <c r="B136" s="1" t="n">
        <v>43996</v>
      </c>
      <c r="C136" s="6" t="n">
        <v>83075</v>
      </c>
      <c r="D136" s="6" t="n">
        <v>11</v>
      </c>
      <c r="E136" s="6" t="n">
        <v>4634</v>
      </c>
      <c r="F136" s="6"/>
      <c r="G136" s="6" t="n">
        <v>78367</v>
      </c>
      <c r="H136" s="6" t="n">
        <v>74</v>
      </c>
      <c r="I136" s="6"/>
      <c r="J136" s="6" t="n">
        <v>58</v>
      </c>
      <c r="K136" s="6" t="n">
        <v>3</v>
      </c>
      <c r="L136" s="6"/>
      <c r="M136" s="6"/>
    </row>
    <row r="137" customFormat="false" ht="15.75" hidden="false" customHeight="false" outlineLevel="0" collapsed="false">
      <c r="A137" s="0" t="s">
        <v>123</v>
      </c>
      <c r="B137" s="1" t="n">
        <v>43997</v>
      </c>
      <c r="C137" s="6" t="n">
        <v>83132</v>
      </c>
      <c r="D137" s="6" t="n">
        <v>57</v>
      </c>
      <c r="E137" s="6" t="n">
        <v>4634</v>
      </c>
      <c r="F137" s="6"/>
      <c r="G137" s="6" t="n">
        <v>78369</v>
      </c>
      <c r="H137" s="6" t="n">
        <v>129</v>
      </c>
      <c r="I137" s="6"/>
      <c r="J137" s="6" t="n">
        <v>58</v>
      </c>
      <c r="K137" s="6" t="n">
        <v>3</v>
      </c>
      <c r="L137" s="6"/>
      <c r="M137" s="6"/>
    </row>
    <row r="138" customFormat="false" ht="15.75" hidden="false" customHeight="false" outlineLevel="0" collapsed="false">
      <c r="A138" s="0" t="s">
        <v>123</v>
      </c>
      <c r="B138" s="1" t="n">
        <v>43998</v>
      </c>
      <c r="C138" s="6" t="n">
        <v>83181</v>
      </c>
      <c r="D138" s="6" t="n">
        <v>49</v>
      </c>
      <c r="E138" s="6" t="n">
        <v>4634</v>
      </c>
      <c r="F138" s="6"/>
      <c r="G138" s="6" t="n">
        <v>78370</v>
      </c>
      <c r="H138" s="6" t="n">
        <v>177</v>
      </c>
      <c r="I138" s="6"/>
      <c r="J138" s="6" t="n">
        <v>58</v>
      </c>
      <c r="K138" s="6" t="n">
        <v>3</v>
      </c>
      <c r="L138" s="6"/>
      <c r="M138" s="6"/>
    </row>
    <row r="139" customFormat="false" ht="15.75" hidden="false" customHeight="false" outlineLevel="0" collapsed="false">
      <c r="A139" s="0" t="s">
        <v>123</v>
      </c>
      <c r="B139" s="1" t="n">
        <v>43999</v>
      </c>
      <c r="C139" s="6" t="n">
        <v>83221</v>
      </c>
      <c r="D139" s="6" t="n">
        <v>40</v>
      </c>
      <c r="E139" s="6" t="n">
        <v>4634</v>
      </c>
      <c r="F139" s="6"/>
      <c r="G139" s="6" t="n">
        <v>78377</v>
      </c>
      <c r="H139" s="6" t="n">
        <v>210</v>
      </c>
      <c r="I139" s="6" t="n">
        <v>3</v>
      </c>
      <c r="J139" s="6" t="n">
        <v>58</v>
      </c>
      <c r="K139" s="6" t="n">
        <v>3</v>
      </c>
      <c r="L139" s="6"/>
      <c r="M139" s="6"/>
    </row>
    <row r="140" customFormat="false" ht="15.75" hidden="false" customHeight="false" outlineLevel="0" collapsed="false">
      <c r="A140" s="0" t="s">
        <v>123</v>
      </c>
      <c r="B140" s="1" t="n">
        <v>44000</v>
      </c>
      <c r="C140" s="6" t="n">
        <v>83265</v>
      </c>
      <c r="D140" s="6" t="n">
        <v>44</v>
      </c>
      <c r="E140" s="6" t="n">
        <v>4634</v>
      </c>
      <c r="F140" s="6"/>
      <c r="G140" s="6" t="n">
        <v>78379</v>
      </c>
      <c r="H140" s="6" t="n">
        <v>252</v>
      </c>
      <c r="I140" s="6" t="n">
        <v>5</v>
      </c>
      <c r="J140" s="6" t="n">
        <v>58</v>
      </c>
      <c r="K140" s="6" t="n">
        <v>3</v>
      </c>
      <c r="L140" s="6"/>
      <c r="M140" s="6"/>
    </row>
    <row r="141" customFormat="false" ht="15.75" hidden="false" customHeight="false" outlineLevel="0" collapsed="false">
      <c r="A141" s="0" t="s">
        <v>123</v>
      </c>
      <c r="B141" s="1" t="n">
        <v>44001</v>
      </c>
      <c r="C141" s="16" t="n">
        <v>83293</v>
      </c>
      <c r="D141" s="16" t="n">
        <v>28</v>
      </c>
      <c r="E141" s="16" t="n">
        <v>4634</v>
      </c>
      <c r="F141" s="16"/>
      <c r="G141" s="16" t="n">
        <v>78394</v>
      </c>
      <c r="H141" s="16" t="n">
        <v>265</v>
      </c>
      <c r="I141" s="16" t="n">
        <v>7</v>
      </c>
      <c r="J141" s="16" t="n">
        <v>58</v>
      </c>
      <c r="K141" s="16" t="n">
        <v>3</v>
      </c>
      <c r="L141" s="16"/>
      <c r="M141" s="16"/>
    </row>
    <row r="142" customFormat="false" ht="15.75" hidden="false" customHeight="false" outlineLevel="0" collapsed="false">
      <c r="A142" s="0" t="s">
        <v>123</v>
      </c>
      <c r="B142" s="1" t="n">
        <v>44002</v>
      </c>
      <c r="C142" s="6" t="n">
        <v>83325</v>
      </c>
      <c r="D142" s="6" t="n">
        <v>32</v>
      </c>
      <c r="E142" s="6" t="n">
        <v>4634</v>
      </c>
      <c r="F142" s="6"/>
      <c r="G142" s="6" t="n">
        <v>78398</v>
      </c>
      <c r="H142" s="6" t="n">
        <v>293</v>
      </c>
      <c r="I142" s="6" t="n">
        <v>11</v>
      </c>
      <c r="J142" s="6" t="n">
        <v>58</v>
      </c>
      <c r="K142" s="6" t="n">
        <v>3</v>
      </c>
      <c r="L142" s="6"/>
      <c r="M142" s="6"/>
    </row>
    <row r="143" customFormat="false" ht="15.75" hidden="false" customHeight="false" outlineLevel="0" collapsed="false">
      <c r="A143" s="0" t="s">
        <v>123</v>
      </c>
      <c r="B143" s="1" t="n">
        <v>44003</v>
      </c>
      <c r="C143" s="6" t="n">
        <v>83352</v>
      </c>
      <c r="D143" s="6" t="n">
        <v>27</v>
      </c>
      <c r="E143" s="6" t="n">
        <v>4634</v>
      </c>
      <c r="F143" s="6"/>
      <c r="G143" s="6" t="n">
        <v>78410</v>
      </c>
      <c r="H143" s="6" t="n">
        <v>308</v>
      </c>
      <c r="I143" s="6" t="n">
        <v>11</v>
      </c>
      <c r="J143" s="6" t="n">
        <v>58</v>
      </c>
      <c r="K143" s="6" t="n">
        <v>3</v>
      </c>
      <c r="L143" s="6"/>
      <c r="M143" s="6"/>
    </row>
    <row r="144" customFormat="false" ht="15.75" hidden="false" customHeight="false" outlineLevel="0" collapsed="false">
      <c r="A144" s="0" t="s">
        <v>123</v>
      </c>
      <c r="B144" s="1" t="n">
        <v>44004</v>
      </c>
      <c r="C144" s="16" t="n">
        <v>83378</v>
      </c>
      <c r="D144" s="16" t="n">
        <v>26</v>
      </c>
      <c r="E144" s="16" t="n">
        <v>4634</v>
      </c>
      <c r="F144" s="16"/>
      <c r="G144" s="16" t="n">
        <v>78413</v>
      </c>
      <c r="H144" s="16" t="n">
        <v>331</v>
      </c>
      <c r="I144" s="16" t="n">
        <v>13</v>
      </c>
      <c r="J144" s="16" t="n">
        <v>58</v>
      </c>
      <c r="K144" s="16" t="n">
        <v>3</v>
      </c>
      <c r="L144" s="16"/>
      <c r="M144" s="16"/>
    </row>
    <row r="145" customFormat="false" ht="15.75" hidden="false" customHeight="false" outlineLevel="0" collapsed="false">
      <c r="A145" s="0" t="s">
        <v>123</v>
      </c>
      <c r="B145" s="1" t="n">
        <v>44005</v>
      </c>
      <c r="C145" s="6" t="n">
        <v>83396</v>
      </c>
      <c r="D145" s="6" t="n">
        <v>18</v>
      </c>
      <c r="E145" s="6" t="n">
        <v>4634</v>
      </c>
      <c r="F145" s="6"/>
      <c r="G145" s="6" t="n">
        <v>78413</v>
      </c>
      <c r="H145" s="6" t="n">
        <v>349</v>
      </c>
      <c r="I145" s="6" t="n">
        <v>10</v>
      </c>
      <c r="J145" s="6" t="n">
        <v>58</v>
      </c>
      <c r="K145" s="6" t="n">
        <v>3</v>
      </c>
      <c r="L145" s="6"/>
      <c r="M145" s="6"/>
    </row>
    <row r="146" customFormat="false" ht="15.75" hidden="false" customHeight="false" outlineLevel="0" collapsed="false">
      <c r="A146" s="0" t="s">
        <v>123</v>
      </c>
      <c r="B146" s="1" t="n">
        <v>44006</v>
      </c>
      <c r="C146" s="16" t="n">
        <v>83418</v>
      </c>
      <c r="D146" s="16" t="n">
        <v>22</v>
      </c>
      <c r="E146" s="16" t="n">
        <v>4634</v>
      </c>
      <c r="F146" s="16"/>
      <c r="G146" s="16" t="n">
        <v>78425</v>
      </c>
      <c r="H146" s="16" t="n">
        <v>359</v>
      </c>
      <c r="I146" s="16" t="n">
        <v>11</v>
      </c>
      <c r="J146" s="16" t="n">
        <v>58</v>
      </c>
      <c r="K146" s="16" t="n">
        <v>3</v>
      </c>
      <c r="L146" s="16"/>
      <c r="M146" s="16"/>
    </row>
    <row r="147" customFormat="false" ht="15.75" hidden="false" customHeight="false" outlineLevel="0" collapsed="false">
      <c r="A147" s="0" t="s">
        <v>123</v>
      </c>
      <c r="B147" s="1" t="n">
        <v>44007</v>
      </c>
      <c r="C147" s="6" t="n">
        <v>83430</v>
      </c>
      <c r="D147" s="6" t="n">
        <v>12</v>
      </c>
      <c r="E147" s="6" t="n">
        <v>4634</v>
      </c>
      <c r="F147" s="6"/>
      <c r="G147" s="6" t="n">
        <v>78428</v>
      </c>
      <c r="H147" s="6" t="n">
        <v>368</v>
      </c>
      <c r="I147" s="6" t="n">
        <v>10</v>
      </c>
      <c r="J147" s="6" t="n">
        <v>58</v>
      </c>
      <c r="K147" s="6" t="n">
        <v>3</v>
      </c>
      <c r="L147" s="6"/>
      <c r="M147" s="6"/>
    </row>
    <row r="148" customFormat="false" ht="15.75" hidden="false" customHeight="false" outlineLevel="0" collapsed="false">
      <c r="A148" s="0" t="s">
        <v>123</v>
      </c>
      <c r="B148" s="1" t="n">
        <v>44008</v>
      </c>
      <c r="C148" s="6" t="n">
        <v>83449</v>
      </c>
      <c r="D148" s="6" t="n">
        <v>19</v>
      </c>
      <c r="E148" s="6" t="n">
        <v>4634</v>
      </c>
      <c r="F148" s="6"/>
      <c r="G148" s="6" t="n">
        <v>78443</v>
      </c>
      <c r="H148" s="6" t="n">
        <v>372</v>
      </c>
      <c r="I148" s="6" t="n">
        <v>13</v>
      </c>
      <c r="J148" s="6" t="n">
        <v>58</v>
      </c>
      <c r="K148" s="6" t="n">
        <v>3</v>
      </c>
      <c r="L148" s="6"/>
      <c r="M148" s="6"/>
    </row>
    <row r="149" customFormat="false" ht="15.75" hidden="false" customHeight="false" outlineLevel="0" collapsed="false">
      <c r="A149" s="0" t="s">
        <v>123</v>
      </c>
      <c r="B149" s="1" t="n">
        <v>44009</v>
      </c>
      <c r="C149" s="6" t="n">
        <v>83462</v>
      </c>
      <c r="D149" s="6" t="n">
        <v>13</v>
      </c>
      <c r="E149" s="6" t="n">
        <v>4634</v>
      </c>
      <c r="F149" s="6"/>
      <c r="G149" s="6" t="n">
        <v>78439</v>
      </c>
      <c r="H149" s="6" t="n">
        <v>389</v>
      </c>
      <c r="I149" s="6" t="n">
        <v>8</v>
      </c>
      <c r="J149" s="6" t="n">
        <v>58</v>
      </c>
      <c r="K149" s="6" t="n">
        <v>3</v>
      </c>
      <c r="L149" s="6" t="n">
        <v>90410000</v>
      </c>
      <c r="M149" s="6" t="n">
        <v>62814</v>
      </c>
    </row>
    <row r="150" customFormat="false" ht="15.75" hidden="false" customHeight="false" outlineLevel="0" collapsed="false">
      <c r="A150" s="0" t="s">
        <v>123</v>
      </c>
      <c r="B150" s="1" t="n">
        <v>44010</v>
      </c>
      <c r="C150" s="7" t="n">
        <v>83483</v>
      </c>
      <c r="D150" s="6" t="n">
        <v>21</v>
      </c>
      <c r="E150" s="7" t="n">
        <v>4634</v>
      </c>
      <c r="F150" s="6"/>
      <c r="G150" s="7" t="n">
        <v>78444</v>
      </c>
      <c r="H150" s="6" t="n">
        <v>405</v>
      </c>
      <c r="I150" s="6" t="n">
        <v>8</v>
      </c>
      <c r="J150" s="6" t="n">
        <v>58</v>
      </c>
      <c r="K150" s="6" t="n">
        <v>3</v>
      </c>
      <c r="L150" s="7" t="n">
        <v>90410000</v>
      </c>
      <c r="M150" s="7" t="n">
        <v>62814</v>
      </c>
    </row>
    <row r="151" customFormat="false" ht="15.75" hidden="false" customHeight="false" outlineLevel="0" collapsed="false">
      <c r="A151" s="0" t="s">
        <v>123</v>
      </c>
      <c r="B151" s="1" t="n">
        <v>44011</v>
      </c>
      <c r="C151" s="6" t="n">
        <v>83500</v>
      </c>
      <c r="D151" s="6" t="n">
        <v>17</v>
      </c>
      <c r="E151" s="6" t="n">
        <v>4634</v>
      </c>
      <c r="F151" s="6"/>
      <c r="G151" s="6" t="n">
        <v>78451</v>
      </c>
      <c r="H151" s="6" t="n">
        <v>415</v>
      </c>
      <c r="I151" s="6" t="n">
        <v>8</v>
      </c>
      <c r="J151" s="6" t="n">
        <v>58</v>
      </c>
      <c r="K151" s="6" t="n">
        <v>3</v>
      </c>
      <c r="L151" s="6" t="n">
        <v>90410000</v>
      </c>
      <c r="M151" s="6" t="n">
        <v>62814</v>
      </c>
    </row>
    <row r="152" customFormat="false" ht="15.75" hidden="false" customHeight="false" outlineLevel="0" collapsed="false">
      <c r="A152" s="0" t="s">
        <v>123</v>
      </c>
      <c r="B152" s="1" t="n">
        <v>44012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75" hidden="false" customHeight="false" outlineLevel="0" collapsed="false">
      <c r="A153" s="0" t="s">
        <v>123</v>
      </c>
      <c r="B153" s="1" t="n">
        <v>44013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75" hidden="false" customHeight="false" outlineLevel="0" collapsed="false">
      <c r="A154" s="0" t="s">
        <v>123</v>
      </c>
      <c r="B154" s="1" t="n">
        <v>44014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75" hidden="false" customHeight="false" outlineLevel="0" collapsed="false">
      <c r="A155" s="0" t="s">
        <v>123</v>
      </c>
      <c r="B155" s="1" t="n">
        <v>44015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75" hidden="false" customHeight="false" outlineLevel="0" collapsed="false">
      <c r="A156" s="0" t="s">
        <v>123</v>
      </c>
      <c r="B156" s="1" t="n">
        <v>44016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75" hidden="false" customHeight="false" outlineLevel="0" collapsed="false">
      <c r="A157" s="0" t="s">
        <v>123</v>
      </c>
      <c r="B157" s="1" t="n">
        <v>44017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75" hidden="false" customHeight="false" outlineLevel="0" collapsed="false">
      <c r="A158" s="0" t="s">
        <v>123</v>
      </c>
      <c r="B158" s="1" t="n">
        <v>44018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75" hidden="false" customHeight="false" outlineLevel="0" collapsed="false">
      <c r="A159" s="0" t="s">
        <v>123</v>
      </c>
      <c r="B159" s="1" t="n">
        <v>44019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customFormat="false" ht="13.5" hidden="false" customHeight="false" outlineLevel="0" collapsed="false">
      <c r="A160" s="0" t="s">
        <v>123</v>
      </c>
      <c r="B160" s="1" t="n">
        <v>44020</v>
      </c>
    </row>
    <row r="161" customFormat="false" ht="13.5" hidden="false" customHeight="false" outlineLevel="0" collapsed="false">
      <c r="A161" s="0" t="s">
        <v>123</v>
      </c>
      <c r="B161" s="1" t="n">
        <v>44021</v>
      </c>
    </row>
    <row r="162" customFormat="false" ht="13.5" hidden="false" customHeight="false" outlineLevel="0" collapsed="false">
      <c r="A162" s="0" t="s">
        <v>123</v>
      </c>
      <c r="B162" s="1" t="n">
        <v>44022</v>
      </c>
    </row>
    <row r="163" customFormat="false" ht="13.5" hidden="false" customHeight="false" outlineLevel="0" collapsed="false">
      <c r="A163" s="0" t="s">
        <v>123</v>
      </c>
      <c r="B163" s="1" t="n">
        <v>44023</v>
      </c>
    </row>
    <row r="164" customFormat="false" ht="13.5" hidden="false" customHeight="false" outlineLevel="0" collapsed="false">
      <c r="A164" s="0" t="s">
        <v>123</v>
      </c>
      <c r="B164" s="1" t="n">
        <v>44024</v>
      </c>
    </row>
    <row r="165" customFormat="false" ht="13.5" hidden="false" customHeight="false" outlineLevel="0" collapsed="false">
      <c r="A165" s="0" t="s">
        <v>123</v>
      </c>
      <c r="B165" s="1" t="n">
        <v>44025</v>
      </c>
    </row>
    <row r="166" customFormat="false" ht="13.5" hidden="false" customHeight="false" outlineLevel="0" collapsed="false">
      <c r="A166" s="0" t="s">
        <v>123</v>
      </c>
      <c r="B166" s="1" t="n">
        <v>44026</v>
      </c>
    </row>
    <row r="167" customFormat="false" ht="13.5" hidden="false" customHeight="false" outlineLevel="0" collapsed="false">
      <c r="A167" s="0" t="s">
        <v>123</v>
      </c>
      <c r="B167" s="1" t="n">
        <v>44027</v>
      </c>
    </row>
    <row r="168" customFormat="false" ht="13.5" hidden="false" customHeight="false" outlineLevel="0" collapsed="false">
      <c r="A168" s="0" t="s">
        <v>123</v>
      </c>
      <c r="B168" s="1" t="n">
        <v>44028</v>
      </c>
    </row>
    <row r="169" customFormat="false" ht="13.5" hidden="false" customHeight="false" outlineLevel="0" collapsed="false">
      <c r="A169" s="0" t="s">
        <v>123</v>
      </c>
      <c r="B169" s="1" t="n">
        <v>44029</v>
      </c>
    </row>
    <row r="170" customFormat="false" ht="13.5" hidden="false" customHeight="false" outlineLevel="0" collapsed="false">
      <c r="A170" s="0" t="s">
        <v>123</v>
      </c>
      <c r="B170" s="1" t="n">
        <v>44030</v>
      </c>
    </row>
    <row r="171" customFormat="false" ht="13.5" hidden="false" customHeight="false" outlineLevel="0" collapsed="false">
      <c r="A171" s="0" t="s">
        <v>123</v>
      </c>
      <c r="B171" s="1" t="n">
        <v>44031</v>
      </c>
    </row>
    <row r="172" customFormat="false" ht="13.5" hidden="false" customHeight="false" outlineLevel="0" collapsed="false">
      <c r="A172" s="0" t="s">
        <v>123</v>
      </c>
      <c r="B172" s="1" t="n">
        <v>44032</v>
      </c>
    </row>
    <row r="173" customFormat="false" ht="13.5" hidden="false" customHeight="false" outlineLevel="0" collapsed="false">
      <c r="A173" s="0" t="s">
        <v>123</v>
      </c>
      <c r="B173" s="1" t="n">
        <v>44033</v>
      </c>
    </row>
    <row r="174" customFormat="false" ht="13.5" hidden="false" customHeight="false" outlineLevel="0" collapsed="false">
      <c r="A174" s="0" t="s">
        <v>123</v>
      </c>
      <c r="B174" s="1" t="n">
        <v>44034</v>
      </c>
    </row>
    <row r="175" customFormat="false" ht="13.5" hidden="false" customHeight="false" outlineLevel="0" collapsed="false">
      <c r="A175" s="0" t="s">
        <v>123</v>
      </c>
      <c r="B175" s="1" t="n">
        <v>44035</v>
      </c>
    </row>
    <row r="176" customFormat="false" ht="13.5" hidden="false" customHeight="false" outlineLevel="0" collapsed="false">
      <c r="A176" s="0" t="s">
        <v>123</v>
      </c>
      <c r="B176" s="1" t="n">
        <v>44036</v>
      </c>
    </row>
    <row r="177" customFormat="false" ht="13.5" hidden="false" customHeight="false" outlineLevel="0" collapsed="false">
      <c r="A177" s="0" t="s">
        <v>123</v>
      </c>
      <c r="B177" s="1" t="n">
        <v>44037</v>
      </c>
    </row>
    <row r="178" customFormat="false" ht="13.5" hidden="false" customHeight="false" outlineLevel="0" collapsed="false">
      <c r="A178" s="0" t="s">
        <v>123</v>
      </c>
      <c r="B178" s="1" t="n">
        <v>44038</v>
      </c>
    </row>
    <row r="179" customFormat="false" ht="13.5" hidden="false" customHeight="false" outlineLevel="0" collapsed="false">
      <c r="A179" s="0" t="s">
        <v>123</v>
      </c>
      <c r="B179" s="1" t="n">
        <v>44039</v>
      </c>
    </row>
    <row r="180" customFormat="false" ht="13.5" hidden="false" customHeight="false" outlineLevel="0" collapsed="false">
      <c r="A180" s="0" t="s">
        <v>123</v>
      </c>
      <c r="B180" s="1" t="n">
        <v>44040</v>
      </c>
    </row>
    <row r="181" customFormat="false" ht="13.5" hidden="false" customHeight="false" outlineLevel="0" collapsed="false">
      <c r="A181" s="0" t="s">
        <v>123</v>
      </c>
      <c r="B181" s="1" t="n">
        <v>44041</v>
      </c>
    </row>
    <row r="182" customFormat="false" ht="13.5" hidden="false" customHeight="false" outlineLevel="0" collapsed="false">
      <c r="A182" s="0" t="s">
        <v>123</v>
      </c>
      <c r="B182" s="1" t="n">
        <v>44042</v>
      </c>
    </row>
    <row r="183" customFormat="false" ht="13.5" hidden="false" customHeight="false" outlineLevel="0" collapsed="false">
      <c r="A183" s="0" t="s">
        <v>123</v>
      </c>
      <c r="B183" s="1" t="n">
        <v>44043</v>
      </c>
    </row>
    <row r="184" customFormat="false" ht="13.5" hidden="false" customHeight="false" outlineLevel="0" collapsed="false">
      <c r="A184" s="0" t="s">
        <v>123</v>
      </c>
      <c r="B184" s="1" t="n">
        <v>44044</v>
      </c>
    </row>
    <row r="185" customFormat="false" ht="13.5" hidden="false" customHeight="false" outlineLevel="0" collapsed="false">
      <c r="A185" s="0" t="s">
        <v>123</v>
      </c>
      <c r="B185" s="1" t="n">
        <v>44045</v>
      </c>
    </row>
    <row r="186" customFormat="false" ht="13.5" hidden="false" customHeight="false" outlineLevel="0" collapsed="false">
      <c r="A186" s="0" t="s">
        <v>123</v>
      </c>
      <c r="B186" s="1" t="n">
        <v>44046</v>
      </c>
    </row>
    <row r="187" customFormat="false" ht="13.5" hidden="false" customHeight="false" outlineLevel="0" collapsed="false">
      <c r="A187" s="0" t="s">
        <v>123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32" colorId="64" zoomScale="100" zoomScaleNormal="100" zoomScalePageLayoutView="100" workbookViewId="0">
      <selection pane="topLeft" activeCell="M167" activeCellId="0" sqref="M167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124</v>
      </c>
      <c r="B2" s="1" t="n">
        <v>43862</v>
      </c>
      <c r="C2" s="6" t="n">
        <v>14</v>
      </c>
      <c r="D2" s="6"/>
      <c r="E2" s="6" t="n">
        <v>0</v>
      </c>
      <c r="F2" s="6"/>
      <c r="G2" s="6" t="n">
        <v>0</v>
      </c>
      <c r="H2" s="6" t="n">
        <v>14</v>
      </c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124</v>
      </c>
      <c r="B3" s="1" t="n">
        <v>43863</v>
      </c>
      <c r="C3" s="6" t="n">
        <v>15</v>
      </c>
      <c r="D3" s="6" t="n">
        <v>1</v>
      </c>
      <c r="E3" s="6" t="n">
        <v>0</v>
      </c>
      <c r="F3" s="6"/>
      <c r="G3" s="6" t="n">
        <v>0</v>
      </c>
      <c r="H3" s="6" t="n">
        <v>15</v>
      </c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124</v>
      </c>
      <c r="B4" s="1" t="n">
        <v>43864</v>
      </c>
      <c r="C4" s="6" t="n">
        <v>15</v>
      </c>
      <c r="D4" s="6" t="n">
        <v>0</v>
      </c>
      <c r="E4" s="6" t="n">
        <v>0</v>
      </c>
      <c r="F4" s="6"/>
      <c r="G4" s="6" t="n">
        <v>0</v>
      </c>
      <c r="H4" s="6" t="n">
        <v>15</v>
      </c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124</v>
      </c>
      <c r="B5" s="1" t="n">
        <v>43865</v>
      </c>
      <c r="C5" s="6" t="n">
        <v>18</v>
      </c>
      <c r="D5" s="6" t="n">
        <v>3</v>
      </c>
      <c r="E5" s="6" t="n">
        <v>1</v>
      </c>
      <c r="F5" s="6" t="n">
        <v>1</v>
      </c>
      <c r="G5" s="6" t="n">
        <v>0</v>
      </c>
      <c r="H5" s="6" t="n">
        <v>17</v>
      </c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124</v>
      </c>
      <c r="B6" s="1" t="n">
        <v>43866</v>
      </c>
      <c r="C6" s="6" t="n">
        <v>21</v>
      </c>
      <c r="D6" s="6" t="n">
        <v>3</v>
      </c>
      <c r="E6" s="6" t="n">
        <v>1</v>
      </c>
      <c r="F6" s="6"/>
      <c r="G6" s="6" t="n">
        <v>0</v>
      </c>
      <c r="H6" s="6" t="n">
        <v>20</v>
      </c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124</v>
      </c>
      <c r="B7" s="1" t="n">
        <v>43867</v>
      </c>
      <c r="C7" s="6" t="n">
        <v>24</v>
      </c>
      <c r="D7" s="6" t="n">
        <v>3</v>
      </c>
      <c r="E7" s="6" t="n">
        <v>1</v>
      </c>
      <c r="F7" s="6"/>
      <c r="G7" s="6" t="n">
        <v>0</v>
      </c>
      <c r="H7" s="6" t="n">
        <v>23</v>
      </c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124</v>
      </c>
      <c r="B8" s="1" t="n">
        <v>43868</v>
      </c>
      <c r="C8" s="6" t="n">
        <v>26</v>
      </c>
      <c r="D8" s="6" t="n">
        <v>2</v>
      </c>
      <c r="E8" s="6" t="n">
        <v>1</v>
      </c>
      <c r="F8" s="6"/>
      <c r="G8" s="6" t="n">
        <v>0</v>
      </c>
      <c r="H8" s="6" t="n">
        <v>25</v>
      </c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124</v>
      </c>
      <c r="B9" s="1" t="n">
        <v>43869</v>
      </c>
      <c r="C9" s="6" t="n">
        <v>26</v>
      </c>
      <c r="D9" s="6" t="n">
        <v>0</v>
      </c>
      <c r="E9" s="6" t="n">
        <v>1</v>
      </c>
      <c r="F9" s="6"/>
      <c r="G9" s="6" t="n">
        <v>0</v>
      </c>
      <c r="H9" s="6" t="n">
        <v>25</v>
      </c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124</v>
      </c>
      <c r="B10" s="1" t="n">
        <v>43870</v>
      </c>
      <c r="C10" s="6" t="n">
        <v>36</v>
      </c>
      <c r="D10" s="6" t="n">
        <v>10</v>
      </c>
      <c r="E10" s="6" t="n">
        <v>1</v>
      </c>
      <c r="F10" s="6"/>
      <c r="G10" s="6" t="n">
        <v>0</v>
      </c>
      <c r="H10" s="6" t="n">
        <v>35</v>
      </c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124</v>
      </c>
      <c r="B11" s="1" t="n">
        <v>43871</v>
      </c>
      <c r="C11" s="6" t="n">
        <v>42</v>
      </c>
      <c r="D11" s="6" t="n">
        <v>6</v>
      </c>
      <c r="E11" s="6" t="n">
        <v>1</v>
      </c>
      <c r="F11" s="6"/>
      <c r="G11" s="6" t="n">
        <v>0</v>
      </c>
      <c r="H11" s="6" t="n">
        <v>41</v>
      </c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124</v>
      </c>
      <c r="B12" s="1" t="n">
        <v>43872</v>
      </c>
      <c r="C12" s="6" t="n">
        <v>49</v>
      </c>
      <c r="D12" s="6" t="n">
        <v>7</v>
      </c>
      <c r="E12" s="6" t="n">
        <v>1</v>
      </c>
      <c r="F12" s="6"/>
      <c r="G12" s="6" t="n">
        <v>0</v>
      </c>
      <c r="H12" s="6" t="n">
        <v>48</v>
      </c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124</v>
      </c>
      <c r="B13" s="1" t="n">
        <v>43873</v>
      </c>
      <c r="C13" s="6" t="n">
        <v>50</v>
      </c>
      <c r="D13" s="6" t="n">
        <v>1</v>
      </c>
      <c r="E13" s="6" t="n">
        <v>1</v>
      </c>
      <c r="F13" s="6"/>
      <c r="G13" s="6" t="n">
        <v>1</v>
      </c>
      <c r="H13" s="6" t="n">
        <v>48</v>
      </c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124</v>
      </c>
      <c r="B14" s="1" t="n">
        <v>43874</v>
      </c>
      <c r="C14" s="6" t="n">
        <v>53</v>
      </c>
      <c r="D14" s="6" t="n">
        <v>3</v>
      </c>
      <c r="E14" s="6" t="n">
        <v>1</v>
      </c>
      <c r="F14" s="6"/>
      <c r="G14" s="6" t="n">
        <v>1</v>
      </c>
      <c r="H14" s="6" t="n">
        <v>51</v>
      </c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124</v>
      </c>
      <c r="B15" s="1" t="n">
        <v>43875</v>
      </c>
      <c r="C15" s="6" t="n">
        <v>56</v>
      </c>
      <c r="D15" s="6" t="n">
        <v>3</v>
      </c>
      <c r="E15" s="6" t="n">
        <v>1</v>
      </c>
      <c r="F15" s="6"/>
      <c r="G15" s="6" t="n">
        <v>1</v>
      </c>
      <c r="H15" s="6" t="n">
        <v>54</v>
      </c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124</v>
      </c>
      <c r="B16" s="1" t="n">
        <v>43876</v>
      </c>
      <c r="C16" s="6" t="n">
        <v>56</v>
      </c>
      <c r="D16" s="6" t="n">
        <v>0</v>
      </c>
      <c r="E16" s="6" t="n">
        <v>1</v>
      </c>
      <c r="F16" s="6"/>
      <c r="G16" s="6" t="n">
        <v>1</v>
      </c>
      <c r="H16" s="6" t="n">
        <v>54</v>
      </c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124</v>
      </c>
      <c r="B17" s="1" t="n">
        <v>43877</v>
      </c>
      <c r="C17" s="6" t="n">
        <v>57</v>
      </c>
      <c r="D17" s="6" t="n">
        <v>1</v>
      </c>
      <c r="E17" s="6" t="n">
        <v>1</v>
      </c>
      <c r="F17" s="6"/>
      <c r="G17" s="6" t="n">
        <v>2</v>
      </c>
      <c r="H17" s="6" t="n">
        <v>54</v>
      </c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124</v>
      </c>
      <c r="B18" s="1" t="n">
        <v>43878</v>
      </c>
      <c r="C18" s="6" t="n">
        <v>60</v>
      </c>
      <c r="D18" s="6" t="n">
        <v>3</v>
      </c>
      <c r="E18" s="6" t="n">
        <v>1</v>
      </c>
      <c r="F18" s="6"/>
      <c r="G18" s="6" t="n">
        <v>2</v>
      </c>
      <c r="H18" s="6" t="n">
        <v>57</v>
      </c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124</v>
      </c>
      <c r="B19" s="1" t="n">
        <v>43879</v>
      </c>
      <c r="C19" s="6" t="n">
        <v>62</v>
      </c>
      <c r="D19" s="6" t="n">
        <v>2</v>
      </c>
      <c r="E19" s="6" t="n">
        <v>1</v>
      </c>
      <c r="F19" s="6"/>
      <c r="G19" s="6" t="n">
        <v>4</v>
      </c>
      <c r="H19" s="6" t="n">
        <v>57</v>
      </c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124</v>
      </c>
      <c r="B20" s="1" t="n">
        <v>43880</v>
      </c>
      <c r="C20" s="6" t="n">
        <v>65</v>
      </c>
      <c r="D20" s="6" t="n">
        <v>3</v>
      </c>
      <c r="E20" s="6" t="n">
        <v>2</v>
      </c>
      <c r="F20" s="6"/>
      <c r="G20" s="6" t="n">
        <v>5</v>
      </c>
      <c r="H20" s="6" t="n">
        <v>58</v>
      </c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124</v>
      </c>
      <c r="B21" s="1" t="n">
        <v>43881</v>
      </c>
      <c r="C21" s="6" t="n">
        <v>68</v>
      </c>
      <c r="D21" s="6" t="n">
        <v>3</v>
      </c>
      <c r="E21" s="6" t="n">
        <v>2</v>
      </c>
      <c r="F21" s="6"/>
      <c r="G21" s="6" t="n">
        <v>5</v>
      </c>
      <c r="H21" s="6" t="n">
        <v>61</v>
      </c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124</v>
      </c>
      <c r="B22" s="1" t="n">
        <v>43882</v>
      </c>
      <c r="C22" s="6" t="n">
        <v>68</v>
      </c>
      <c r="D22" s="6" t="n">
        <v>0</v>
      </c>
      <c r="E22" s="6" t="n">
        <v>2</v>
      </c>
      <c r="F22" s="6"/>
      <c r="G22" s="6" t="n">
        <v>6</v>
      </c>
      <c r="H22" s="6" t="n">
        <v>60</v>
      </c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124</v>
      </c>
      <c r="B23" s="1" t="n">
        <v>43883</v>
      </c>
      <c r="C23" s="6" t="n">
        <v>69</v>
      </c>
      <c r="D23" s="6" t="n">
        <v>1</v>
      </c>
      <c r="E23" s="6" t="n">
        <v>2</v>
      </c>
      <c r="F23" s="6"/>
      <c r="G23" s="6" t="n">
        <v>11</v>
      </c>
      <c r="H23" s="6" t="n">
        <v>56</v>
      </c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124</v>
      </c>
      <c r="B24" s="1" t="n">
        <v>43884</v>
      </c>
      <c r="C24" s="6" t="n">
        <v>74</v>
      </c>
      <c r="D24" s="6" t="n">
        <v>5</v>
      </c>
      <c r="E24" s="6" t="n">
        <v>2</v>
      </c>
      <c r="F24" s="6"/>
      <c r="G24" s="6" t="n">
        <v>12</v>
      </c>
      <c r="H24" s="6" t="n">
        <v>60</v>
      </c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124</v>
      </c>
      <c r="B25" s="1" t="n">
        <v>43885</v>
      </c>
      <c r="C25" s="6" t="n">
        <v>81</v>
      </c>
      <c r="D25" s="6" t="n">
        <v>7</v>
      </c>
      <c r="E25" s="6" t="n">
        <v>2</v>
      </c>
      <c r="F25" s="6"/>
      <c r="G25" s="6" t="n">
        <v>19</v>
      </c>
      <c r="H25" s="6" t="n">
        <v>60</v>
      </c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124</v>
      </c>
      <c r="B26" s="1" t="n">
        <v>43886</v>
      </c>
      <c r="C26" s="6" t="n">
        <v>85</v>
      </c>
      <c r="D26" s="6" t="n">
        <v>4</v>
      </c>
      <c r="E26" s="6" t="n">
        <v>2</v>
      </c>
      <c r="F26" s="6"/>
      <c r="G26" s="6" t="n">
        <v>18</v>
      </c>
      <c r="H26" s="6" t="n">
        <v>65</v>
      </c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124</v>
      </c>
      <c r="B27" s="1" t="n">
        <v>43887</v>
      </c>
      <c r="C27" s="6" t="n">
        <v>91</v>
      </c>
      <c r="D27" s="6" t="n">
        <v>6</v>
      </c>
      <c r="E27" s="6" t="n">
        <v>2</v>
      </c>
      <c r="F27" s="6"/>
      <c r="G27" s="6" t="n">
        <v>24</v>
      </c>
      <c r="H27" s="6" t="n">
        <v>65</v>
      </c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124</v>
      </c>
      <c r="B28" s="1" t="n">
        <v>43888</v>
      </c>
      <c r="C28" s="6" t="n">
        <v>93</v>
      </c>
      <c r="D28" s="6" t="n">
        <v>2</v>
      </c>
      <c r="E28" s="6" t="n">
        <v>2</v>
      </c>
      <c r="F28" s="6"/>
      <c r="G28" s="6" t="n">
        <v>26</v>
      </c>
      <c r="H28" s="6" t="n">
        <v>65</v>
      </c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124</v>
      </c>
      <c r="B29" s="1" t="n">
        <v>43889</v>
      </c>
      <c r="C29" s="6" t="n">
        <v>94</v>
      </c>
      <c r="D29" s="6" t="n">
        <v>1</v>
      </c>
      <c r="E29" s="6" t="n">
        <v>2</v>
      </c>
      <c r="F29" s="6"/>
      <c r="G29" s="6" t="n">
        <v>30</v>
      </c>
      <c r="H29" s="6" t="n">
        <v>62</v>
      </c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124</v>
      </c>
      <c r="B30" s="1" t="n">
        <v>43890</v>
      </c>
      <c r="C30" s="6" t="n">
        <v>95</v>
      </c>
      <c r="D30" s="6" t="n">
        <v>1</v>
      </c>
      <c r="E30" s="6" t="n">
        <v>2</v>
      </c>
      <c r="F30" s="6"/>
      <c r="G30" s="6" t="n">
        <v>33</v>
      </c>
      <c r="H30" s="6" t="n">
        <v>60</v>
      </c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124</v>
      </c>
      <c r="B31" s="1" t="n">
        <v>43891</v>
      </c>
      <c r="C31" s="6" t="n">
        <v>98</v>
      </c>
      <c r="D31" s="6" t="n">
        <v>3</v>
      </c>
      <c r="E31" s="6" t="n">
        <v>2</v>
      </c>
      <c r="F31" s="6"/>
      <c r="G31" s="6" t="n">
        <v>36</v>
      </c>
      <c r="H31" s="6" t="n">
        <v>60</v>
      </c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124</v>
      </c>
      <c r="B32" s="1" t="n">
        <v>43892</v>
      </c>
      <c r="C32" s="6" t="n">
        <v>100</v>
      </c>
      <c r="D32" s="6" t="n">
        <v>2</v>
      </c>
      <c r="E32" s="6" t="n">
        <v>2</v>
      </c>
      <c r="F32" s="6"/>
      <c r="G32" s="6" t="n">
        <v>36</v>
      </c>
      <c r="H32" s="6" t="n">
        <v>62</v>
      </c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124</v>
      </c>
      <c r="B33" s="1" t="n">
        <v>43893</v>
      </c>
      <c r="C33" s="6" t="n">
        <v>100</v>
      </c>
      <c r="D33" s="6" t="n">
        <v>0</v>
      </c>
      <c r="E33" s="6" t="n">
        <v>2</v>
      </c>
      <c r="F33" s="6"/>
      <c r="G33" s="6" t="n">
        <v>37</v>
      </c>
      <c r="H33" s="6" t="n">
        <v>61</v>
      </c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124</v>
      </c>
      <c r="B34" s="1" t="n">
        <v>43894</v>
      </c>
      <c r="C34" s="6" t="n">
        <v>104</v>
      </c>
      <c r="D34" s="6" t="n">
        <v>4</v>
      </c>
      <c r="E34" s="6" t="n">
        <v>2</v>
      </c>
      <c r="F34" s="6"/>
      <c r="G34" s="6" t="n">
        <v>43</v>
      </c>
      <c r="H34" s="6" t="n">
        <v>59</v>
      </c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124</v>
      </c>
      <c r="B35" s="1" t="n">
        <v>43895</v>
      </c>
      <c r="C35" s="6" t="n">
        <v>104</v>
      </c>
      <c r="D35" s="6" t="n">
        <v>0</v>
      </c>
      <c r="E35" s="6" t="n">
        <v>2</v>
      </c>
      <c r="F35" s="6"/>
      <c r="G35" s="6" t="n">
        <v>46</v>
      </c>
      <c r="H35" s="6" t="n">
        <v>56</v>
      </c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124</v>
      </c>
      <c r="B36" s="1" t="n">
        <v>43896</v>
      </c>
      <c r="C36" s="6" t="n">
        <v>107</v>
      </c>
      <c r="D36" s="6" t="n">
        <v>3</v>
      </c>
      <c r="E36" s="6" t="n">
        <v>2</v>
      </c>
      <c r="F36" s="6"/>
      <c r="G36" s="6" t="n">
        <v>51</v>
      </c>
      <c r="H36" s="6" t="n">
        <v>54</v>
      </c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124</v>
      </c>
      <c r="B37" s="1" t="n">
        <v>43897</v>
      </c>
      <c r="C37" s="8" t="n">
        <v>107</v>
      </c>
      <c r="D37" s="8" t="n">
        <v>0</v>
      </c>
      <c r="E37" s="8" t="n">
        <v>2</v>
      </c>
      <c r="F37" s="8"/>
      <c r="G37" s="8" t="n">
        <v>55</v>
      </c>
      <c r="H37" s="8" t="n">
        <v>50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124</v>
      </c>
      <c r="B38" s="1" t="n">
        <v>43898</v>
      </c>
      <c r="C38" s="6" t="n">
        <v>114</v>
      </c>
      <c r="D38" s="6" t="n">
        <v>7</v>
      </c>
      <c r="E38" s="6" t="n">
        <v>3</v>
      </c>
      <c r="F38" s="6"/>
      <c r="G38" s="6" t="n">
        <v>59</v>
      </c>
      <c r="H38" s="6" t="n">
        <v>52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124</v>
      </c>
      <c r="B39" s="1" t="n">
        <v>43899</v>
      </c>
      <c r="C39" s="6" t="n">
        <v>115</v>
      </c>
      <c r="D39" s="6" t="n">
        <v>1</v>
      </c>
      <c r="E39" s="6" t="n">
        <v>3</v>
      </c>
      <c r="F39" s="6" t="n">
        <v>1</v>
      </c>
      <c r="G39" s="6" t="n">
        <v>59</v>
      </c>
      <c r="H39" s="6" t="n">
        <v>53</v>
      </c>
      <c r="I39" s="6" t="n">
        <v>6</v>
      </c>
      <c r="J39" s="6" t="n">
        <v>15.3</v>
      </c>
      <c r="K39" s="6"/>
      <c r="L39" s="6"/>
      <c r="M39" s="6"/>
    </row>
    <row r="40" customFormat="false" ht="15.75" hidden="false" customHeight="false" outlineLevel="0" collapsed="false">
      <c r="A40" s="0" t="s">
        <v>124</v>
      </c>
      <c r="B40" s="1" t="n">
        <v>43900</v>
      </c>
      <c r="C40" s="6" t="n">
        <v>116</v>
      </c>
      <c r="D40" s="6" t="n">
        <v>1</v>
      </c>
      <c r="E40" s="6" t="n">
        <v>3</v>
      </c>
      <c r="F40" s="6"/>
      <c r="G40" s="6" t="n">
        <v>59</v>
      </c>
      <c r="H40" s="6" t="n">
        <v>54</v>
      </c>
      <c r="I40" s="6" t="n">
        <v>6</v>
      </c>
      <c r="J40" s="6" t="n">
        <v>15.5</v>
      </c>
      <c r="K40" s="6"/>
      <c r="L40" s="6"/>
      <c r="M40" s="6"/>
    </row>
    <row r="41" customFormat="false" ht="15.75" hidden="false" customHeight="false" outlineLevel="0" collapsed="false">
      <c r="A41" s="0" t="s">
        <v>124</v>
      </c>
      <c r="B41" s="1" t="n">
        <v>43901</v>
      </c>
      <c r="C41" s="6" t="n">
        <v>121</v>
      </c>
      <c r="D41" s="6" t="n">
        <v>5</v>
      </c>
      <c r="E41" s="6" t="n">
        <v>3</v>
      </c>
      <c r="F41" s="6"/>
      <c r="G41" s="6" t="n">
        <v>59</v>
      </c>
      <c r="H41" s="6" t="n">
        <v>59</v>
      </c>
      <c r="I41" s="6" t="n">
        <v>6</v>
      </c>
      <c r="J41" s="6" t="n">
        <v>16.1</v>
      </c>
      <c r="K41" s="6"/>
      <c r="L41" s="6"/>
      <c r="M41" s="6"/>
    </row>
    <row r="42" customFormat="false" ht="15.75" hidden="false" customHeight="false" outlineLevel="0" collapsed="false">
      <c r="A42" s="0" t="s">
        <v>124</v>
      </c>
      <c r="B42" s="1" t="n">
        <v>43902</v>
      </c>
      <c r="C42" s="6" t="n">
        <v>126</v>
      </c>
      <c r="D42" s="6" t="n">
        <v>5</v>
      </c>
      <c r="E42" s="6" t="n">
        <v>3</v>
      </c>
      <c r="F42" s="6"/>
      <c r="G42" s="6" t="n">
        <v>60</v>
      </c>
      <c r="H42" s="6" t="n">
        <v>63</v>
      </c>
      <c r="I42" s="6" t="n">
        <v>6</v>
      </c>
      <c r="J42" s="6" t="n">
        <v>16.8</v>
      </c>
      <c r="K42" s="6"/>
      <c r="L42" s="6"/>
      <c r="M42" s="6"/>
    </row>
    <row r="43" customFormat="false" ht="15.75" hidden="false" customHeight="false" outlineLevel="0" collapsed="false">
      <c r="A43" s="0" t="s">
        <v>124</v>
      </c>
      <c r="B43" s="1" t="n">
        <v>43903</v>
      </c>
      <c r="C43" s="6" t="n">
        <v>130</v>
      </c>
      <c r="D43" s="6" t="n">
        <v>4</v>
      </c>
      <c r="E43" s="6" t="n">
        <v>3</v>
      </c>
      <c r="F43" s="6"/>
      <c r="G43" s="6" t="n">
        <v>77</v>
      </c>
      <c r="H43" s="6" t="n">
        <v>50</v>
      </c>
      <c r="I43" s="6" t="n">
        <v>6</v>
      </c>
      <c r="J43" s="6" t="n">
        <v>17.3</v>
      </c>
      <c r="K43" s="6"/>
      <c r="L43" s="6"/>
      <c r="M43" s="6"/>
    </row>
    <row r="44" customFormat="false" ht="15.75" hidden="false" customHeight="false" outlineLevel="0" collapsed="false">
      <c r="A44" s="0" t="s">
        <v>124</v>
      </c>
      <c r="B44" s="1" t="n">
        <v>43904</v>
      </c>
      <c r="C44" s="6" t="n">
        <v>132</v>
      </c>
      <c r="D44" s="6" t="n">
        <v>2</v>
      </c>
      <c r="E44" s="6" t="n">
        <v>4</v>
      </c>
      <c r="F44" s="6" t="n">
        <v>1</v>
      </c>
      <c r="G44" s="6" t="n">
        <v>77</v>
      </c>
      <c r="H44" s="6" t="n">
        <v>51</v>
      </c>
      <c r="I44" s="6" t="n">
        <v>4</v>
      </c>
      <c r="J44" s="6" t="n">
        <v>17.6</v>
      </c>
      <c r="K44" s="6"/>
      <c r="L44" s="6"/>
      <c r="M44" s="6"/>
    </row>
    <row r="45" customFormat="false" ht="15.75" hidden="false" customHeight="false" outlineLevel="0" collapsed="false">
      <c r="A45" s="0" t="s">
        <v>124</v>
      </c>
      <c r="B45" s="1" t="n">
        <v>43905</v>
      </c>
      <c r="C45" s="6" t="n">
        <v>141</v>
      </c>
      <c r="D45" s="6" t="n">
        <v>9</v>
      </c>
      <c r="E45" s="6" t="n">
        <v>4</v>
      </c>
      <c r="F45" s="6" t="n">
        <v>0</v>
      </c>
      <c r="G45" s="6" t="n">
        <v>81</v>
      </c>
      <c r="H45" s="6" t="n">
        <v>60</v>
      </c>
      <c r="I45" s="6" t="n">
        <v>4</v>
      </c>
      <c r="J45" s="6" t="n">
        <v>18.8</v>
      </c>
      <c r="K45" s="6"/>
      <c r="L45" s="6"/>
      <c r="M45" s="6"/>
    </row>
    <row r="46" customFormat="false" ht="15.75" hidden="false" customHeight="false" outlineLevel="0" collapsed="false">
      <c r="A46" s="0" t="s">
        <v>124</v>
      </c>
      <c r="B46" s="1" t="n">
        <v>43906</v>
      </c>
      <c r="C46" s="6" t="n">
        <v>149</v>
      </c>
      <c r="D46" s="6" t="n">
        <v>8</v>
      </c>
      <c r="E46" s="6" t="n">
        <v>4</v>
      </c>
      <c r="F46" s="6"/>
      <c r="G46" s="6" t="n">
        <v>81</v>
      </c>
      <c r="H46" s="6" t="n">
        <v>64</v>
      </c>
      <c r="I46" s="6" t="n">
        <v>4</v>
      </c>
      <c r="J46" s="6" t="n">
        <v>19.9</v>
      </c>
      <c r="K46" s="6"/>
      <c r="L46" s="6"/>
      <c r="M46" s="6"/>
    </row>
    <row r="47" customFormat="false" ht="15.75" hidden="false" customHeight="false" outlineLevel="0" collapsed="false">
      <c r="A47" s="0" t="s">
        <v>124</v>
      </c>
      <c r="B47" s="1" t="n">
        <v>43907</v>
      </c>
      <c r="C47" s="6" t="n">
        <v>155</v>
      </c>
      <c r="D47" s="6" t="n">
        <v>6</v>
      </c>
      <c r="E47" s="6" t="n">
        <v>4</v>
      </c>
      <c r="F47" s="6"/>
      <c r="G47" s="6" t="n">
        <v>81</v>
      </c>
      <c r="H47" s="6" t="n">
        <v>70</v>
      </c>
      <c r="I47" s="6" t="n">
        <v>4</v>
      </c>
      <c r="J47" s="6" t="n">
        <v>20.7</v>
      </c>
      <c r="K47" s="6"/>
      <c r="L47" s="6"/>
      <c r="M47" s="6"/>
    </row>
    <row r="48" customFormat="false" ht="15.75" hidden="false" customHeight="false" outlineLevel="0" collapsed="false">
      <c r="A48" s="0" t="s">
        <v>124</v>
      </c>
      <c r="B48" s="1" t="n">
        <v>43908</v>
      </c>
      <c r="C48" s="6" t="n">
        <v>168</v>
      </c>
      <c r="D48" s="6" t="n">
        <v>13</v>
      </c>
      <c r="E48" s="6" t="n">
        <v>4</v>
      </c>
      <c r="F48" s="6"/>
      <c r="G48" s="6" t="n">
        <v>81</v>
      </c>
      <c r="H48" s="6" t="n">
        <v>83</v>
      </c>
      <c r="I48" s="6" t="n">
        <v>4</v>
      </c>
      <c r="J48" s="6" t="n">
        <v>22.4</v>
      </c>
      <c r="K48" s="6"/>
      <c r="L48" s="6"/>
      <c r="M48" s="6"/>
    </row>
    <row r="49" customFormat="false" ht="15.75" hidden="false" customHeight="false" outlineLevel="0" collapsed="false">
      <c r="A49" s="0" t="s">
        <v>124</v>
      </c>
      <c r="B49" s="1" t="n">
        <v>43909</v>
      </c>
      <c r="C49" s="6" t="n">
        <v>193</v>
      </c>
      <c r="D49" s="6" t="n">
        <v>25</v>
      </c>
      <c r="E49" s="6" t="n">
        <v>4</v>
      </c>
      <c r="F49" s="6"/>
      <c r="G49" s="6" t="n">
        <v>95</v>
      </c>
      <c r="H49" s="6" t="n">
        <v>94</v>
      </c>
      <c r="I49" s="6" t="n">
        <v>4</v>
      </c>
      <c r="J49" s="6" t="n">
        <v>26</v>
      </c>
      <c r="K49" s="6"/>
      <c r="L49" s="6"/>
      <c r="M49" s="6"/>
    </row>
    <row r="50" customFormat="false" ht="15.75" hidden="false" customHeight="false" outlineLevel="0" collapsed="false">
      <c r="A50" s="0" t="s">
        <v>124</v>
      </c>
      <c r="B50" s="1" t="n">
        <v>43910</v>
      </c>
      <c r="C50" s="6" t="n">
        <v>208</v>
      </c>
      <c r="D50" s="6" t="n">
        <v>15</v>
      </c>
      <c r="E50" s="6" t="n">
        <v>4</v>
      </c>
      <c r="F50" s="6"/>
      <c r="G50" s="6" t="n">
        <v>98</v>
      </c>
      <c r="H50" s="6" t="n">
        <v>106</v>
      </c>
      <c r="I50" s="6" t="n">
        <v>4</v>
      </c>
      <c r="J50" s="6" t="n">
        <v>28</v>
      </c>
      <c r="K50" s="6"/>
      <c r="L50" s="6"/>
      <c r="M50" s="6"/>
    </row>
    <row r="51" customFormat="false" ht="15.75" hidden="false" customHeight="false" outlineLevel="0" collapsed="false">
      <c r="A51" s="0" t="s">
        <v>124</v>
      </c>
      <c r="B51" s="1" t="n">
        <v>43911</v>
      </c>
      <c r="C51" s="6" t="n">
        <v>273</v>
      </c>
      <c r="D51" s="6" t="n">
        <v>65</v>
      </c>
      <c r="E51" s="6" t="n">
        <v>4</v>
      </c>
      <c r="F51" s="6"/>
      <c r="G51" s="6" t="n">
        <v>98</v>
      </c>
      <c r="H51" s="6" t="n">
        <v>171</v>
      </c>
      <c r="I51" s="6" t="n">
        <v>4</v>
      </c>
      <c r="J51" s="6" t="n">
        <v>36</v>
      </c>
      <c r="K51" s="6"/>
      <c r="L51" s="6"/>
      <c r="M51" s="6"/>
    </row>
    <row r="52" customFormat="false" ht="15.75" hidden="false" customHeight="false" outlineLevel="0" collapsed="false">
      <c r="A52" s="0" t="s">
        <v>124</v>
      </c>
      <c r="B52" s="1" t="n">
        <v>43912</v>
      </c>
      <c r="C52" s="6" t="n">
        <v>273</v>
      </c>
      <c r="D52" s="6" t="n">
        <v>0</v>
      </c>
      <c r="E52" s="6" t="n">
        <v>4</v>
      </c>
      <c r="F52" s="6"/>
      <c r="G52" s="6" t="n">
        <v>98</v>
      </c>
      <c r="H52" s="6" t="n">
        <v>171</v>
      </c>
      <c r="I52" s="6" t="n">
        <v>4</v>
      </c>
      <c r="J52" s="6" t="n">
        <v>36</v>
      </c>
      <c r="K52" s="6"/>
      <c r="L52" s="6"/>
      <c r="M52" s="6"/>
    </row>
    <row r="53" customFormat="false" ht="15.75" hidden="false" customHeight="false" outlineLevel="0" collapsed="false">
      <c r="A53" s="0" t="s">
        <v>124</v>
      </c>
      <c r="B53" s="1" t="n">
        <v>43913</v>
      </c>
      <c r="C53" s="6" t="n">
        <v>317</v>
      </c>
      <c r="D53" s="6" t="n">
        <v>44</v>
      </c>
      <c r="E53" s="6" t="n">
        <v>4</v>
      </c>
      <c r="F53" s="6"/>
      <c r="G53" s="6" t="n">
        <v>100</v>
      </c>
      <c r="H53" s="6" t="n">
        <v>213</v>
      </c>
      <c r="I53" s="6" t="n">
        <v>4</v>
      </c>
      <c r="J53" s="6" t="n">
        <v>42</v>
      </c>
      <c r="K53" s="6"/>
      <c r="L53" s="6"/>
      <c r="M53" s="6"/>
    </row>
    <row r="54" customFormat="false" ht="15.75" hidden="false" customHeight="false" outlineLevel="0" collapsed="false">
      <c r="A54" s="0" t="s">
        <v>124</v>
      </c>
      <c r="B54" s="1" t="n">
        <v>43914</v>
      </c>
      <c r="C54" s="6" t="n">
        <v>356</v>
      </c>
      <c r="D54" s="6" t="n">
        <v>39</v>
      </c>
      <c r="E54" s="6" t="n">
        <v>4</v>
      </c>
      <c r="F54" s="6"/>
      <c r="G54" s="6" t="n">
        <v>100</v>
      </c>
      <c r="H54" s="6" t="n">
        <v>252</v>
      </c>
      <c r="I54" s="6" t="n">
        <v>4</v>
      </c>
      <c r="J54" s="6" t="n">
        <v>47</v>
      </c>
      <c r="K54" s="6"/>
      <c r="L54" s="6"/>
      <c r="M54" s="6"/>
    </row>
    <row r="55" customFormat="false" ht="15.75" hidden="false" customHeight="false" outlineLevel="0" collapsed="false">
      <c r="A55" s="0" t="s">
        <v>124</v>
      </c>
      <c r="B55" s="1" t="n">
        <v>43915</v>
      </c>
      <c r="C55" s="7" t="n">
        <v>386</v>
      </c>
      <c r="D55" s="7" t="n">
        <v>30</v>
      </c>
      <c r="E55" s="7" t="n">
        <v>4</v>
      </c>
      <c r="F55" s="7"/>
      <c r="G55" s="7" t="n">
        <v>102</v>
      </c>
      <c r="H55" s="7" t="n">
        <v>280</v>
      </c>
      <c r="I55" s="7" t="n">
        <v>4</v>
      </c>
      <c r="J55" s="7" t="n">
        <v>51</v>
      </c>
      <c r="K55" s="7" t="n">
        <v>0.5</v>
      </c>
      <c r="L55" s="7"/>
      <c r="M55" s="7"/>
    </row>
    <row r="56" customFormat="false" ht="15.75" hidden="false" customHeight="false" outlineLevel="0" collapsed="false">
      <c r="A56" s="0" t="s">
        <v>124</v>
      </c>
      <c r="B56" s="1" t="n">
        <v>43916</v>
      </c>
      <c r="C56" s="7" t="n">
        <v>410</v>
      </c>
      <c r="D56" s="7" t="n">
        <v>24</v>
      </c>
      <c r="E56" s="7" t="n">
        <v>4</v>
      </c>
      <c r="F56" s="7"/>
      <c r="G56" s="7" t="n">
        <v>102</v>
      </c>
      <c r="H56" s="7" t="n">
        <v>304</v>
      </c>
      <c r="I56" s="7" t="n">
        <v>4</v>
      </c>
      <c r="J56" s="7" t="n">
        <v>55</v>
      </c>
      <c r="K56" s="7" t="n">
        <v>0.5</v>
      </c>
      <c r="L56" s="7"/>
      <c r="M56" s="7"/>
    </row>
    <row r="57" customFormat="false" ht="15.75" hidden="false" customHeight="false" outlineLevel="0" collapsed="false">
      <c r="A57" s="0" t="s">
        <v>124</v>
      </c>
      <c r="B57" s="1" t="n">
        <v>43917</v>
      </c>
      <c r="C57" s="7" t="n">
        <v>453</v>
      </c>
      <c r="D57" s="7" t="n">
        <v>43</v>
      </c>
      <c r="E57" s="7" t="n">
        <v>4</v>
      </c>
      <c r="F57" s="7"/>
      <c r="G57" s="7" t="n">
        <v>110</v>
      </c>
      <c r="H57" s="7" t="n">
        <v>339</v>
      </c>
      <c r="I57" s="7" t="n">
        <v>5</v>
      </c>
      <c r="J57" s="7" t="n">
        <v>60</v>
      </c>
      <c r="K57" s="7" t="n">
        <v>0.5</v>
      </c>
      <c r="M57" s="7"/>
    </row>
    <row r="58" customFormat="false" ht="15.75" hidden="false" customHeight="false" outlineLevel="0" collapsed="false">
      <c r="A58" s="0" t="s">
        <v>124</v>
      </c>
      <c r="B58" s="1" t="n">
        <v>43918</v>
      </c>
      <c r="C58" s="7" t="n">
        <v>518</v>
      </c>
      <c r="D58" s="7" t="n">
        <v>65</v>
      </c>
      <c r="E58" s="7" t="n">
        <v>4</v>
      </c>
      <c r="F58" s="7"/>
      <c r="G58" s="7" t="n">
        <v>111</v>
      </c>
      <c r="H58" s="7" t="n">
        <v>403</v>
      </c>
      <c r="I58" s="7" t="n">
        <v>5</v>
      </c>
      <c r="J58" s="7" t="n">
        <v>69</v>
      </c>
      <c r="K58" s="7" t="n">
        <v>0.5</v>
      </c>
      <c r="M58" s="7"/>
    </row>
    <row r="59" customFormat="false" ht="15.75" hidden="false" customHeight="false" outlineLevel="0" collapsed="false">
      <c r="A59" s="0" t="s">
        <v>124</v>
      </c>
      <c r="B59" s="1" t="n">
        <v>43919</v>
      </c>
      <c r="C59" s="7" t="n">
        <v>560</v>
      </c>
      <c r="D59" s="7" t="n">
        <v>42</v>
      </c>
      <c r="E59" s="7" t="n">
        <v>4</v>
      </c>
      <c r="F59" s="7"/>
      <c r="G59" s="7" t="n">
        <v>112</v>
      </c>
      <c r="H59" s="7" t="n">
        <v>444</v>
      </c>
      <c r="I59" s="7" t="n">
        <v>5</v>
      </c>
      <c r="J59" s="7" t="n">
        <v>75</v>
      </c>
      <c r="K59" s="7" t="n">
        <v>0.5</v>
      </c>
      <c r="M59" s="7"/>
    </row>
    <row r="60" customFormat="false" ht="15.75" hidden="false" customHeight="false" outlineLevel="0" collapsed="false">
      <c r="A60" s="0" t="s">
        <v>124</v>
      </c>
      <c r="B60" s="1" t="n">
        <v>43920</v>
      </c>
      <c r="C60" s="7" t="n">
        <v>641</v>
      </c>
      <c r="D60" s="7" t="n">
        <v>81</v>
      </c>
      <c r="E60" s="7" t="n">
        <v>4</v>
      </c>
      <c r="F60" s="7"/>
      <c r="G60" s="7" t="n">
        <v>118</v>
      </c>
      <c r="H60" s="7" t="n">
        <v>519</v>
      </c>
      <c r="I60" s="7" t="n">
        <v>5</v>
      </c>
      <c r="J60" s="7" t="n">
        <v>86</v>
      </c>
      <c r="K60" s="7" t="n">
        <v>0.5</v>
      </c>
      <c r="M60" s="7"/>
    </row>
    <row r="61" customFormat="false" ht="15.75" hidden="false" customHeight="false" outlineLevel="0" collapsed="false">
      <c r="A61" s="0" t="s">
        <v>124</v>
      </c>
      <c r="B61" s="1" t="n">
        <v>43921</v>
      </c>
      <c r="C61" s="7" t="n">
        <v>642</v>
      </c>
      <c r="D61" s="7" t="n">
        <v>1</v>
      </c>
      <c r="E61" s="7" t="n">
        <v>4</v>
      </c>
      <c r="F61" s="7"/>
      <c r="G61" s="7" t="n">
        <v>118</v>
      </c>
      <c r="H61" s="7" t="n">
        <v>520</v>
      </c>
      <c r="I61" s="7" t="n">
        <v>5</v>
      </c>
      <c r="J61" s="7" t="n">
        <v>86</v>
      </c>
      <c r="K61" s="7" t="n">
        <v>0.5</v>
      </c>
      <c r="M61" s="7"/>
    </row>
    <row r="62" customFormat="false" ht="15.75" hidden="false" customHeight="false" outlineLevel="0" collapsed="false">
      <c r="A62" s="0" t="s">
        <v>124</v>
      </c>
      <c r="B62" s="1" t="n">
        <v>43922</v>
      </c>
      <c r="C62" s="7" t="n">
        <v>714</v>
      </c>
      <c r="D62" s="7" t="n">
        <v>72</v>
      </c>
      <c r="E62" s="7" t="n">
        <v>4</v>
      </c>
      <c r="F62" s="7"/>
      <c r="G62" s="7" t="n">
        <v>128</v>
      </c>
      <c r="H62" s="7" t="n">
        <v>582</v>
      </c>
      <c r="I62" s="7" t="n">
        <v>5</v>
      </c>
      <c r="J62" s="7" t="n">
        <v>95</v>
      </c>
      <c r="K62" s="7" t="n">
        <v>0.5</v>
      </c>
      <c r="M62" s="7"/>
    </row>
    <row r="63" customFormat="false" ht="15.75" hidden="false" customHeight="false" outlineLevel="0" collapsed="false">
      <c r="A63" s="0" t="s">
        <v>124</v>
      </c>
      <c r="B63" s="1" t="n">
        <v>43923</v>
      </c>
      <c r="C63" s="7" t="n">
        <v>765</v>
      </c>
      <c r="D63" s="7" t="n">
        <v>51</v>
      </c>
      <c r="E63" s="7" t="n">
        <v>4</v>
      </c>
      <c r="F63" s="7"/>
      <c r="G63" s="7" t="n">
        <v>147</v>
      </c>
      <c r="H63" s="7" t="n">
        <v>614</v>
      </c>
      <c r="I63" s="7" t="n">
        <v>5</v>
      </c>
      <c r="J63" s="7" t="n">
        <v>102</v>
      </c>
      <c r="K63" s="7" t="n">
        <v>0.5</v>
      </c>
      <c r="M63" s="7"/>
    </row>
    <row r="64" customFormat="false" ht="15.75" hidden="false" customHeight="false" outlineLevel="0" collapsed="false">
      <c r="A64" s="0" t="s">
        <v>124</v>
      </c>
      <c r="B64" s="1" t="n">
        <v>43924</v>
      </c>
      <c r="C64" s="7" t="n">
        <v>802</v>
      </c>
      <c r="D64" s="7" t="n">
        <v>37</v>
      </c>
      <c r="E64" s="7" t="n">
        <v>4</v>
      </c>
      <c r="F64" s="7"/>
      <c r="G64" s="7" t="n">
        <v>154</v>
      </c>
      <c r="H64" s="7" t="n">
        <v>644</v>
      </c>
      <c r="I64" s="7" t="n">
        <v>8</v>
      </c>
      <c r="J64" s="7" t="n">
        <v>107</v>
      </c>
      <c r="K64" s="7" t="n">
        <v>0.5</v>
      </c>
      <c r="M64" s="7"/>
    </row>
    <row r="65" customFormat="false" ht="15.75" hidden="false" customHeight="false" outlineLevel="0" collapsed="false">
      <c r="A65" s="0" t="s">
        <v>124</v>
      </c>
      <c r="B65" s="1" t="n">
        <v>43925</v>
      </c>
      <c r="C65" s="7" t="n">
        <v>845</v>
      </c>
      <c r="D65" s="7" t="n">
        <v>43</v>
      </c>
      <c r="E65" s="7" t="n">
        <v>4</v>
      </c>
      <c r="F65" s="7"/>
      <c r="G65" s="7" t="n">
        <v>173</v>
      </c>
      <c r="H65" s="7" t="n">
        <v>668</v>
      </c>
      <c r="I65" s="7" t="n">
        <v>8</v>
      </c>
      <c r="J65" s="7" t="n">
        <v>113</v>
      </c>
      <c r="K65" s="7" t="n">
        <v>0.5</v>
      </c>
      <c r="L65" s="7"/>
      <c r="M65" s="7"/>
    </row>
    <row r="66" customFormat="false" ht="15.75" hidden="false" customHeight="false" outlineLevel="0" collapsed="false">
      <c r="A66" s="0" t="s">
        <v>124</v>
      </c>
      <c r="B66" s="1" t="n">
        <v>43926</v>
      </c>
      <c r="C66" s="7" t="n">
        <v>862</v>
      </c>
      <c r="D66" s="7" t="n">
        <v>17</v>
      </c>
      <c r="E66" s="7" t="n">
        <v>4</v>
      </c>
      <c r="F66" s="7"/>
      <c r="G66" s="7" t="n">
        <v>173</v>
      </c>
      <c r="H66" s="7" t="n">
        <v>685</v>
      </c>
      <c r="I66" s="7" t="n">
        <v>8</v>
      </c>
      <c r="J66" s="7" t="n">
        <v>115</v>
      </c>
      <c r="K66" s="7" t="n">
        <v>0.5</v>
      </c>
      <c r="L66" s="6" t="n">
        <v>90000</v>
      </c>
      <c r="M66" s="6" t="n">
        <v>12005</v>
      </c>
    </row>
    <row r="67" customFormat="false" ht="15.75" hidden="false" customHeight="false" outlineLevel="0" collapsed="false">
      <c r="A67" s="0" t="s">
        <v>124</v>
      </c>
      <c r="B67" s="1" t="n">
        <v>43927</v>
      </c>
      <c r="C67" s="7" t="n">
        <v>890</v>
      </c>
      <c r="D67" s="7" t="n">
        <v>28</v>
      </c>
      <c r="E67" s="7" t="n">
        <v>4</v>
      </c>
      <c r="F67" s="7"/>
      <c r="G67" s="7" t="n">
        <v>206</v>
      </c>
      <c r="H67" s="7" t="n">
        <v>680</v>
      </c>
      <c r="I67" s="7" t="n">
        <v>8</v>
      </c>
      <c r="J67" s="7" t="n">
        <v>119</v>
      </c>
      <c r="K67" s="7" t="n">
        <v>0.5</v>
      </c>
      <c r="L67" s="6" t="n">
        <v>96709</v>
      </c>
      <c r="M67" s="6" t="n">
        <v>12900</v>
      </c>
    </row>
    <row r="68" customFormat="false" ht="15.75" hidden="false" customHeight="false" outlineLevel="0" collapsed="false">
      <c r="A68" s="0" t="s">
        <v>124</v>
      </c>
      <c r="B68" s="1" t="n">
        <v>43928</v>
      </c>
      <c r="C68" s="12" t="n">
        <v>915</v>
      </c>
      <c r="D68" s="12" t="n">
        <v>25</v>
      </c>
      <c r="E68" s="12" t="n">
        <v>4</v>
      </c>
      <c r="F68" s="12"/>
      <c r="G68" s="12" t="n">
        <v>216</v>
      </c>
      <c r="H68" s="12" t="n">
        <v>695</v>
      </c>
      <c r="I68" s="12" t="n">
        <v>12</v>
      </c>
      <c r="J68" s="12" t="n">
        <v>122</v>
      </c>
      <c r="K68" s="12" t="n">
        <v>0.5</v>
      </c>
      <c r="L68" s="6" t="n">
        <v>96709</v>
      </c>
      <c r="M68" s="6" t="n">
        <v>12900</v>
      </c>
    </row>
    <row r="69" customFormat="false" ht="15.75" hidden="false" customHeight="false" outlineLevel="0" collapsed="false">
      <c r="A69" s="0" t="s">
        <v>124</v>
      </c>
      <c r="B69" s="1" t="n">
        <v>43929</v>
      </c>
      <c r="C69" s="14" t="n">
        <v>936</v>
      </c>
      <c r="D69" s="14" t="n">
        <v>21</v>
      </c>
      <c r="E69" s="14" t="n">
        <v>4</v>
      </c>
      <c r="F69" s="14"/>
      <c r="G69" s="14" t="n">
        <v>236</v>
      </c>
      <c r="H69" s="14" t="n">
        <v>696</v>
      </c>
      <c r="I69" s="14" t="n">
        <v>12</v>
      </c>
      <c r="J69" s="14" t="n">
        <v>125</v>
      </c>
      <c r="K69" s="14" t="n">
        <v>0.5</v>
      </c>
      <c r="L69" s="6" t="n">
        <v>96709</v>
      </c>
      <c r="M69" s="6" t="n">
        <v>12900</v>
      </c>
    </row>
    <row r="70" customFormat="false" ht="15.75" hidden="false" customHeight="false" outlineLevel="0" collapsed="false">
      <c r="A70" s="0" t="s">
        <v>124</v>
      </c>
      <c r="B70" s="1" t="n">
        <v>43930</v>
      </c>
      <c r="C70" s="14" t="n">
        <v>961</v>
      </c>
      <c r="D70" s="14" t="n">
        <v>25</v>
      </c>
      <c r="E70" s="14" t="n">
        <v>4</v>
      </c>
      <c r="F70" s="14"/>
      <c r="G70" s="14" t="n">
        <v>264</v>
      </c>
      <c r="H70" s="14" t="n">
        <v>693</v>
      </c>
      <c r="I70" s="14" t="n">
        <v>14</v>
      </c>
      <c r="J70" s="14" t="n">
        <v>128</v>
      </c>
      <c r="K70" s="14" t="n">
        <v>0.5</v>
      </c>
      <c r="L70" s="6" t="n">
        <v>96709</v>
      </c>
      <c r="M70" s="6" t="n">
        <v>12900</v>
      </c>
    </row>
    <row r="71" customFormat="false" ht="15.75" hidden="false" customHeight="false" outlineLevel="0" collapsed="false">
      <c r="A71" s="0" t="s">
        <v>124</v>
      </c>
      <c r="B71" s="1" t="n">
        <v>43931</v>
      </c>
      <c r="C71" s="14" t="n">
        <v>974</v>
      </c>
      <c r="D71" s="14" t="n">
        <v>13</v>
      </c>
      <c r="E71" s="14" t="n">
        <v>4</v>
      </c>
      <c r="F71" s="14"/>
      <c r="G71" s="14" t="n">
        <v>293</v>
      </c>
      <c r="H71" s="14" t="n">
        <v>677</v>
      </c>
      <c r="I71" s="14" t="n">
        <v>14</v>
      </c>
      <c r="J71" s="14" t="n">
        <v>130</v>
      </c>
      <c r="K71" s="14" t="n">
        <v>0.5</v>
      </c>
      <c r="L71" s="6" t="n">
        <v>96709</v>
      </c>
      <c r="M71" s="6" t="n">
        <v>12900</v>
      </c>
    </row>
    <row r="72" customFormat="false" ht="15.75" hidden="false" customHeight="false" outlineLevel="0" collapsed="false">
      <c r="A72" s="0" t="s">
        <v>124</v>
      </c>
      <c r="B72" s="1" t="n">
        <v>43932</v>
      </c>
      <c r="C72" s="14" t="n">
        <v>990</v>
      </c>
      <c r="D72" s="14" t="n">
        <v>16</v>
      </c>
      <c r="E72" s="14" t="n">
        <v>4</v>
      </c>
      <c r="F72" s="14"/>
      <c r="G72" s="14" t="n">
        <v>309</v>
      </c>
      <c r="H72" s="14" t="n">
        <v>677</v>
      </c>
      <c r="I72" s="14" t="n">
        <v>15</v>
      </c>
      <c r="J72" s="14" t="n">
        <v>132</v>
      </c>
      <c r="K72" s="14" t="n">
        <v>0.5</v>
      </c>
      <c r="L72" s="6" t="n">
        <v>96709</v>
      </c>
      <c r="M72" s="6" t="n">
        <v>12900</v>
      </c>
    </row>
    <row r="73" customFormat="false" ht="15.75" hidden="false" customHeight="false" outlineLevel="0" collapsed="false">
      <c r="A73" s="0" t="s">
        <v>124</v>
      </c>
      <c r="B73" s="1" t="n">
        <v>43933</v>
      </c>
      <c r="C73" s="14" t="n">
        <v>1001</v>
      </c>
      <c r="D73" s="14" t="n">
        <v>11</v>
      </c>
      <c r="E73" s="14" t="n">
        <v>4</v>
      </c>
      <c r="F73" s="14"/>
      <c r="G73" s="14" t="n">
        <v>336</v>
      </c>
      <c r="H73" s="14" t="n">
        <v>661</v>
      </c>
      <c r="I73" s="14" t="n">
        <v>14</v>
      </c>
      <c r="J73" s="14" t="n">
        <v>134</v>
      </c>
      <c r="K73" s="14" t="n">
        <v>0.5</v>
      </c>
      <c r="L73" s="6" t="n">
        <v>96709</v>
      </c>
      <c r="M73" s="6" t="n">
        <v>12900</v>
      </c>
    </row>
    <row r="74" customFormat="false" ht="15.75" hidden="false" customHeight="false" outlineLevel="0" collapsed="false">
      <c r="A74" s="0" t="s">
        <v>124</v>
      </c>
      <c r="B74" s="1" t="n">
        <v>43934</v>
      </c>
      <c r="C74" s="14" t="n">
        <v>1005</v>
      </c>
      <c r="D74" s="14" t="n">
        <v>4</v>
      </c>
      <c r="E74" s="14" t="n">
        <v>4</v>
      </c>
      <c r="F74" s="14"/>
      <c r="G74" s="14" t="n">
        <v>360</v>
      </c>
      <c r="H74" s="14" t="n">
        <v>641</v>
      </c>
      <c r="I74" s="14" t="n">
        <v>13</v>
      </c>
      <c r="J74" s="14" t="n">
        <v>134</v>
      </c>
      <c r="K74" s="14" t="n">
        <v>0.5</v>
      </c>
      <c r="L74" s="6" t="n">
        <v>96709</v>
      </c>
      <c r="M74" s="6" t="n">
        <v>12900</v>
      </c>
    </row>
    <row r="75" customFormat="false" ht="15.75" hidden="false" customHeight="false" outlineLevel="0" collapsed="false">
      <c r="A75" s="0" t="s">
        <v>124</v>
      </c>
      <c r="B75" s="1" t="n">
        <v>43935</v>
      </c>
      <c r="C75" s="14" t="n">
        <v>1010</v>
      </c>
      <c r="D75" s="14" t="n">
        <v>5</v>
      </c>
      <c r="E75" s="14" t="n">
        <v>4</v>
      </c>
      <c r="F75" s="14"/>
      <c r="G75" s="14" t="n">
        <v>397</v>
      </c>
      <c r="H75" s="14" t="n">
        <v>609</v>
      </c>
      <c r="I75" s="14" t="n">
        <v>13</v>
      </c>
      <c r="J75" s="14" t="n">
        <v>135</v>
      </c>
      <c r="K75" s="14" t="n">
        <v>0.5</v>
      </c>
      <c r="L75" s="6" t="n">
        <v>96709</v>
      </c>
      <c r="M75" s="6" t="n">
        <v>12900</v>
      </c>
    </row>
    <row r="76" customFormat="false" ht="15.75" hidden="false" customHeight="false" outlineLevel="0" collapsed="false">
      <c r="A76" s="0" t="s">
        <v>124</v>
      </c>
      <c r="B76" s="1" t="n">
        <v>43936</v>
      </c>
      <c r="C76" s="14" t="n">
        <v>1013</v>
      </c>
      <c r="D76" s="14" t="n">
        <v>3</v>
      </c>
      <c r="E76" s="14" t="n">
        <v>4</v>
      </c>
      <c r="F76" s="14"/>
      <c r="G76" s="14" t="n">
        <v>434</v>
      </c>
      <c r="H76" s="14" t="n">
        <v>575</v>
      </c>
      <c r="I76" s="14" t="n">
        <v>13</v>
      </c>
      <c r="J76" s="14" t="n">
        <v>135</v>
      </c>
      <c r="K76" s="14" t="n">
        <v>0.5</v>
      </c>
      <c r="L76" s="6" t="n">
        <v>96709</v>
      </c>
      <c r="M76" s="6" t="n">
        <v>12900</v>
      </c>
    </row>
    <row r="77" customFormat="false" ht="15.75" hidden="false" customHeight="false" outlineLevel="0" collapsed="false">
      <c r="A77" s="0" t="s">
        <v>124</v>
      </c>
      <c r="B77" s="1" t="n">
        <v>43937</v>
      </c>
      <c r="C77" s="14" t="n">
        <v>1017</v>
      </c>
      <c r="D77" s="14" t="n">
        <v>4</v>
      </c>
      <c r="E77" s="14" t="n">
        <v>4</v>
      </c>
      <c r="F77" s="14"/>
      <c r="G77" s="14" t="n">
        <v>459</v>
      </c>
      <c r="H77" s="14" t="n">
        <v>554</v>
      </c>
      <c r="I77" s="14" t="n">
        <v>10</v>
      </c>
      <c r="J77" s="14" t="n">
        <v>136</v>
      </c>
      <c r="K77" s="14" t="n">
        <v>0.5</v>
      </c>
      <c r="L77" s="6" t="n">
        <v>116273</v>
      </c>
      <c r="M77" s="6" t="n">
        <v>15509</v>
      </c>
    </row>
    <row r="78" customFormat="false" ht="15.75" hidden="false" customHeight="false" outlineLevel="0" collapsed="false">
      <c r="A78" s="0" t="s">
        <v>124</v>
      </c>
      <c r="B78" s="1" t="n">
        <v>43938</v>
      </c>
      <c r="C78" s="14" t="n">
        <v>1018</v>
      </c>
      <c r="D78" s="14" t="n">
        <v>1</v>
      </c>
      <c r="E78" s="14" t="n">
        <v>4</v>
      </c>
      <c r="F78" s="14"/>
      <c r="G78" s="14" t="n">
        <v>485</v>
      </c>
      <c r="H78" s="14" t="n">
        <v>529</v>
      </c>
      <c r="I78" s="14" t="n">
        <v>9</v>
      </c>
      <c r="J78" s="14" t="n">
        <v>136</v>
      </c>
      <c r="K78" s="14" t="n">
        <v>0.5</v>
      </c>
      <c r="L78" s="6" t="n">
        <v>116273</v>
      </c>
      <c r="M78" s="6" t="n">
        <v>15509</v>
      </c>
    </row>
    <row r="79" customFormat="false" ht="15.75" hidden="false" customHeight="false" outlineLevel="0" collapsed="false">
      <c r="A79" s="0" t="s">
        <v>124</v>
      </c>
      <c r="B79" s="1" t="n">
        <v>43939</v>
      </c>
      <c r="C79" s="14" t="n">
        <v>1022</v>
      </c>
      <c r="D79" s="14" t="n">
        <v>4</v>
      </c>
      <c r="E79" s="14" t="n">
        <v>4</v>
      </c>
      <c r="F79" s="14"/>
      <c r="G79" s="14" t="n">
        <v>533</v>
      </c>
      <c r="H79" s="14" t="n">
        <v>485</v>
      </c>
      <c r="I79" s="14" t="n">
        <v>9</v>
      </c>
      <c r="J79" s="14" t="n">
        <v>136</v>
      </c>
      <c r="K79" s="14" t="n">
        <v>0.5</v>
      </c>
      <c r="L79" s="6" t="n">
        <v>131786</v>
      </c>
      <c r="M79" s="6" t="n">
        <v>17579</v>
      </c>
    </row>
    <row r="80" customFormat="false" ht="15.75" hidden="false" customHeight="false" outlineLevel="0" collapsed="false">
      <c r="A80" s="0" t="s">
        <v>124</v>
      </c>
      <c r="B80" s="1" t="n">
        <v>43940</v>
      </c>
      <c r="C80" s="14" t="n">
        <v>1024</v>
      </c>
      <c r="D80" s="14" t="n">
        <v>2</v>
      </c>
      <c r="E80" s="14" t="n">
        <v>4</v>
      </c>
      <c r="F80" s="14"/>
      <c r="G80" s="14" t="n">
        <v>568</v>
      </c>
      <c r="H80" s="14" t="n">
        <v>452</v>
      </c>
      <c r="I80" s="14" t="n">
        <v>9</v>
      </c>
      <c r="J80" s="14" t="n">
        <v>137</v>
      </c>
      <c r="K80" s="14" t="n">
        <v>0.5</v>
      </c>
      <c r="L80" s="6" t="n">
        <v>131786</v>
      </c>
      <c r="M80" s="6" t="n">
        <v>17579</v>
      </c>
    </row>
    <row r="81" customFormat="false" ht="15.75" hidden="false" customHeight="false" outlineLevel="0" collapsed="false">
      <c r="A81" s="0" t="s">
        <v>124</v>
      </c>
      <c r="B81" s="1" t="n">
        <v>43941</v>
      </c>
      <c r="C81" s="14" t="n">
        <v>1026</v>
      </c>
      <c r="D81" s="14" t="n">
        <v>2</v>
      </c>
      <c r="E81" s="14" t="n">
        <v>4</v>
      </c>
      <c r="F81" s="14"/>
      <c r="G81" s="14" t="n">
        <v>602</v>
      </c>
      <c r="H81" s="14" t="n">
        <v>420</v>
      </c>
      <c r="I81" s="14" t="n">
        <v>8</v>
      </c>
      <c r="J81" s="14" t="n">
        <v>137</v>
      </c>
      <c r="K81" s="14" t="n">
        <v>0.5</v>
      </c>
      <c r="L81" s="6" t="n">
        <v>131786</v>
      </c>
      <c r="M81" s="6" t="n">
        <v>17579</v>
      </c>
    </row>
    <row r="82" customFormat="false" ht="15.75" hidden="false" customHeight="false" outlineLevel="0" collapsed="false">
      <c r="A82" s="0" t="s">
        <v>124</v>
      </c>
      <c r="B82" s="1" t="n">
        <v>43942</v>
      </c>
      <c r="C82" s="6" t="n">
        <v>1026</v>
      </c>
      <c r="D82" s="6"/>
      <c r="E82" s="6" t="n">
        <v>4</v>
      </c>
      <c r="F82" s="6"/>
      <c r="G82" s="6" t="n">
        <v>630</v>
      </c>
      <c r="H82" s="6" t="n">
        <v>392</v>
      </c>
      <c r="I82" s="6" t="n">
        <v>8</v>
      </c>
      <c r="J82" s="6" t="n">
        <v>137</v>
      </c>
      <c r="K82" s="6" t="n">
        <v>0.5</v>
      </c>
      <c r="L82" s="6" t="n">
        <v>131786</v>
      </c>
      <c r="M82" s="6" t="n">
        <v>17579</v>
      </c>
    </row>
    <row r="83" customFormat="false" ht="15.75" hidden="false" customHeight="false" outlineLevel="0" collapsed="false">
      <c r="A83" s="0" t="s">
        <v>124</v>
      </c>
      <c r="B83" s="1" t="n">
        <v>43943</v>
      </c>
      <c r="C83" s="6" t="n">
        <v>1030</v>
      </c>
      <c r="D83" s="6" t="n">
        <v>4</v>
      </c>
      <c r="E83" s="6" t="n">
        <v>4</v>
      </c>
      <c r="F83" s="6"/>
      <c r="G83" s="6" t="n">
        <v>650</v>
      </c>
      <c r="H83" s="6" t="n">
        <v>376</v>
      </c>
      <c r="I83" s="6" t="n">
        <v>8</v>
      </c>
      <c r="J83" s="6" t="n">
        <v>137</v>
      </c>
      <c r="K83" s="6" t="n">
        <v>0.5</v>
      </c>
      <c r="L83" s="6" t="n">
        <v>131786</v>
      </c>
      <c r="M83" s="6" t="n">
        <v>17579</v>
      </c>
    </row>
    <row r="84" customFormat="false" ht="15.75" hidden="false" customHeight="false" outlineLevel="0" collapsed="false">
      <c r="A84" s="0" t="s">
        <v>124</v>
      </c>
      <c r="B84" s="1" t="n">
        <v>43944</v>
      </c>
      <c r="C84" s="6" t="n">
        <v>1034</v>
      </c>
      <c r="D84" s="6" t="n">
        <v>4</v>
      </c>
      <c r="E84" s="6" t="n">
        <v>4</v>
      </c>
      <c r="F84" s="6"/>
      <c r="G84" s="6" t="n">
        <v>678</v>
      </c>
      <c r="H84" s="6" t="n">
        <v>352</v>
      </c>
      <c r="I84" s="6" t="n">
        <v>8</v>
      </c>
      <c r="J84" s="6" t="n">
        <v>138</v>
      </c>
      <c r="K84" s="6" t="n">
        <v>0.5</v>
      </c>
      <c r="L84" s="6" t="n">
        <v>131786</v>
      </c>
      <c r="M84" s="6" t="n">
        <v>17579</v>
      </c>
    </row>
    <row r="85" customFormat="false" ht="15.75" hidden="false" customHeight="false" outlineLevel="0" collapsed="false">
      <c r="A85" s="0" t="s">
        <v>124</v>
      </c>
      <c r="B85" s="1" t="n">
        <v>43945</v>
      </c>
      <c r="C85" s="6" t="n">
        <v>1036</v>
      </c>
      <c r="D85" s="6" t="n">
        <v>2</v>
      </c>
      <c r="E85" s="6" t="n">
        <v>4</v>
      </c>
      <c r="F85" s="6"/>
      <c r="G85" s="6" t="n">
        <v>699</v>
      </c>
      <c r="H85" s="6" t="n">
        <v>333</v>
      </c>
      <c r="I85" s="6" t="n">
        <v>9</v>
      </c>
      <c r="J85" s="6" t="n">
        <v>138</v>
      </c>
      <c r="K85" s="6" t="n">
        <v>0.5</v>
      </c>
      <c r="L85" s="6" t="n">
        <v>131786</v>
      </c>
      <c r="M85" s="6" t="n">
        <v>17579</v>
      </c>
    </row>
    <row r="86" customFormat="false" ht="15.75" hidden="false" customHeight="false" outlineLevel="0" collapsed="false">
      <c r="A86" s="0" t="s">
        <v>124</v>
      </c>
      <c r="B86" s="1" t="n">
        <v>43946</v>
      </c>
      <c r="C86" s="6" t="n">
        <v>1036</v>
      </c>
      <c r="D86" s="6"/>
      <c r="E86" s="6" t="n">
        <v>4</v>
      </c>
      <c r="F86" s="6"/>
      <c r="G86" s="6" t="n">
        <v>699</v>
      </c>
      <c r="H86" s="6" t="n">
        <v>333</v>
      </c>
      <c r="I86" s="6" t="n">
        <v>9</v>
      </c>
      <c r="J86" s="6" t="n">
        <v>138</v>
      </c>
      <c r="K86" s="6" t="n">
        <v>0.5</v>
      </c>
      <c r="L86" s="6" t="n">
        <v>131786</v>
      </c>
      <c r="M86" s="6" t="n">
        <v>17579</v>
      </c>
    </row>
    <row r="87" customFormat="false" ht="15.75" hidden="false" customHeight="false" outlineLevel="0" collapsed="false">
      <c r="A87" s="0" t="s">
        <v>124</v>
      </c>
      <c r="B87" s="1" t="n">
        <v>43947</v>
      </c>
      <c r="C87" s="6" t="n">
        <v>1038</v>
      </c>
      <c r="D87" s="6" t="n">
        <v>2</v>
      </c>
      <c r="E87" s="6" t="n">
        <v>4</v>
      </c>
      <c r="F87" s="6"/>
      <c r="G87" s="6" t="n">
        <v>753</v>
      </c>
      <c r="H87" s="6" t="n">
        <v>281</v>
      </c>
      <c r="I87" s="6" t="n">
        <v>4</v>
      </c>
      <c r="J87" s="6" t="n">
        <v>138</v>
      </c>
      <c r="K87" s="6" t="n">
        <v>0.5</v>
      </c>
      <c r="L87" s="6" t="n">
        <v>145640</v>
      </c>
      <c r="M87" s="6" t="n">
        <v>19426</v>
      </c>
    </row>
    <row r="88" customFormat="false" ht="15.75" hidden="false" customHeight="false" outlineLevel="0" collapsed="false">
      <c r="A88" s="0" t="s">
        <v>124</v>
      </c>
      <c r="B88" s="1" t="n">
        <v>43948</v>
      </c>
      <c r="C88" s="6" t="n">
        <v>1038</v>
      </c>
      <c r="D88" s="6"/>
      <c r="E88" s="6" t="n">
        <v>4</v>
      </c>
      <c r="F88" s="6"/>
      <c r="G88" s="6" t="n">
        <v>753</v>
      </c>
      <c r="H88" s="6" t="n">
        <v>281</v>
      </c>
      <c r="I88" s="6" t="n">
        <v>4</v>
      </c>
      <c r="J88" s="6" t="n">
        <v>138</v>
      </c>
      <c r="K88" s="6" t="n">
        <v>0.5</v>
      </c>
      <c r="L88" s="6" t="n">
        <v>145640</v>
      </c>
      <c r="M88" s="6" t="n">
        <v>19426</v>
      </c>
    </row>
    <row r="89" customFormat="false" ht="15.75" hidden="false" customHeight="false" outlineLevel="0" collapsed="false">
      <c r="A89" s="0" t="s">
        <v>124</v>
      </c>
      <c r="B89" s="1" t="n">
        <v>43949</v>
      </c>
      <c r="C89" s="6" t="n">
        <v>1038</v>
      </c>
      <c r="D89" s="6"/>
      <c r="E89" s="6" t="n">
        <v>4</v>
      </c>
      <c r="F89" s="6"/>
      <c r="G89" s="6" t="n">
        <v>787</v>
      </c>
      <c r="H89" s="6" t="n">
        <v>247</v>
      </c>
      <c r="I89" s="6" t="n">
        <v>4</v>
      </c>
      <c r="J89" s="6" t="n">
        <v>138</v>
      </c>
      <c r="K89" s="6" t="n">
        <v>0.5</v>
      </c>
      <c r="L89" s="6" t="n">
        <v>145640</v>
      </c>
      <c r="M89" s="6" t="n">
        <v>19426</v>
      </c>
    </row>
    <row r="90" customFormat="false" ht="15.75" hidden="false" customHeight="false" outlineLevel="0" collapsed="false">
      <c r="A90" s="0" t="s">
        <v>124</v>
      </c>
      <c r="B90" s="1" t="n">
        <v>43950</v>
      </c>
      <c r="C90" s="6" t="n">
        <v>1038</v>
      </c>
      <c r="D90" s="6"/>
      <c r="E90" s="6" t="n">
        <v>4</v>
      </c>
      <c r="F90" s="6"/>
      <c r="G90" s="6" t="n">
        <v>811</v>
      </c>
      <c r="H90" s="6" t="n">
        <v>223</v>
      </c>
      <c r="I90" s="6" t="n">
        <v>4</v>
      </c>
      <c r="J90" s="6" t="n">
        <v>138</v>
      </c>
      <c r="K90" s="6" t="n">
        <v>0.5</v>
      </c>
      <c r="L90" s="6" t="n">
        <v>145640</v>
      </c>
      <c r="M90" s="6" t="n">
        <v>19426</v>
      </c>
    </row>
    <row r="91" customFormat="false" ht="15.75" hidden="false" customHeight="false" outlineLevel="0" collapsed="false">
      <c r="A91" s="0" t="s">
        <v>124</v>
      </c>
      <c r="B91" s="1" t="n">
        <v>43951</v>
      </c>
      <c r="C91" s="6" t="n">
        <v>1038</v>
      </c>
      <c r="D91" s="6"/>
      <c r="E91" s="6" t="n">
        <v>4</v>
      </c>
      <c r="F91" s="6"/>
      <c r="G91" s="6" t="n">
        <v>830</v>
      </c>
      <c r="H91" s="6" t="n">
        <v>204</v>
      </c>
      <c r="I91" s="6" t="n">
        <v>4</v>
      </c>
      <c r="J91" s="6" t="n">
        <v>138</v>
      </c>
      <c r="K91" s="6" t="n">
        <v>0.5</v>
      </c>
      <c r="L91" s="6" t="n">
        <v>145640</v>
      </c>
      <c r="M91" s="6" t="n">
        <v>19426</v>
      </c>
    </row>
    <row r="92" customFormat="false" ht="15.75" hidden="false" customHeight="false" outlineLevel="0" collapsed="false">
      <c r="A92" s="0" t="s">
        <v>124</v>
      </c>
      <c r="B92" s="1" t="n">
        <v>43952</v>
      </c>
      <c r="C92" s="6" t="n">
        <v>1038</v>
      </c>
      <c r="D92" s="40"/>
      <c r="E92" s="6" t="n">
        <v>4</v>
      </c>
      <c r="F92" s="6"/>
      <c r="G92" s="6" t="n">
        <v>846</v>
      </c>
      <c r="H92" s="6" t="n">
        <v>188</v>
      </c>
      <c r="I92" s="6" t="n">
        <v>4</v>
      </c>
      <c r="J92" s="6" t="n">
        <v>138</v>
      </c>
      <c r="K92" s="6" t="n">
        <v>0.5</v>
      </c>
      <c r="L92" s="6" t="n">
        <v>154989</v>
      </c>
      <c r="M92" s="6" t="n">
        <v>20674</v>
      </c>
    </row>
    <row r="93" customFormat="false" ht="15.75" hidden="false" customHeight="false" outlineLevel="0" collapsed="false">
      <c r="A93" s="0" t="s">
        <v>124</v>
      </c>
      <c r="B93" s="1" t="n">
        <v>43953</v>
      </c>
      <c r="C93" s="6" t="n">
        <v>1040</v>
      </c>
      <c r="D93" s="6" t="n">
        <v>2</v>
      </c>
      <c r="E93" s="6" t="n">
        <v>4</v>
      </c>
      <c r="F93" s="6"/>
      <c r="G93" s="6" t="n">
        <v>859</v>
      </c>
      <c r="H93" s="6" t="n">
        <v>177</v>
      </c>
      <c r="I93" s="6" t="n">
        <v>4</v>
      </c>
      <c r="J93" s="6" t="n">
        <v>139</v>
      </c>
      <c r="K93" s="6" t="n">
        <v>0.5</v>
      </c>
      <c r="L93" s="6" t="n">
        <v>154989</v>
      </c>
      <c r="M93" s="6" t="n">
        <v>20674</v>
      </c>
    </row>
    <row r="94" customFormat="false" ht="15.75" hidden="false" customHeight="false" outlineLevel="0" collapsed="false">
      <c r="A94" s="0" t="s">
        <v>124</v>
      </c>
      <c r="B94" s="1" t="n">
        <v>43954</v>
      </c>
      <c r="C94" s="7" t="n">
        <v>1040</v>
      </c>
      <c r="D94" s="6"/>
      <c r="E94" s="6" t="n">
        <v>4</v>
      </c>
      <c r="F94" s="6"/>
      <c r="G94" s="6" t="n">
        <v>864</v>
      </c>
      <c r="H94" s="6" t="n">
        <v>172</v>
      </c>
      <c r="I94" s="6" t="n">
        <v>4</v>
      </c>
      <c r="J94" s="6" t="n">
        <v>139</v>
      </c>
      <c r="K94" s="6" t="n">
        <v>0.5</v>
      </c>
      <c r="L94" s="6" t="n">
        <v>154989</v>
      </c>
      <c r="M94" s="6" t="n">
        <v>20674</v>
      </c>
    </row>
    <row r="95" customFormat="false" ht="15.75" hidden="false" customHeight="false" outlineLevel="0" collapsed="false">
      <c r="A95" s="0" t="s">
        <v>124</v>
      </c>
      <c r="B95" s="1" t="n">
        <v>43955</v>
      </c>
      <c r="C95" s="20" t="n">
        <v>1040</v>
      </c>
      <c r="D95" s="49"/>
      <c r="E95" s="49" t="n">
        <v>4</v>
      </c>
      <c r="F95" s="49"/>
      <c r="G95" s="49" t="n">
        <v>879</v>
      </c>
      <c r="H95" s="49" t="n">
        <v>157</v>
      </c>
      <c r="I95" s="49" t="n">
        <v>3</v>
      </c>
      <c r="J95" s="49" t="n">
        <v>139</v>
      </c>
      <c r="K95" s="49" t="n">
        <v>0.5</v>
      </c>
      <c r="L95" s="6" t="n">
        <v>154989</v>
      </c>
      <c r="M95" s="6" t="n">
        <v>20674</v>
      </c>
    </row>
    <row r="96" customFormat="false" ht="15.75" hidden="false" customHeight="false" outlineLevel="0" collapsed="false">
      <c r="A96" s="0" t="s">
        <v>124</v>
      </c>
      <c r="B96" s="1" t="n">
        <v>43956</v>
      </c>
      <c r="C96" s="6" t="n">
        <v>1041</v>
      </c>
      <c r="D96" s="6" t="n">
        <v>1</v>
      </c>
      <c r="E96" s="6" t="n">
        <v>4</v>
      </c>
      <c r="F96" s="6"/>
      <c r="G96" s="6" t="n">
        <v>900</v>
      </c>
      <c r="H96" s="6" t="n">
        <v>137</v>
      </c>
      <c r="I96" s="6" t="n">
        <v>1</v>
      </c>
      <c r="J96" s="6" t="n">
        <v>139</v>
      </c>
      <c r="K96" s="6" t="n">
        <v>0.5</v>
      </c>
      <c r="L96" s="6" t="n">
        <v>154989</v>
      </c>
      <c r="M96" s="6" t="n">
        <v>20674</v>
      </c>
    </row>
    <row r="97" customFormat="false" ht="15.75" hidden="false" customHeight="false" outlineLevel="0" collapsed="false">
      <c r="A97" s="0" t="s">
        <v>124</v>
      </c>
      <c r="B97" s="1" t="n">
        <v>43957</v>
      </c>
      <c r="C97" s="6" t="n">
        <v>1041</v>
      </c>
      <c r="D97" s="6"/>
      <c r="E97" s="6" t="n">
        <v>4</v>
      </c>
      <c r="F97" s="6"/>
      <c r="G97" s="6" t="n">
        <v>920</v>
      </c>
      <c r="H97" s="6" t="n">
        <v>117</v>
      </c>
      <c r="I97" s="6" t="n">
        <v>1</v>
      </c>
      <c r="J97" s="6" t="n">
        <v>139</v>
      </c>
      <c r="K97" s="6" t="n">
        <v>0.5</v>
      </c>
      <c r="L97" s="6" t="n">
        <v>154989</v>
      </c>
      <c r="M97" s="6" t="n">
        <v>20674</v>
      </c>
    </row>
    <row r="98" customFormat="false" ht="15.75" hidden="false" customHeight="false" outlineLevel="0" collapsed="false">
      <c r="A98" s="0" t="s">
        <v>124</v>
      </c>
      <c r="B98" s="1" t="n">
        <v>43958</v>
      </c>
      <c r="C98" s="2" t="n">
        <v>1041</v>
      </c>
      <c r="E98" s="2" t="n">
        <v>4</v>
      </c>
      <c r="G98" s="2" t="n">
        <v>932</v>
      </c>
      <c r="H98" s="2" t="n">
        <v>105</v>
      </c>
      <c r="I98" s="2" t="n">
        <v>2</v>
      </c>
      <c r="J98" s="2" t="n">
        <v>139</v>
      </c>
      <c r="K98" s="2" t="n">
        <v>0.5</v>
      </c>
      <c r="L98" s="6" t="n">
        <v>154989</v>
      </c>
      <c r="M98" s="6" t="n">
        <v>20674</v>
      </c>
    </row>
    <row r="99" customFormat="false" ht="15.75" hidden="false" customHeight="false" outlineLevel="0" collapsed="false">
      <c r="A99" s="0" t="s">
        <v>124</v>
      </c>
      <c r="B99" s="1" t="n">
        <v>43959</v>
      </c>
      <c r="C99" s="6" t="n">
        <v>1045</v>
      </c>
      <c r="D99" s="6" t="n">
        <v>4</v>
      </c>
      <c r="E99" s="6" t="n">
        <v>4</v>
      </c>
      <c r="F99" s="6"/>
      <c r="G99" s="6" t="n">
        <v>944</v>
      </c>
      <c r="H99" s="6" t="n">
        <v>97</v>
      </c>
      <c r="I99" s="6" t="n">
        <v>1</v>
      </c>
      <c r="J99" s="6" t="n">
        <v>139</v>
      </c>
      <c r="K99" s="6" t="n">
        <v>0.5</v>
      </c>
      <c r="L99" s="6" t="n">
        <v>154989</v>
      </c>
      <c r="M99" s="6" t="n">
        <v>20674</v>
      </c>
    </row>
    <row r="100" customFormat="false" ht="15.75" hidden="false" customHeight="false" outlineLevel="0" collapsed="false">
      <c r="A100" s="0" t="s">
        <v>124</v>
      </c>
      <c r="B100" s="1" t="n">
        <v>43960</v>
      </c>
      <c r="C100" s="6" t="n">
        <v>1045</v>
      </c>
      <c r="D100" s="6"/>
      <c r="E100" s="6" t="n">
        <v>4</v>
      </c>
      <c r="F100" s="6"/>
      <c r="G100" s="6" t="n">
        <v>960</v>
      </c>
      <c r="H100" s="6" t="n">
        <v>81</v>
      </c>
      <c r="I100" s="6" t="n">
        <v>1</v>
      </c>
      <c r="J100" s="6" t="n">
        <v>139</v>
      </c>
      <c r="K100" s="6" t="n">
        <v>0.5</v>
      </c>
      <c r="L100" s="6" t="n">
        <v>154989</v>
      </c>
      <c r="M100" s="6" t="n">
        <v>20674</v>
      </c>
    </row>
    <row r="101" customFormat="false" ht="15.75" hidden="false" customHeight="false" outlineLevel="0" collapsed="false">
      <c r="A101" s="0" t="s">
        <v>124</v>
      </c>
      <c r="B101" s="1" t="n">
        <v>43961</v>
      </c>
      <c r="C101" s="6" t="n">
        <v>1045</v>
      </c>
      <c r="D101" s="6"/>
      <c r="E101" s="6" t="n">
        <v>4</v>
      </c>
      <c r="F101" s="6"/>
      <c r="G101" s="6" t="n">
        <v>967</v>
      </c>
      <c r="H101" s="6" t="n">
        <v>74</v>
      </c>
      <c r="I101" s="6" t="n">
        <v>1</v>
      </c>
      <c r="J101" s="6" t="n">
        <v>139</v>
      </c>
      <c r="K101" s="6" t="n">
        <v>0.5</v>
      </c>
      <c r="L101" s="6" t="n">
        <v>168291</v>
      </c>
      <c r="M101" s="6" t="n">
        <v>22448</v>
      </c>
    </row>
    <row r="102" customFormat="false" ht="15.75" hidden="false" customHeight="false" outlineLevel="0" collapsed="false">
      <c r="A102" s="0" t="s">
        <v>124</v>
      </c>
      <c r="B102" s="1" t="n">
        <v>43962</v>
      </c>
      <c r="C102" s="6" t="n">
        <v>1048</v>
      </c>
      <c r="D102" s="6" t="n">
        <v>3</v>
      </c>
      <c r="E102" s="6" t="n">
        <v>4</v>
      </c>
      <c r="F102" s="6"/>
      <c r="G102" s="6" t="n">
        <v>982</v>
      </c>
      <c r="H102" s="6" t="n">
        <v>62</v>
      </c>
      <c r="I102" s="6" t="n">
        <v>1</v>
      </c>
      <c r="J102" s="6" t="n">
        <v>140</v>
      </c>
      <c r="K102" s="6" t="n">
        <v>0.5</v>
      </c>
      <c r="L102" s="6" t="n">
        <v>168291</v>
      </c>
      <c r="M102" s="6" t="n">
        <v>22448</v>
      </c>
    </row>
    <row r="103" customFormat="false" ht="15.75" hidden="false" customHeight="false" outlineLevel="0" collapsed="false">
      <c r="A103" s="0" t="s">
        <v>124</v>
      </c>
      <c r="B103" s="1" t="n">
        <v>43963</v>
      </c>
      <c r="C103" s="6" t="n">
        <v>1048</v>
      </c>
      <c r="D103" s="6"/>
      <c r="E103" s="6" t="n">
        <v>4</v>
      </c>
      <c r="F103" s="6"/>
      <c r="G103" s="6" t="n">
        <v>985</v>
      </c>
      <c r="H103" s="6" t="n">
        <v>59</v>
      </c>
      <c r="I103" s="6" t="n">
        <v>1</v>
      </c>
      <c r="J103" s="6" t="n">
        <v>140</v>
      </c>
      <c r="K103" s="6" t="n">
        <v>0.5</v>
      </c>
      <c r="L103" s="6" t="n">
        <v>168291</v>
      </c>
      <c r="M103" s="6" t="n">
        <v>22448</v>
      </c>
    </row>
    <row r="104" customFormat="false" ht="15.75" hidden="false" customHeight="false" outlineLevel="0" collapsed="false">
      <c r="A104" s="0" t="s">
        <v>124</v>
      </c>
      <c r="B104" s="1" t="n">
        <v>43964</v>
      </c>
      <c r="C104" s="6" t="n">
        <v>1048</v>
      </c>
      <c r="D104" s="6"/>
      <c r="E104" s="6" t="n">
        <v>4</v>
      </c>
      <c r="F104" s="6"/>
      <c r="G104" s="6" t="n">
        <v>991</v>
      </c>
      <c r="H104" s="6" t="n">
        <v>53</v>
      </c>
      <c r="I104" s="6" t="n">
        <v>1</v>
      </c>
      <c r="J104" s="6" t="n">
        <v>140</v>
      </c>
      <c r="K104" s="6" t="n">
        <v>0.5</v>
      </c>
      <c r="L104" s="6" t="n">
        <v>168291</v>
      </c>
      <c r="M104" s="6" t="n">
        <v>22448</v>
      </c>
    </row>
    <row r="105" customFormat="false" ht="15.75" hidden="false" customHeight="false" outlineLevel="0" collapsed="false">
      <c r="A105" s="0" t="s">
        <v>124</v>
      </c>
      <c r="B105" s="1" t="n">
        <v>43965</v>
      </c>
      <c r="C105" s="6" t="n">
        <v>1051</v>
      </c>
      <c r="D105" s="6" t="n">
        <v>3</v>
      </c>
      <c r="E105" s="6" t="n">
        <v>4</v>
      </c>
      <c r="F105" s="6"/>
      <c r="G105" s="7" t="n">
        <v>1008</v>
      </c>
      <c r="H105" s="6" t="n">
        <v>39</v>
      </c>
      <c r="I105" s="6" t="n">
        <v>1</v>
      </c>
      <c r="J105" s="6" t="n">
        <v>140</v>
      </c>
      <c r="K105" s="6" t="n">
        <v>0.5</v>
      </c>
      <c r="L105" s="6" t="n">
        <v>168291</v>
      </c>
      <c r="M105" s="6" t="n">
        <v>22448</v>
      </c>
    </row>
    <row r="106" customFormat="false" ht="15.75" hidden="false" customHeight="false" outlineLevel="0" collapsed="false">
      <c r="A106" s="0" t="s">
        <v>124</v>
      </c>
      <c r="B106" s="1" t="n">
        <v>43966</v>
      </c>
      <c r="C106" s="6" t="n">
        <v>1052</v>
      </c>
      <c r="D106" s="6" t="n">
        <v>1</v>
      </c>
      <c r="E106" s="6" t="n">
        <v>4</v>
      </c>
      <c r="F106" s="6"/>
      <c r="G106" s="6" t="n">
        <v>1009</v>
      </c>
      <c r="H106" s="6" t="n">
        <v>39</v>
      </c>
      <c r="I106" s="6" t="n">
        <v>1</v>
      </c>
      <c r="J106" s="6" t="n">
        <v>140</v>
      </c>
      <c r="K106" s="6" t="n">
        <v>0.5</v>
      </c>
      <c r="L106" s="6" t="n">
        <v>168291</v>
      </c>
      <c r="M106" s="6" t="n">
        <v>22448</v>
      </c>
    </row>
    <row r="107" customFormat="false" ht="15.75" hidden="false" customHeight="false" outlineLevel="0" collapsed="false">
      <c r="A107" s="0" t="s">
        <v>124</v>
      </c>
      <c r="B107" s="1" t="n">
        <v>43967</v>
      </c>
      <c r="C107" s="6" t="n">
        <v>1053</v>
      </c>
      <c r="D107" s="6" t="n">
        <v>1</v>
      </c>
      <c r="E107" s="6" t="n">
        <v>4</v>
      </c>
      <c r="F107" s="6"/>
      <c r="G107" s="6" t="n">
        <v>1019</v>
      </c>
      <c r="H107" s="6" t="n">
        <v>30</v>
      </c>
      <c r="I107" s="6" t="n">
        <v>1</v>
      </c>
      <c r="J107" s="6" t="n">
        <v>141</v>
      </c>
      <c r="K107" s="6" t="n">
        <v>0.5</v>
      </c>
      <c r="L107" s="6" t="n">
        <v>168291</v>
      </c>
      <c r="M107" s="6" t="n">
        <v>22471</v>
      </c>
    </row>
    <row r="108" customFormat="false" ht="15.75" hidden="false" customHeight="false" outlineLevel="0" collapsed="false">
      <c r="A108" s="0" t="s">
        <v>124</v>
      </c>
      <c r="B108" s="1" t="n">
        <v>43968</v>
      </c>
      <c r="C108" s="6" t="n">
        <v>1053</v>
      </c>
      <c r="D108" s="6"/>
      <c r="E108" s="6" t="n">
        <v>4</v>
      </c>
      <c r="F108" s="6"/>
      <c r="G108" s="6" t="n">
        <v>1022</v>
      </c>
      <c r="H108" s="6" t="n">
        <v>27</v>
      </c>
      <c r="I108" s="6" t="n">
        <v>1</v>
      </c>
      <c r="J108" s="6" t="n">
        <v>141</v>
      </c>
      <c r="K108" s="6" t="n">
        <v>0.5</v>
      </c>
      <c r="L108" s="6" t="n">
        <v>168291</v>
      </c>
      <c r="M108" s="6" t="n">
        <v>22471</v>
      </c>
    </row>
    <row r="109" customFormat="false" ht="15.75" hidden="false" customHeight="false" outlineLevel="0" collapsed="false">
      <c r="A109" s="0" t="s">
        <v>124</v>
      </c>
      <c r="B109" s="1" t="n">
        <v>43969</v>
      </c>
      <c r="C109" s="6" t="n">
        <v>1056</v>
      </c>
      <c r="D109" s="6" t="n">
        <v>3</v>
      </c>
      <c r="E109" s="6" t="n">
        <v>4</v>
      </c>
      <c r="F109" s="6"/>
      <c r="G109" s="7" t="n">
        <v>1024</v>
      </c>
      <c r="H109" s="6" t="n">
        <v>28</v>
      </c>
      <c r="I109" s="6" t="n">
        <v>1</v>
      </c>
      <c r="J109" s="6" t="n">
        <v>141</v>
      </c>
      <c r="K109" s="6" t="n">
        <v>0.5</v>
      </c>
      <c r="L109" s="6" t="n">
        <v>168291</v>
      </c>
      <c r="M109" s="6" t="n">
        <v>22470</v>
      </c>
    </row>
    <row r="110" customFormat="false" ht="15.75" hidden="false" customHeight="false" outlineLevel="0" collapsed="false">
      <c r="A110" s="0" t="s">
        <v>124</v>
      </c>
      <c r="B110" s="1" t="n">
        <v>43970</v>
      </c>
      <c r="C110" s="6" t="n">
        <v>1056</v>
      </c>
      <c r="D110" s="6"/>
      <c r="E110" s="6" t="n">
        <v>4</v>
      </c>
      <c r="F110" s="6"/>
      <c r="G110" s="6" t="n">
        <v>1025</v>
      </c>
      <c r="H110" s="6" t="n">
        <v>27</v>
      </c>
      <c r="I110" s="6" t="n">
        <v>1</v>
      </c>
      <c r="J110" s="6" t="n">
        <v>141</v>
      </c>
      <c r="K110" s="6" t="n">
        <v>0.5</v>
      </c>
      <c r="L110" s="6" t="n">
        <v>168291</v>
      </c>
      <c r="M110" s="6" t="n">
        <v>22470</v>
      </c>
    </row>
    <row r="111" customFormat="false" ht="15.75" hidden="false" customHeight="false" outlineLevel="0" collapsed="false">
      <c r="A111" s="0" t="s">
        <v>124</v>
      </c>
      <c r="B111" s="1" t="n">
        <v>43971</v>
      </c>
      <c r="C111" s="6" t="n">
        <v>1056</v>
      </c>
      <c r="D111" s="6"/>
      <c r="E111" s="6" t="n">
        <v>4</v>
      </c>
      <c r="F111" s="6"/>
      <c r="G111" s="6" t="n">
        <v>1025</v>
      </c>
      <c r="H111" s="6" t="n">
        <v>27</v>
      </c>
      <c r="I111" s="6" t="n">
        <v>1</v>
      </c>
      <c r="J111" s="6" t="n">
        <v>141</v>
      </c>
      <c r="K111" s="6" t="n">
        <v>0.5</v>
      </c>
      <c r="L111" s="6" t="n">
        <v>168291</v>
      </c>
      <c r="M111" s="6" t="n">
        <v>22469</v>
      </c>
    </row>
    <row r="112" customFormat="false" ht="15.75" hidden="false" customHeight="false" outlineLevel="0" collapsed="false">
      <c r="A112" s="0" t="s">
        <v>124</v>
      </c>
      <c r="B112" s="1" t="n">
        <v>43972</v>
      </c>
      <c r="C112" s="6" t="n">
        <v>1056</v>
      </c>
      <c r="D112" s="6"/>
      <c r="E112" s="6" t="n">
        <v>4</v>
      </c>
      <c r="F112" s="6"/>
      <c r="G112" s="6" t="n">
        <v>1026</v>
      </c>
      <c r="H112" s="6" t="n">
        <v>26</v>
      </c>
      <c r="I112" s="6" t="n">
        <v>1</v>
      </c>
      <c r="J112" s="6" t="n">
        <v>141</v>
      </c>
      <c r="K112" s="6" t="n">
        <v>0.5</v>
      </c>
      <c r="L112" s="6" t="n">
        <v>168291</v>
      </c>
      <c r="M112" s="6" t="n">
        <v>22469</v>
      </c>
    </row>
    <row r="113" customFormat="false" ht="15.75" hidden="false" customHeight="false" outlineLevel="0" collapsed="false">
      <c r="A113" s="0" t="s">
        <v>124</v>
      </c>
      <c r="B113" s="1" t="n">
        <v>43973</v>
      </c>
      <c r="C113" s="6" t="n">
        <v>1064</v>
      </c>
      <c r="D113" s="6" t="n">
        <v>8</v>
      </c>
      <c r="E113" s="6" t="n">
        <v>4</v>
      </c>
      <c r="F113" s="6"/>
      <c r="G113" s="6" t="n">
        <v>1029</v>
      </c>
      <c r="H113" s="6" t="n">
        <v>31</v>
      </c>
      <c r="I113" s="6" t="n">
        <v>1</v>
      </c>
      <c r="J113" s="6" t="n">
        <v>142</v>
      </c>
      <c r="K113" s="6" t="n">
        <v>0.5</v>
      </c>
      <c r="L113" s="6" t="n">
        <v>168291</v>
      </c>
      <c r="M113" s="6" t="n">
        <v>22468</v>
      </c>
    </row>
    <row r="114" customFormat="false" ht="15.75" hidden="false" customHeight="false" outlineLevel="0" collapsed="false">
      <c r="A114" s="0" t="s">
        <v>124</v>
      </c>
      <c r="B114" s="1" t="n">
        <v>43974</v>
      </c>
      <c r="C114" s="6" t="n">
        <v>1066</v>
      </c>
      <c r="D114" s="6" t="n">
        <v>2</v>
      </c>
      <c r="E114" s="6" t="n">
        <v>4</v>
      </c>
      <c r="F114" s="6"/>
      <c r="G114" s="6" t="n">
        <v>1029</v>
      </c>
      <c r="H114" s="6" t="n">
        <v>33</v>
      </c>
      <c r="I114" s="6" t="n">
        <v>1</v>
      </c>
      <c r="J114" s="6" t="n">
        <v>142</v>
      </c>
      <c r="K114" s="6" t="n">
        <v>0.5</v>
      </c>
      <c r="L114" s="6" t="n">
        <v>168291</v>
      </c>
      <c r="M114" s="6" t="n">
        <v>22468</v>
      </c>
    </row>
    <row r="115" customFormat="false" ht="15.75" hidden="false" customHeight="false" outlineLevel="0" collapsed="false">
      <c r="A115" s="0" t="s">
        <v>124</v>
      </c>
      <c r="B115" s="1" t="n">
        <v>43975</v>
      </c>
      <c r="C115" s="6" t="n">
        <v>1066</v>
      </c>
      <c r="D115" s="6"/>
      <c r="E115" s="6" t="n">
        <v>4</v>
      </c>
      <c r="F115" s="6"/>
      <c r="G115" s="6" t="n">
        <v>1029</v>
      </c>
      <c r="H115" s="6" t="n">
        <v>33</v>
      </c>
      <c r="I115" s="6" t="n">
        <v>1</v>
      </c>
      <c r="J115" s="6" t="n">
        <v>142</v>
      </c>
      <c r="K115" s="6" t="n">
        <v>0.5</v>
      </c>
      <c r="L115" s="6" t="n">
        <v>202930</v>
      </c>
      <c r="M115" s="6" t="n">
        <v>27092</v>
      </c>
    </row>
    <row r="116" customFormat="false" ht="15.75" hidden="false" customHeight="false" outlineLevel="0" collapsed="false">
      <c r="A116" s="0" t="s">
        <v>124</v>
      </c>
      <c r="B116" s="1" t="n">
        <v>43976</v>
      </c>
      <c r="C116" s="6" t="n">
        <v>1066</v>
      </c>
      <c r="D116" s="6"/>
      <c r="E116" s="6" t="n">
        <v>4</v>
      </c>
      <c r="F116" s="6"/>
      <c r="G116" s="6" t="n">
        <v>1030</v>
      </c>
      <c r="H116" s="6" t="n">
        <v>32</v>
      </c>
      <c r="I116" s="6" t="n">
        <v>1</v>
      </c>
      <c r="J116" s="6" t="n">
        <v>142</v>
      </c>
      <c r="K116" s="6" t="n">
        <v>0.5</v>
      </c>
      <c r="L116" s="6" t="n">
        <v>202930</v>
      </c>
      <c r="M116" s="6" t="n">
        <v>27091</v>
      </c>
    </row>
    <row r="117" customFormat="false" ht="15.75" hidden="false" customHeight="false" outlineLevel="0" collapsed="false">
      <c r="A117" s="0" t="s">
        <v>124</v>
      </c>
      <c r="B117" s="1" t="n">
        <v>43977</v>
      </c>
      <c r="C117" s="6" t="n">
        <v>1066</v>
      </c>
      <c r="D117" s="6"/>
      <c r="E117" s="6" t="n">
        <v>4</v>
      </c>
      <c r="F117" s="6"/>
      <c r="G117" s="6" t="n">
        <v>1030</v>
      </c>
      <c r="H117" s="6" t="n">
        <v>32</v>
      </c>
      <c r="I117" s="6" t="n">
        <v>1</v>
      </c>
      <c r="J117" s="6" t="n">
        <v>142</v>
      </c>
      <c r="K117" s="6" t="n">
        <v>0.5</v>
      </c>
      <c r="L117" s="6" t="n">
        <v>202930</v>
      </c>
      <c r="M117" s="6" t="n">
        <v>27091</v>
      </c>
    </row>
    <row r="118" customFormat="false" ht="15.75" hidden="false" customHeight="false" outlineLevel="0" collapsed="false">
      <c r="A118" s="0" t="s">
        <v>124</v>
      </c>
      <c r="B118" s="1" t="n">
        <v>43978</v>
      </c>
      <c r="C118" s="6" t="n">
        <v>1066</v>
      </c>
      <c r="D118" s="6"/>
      <c r="E118" s="6" t="n">
        <v>4</v>
      </c>
      <c r="F118" s="6"/>
      <c r="G118" s="6" t="n">
        <v>1033</v>
      </c>
      <c r="H118" s="6" t="n">
        <v>29</v>
      </c>
      <c r="I118" s="6" t="n">
        <v>1</v>
      </c>
      <c r="J118" s="6" t="n">
        <v>142</v>
      </c>
      <c r="K118" s="6" t="n">
        <v>0.5</v>
      </c>
      <c r="L118" s="6" t="n">
        <v>202930</v>
      </c>
      <c r="M118" s="6" t="n">
        <v>27090</v>
      </c>
    </row>
    <row r="119" customFormat="false" ht="15.75" hidden="false" customHeight="false" outlineLevel="0" collapsed="false">
      <c r="A119" s="0" t="s">
        <v>124</v>
      </c>
      <c r="B119" s="1" t="n">
        <v>43979</v>
      </c>
      <c r="C119" s="7" t="n">
        <v>1067</v>
      </c>
      <c r="D119" s="6" t="n">
        <v>1</v>
      </c>
      <c r="E119" s="6" t="n">
        <v>4</v>
      </c>
      <c r="F119" s="6"/>
      <c r="G119" s="7" t="n">
        <v>1034</v>
      </c>
      <c r="H119" s="6" t="n">
        <v>29</v>
      </c>
      <c r="I119" s="6" t="n">
        <v>1</v>
      </c>
      <c r="J119" s="6" t="n">
        <v>142</v>
      </c>
      <c r="K119" s="6" t="n">
        <v>0.5</v>
      </c>
      <c r="L119" s="7" t="n">
        <v>202930</v>
      </c>
      <c r="M119" s="7" t="n">
        <v>27090</v>
      </c>
    </row>
    <row r="120" customFormat="false" ht="15.75" hidden="false" customHeight="false" outlineLevel="0" collapsed="false">
      <c r="A120" s="0" t="s">
        <v>124</v>
      </c>
      <c r="B120" s="1" t="n">
        <v>43980</v>
      </c>
      <c r="C120" s="6" t="n">
        <v>1067</v>
      </c>
      <c r="D120" s="6"/>
      <c r="E120" s="6" t="n">
        <v>4</v>
      </c>
      <c r="F120" s="6"/>
      <c r="G120" s="6" t="n">
        <v>1035</v>
      </c>
      <c r="H120" s="6" t="n">
        <v>28</v>
      </c>
      <c r="I120" s="6" t="n">
        <v>1</v>
      </c>
      <c r="J120" s="6" t="n">
        <v>142</v>
      </c>
      <c r="K120" s="6" t="n">
        <v>0.5</v>
      </c>
      <c r="L120" s="6" t="n">
        <v>202930</v>
      </c>
      <c r="M120" s="6" t="n">
        <v>27089</v>
      </c>
    </row>
    <row r="121" customFormat="false" ht="15.75" hidden="false" customHeight="false" outlineLevel="0" collapsed="false">
      <c r="A121" s="0" t="s">
        <v>124</v>
      </c>
      <c r="B121" s="1" t="n">
        <v>43981</v>
      </c>
      <c r="C121" s="6" t="n">
        <v>1080</v>
      </c>
      <c r="D121" s="6" t="n">
        <v>13</v>
      </c>
      <c r="E121" s="6" t="n">
        <v>4</v>
      </c>
      <c r="F121" s="6"/>
      <c r="G121" s="6" t="n">
        <v>1035</v>
      </c>
      <c r="H121" s="6" t="n">
        <v>41</v>
      </c>
      <c r="I121" s="6" t="n">
        <v>1</v>
      </c>
      <c r="J121" s="6" t="n">
        <v>144</v>
      </c>
      <c r="K121" s="6" t="n">
        <v>0.5</v>
      </c>
      <c r="L121" s="6" t="n">
        <v>202930</v>
      </c>
      <c r="M121" s="6" t="n">
        <v>27088</v>
      </c>
    </row>
    <row r="122" customFormat="false" ht="15.75" hidden="false" customHeight="false" outlineLevel="0" collapsed="false">
      <c r="A122" s="0" t="s">
        <v>124</v>
      </c>
      <c r="B122" s="1" t="n">
        <v>43982</v>
      </c>
      <c r="C122" s="6" t="n">
        <v>1083</v>
      </c>
      <c r="D122" s="6" t="n">
        <v>3</v>
      </c>
      <c r="E122" s="6" t="n">
        <v>4</v>
      </c>
      <c r="F122" s="6"/>
      <c r="G122" s="6" t="n">
        <v>1036</v>
      </c>
      <c r="H122" s="6" t="n">
        <v>43</v>
      </c>
      <c r="I122" s="6" t="n">
        <v>1</v>
      </c>
      <c r="J122" s="6" t="n">
        <v>145</v>
      </c>
      <c r="K122" s="6" t="n">
        <v>0.5</v>
      </c>
      <c r="L122" s="6" t="n">
        <v>202930</v>
      </c>
      <c r="M122" s="6" t="n">
        <v>27088</v>
      </c>
    </row>
    <row r="123" customFormat="false" ht="15.75" hidden="false" customHeight="false" outlineLevel="0" collapsed="false">
      <c r="A123" s="0" t="s">
        <v>124</v>
      </c>
      <c r="B123" s="1" t="n">
        <v>43983</v>
      </c>
      <c r="C123" s="6" t="n">
        <v>1085</v>
      </c>
      <c r="D123" s="6" t="n">
        <v>2</v>
      </c>
      <c r="E123" s="6" t="n">
        <v>4</v>
      </c>
      <c r="F123" s="6"/>
      <c r="G123" s="6" t="n">
        <v>1037</v>
      </c>
      <c r="H123" s="6" t="n">
        <v>44</v>
      </c>
      <c r="I123" s="6" t="n">
        <v>2</v>
      </c>
      <c r="J123" s="6" t="n">
        <v>145</v>
      </c>
      <c r="K123" s="6" t="n">
        <v>0.5</v>
      </c>
      <c r="L123" s="6" t="n">
        <v>202930</v>
      </c>
      <c r="M123" s="6" t="n">
        <v>27087</v>
      </c>
    </row>
    <row r="124" customFormat="false" ht="15.75" hidden="false" customHeight="false" outlineLevel="0" collapsed="false">
      <c r="A124" s="0" t="s">
        <v>124</v>
      </c>
      <c r="B124" s="1" t="n">
        <v>43984</v>
      </c>
      <c r="C124" s="6" t="n">
        <v>1088</v>
      </c>
      <c r="D124" s="6" t="n">
        <v>3</v>
      </c>
      <c r="E124" s="6" t="n">
        <v>4</v>
      </c>
      <c r="F124" s="6"/>
      <c r="G124" s="6" t="n">
        <v>1037</v>
      </c>
      <c r="H124" s="6" t="n">
        <v>47</v>
      </c>
      <c r="I124" s="6" t="n">
        <v>2</v>
      </c>
      <c r="J124" s="6" t="n">
        <v>145</v>
      </c>
      <c r="K124" s="6" t="n">
        <v>0.5</v>
      </c>
      <c r="L124" s="6" t="n">
        <v>202930</v>
      </c>
      <c r="M124" s="6" t="n">
        <v>27087</v>
      </c>
    </row>
    <row r="125" customFormat="false" ht="15.75" hidden="false" customHeight="false" outlineLevel="0" collapsed="false">
      <c r="A125" s="0" t="s">
        <v>124</v>
      </c>
      <c r="B125" s="1" t="n">
        <v>43985</v>
      </c>
      <c r="C125" s="6" t="n">
        <v>1094</v>
      </c>
      <c r="D125" s="6" t="n">
        <v>6</v>
      </c>
      <c r="E125" s="6" t="n">
        <v>4</v>
      </c>
      <c r="F125" s="6"/>
      <c r="G125" s="6" t="n">
        <v>1038</v>
      </c>
      <c r="H125" s="6" t="n">
        <v>52</v>
      </c>
      <c r="I125" s="6" t="n">
        <v>2</v>
      </c>
      <c r="J125" s="6" t="n">
        <v>146</v>
      </c>
      <c r="K125" s="6" t="n">
        <v>0.5</v>
      </c>
      <c r="L125" s="6" t="n">
        <v>202930</v>
      </c>
      <c r="M125" s="6" t="n">
        <v>27086</v>
      </c>
    </row>
    <row r="126" customFormat="false" ht="15.75" hidden="false" customHeight="false" outlineLevel="0" collapsed="false">
      <c r="A126" s="0" t="s">
        <v>124</v>
      </c>
      <c r="B126" s="1" t="n">
        <v>43986</v>
      </c>
      <c r="C126" s="6" t="n">
        <v>1094</v>
      </c>
      <c r="D126" s="6"/>
      <c r="E126" s="6" t="n">
        <v>4</v>
      </c>
      <c r="F126" s="6"/>
      <c r="G126" s="6" t="n">
        <v>1039</v>
      </c>
      <c r="H126" s="6" t="n">
        <v>51</v>
      </c>
      <c r="I126" s="6" t="n">
        <v>2</v>
      </c>
      <c r="J126" s="6" t="n">
        <v>146</v>
      </c>
      <c r="K126" s="6" t="n">
        <v>0.5</v>
      </c>
      <c r="L126" s="6" t="n">
        <v>202930</v>
      </c>
      <c r="M126" s="6" t="n">
        <v>27085</v>
      </c>
    </row>
    <row r="127" customFormat="false" ht="15.75" hidden="false" customHeight="false" outlineLevel="0" collapsed="false">
      <c r="A127" s="0" t="s">
        <v>124</v>
      </c>
      <c r="B127" s="1" t="n">
        <v>43987</v>
      </c>
      <c r="C127" s="6" t="n">
        <v>1099</v>
      </c>
      <c r="D127" s="6" t="n">
        <v>5</v>
      </c>
      <c r="E127" s="6" t="n">
        <v>4</v>
      </c>
      <c r="F127" s="6"/>
      <c r="G127" s="6" t="n">
        <v>1041</v>
      </c>
      <c r="H127" s="6" t="n">
        <v>54</v>
      </c>
      <c r="I127" s="6" t="n">
        <v>2</v>
      </c>
      <c r="J127" s="6" t="n">
        <v>147</v>
      </c>
      <c r="K127" s="6" t="n">
        <v>0.5</v>
      </c>
      <c r="L127" s="6" t="n">
        <v>202930</v>
      </c>
      <c r="M127" s="6" t="n">
        <v>27085</v>
      </c>
    </row>
    <row r="128" customFormat="false" ht="15.75" hidden="false" customHeight="false" outlineLevel="0" collapsed="false">
      <c r="A128" s="0" t="s">
        <v>124</v>
      </c>
      <c r="B128" s="1" t="n">
        <v>43988</v>
      </c>
      <c r="C128" s="6" t="n">
        <v>1103</v>
      </c>
      <c r="D128" s="6" t="n">
        <v>4</v>
      </c>
      <c r="E128" s="6" t="n">
        <v>4</v>
      </c>
      <c r="F128" s="6"/>
      <c r="G128" s="6" t="n">
        <v>1045</v>
      </c>
      <c r="H128" s="6" t="n">
        <v>54</v>
      </c>
      <c r="I128" s="6" t="n">
        <v>2</v>
      </c>
      <c r="J128" s="6" t="n">
        <v>147</v>
      </c>
      <c r="K128" s="6" t="n">
        <v>0.5</v>
      </c>
      <c r="L128" s="6" t="n">
        <v>202930</v>
      </c>
      <c r="M128" s="6" t="n">
        <v>27084</v>
      </c>
    </row>
    <row r="129" customFormat="false" ht="15.75" hidden="false" customHeight="false" outlineLevel="0" collapsed="false">
      <c r="A129" s="0" t="s">
        <v>124</v>
      </c>
      <c r="B129" s="1" t="n">
        <v>43989</v>
      </c>
      <c r="C129" s="6" t="n">
        <v>1106</v>
      </c>
      <c r="D129" s="6" t="n">
        <v>3</v>
      </c>
      <c r="E129" s="6" t="n">
        <v>4</v>
      </c>
      <c r="F129" s="6"/>
      <c r="G129" s="6" t="n">
        <v>1048</v>
      </c>
      <c r="H129" s="6" t="n">
        <v>54</v>
      </c>
      <c r="I129" s="6" t="n">
        <v>2</v>
      </c>
      <c r="J129" s="6" t="n">
        <v>148</v>
      </c>
      <c r="K129" s="6" t="n">
        <v>0.5</v>
      </c>
      <c r="L129" s="6" t="n">
        <v>202930</v>
      </c>
      <c r="M129" s="6" t="n">
        <v>27084</v>
      </c>
    </row>
    <row r="130" customFormat="false" ht="15.75" hidden="false" customHeight="false" outlineLevel="0" collapsed="false">
      <c r="A130" s="0" t="s">
        <v>124</v>
      </c>
      <c r="B130" s="1" t="n">
        <v>43990</v>
      </c>
      <c r="C130" s="6" t="n">
        <v>1107</v>
      </c>
      <c r="D130" s="6" t="n">
        <v>1</v>
      </c>
      <c r="E130" s="6" t="n">
        <v>4</v>
      </c>
      <c r="F130" s="6"/>
      <c r="G130" s="6" t="n">
        <v>1049</v>
      </c>
      <c r="H130" s="6" t="n">
        <v>54</v>
      </c>
      <c r="I130" s="6" t="n">
        <v>2</v>
      </c>
      <c r="J130" s="6" t="n">
        <v>148</v>
      </c>
      <c r="K130" s="6" t="n">
        <v>0.5</v>
      </c>
      <c r="L130" s="6" t="n">
        <v>202930</v>
      </c>
      <c r="M130" s="6" t="n">
        <v>27083</v>
      </c>
    </row>
    <row r="131" customFormat="false" ht="15.75" hidden="false" customHeight="false" outlineLevel="0" collapsed="false">
      <c r="A131" s="0" t="s">
        <v>124</v>
      </c>
      <c r="B131" s="1" t="n">
        <v>43991</v>
      </c>
      <c r="C131" s="6" t="n">
        <v>1108</v>
      </c>
      <c r="D131" s="6" t="n">
        <v>1</v>
      </c>
      <c r="E131" s="6" t="n">
        <v>4</v>
      </c>
      <c r="F131" s="6"/>
      <c r="G131" s="6" t="n">
        <v>1049</v>
      </c>
      <c r="H131" s="6" t="n">
        <v>55</v>
      </c>
      <c r="I131" s="6" t="n">
        <v>3</v>
      </c>
      <c r="J131" s="6" t="n">
        <v>148</v>
      </c>
      <c r="K131" s="6" t="n">
        <v>0.5</v>
      </c>
      <c r="L131" s="6" t="n">
        <v>202930</v>
      </c>
      <c r="M131" s="6" t="n">
        <v>27082</v>
      </c>
    </row>
    <row r="132" customFormat="false" ht="15.75" hidden="false" customHeight="false" outlineLevel="0" collapsed="false">
      <c r="A132" s="0" t="s">
        <v>124</v>
      </c>
      <c r="B132" s="1" t="n">
        <v>43992</v>
      </c>
      <c r="C132" s="6" t="n">
        <v>1108</v>
      </c>
      <c r="D132" s="6"/>
      <c r="E132" s="6" t="n">
        <v>4</v>
      </c>
      <c r="F132" s="6"/>
      <c r="G132" s="6" t="n">
        <v>1049</v>
      </c>
      <c r="H132" s="6" t="n">
        <v>55</v>
      </c>
      <c r="I132" s="6" t="n">
        <v>3</v>
      </c>
      <c r="J132" s="6" t="n">
        <v>148</v>
      </c>
      <c r="K132" s="6" t="n">
        <v>0.5</v>
      </c>
      <c r="L132" s="6" t="n">
        <v>202930</v>
      </c>
      <c r="M132" s="6" t="n">
        <v>27082</v>
      </c>
    </row>
    <row r="133" customFormat="false" ht="15.75" hidden="false" customHeight="false" outlineLevel="0" collapsed="false">
      <c r="A133" s="0" t="s">
        <v>124</v>
      </c>
      <c r="B133" s="1" t="n">
        <v>43993</v>
      </c>
      <c r="C133" s="6" t="n">
        <v>1108</v>
      </c>
      <c r="D133" s="6"/>
      <c r="E133" s="6" t="n">
        <v>4</v>
      </c>
      <c r="F133" s="6"/>
      <c r="G133" s="6" t="n">
        <v>1051</v>
      </c>
      <c r="H133" s="6" t="n">
        <v>53</v>
      </c>
      <c r="I133" s="6" t="n">
        <v>3</v>
      </c>
      <c r="J133" s="6" t="n">
        <v>148</v>
      </c>
      <c r="K133" s="6" t="n">
        <v>0.5</v>
      </c>
      <c r="L133" s="6" t="n">
        <v>241992</v>
      </c>
      <c r="M133" s="6" t="n">
        <v>32294</v>
      </c>
    </row>
    <row r="134" customFormat="false" ht="15.75" hidden="false" customHeight="false" outlineLevel="0" collapsed="false">
      <c r="A134" s="0" t="s">
        <v>124</v>
      </c>
      <c r="B134" s="1" t="n">
        <v>43994</v>
      </c>
      <c r="C134" s="6" t="n">
        <v>1108</v>
      </c>
      <c r="D134" s="6"/>
      <c r="E134" s="6" t="n">
        <v>4</v>
      </c>
      <c r="F134" s="6"/>
      <c r="G134" s="6" t="n">
        <v>1055</v>
      </c>
      <c r="H134" s="6" t="n">
        <v>49</v>
      </c>
      <c r="I134" s="6" t="n">
        <v>4</v>
      </c>
      <c r="J134" s="6" t="n">
        <v>148</v>
      </c>
      <c r="K134" s="6" t="n">
        <v>0.5</v>
      </c>
      <c r="L134" s="6" t="n">
        <v>241992</v>
      </c>
      <c r="M134" s="6" t="n">
        <v>32293</v>
      </c>
    </row>
    <row r="135" customFormat="false" ht="15.75" hidden="false" customHeight="false" outlineLevel="0" collapsed="false">
      <c r="A135" s="0" t="s">
        <v>124</v>
      </c>
      <c r="B135" s="1" t="n">
        <v>43995</v>
      </c>
      <c r="C135" s="6" t="n">
        <v>1109</v>
      </c>
      <c r="D135" s="6" t="n">
        <v>1</v>
      </c>
      <c r="E135" s="6" t="n">
        <v>4</v>
      </c>
      <c r="F135" s="6"/>
      <c r="G135" s="6" t="n">
        <v>1060</v>
      </c>
      <c r="H135" s="6" t="n">
        <v>45</v>
      </c>
      <c r="I135" s="6" t="n">
        <v>3</v>
      </c>
      <c r="J135" s="6" t="n">
        <v>148</v>
      </c>
      <c r="K135" s="6" t="n">
        <v>0.5</v>
      </c>
      <c r="L135" s="6" t="n">
        <v>241992</v>
      </c>
      <c r="M135" s="6" t="n">
        <v>32293</v>
      </c>
    </row>
    <row r="136" customFormat="false" ht="15.75" hidden="false" customHeight="false" outlineLevel="0" collapsed="false">
      <c r="A136" s="0" t="s">
        <v>124</v>
      </c>
      <c r="B136" s="1" t="n">
        <v>43996</v>
      </c>
      <c r="C136" s="6" t="n">
        <v>1110</v>
      </c>
      <c r="D136" s="6" t="n">
        <v>1</v>
      </c>
      <c r="E136" s="6" t="n">
        <v>4</v>
      </c>
      <c r="F136" s="6"/>
      <c r="G136" s="6" t="n">
        <v>1061</v>
      </c>
      <c r="H136" s="6" t="n">
        <v>45</v>
      </c>
      <c r="I136" s="6" t="n">
        <v>3</v>
      </c>
      <c r="J136" s="6" t="n">
        <v>148</v>
      </c>
      <c r="K136" s="6" t="n">
        <v>0.5</v>
      </c>
      <c r="L136" s="6" t="n">
        <v>241992</v>
      </c>
      <c r="M136" s="6" t="n">
        <v>32292</v>
      </c>
    </row>
    <row r="137" customFormat="false" ht="15.75" hidden="false" customHeight="false" outlineLevel="0" collapsed="false">
      <c r="A137" s="0" t="s">
        <v>124</v>
      </c>
      <c r="B137" s="1" t="n">
        <v>43997</v>
      </c>
      <c r="C137" s="6" t="n">
        <v>1110</v>
      </c>
      <c r="D137" s="6"/>
      <c r="E137" s="6" t="n">
        <v>4</v>
      </c>
      <c r="F137" s="6"/>
      <c r="G137" s="6" t="n">
        <v>1067</v>
      </c>
      <c r="H137" s="6" t="n">
        <v>39</v>
      </c>
      <c r="I137" s="6" t="n">
        <v>3</v>
      </c>
      <c r="J137" s="6" t="n">
        <v>148</v>
      </c>
      <c r="K137" s="6" t="n">
        <v>0.5</v>
      </c>
      <c r="L137" s="6" t="n">
        <v>241992</v>
      </c>
      <c r="M137" s="6" t="n">
        <v>32291</v>
      </c>
    </row>
    <row r="138" customFormat="false" ht="15.75" hidden="false" customHeight="false" outlineLevel="0" collapsed="false">
      <c r="A138" s="0" t="s">
        <v>124</v>
      </c>
      <c r="B138" s="1" t="n">
        <v>43998</v>
      </c>
      <c r="C138" s="6" t="n">
        <v>1113</v>
      </c>
      <c r="D138" s="6" t="n">
        <v>3</v>
      </c>
      <c r="E138" s="6" t="n">
        <v>4</v>
      </c>
      <c r="F138" s="6"/>
      <c r="G138" s="6" t="n">
        <v>1067</v>
      </c>
      <c r="H138" s="6" t="n">
        <v>42</v>
      </c>
      <c r="I138" s="6" t="n">
        <v>3</v>
      </c>
      <c r="J138" s="6" t="n">
        <v>149</v>
      </c>
      <c r="K138" s="6" t="n">
        <v>0.5</v>
      </c>
      <c r="L138" s="6" t="n">
        <v>275293</v>
      </c>
      <c r="M138" s="6" t="n">
        <v>36734</v>
      </c>
    </row>
    <row r="139" customFormat="false" ht="15.75" hidden="false" customHeight="false" outlineLevel="0" collapsed="false">
      <c r="A139" s="0" t="s">
        <v>124</v>
      </c>
      <c r="B139" s="1" t="n">
        <v>43999</v>
      </c>
      <c r="C139" s="6" t="n">
        <v>1113</v>
      </c>
      <c r="D139" s="6"/>
      <c r="E139" s="6" t="n">
        <v>4</v>
      </c>
      <c r="F139" s="6"/>
      <c r="G139" s="6" t="n">
        <v>1067</v>
      </c>
      <c r="H139" s="6" t="n">
        <v>42</v>
      </c>
      <c r="I139" s="6" t="n">
        <v>3</v>
      </c>
      <c r="J139" s="6" t="n">
        <v>149</v>
      </c>
      <c r="K139" s="6" t="n">
        <v>0.5</v>
      </c>
      <c r="L139" s="6" t="n">
        <v>275293</v>
      </c>
      <c r="M139" s="6" t="n">
        <v>36733</v>
      </c>
    </row>
    <row r="140" customFormat="false" ht="15.75" hidden="false" customHeight="false" outlineLevel="0" collapsed="false">
      <c r="A140" s="0" t="s">
        <v>124</v>
      </c>
      <c r="B140" s="1" t="n">
        <v>44000</v>
      </c>
      <c r="C140" s="6" t="n">
        <v>1121</v>
      </c>
      <c r="D140" s="6" t="n">
        <v>8</v>
      </c>
      <c r="E140" s="6" t="n">
        <v>4</v>
      </c>
      <c r="F140" s="6"/>
      <c r="G140" s="6" t="n">
        <v>1071</v>
      </c>
      <c r="H140" s="6" t="n">
        <v>46</v>
      </c>
      <c r="I140" s="6" t="n">
        <v>3</v>
      </c>
      <c r="J140" s="6" t="n">
        <v>150</v>
      </c>
      <c r="K140" s="6" t="n">
        <v>0.5</v>
      </c>
      <c r="L140" s="6" t="n">
        <v>275293</v>
      </c>
      <c r="M140" s="6" t="n">
        <v>36732</v>
      </c>
    </row>
    <row r="141" customFormat="false" ht="15.75" hidden="false" customHeight="false" outlineLevel="0" collapsed="false">
      <c r="A141" s="0" t="s">
        <v>124</v>
      </c>
      <c r="B141" s="1" t="n">
        <v>44001</v>
      </c>
      <c r="C141" s="16" t="n">
        <v>1121</v>
      </c>
      <c r="D141" s="16"/>
      <c r="E141" s="16" t="n">
        <v>4</v>
      </c>
      <c r="F141" s="16"/>
      <c r="G141" s="16" t="n">
        <v>1071</v>
      </c>
      <c r="H141" s="16" t="n">
        <v>46</v>
      </c>
      <c r="I141" s="16" t="n">
        <v>3</v>
      </c>
      <c r="J141" s="16" t="n">
        <v>150</v>
      </c>
      <c r="K141" s="16" t="n">
        <v>0.5</v>
      </c>
      <c r="L141" s="16" t="n">
        <v>275293</v>
      </c>
      <c r="M141" s="16" t="n">
        <v>36731</v>
      </c>
    </row>
    <row r="142" customFormat="false" ht="15.75" hidden="false" customHeight="false" outlineLevel="0" collapsed="false">
      <c r="A142" s="0" t="s">
        <v>124</v>
      </c>
      <c r="B142" s="1" t="n">
        <v>44002</v>
      </c>
      <c r="C142" s="6" t="n">
        <v>1128</v>
      </c>
      <c r="D142" s="6" t="n">
        <v>3</v>
      </c>
      <c r="E142" s="6" t="n">
        <v>4</v>
      </c>
      <c r="F142" s="6"/>
      <c r="G142" s="6" t="n">
        <v>1074</v>
      </c>
      <c r="H142" s="6" t="n">
        <v>50</v>
      </c>
      <c r="I142" s="6" t="n">
        <v>3</v>
      </c>
      <c r="J142" s="6" t="n">
        <v>151</v>
      </c>
      <c r="K142" s="6" t="n">
        <v>0.5</v>
      </c>
      <c r="L142" s="6" t="n">
        <v>301108</v>
      </c>
      <c r="M142" s="6" t="n">
        <v>40175</v>
      </c>
    </row>
    <row r="143" customFormat="false" ht="15.75" hidden="false" customHeight="false" outlineLevel="0" collapsed="false">
      <c r="A143" s="0" t="s">
        <v>124</v>
      </c>
      <c r="B143" s="1" t="n">
        <v>44003</v>
      </c>
      <c r="C143" s="6" t="n">
        <v>1129</v>
      </c>
      <c r="D143" s="6" t="n">
        <v>1</v>
      </c>
      <c r="E143" s="6" t="n">
        <v>5</v>
      </c>
      <c r="F143" s="6" t="n">
        <v>1</v>
      </c>
      <c r="G143" s="6" t="n">
        <v>1077</v>
      </c>
      <c r="H143" s="6" t="n">
        <v>47</v>
      </c>
      <c r="I143" s="6" t="n">
        <v>3</v>
      </c>
      <c r="J143" s="6" t="n">
        <v>151</v>
      </c>
      <c r="K143" s="6" t="n">
        <v>0.7</v>
      </c>
      <c r="L143" s="6" t="n">
        <v>301108</v>
      </c>
      <c r="M143" s="6" t="n">
        <v>40174</v>
      </c>
    </row>
    <row r="144" customFormat="false" ht="15.75" hidden="false" customHeight="false" outlineLevel="0" collapsed="false">
      <c r="A144" s="0" t="s">
        <v>124</v>
      </c>
      <c r="B144" s="1" t="n">
        <v>44004</v>
      </c>
      <c r="C144" s="16" t="n">
        <v>1132</v>
      </c>
      <c r="D144" s="16" t="n">
        <v>3</v>
      </c>
      <c r="E144" s="16" t="n">
        <v>5</v>
      </c>
      <c r="F144" s="16"/>
      <c r="G144" s="16" t="n">
        <v>1078</v>
      </c>
      <c r="H144" s="16" t="n">
        <v>49</v>
      </c>
      <c r="I144" s="16" t="n">
        <v>2</v>
      </c>
      <c r="J144" s="16" t="n">
        <v>151</v>
      </c>
      <c r="K144" s="16" t="n">
        <v>0.7</v>
      </c>
      <c r="L144" s="16" t="n">
        <v>301108</v>
      </c>
      <c r="M144" s="16" t="n">
        <v>40173</v>
      </c>
    </row>
    <row r="145" customFormat="false" ht="15.75" hidden="false" customHeight="false" outlineLevel="0" collapsed="false">
      <c r="A145" s="0" t="s">
        <v>124</v>
      </c>
      <c r="B145" s="1" t="n">
        <v>44005</v>
      </c>
      <c r="C145" s="6" t="n">
        <v>1162</v>
      </c>
      <c r="D145" s="6" t="n">
        <v>30</v>
      </c>
      <c r="E145" s="6" t="n">
        <v>5</v>
      </c>
      <c r="F145" s="6"/>
      <c r="G145" s="6" t="n">
        <v>1078</v>
      </c>
      <c r="H145" s="6" t="n">
        <v>79</v>
      </c>
      <c r="I145" s="6" t="n">
        <v>2</v>
      </c>
      <c r="J145" s="6" t="n">
        <v>155</v>
      </c>
      <c r="K145" s="6" t="n">
        <v>0.7</v>
      </c>
      <c r="L145" s="6" t="n">
        <v>301108</v>
      </c>
      <c r="M145" s="6" t="n">
        <v>40172</v>
      </c>
    </row>
    <row r="146" customFormat="false" ht="15.75" hidden="false" customHeight="false" outlineLevel="0" collapsed="false">
      <c r="A146" s="0" t="s">
        <v>124</v>
      </c>
      <c r="B146" s="1" t="n">
        <v>44006</v>
      </c>
      <c r="C146" s="16" t="n">
        <v>1178</v>
      </c>
      <c r="D146" s="16" t="n">
        <v>16</v>
      </c>
      <c r="E146" s="16" t="n">
        <v>6</v>
      </c>
      <c r="F146" s="16" t="n">
        <v>1</v>
      </c>
      <c r="G146" s="16" t="n">
        <v>1083</v>
      </c>
      <c r="H146" s="16" t="n">
        <v>89</v>
      </c>
      <c r="I146" s="16" t="n">
        <v>1</v>
      </c>
      <c r="J146" s="16" t="n">
        <v>157</v>
      </c>
      <c r="K146" s="16" t="n">
        <v>0.8</v>
      </c>
      <c r="L146" s="16" t="n">
        <v>301108</v>
      </c>
      <c r="M146" s="16" t="n">
        <v>40171</v>
      </c>
    </row>
    <row r="147" customFormat="false" ht="15.75" hidden="false" customHeight="false" outlineLevel="0" collapsed="false">
      <c r="A147" s="0" t="s">
        <v>124</v>
      </c>
      <c r="B147" s="1" t="n">
        <v>44007</v>
      </c>
      <c r="C147" s="6" t="n">
        <v>1180</v>
      </c>
      <c r="D147" s="6" t="n">
        <v>2</v>
      </c>
      <c r="E147" s="6" t="n">
        <v>6</v>
      </c>
      <c r="F147" s="6"/>
      <c r="G147" s="6" t="n">
        <v>1086</v>
      </c>
      <c r="H147" s="6" t="n">
        <v>88</v>
      </c>
      <c r="I147" s="6" t="n">
        <v>1</v>
      </c>
      <c r="J147" s="6" t="n">
        <v>157</v>
      </c>
      <c r="K147" s="6" t="n">
        <v>0.8</v>
      </c>
      <c r="L147" s="6" t="n">
        <v>301108</v>
      </c>
      <c r="M147" s="6" t="n">
        <v>40171</v>
      </c>
    </row>
    <row r="148" customFormat="false" ht="15.75" hidden="false" customHeight="false" outlineLevel="0" collapsed="false">
      <c r="A148" s="0" t="s">
        <v>124</v>
      </c>
      <c r="B148" s="1" t="n">
        <v>44008</v>
      </c>
      <c r="C148" s="6" t="n">
        <v>1180</v>
      </c>
      <c r="D148" s="6"/>
      <c r="E148" s="6" t="n">
        <v>6</v>
      </c>
      <c r="F148" s="6"/>
      <c r="G148" s="6" t="n">
        <v>1086</v>
      </c>
      <c r="H148" s="6" t="n">
        <v>88</v>
      </c>
      <c r="I148" s="6" t="n">
        <v>1</v>
      </c>
      <c r="J148" s="6" t="n">
        <v>157</v>
      </c>
      <c r="K148" s="6" t="n">
        <v>0.8</v>
      </c>
      <c r="L148" s="6" t="n">
        <v>301108</v>
      </c>
      <c r="M148" s="6" t="n">
        <v>40170</v>
      </c>
    </row>
    <row r="149" customFormat="false" ht="15.75" hidden="false" customHeight="false" outlineLevel="0" collapsed="false">
      <c r="A149" s="0" t="s">
        <v>124</v>
      </c>
      <c r="B149" s="1" t="n">
        <v>44009</v>
      </c>
      <c r="C149" s="6" t="n">
        <v>1197</v>
      </c>
      <c r="D149" s="6" t="n">
        <v>3</v>
      </c>
      <c r="E149" s="6" t="n">
        <v>7</v>
      </c>
      <c r="F149" s="6"/>
      <c r="G149" s="6" t="n">
        <v>1091</v>
      </c>
      <c r="H149" s="6" t="n">
        <v>99</v>
      </c>
      <c r="I149" s="6" t="n">
        <v>1</v>
      </c>
      <c r="J149" s="6" t="n">
        <v>160</v>
      </c>
      <c r="K149" s="6" t="n">
        <v>0.9</v>
      </c>
      <c r="L149" s="6" t="n">
        <v>321498</v>
      </c>
      <c r="M149" s="6" t="n">
        <v>42889</v>
      </c>
    </row>
    <row r="150" customFormat="false" ht="15.75" hidden="false" customHeight="false" outlineLevel="0" collapsed="false">
      <c r="A150" s="0" t="s">
        <v>124</v>
      </c>
      <c r="B150" s="1" t="n">
        <v>44010</v>
      </c>
      <c r="C150" s="7" t="n">
        <v>1198</v>
      </c>
      <c r="D150" s="6" t="n">
        <v>1</v>
      </c>
      <c r="E150" s="6" t="n">
        <v>7</v>
      </c>
      <c r="F150" s="6"/>
      <c r="G150" s="7" t="n">
        <v>1095</v>
      </c>
      <c r="H150" s="6" t="n">
        <v>96</v>
      </c>
      <c r="I150" s="6" t="n">
        <v>1</v>
      </c>
      <c r="J150" s="6" t="n">
        <v>160</v>
      </c>
      <c r="K150" s="6" t="n">
        <v>0.9</v>
      </c>
      <c r="L150" s="7" t="n">
        <v>321498</v>
      </c>
      <c r="M150" s="7" t="n">
        <v>42888</v>
      </c>
    </row>
    <row r="151" customFormat="false" ht="15.75" hidden="false" customHeight="false" outlineLevel="0" collapsed="false">
      <c r="A151" s="0" t="s">
        <v>124</v>
      </c>
      <c r="B151" s="1" t="n">
        <v>44011</v>
      </c>
      <c r="C151" s="6" t="n">
        <v>1200</v>
      </c>
      <c r="D151" s="6" t="n">
        <v>2</v>
      </c>
      <c r="E151" s="6" t="n">
        <v>7</v>
      </c>
      <c r="F151" s="6"/>
      <c r="G151" s="6" t="n">
        <v>1104</v>
      </c>
      <c r="H151" s="6" t="n">
        <v>89</v>
      </c>
      <c r="I151" s="6" t="n">
        <v>1</v>
      </c>
      <c r="J151" s="6" t="n">
        <v>160</v>
      </c>
      <c r="K151" s="6" t="n">
        <v>0.9</v>
      </c>
      <c r="L151" s="6" t="n">
        <v>321498</v>
      </c>
      <c r="M151" s="6" t="n">
        <v>42887</v>
      </c>
    </row>
    <row r="152" customFormat="false" ht="15.75" hidden="false" customHeight="false" outlineLevel="0" collapsed="false">
      <c r="A152" s="0" t="s">
        <v>124</v>
      </c>
      <c r="B152" s="1" t="n">
        <v>44012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75" hidden="false" customHeight="false" outlineLevel="0" collapsed="false">
      <c r="A153" s="0" t="s">
        <v>124</v>
      </c>
      <c r="B153" s="1" t="n">
        <v>44013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75" hidden="false" customHeight="false" outlineLevel="0" collapsed="false">
      <c r="A154" s="0" t="s">
        <v>124</v>
      </c>
      <c r="B154" s="1" t="n">
        <v>44014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75" hidden="false" customHeight="false" outlineLevel="0" collapsed="false">
      <c r="A155" s="0" t="s">
        <v>124</v>
      </c>
      <c r="B155" s="1" t="n">
        <v>44015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75" hidden="false" customHeight="false" outlineLevel="0" collapsed="false">
      <c r="A156" s="0" t="s">
        <v>124</v>
      </c>
      <c r="B156" s="1" t="n">
        <v>44016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75" hidden="false" customHeight="false" outlineLevel="0" collapsed="false">
      <c r="A157" s="0" t="s">
        <v>124</v>
      </c>
      <c r="B157" s="1" t="n">
        <v>44017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75" hidden="false" customHeight="false" outlineLevel="0" collapsed="false">
      <c r="A158" s="0" t="s">
        <v>124</v>
      </c>
      <c r="B158" s="1" t="n">
        <v>44018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75" hidden="false" customHeight="false" outlineLevel="0" collapsed="false">
      <c r="A159" s="0" t="s">
        <v>124</v>
      </c>
      <c r="B159" s="1" t="n">
        <v>44019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customFormat="false" ht="13.5" hidden="false" customHeight="false" outlineLevel="0" collapsed="false">
      <c r="A160" s="0" t="s">
        <v>124</v>
      </c>
      <c r="B160" s="1" t="n">
        <v>44020</v>
      </c>
    </row>
    <row r="161" customFormat="false" ht="13.5" hidden="false" customHeight="false" outlineLevel="0" collapsed="false">
      <c r="A161" s="0" t="s">
        <v>124</v>
      </c>
      <c r="B161" s="1" t="n">
        <v>44021</v>
      </c>
    </row>
    <row r="162" customFormat="false" ht="13.5" hidden="false" customHeight="false" outlineLevel="0" collapsed="false">
      <c r="A162" s="0" t="s">
        <v>124</v>
      </c>
      <c r="B162" s="1" t="n">
        <v>44022</v>
      </c>
    </row>
    <row r="163" customFormat="false" ht="13.5" hidden="false" customHeight="false" outlineLevel="0" collapsed="false">
      <c r="A163" s="0" t="s">
        <v>124</v>
      </c>
      <c r="B163" s="1" t="n">
        <v>44023</v>
      </c>
    </row>
    <row r="164" customFormat="false" ht="13.5" hidden="false" customHeight="false" outlineLevel="0" collapsed="false">
      <c r="A164" s="0" t="s">
        <v>124</v>
      </c>
      <c r="B164" s="1" t="n">
        <v>44024</v>
      </c>
    </row>
    <row r="165" customFormat="false" ht="13.5" hidden="false" customHeight="false" outlineLevel="0" collapsed="false">
      <c r="A165" s="0" t="s">
        <v>124</v>
      </c>
      <c r="B165" s="1" t="n">
        <v>44025</v>
      </c>
    </row>
    <row r="166" customFormat="false" ht="13.5" hidden="false" customHeight="false" outlineLevel="0" collapsed="false">
      <c r="A166" s="0" t="s">
        <v>124</v>
      </c>
      <c r="B166" s="1" t="n">
        <v>44026</v>
      </c>
    </row>
    <row r="167" customFormat="false" ht="13.5" hidden="false" customHeight="false" outlineLevel="0" collapsed="false">
      <c r="A167" s="0" t="s">
        <v>124</v>
      </c>
      <c r="B167" s="1" t="n">
        <v>44027</v>
      </c>
    </row>
    <row r="168" customFormat="false" ht="13.5" hidden="false" customHeight="false" outlineLevel="0" collapsed="false">
      <c r="A168" s="0" t="s">
        <v>124</v>
      </c>
      <c r="B168" s="1" t="n">
        <v>44028</v>
      </c>
    </row>
    <row r="169" customFormat="false" ht="13.5" hidden="false" customHeight="false" outlineLevel="0" collapsed="false">
      <c r="A169" s="0" t="s">
        <v>124</v>
      </c>
      <c r="B169" s="1" t="n">
        <v>44029</v>
      </c>
    </row>
    <row r="170" customFormat="false" ht="13.5" hidden="false" customHeight="false" outlineLevel="0" collapsed="false">
      <c r="A170" s="0" t="s">
        <v>124</v>
      </c>
      <c r="B170" s="1" t="n">
        <v>44030</v>
      </c>
    </row>
    <row r="171" customFormat="false" ht="13.5" hidden="false" customHeight="false" outlineLevel="0" collapsed="false">
      <c r="A171" s="0" t="s">
        <v>124</v>
      </c>
      <c r="B171" s="1" t="n">
        <v>44031</v>
      </c>
    </row>
    <row r="172" customFormat="false" ht="13.5" hidden="false" customHeight="false" outlineLevel="0" collapsed="false">
      <c r="A172" s="0" t="s">
        <v>124</v>
      </c>
      <c r="B172" s="1" t="n">
        <v>44032</v>
      </c>
    </row>
    <row r="173" customFormat="false" ht="13.5" hidden="false" customHeight="false" outlineLevel="0" collapsed="false">
      <c r="A173" s="0" t="s">
        <v>124</v>
      </c>
      <c r="B173" s="1" t="n">
        <v>44033</v>
      </c>
    </row>
    <row r="174" customFormat="false" ht="13.5" hidden="false" customHeight="false" outlineLevel="0" collapsed="false">
      <c r="A174" s="0" t="s">
        <v>124</v>
      </c>
      <c r="B174" s="1" t="n">
        <v>44034</v>
      </c>
    </row>
    <row r="175" customFormat="false" ht="13.5" hidden="false" customHeight="false" outlineLevel="0" collapsed="false">
      <c r="A175" s="0" t="s">
        <v>124</v>
      </c>
      <c r="B175" s="1" t="n">
        <v>44035</v>
      </c>
    </row>
    <row r="176" customFormat="false" ht="13.5" hidden="false" customHeight="false" outlineLevel="0" collapsed="false">
      <c r="A176" s="0" t="s">
        <v>124</v>
      </c>
      <c r="B176" s="1" t="n">
        <v>44036</v>
      </c>
    </row>
    <row r="177" customFormat="false" ht="13.5" hidden="false" customHeight="false" outlineLevel="0" collapsed="false">
      <c r="A177" s="0" t="s">
        <v>124</v>
      </c>
      <c r="B177" s="1" t="n">
        <v>44037</v>
      </c>
    </row>
    <row r="178" customFormat="false" ht="13.5" hidden="false" customHeight="false" outlineLevel="0" collapsed="false">
      <c r="A178" s="0" t="s">
        <v>124</v>
      </c>
      <c r="B178" s="1" t="n">
        <v>44038</v>
      </c>
    </row>
    <row r="179" customFormat="false" ht="13.5" hidden="false" customHeight="false" outlineLevel="0" collapsed="false">
      <c r="A179" s="0" t="s">
        <v>124</v>
      </c>
      <c r="B179" s="1" t="n">
        <v>44039</v>
      </c>
    </row>
    <row r="180" customFormat="false" ht="13.5" hidden="false" customHeight="false" outlineLevel="0" collapsed="false">
      <c r="A180" s="0" t="s">
        <v>124</v>
      </c>
      <c r="B180" s="1" t="n">
        <v>44040</v>
      </c>
    </row>
    <row r="181" customFormat="false" ht="13.5" hidden="false" customHeight="false" outlineLevel="0" collapsed="false">
      <c r="A181" s="0" t="s">
        <v>124</v>
      </c>
      <c r="B181" s="1" t="n">
        <v>44041</v>
      </c>
    </row>
    <row r="182" customFormat="false" ht="13.5" hidden="false" customHeight="false" outlineLevel="0" collapsed="false">
      <c r="A182" s="0" t="s">
        <v>124</v>
      </c>
      <c r="B182" s="1" t="n">
        <v>44042</v>
      </c>
    </row>
    <row r="183" customFormat="false" ht="13.5" hidden="false" customHeight="false" outlineLevel="0" collapsed="false">
      <c r="A183" s="0" t="s">
        <v>124</v>
      </c>
      <c r="B183" s="1" t="n">
        <v>44043</v>
      </c>
    </row>
    <row r="184" customFormat="false" ht="13.5" hidden="false" customHeight="false" outlineLevel="0" collapsed="false">
      <c r="A184" s="0" t="s">
        <v>124</v>
      </c>
      <c r="B184" s="1" t="n">
        <v>44044</v>
      </c>
    </row>
    <row r="185" customFormat="false" ht="13.5" hidden="false" customHeight="false" outlineLevel="0" collapsed="false">
      <c r="A185" s="0" t="s">
        <v>124</v>
      </c>
      <c r="B185" s="1" t="n">
        <v>44045</v>
      </c>
    </row>
    <row r="186" customFormat="false" ht="13.5" hidden="false" customHeight="false" outlineLevel="0" collapsed="false">
      <c r="A186" s="0" t="s">
        <v>124</v>
      </c>
      <c r="B186" s="1" t="n">
        <v>44046</v>
      </c>
    </row>
    <row r="187" customFormat="false" ht="13.5" hidden="false" customHeight="false" outlineLevel="0" collapsed="false">
      <c r="A187" s="0" t="s">
        <v>124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7" colorId="64" zoomScale="100" zoomScaleNormal="100" zoomScalePageLayoutView="100" workbookViewId="0">
      <selection pane="topLeft" activeCell="C151" activeCellId="0" sqref="C151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125</v>
      </c>
      <c r="B2" s="1" t="n">
        <v>43862</v>
      </c>
      <c r="C2" s="6" t="n">
        <v>7</v>
      </c>
      <c r="D2" s="6"/>
      <c r="E2" s="6"/>
      <c r="F2" s="6"/>
      <c r="G2" s="6" t="n">
        <v>0</v>
      </c>
      <c r="H2" s="6" t="n">
        <v>7</v>
      </c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125</v>
      </c>
      <c r="B3" s="1" t="n">
        <v>43863</v>
      </c>
      <c r="C3" s="6" t="n">
        <v>8</v>
      </c>
      <c r="D3" s="6" t="n">
        <v>1</v>
      </c>
      <c r="E3" s="6"/>
      <c r="F3" s="6"/>
      <c r="G3" s="6" t="n">
        <v>0</v>
      </c>
      <c r="H3" s="6" t="n">
        <v>8</v>
      </c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125</v>
      </c>
      <c r="B4" s="1" t="n">
        <v>43864</v>
      </c>
      <c r="C4" s="6" t="n">
        <v>8</v>
      </c>
      <c r="D4" s="6" t="n">
        <v>0</v>
      </c>
      <c r="E4" s="6"/>
      <c r="F4" s="6"/>
      <c r="G4" s="6" t="n">
        <v>0</v>
      </c>
      <c r="H4" s="6" t="n">
        <v>8</v>
      </c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125</v>
      </c>
      <c r="B5" s="1" t="n">
        <v>43865</v>
      </c>
      <c r="C5" s="6" t="n">
        <v>10</v>
      </c>
      <c r="D5" s="6" t="n">
        <v>2</v>
      </c>
      <c r="E5" s="6"/>
      <c r="F5" s="6"/>
      <c r="G5" s="6" t="n">
        <v>0</v>
      </c>
      <c r="H5" s="6" t="n">
        <v>10</v>
      </c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125</v>
      </c>
      <c r="B6" s="1" t="n">
        <v>43866</v>
      </c>
      <c r="C6" s="6" t="n">
        <v>10</v>
      </c>
      <c r="D6" s="6" t="n">
        <v>0</v>
      </c>
      <c r="E6" s="6"/>
      <c r="F6" s="6"/>
      <c r="G6" s="6" t="n">
        <v>0</v>
      </c>
      <c r="H6" s="6" t="n">
        <v>10</v>
      </c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125</v>
      </c>
      <c r="B7" s="1" t="n">
        <v>43867</v>
      </c>
      <c r="C7" s="6" t="n">
        <v>10</v>
      </c>
      <c r="D7" s="6" t="n">
        <v>0</v>
      </c>
      <c r="E7" s="6"/>
      <c r="F7" s="6"/>
      <c r="G7" s="6" t="n">
        <v>1</v>
      </c>
      <c r="H7" s="6" t="n">
        <v>9</v>
      </c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125</v>
      </c>
      <c r="B8" s="1" t="n">
        <v>43868</v>
      </c>
      <c r="C8" s="6" t="n">
        <v>10</v>
      </c>
      <c r="D8" s="6" t="n">
        <v>0</v>
      </c>
      <c r="E8" s="6"/>
      <c r="F8" s="6"/>
      <c r="G8" s="6" t="n">
        <v>1</v>
      </c>
      <c r="H8" s="6" t="n">
        <v>9</v>
      </c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125</v>
      </c>
      <c r="B9" s="1" t="n">
        <v>43869</v>
      </c>
      <c r="C9" s="6" t="n">
        <v>10</v>
      </c>
      <c r="D9" s="6" t="n">
        <v>0</v>
      </c>
      <c r="E9" s="6"/>
      <c r="F9" s="6"/>
      <c r="G9" s="6" t="n">
        <v>1</v>
      </c>
      <c r="H9" s="6" t="n">
        <v>9</v>
      </c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125</v>
      </c>
      <c r="B10" s="1" t="n">
        <v>43870</v>
      </c>
      <c r="C10" s="6" t="n">
        <v>10</v>
      </c>
      <c r="D10" s="6" t="n">
        <v>0</v>
      </c>
      <c r="E10" s="6"/>
      <c r="F10" s="6"/>
      <c r="G10" s="6" t="n">
        <v>1</v>
      </c>
      <c r="H10" s="6" t="n">
        <v>9</v>
      </c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125</v>
      </c>
      <c r="B11" s="1" t="n">
        <v>43871</v>
      </c>
      <c r="C11" s="6" t="n">
        <v>10</v>
      </c>
      <c r="D11" s="6" t="n">
        <v>0</v>
      </c>
      <c r="E11" s="6"/>
      <c r="F11" s="6"/>
      <c r="G11" s="6" t="n">
        <v>1</v>
      </c>
      <c r="H11" s="6" t="n">
        <v>9</v>
      </c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125</v>
      </c>
      <c r="B12" s="1" t="n">
        <v>43872</v>
      </c>
      <c r="C12" s="6" t="n">
        <v>10</v>
      </c>
      <c r="D12" s="6" t="n">
        <v>0</v>
      </c>
      <c r="E12" s="6"/>
      <c r="F12" s="6"/>
      <c r="G12" s="6" t="n">
        <v>1</v>
      </c>
      <c r="H12" s="6" t="n">
        <v>9</v>
      </c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125</v>
      </c>
      <c r="B13" s="1" t="n">
        <v>43873</v>
      </c>
      <c r="C13" s="6" t="n">
        <v>10</v>
      </c>
      <c r="D13" s="6" t="n">
        <v>0</v>
      </c>
      <c r="E13" s="6"/>
      <c r="F13" s="6"/>
      <c r="G13" s="6" t="n">
        <v>2</v>
      </c>
      <c r="H13" s="6" t="n">
        <v>8</v>
      </c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125</v>
      </c>
      <c r="B14" s="1" t="n">
        <v>43874</v>
      </c>
      <c r="C14" s="6" t="n">
        <v>10</v>
      </c>
      <c r="D14" s="6" t="n">
        <v>0</v>
      </c>
      <c r="E14" s="6"/>
      <c r="F14" s="6"/>
      <c r="G14" s="6" t="n">
        <v>3</v>
      </c>
      <c r="H14" s="6" t="n">
        <v>7</v>
      </c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125</v>
      </c>
      <c r="B15" s="1" t="n">
        <v>43875</v>
      </c>
      <c r="C15" s="6" t="n">
        <v>10</v>
      </c>
      <c r="D15" s="6" t="n">
        <v>0</v>
      </c>
      <c r="E15" s="6"/>
      <c r="F15" s="6"/>
      <c r="G15" s="6" t="n">
        <v>3</v>
      </c>
      <c r="H15" s="6" t="n">
        <v>7</v>
      </c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125</v>
      </c>
      <c r="B16" s="1" t="n">
        <v>43876</v>
      </c>
      <c r="C16" s="6" t="n">
        <v>10</v>
      </c>
      <c r="D16" s="6" t="n">
        <v>0</v>
      </c>
      <c r="E16" s="6"/>
      <c r="F16" s="6"/>
      <c r="G16" s="6" t="n">
        <v>3</v>
      </c>
      <c r="H16" s="6" t="n">
        <v>7</v>
      </c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125</v>
      </c>
      <c r="B17" s="1" t="n">
        <v>43877</v>
      </c>
      <c r="C17" s="6" t="n">
        <v>10</v>
      </c>
      <c r="D17" s="6" t="n">
        <v>0</v>
      </c>
      <c r="E17" s="6"/>
      <c r="F17" s="6"/>
      <c r="G17" s="6" t="n">
        <v>5</v>
      </c>
      <c r="H17" s="6" t="n">
        <v>5</v>
      </c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125</v>
      </c>
      <c r="B18" s="1" t="n">
        <v>43878</v>
      </c>
      <c r="C18" s="6" t="n">
        <v>10</v>
      </c>
      <c r="D18" s="6" t="n">
        <v>0</v>
      </c>
      <c r="E18" s="6"/>
      <c r="F18" s="6"/>
      <c r="G18" s="6" t="n">
        <v>5</v>
      </c>
      <c r="H18" s="6" t="n">
        <v>5</v>
      </c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125</v>
      </c>
      <c r="B19" s="1" t="n">
        <v>43879</v>
      </c>
      <c r="C19" s="6" t="n">
        <v>10</v>
      </c>
      <c r="D19" s="6" t="n">
        <v>0</v>
      </c>
      <c r="E19" s="6"/>
      <c r="F19" s="6"/>
      <c r="G19" s="6" t="n">
        <v>5</v>
      </c>
      <c r="H19" s="6" t="n">
        <v>5</v>
      </c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125</v>
      </c>
      <c r="B20" s="1" t="n">
        <v>43880</v>
      </c>
      <c r="C20" s="6" t="n">
        <v>10</v>
      </c>
      <c r="D20" s="6" t="n">
        <v>0</v>
      </c>
      <c r="E20" s="6"/>
      <c r="F20" s="6"/>
      <c r="G20" s="6" t="n">
        <v>6</v>
      </c>
      <c r="H20" s="6" t="n">
        <v>4</v>
      </c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125</v>
      </c>
      <c r="B21" s="1" t="n">
        <v>43881</v>
      </c>
      <c r="C21" s="6" t="n">
        <v>10</v>
      </c>
      <c r="D21" s="6" t="n">
        <v>0</v>
      </c>
      <c r="E21" s="6"/>
      <c r="F21" s="6"/>
      <c r="G21" s="6" t="n">
        <v>6</v>
      </c>
      <c r="H21" s="6" t="n">
        <v>4</v>
      </c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125</v>
      </c>
      <c r="B22" s="1" t="n">
        <v>43882</v>
      </c>
      <c r="C22" s="6" t="n">
        <v>10</v>
      </c>
      <c r="D22" s="6" t="n">
        <v>0</v>
      </c>
      <c r="E22" s="6"/>
      <c r="F22" s="6"/>
      <c r="G22" s="6" t="n">
        <v>6</v>
      </c>
      <c r="H22" s="6" t="n">
        <v>4</v>
      </c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125</v>
      </c>
      <c r="B23" s="1" t="n">
        <v>43883</v>
      </c>
      <c r="C23" s="6" t="n">
        <v>10</v>
      </c>
      <c r="D23" s="6" t="n">
        <v>0</v>
      </c>
      <c r="E23" s="6"/>
      <c r="F23" s="6"/>
      <c r="G23" s="6" t="n">
        <v>6</v>
      </c>
      <c r="H23" s="6" t="n">
        <v>4</v>
      </c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125</v>
      </c>
      <c r="B24" s="1" t="n">
        <v>43884</v>
      </c>
      <c r="C24" s="6" t="n">
        <v>10</v>
      </c>
      <c r="D24" s="6" t="n">
        <v>0</v>
      </c>
      <c r="E24" s="6"/>
      <c r="F24" s="6"/>
      <c r="G24" s="6" t="n">
        <v>6</v>
      </c>
      <c r="H24" s="6" t="n">
        <v>4</v>
      </c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125</v>
      </c>
      <c r="B25" s="1" t="n">
        <v>43885</v>
      </c>
      <c r="C25" s="6" t="n">
        <v>10</v>
      </c>
      <c r="D25" s="6" t="n">
        <v>0</v>
      </c>
      <c r="E25" s="6"/>
      <c r="F25" s="6"/>
      <c r="G25" s="6" t="n">
        <v>6</v>
      </c>
      <c r="H25" s="6" t="n">
        <v>4</v>
      </c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125</v>
      </c>
      <c r="B26" s="1" t="n">
        <v>43886</v>
      </c>
      <c r="C26" s="6" t="n">
        <v>10</v>
      </c>
      <c r="D26" s="6" t="n">
        <v>0</v>
      </c>
      <c r="E26" s="6"/>
      <c r="F26" s="6"/>
      <c r="G26" s="6" t="n">
        <v>7</v>
      </c>
      <c r="H26" s="6" t="n">
        <v>3</v>
      </c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125</v>
      </c>
      <c r="B27" s="1" t="n">
        <v>43887</v>
      </c>
      <c r="C27" s="6" t="n">
        <v>10</v>
      </c>
      <c r="D27" s="6" t="n">
        <v>0</v>
      </c>
      <c r="E27" s="6"/>
      <c r="F27" s="6"/>
      <c r="G27" s="6" t="n">
        <v>7</v>
      </c>
      <c r="H27" s="6" t="n">
        <v>3</v>
      </c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125</v>
      </c>
      <c r="B28" s="1" t="n">
        <v>43888</v>
      </c>
      <c r="C28" s="6" t="n">
        <v>10</v>
      </c>
      <c r="D28" s="6" t="n">
        <v>0</v>
      </c>
      <c r="E28" s="6"/>
      <c r="F28" s="6"/>
      <c r="G28" s="6" t="n">
        <v>8</v>
      </c>
      <c r="H28" s="6" t="n">
        <v>2</v>
      </c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125</v>
      </c>
      <c r="B29" s="1" t="n">
        <v>43889</v>
      </c>
      <c r="C29" s="6" t="n">
        <v>10</v>
      </c>
      <c r="D29" s="6" t="n">
        <v>0</v>
      </c>
      <c r="E29" s="6"/>
      <c r="F29" s="6"/>
      <c r="G29" s="6" t="n">
        <v>8</v>
      </c>
      <c r="H29" s="6" t="n">
        <v>2</v>
      </c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125</v>
      </c>
      <c r="B30" s="1" t="n">
        <v>43890</v>
      </c>
      <c r="C30" s="6" t="n">
        <v>10</v>
      </c>
      <c r="D30" s="6" t="n">
        <v>0</v>
      </c>
      <c r="E30" s="6"/>
      <c r="F30" s="6"/>
      <c r="G30" s="6" t="n">
        <v>8</v>
      </c>
      <c r="H30" s="6" t="n">
        <v>2</v>
      </c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125</v>
      </c>
      <c r="B31" s="1" t="n">
        <v>43891</v>
      </c>
      <c r="C31" s="6" t="n">
        <v>10</v>
      </c>
      <c r="D31" s="6" t="n">
        <v>0</v>
      </c>
      <c r="E31" s="6"/>
      <c r="F31" s="6"/>
      <c r="G31" s="6" t="n">
        <v>8</v>
      </c>
      <c r="H31" s="6" t="n">
        <v>2</v>
      </c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125</v>
      </c>
      <c r="B32" s="1" t="n">
        <v>43892</v>
      </c>
      <c r="C32" s="6" t="n">
        <v>10</v>
      </c>
      <c r="D32" s="6" t="n">
        <v>0</v>
      </c>
      <c r="E32" s="6"/>
      <c r="F32" s="6"/>
      <c r="G32" s="6" t="n">
        <v>8</v>
      </c>
      <c r="H32" s="6" t="n">
        <v>2</v>
      </c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125</v>
      </c>
      <c r="B33" s="1" t="n">
        <v>43893</v>
      </c>
      <c r="C33" s="6" t="n">
        <v>10</v>
      </c>
      <c r="D33" s="6" t="n">
        <v>0</v>
      </c>
      <c r="E33" s="6"/>
      <c r="F33" s="6"/>
      <c r="G33" s="6" t="n">
        <v>9</v>
      </c>
      <c r="H33" s="6" t="n">
        <v>1</v>
      </c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125</v>
      </c>
      <c r="B34" s="1" t="n">
        <v>43894</v>
      </c>
      <c r="C34" s="6" t="n">
        <v>10</v>
      </c>
      <c r="D34" s="6" t="n">
        <v>0</v>
      </c>
      <c r="E34" s="6"/>
      <c r="F34" s="6"/>
      <c r="G34" s="6" t="n">
        <v>9</v>
      </c>
      <c r="H34" s="6" t="n">
        <v>1</v>
      </c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125</v>
      </c>
      <c r="B35" s="1" t="n">
        <v>43895</v>
      </c>
      <c r="C35" s="6" t="n">
        <v>10</v>
      </c>
      <c r="D35" s="6" t="n">
        <v>0</v>
      </c>
      <c r="E35" s="6"/>
      <c r="F35" s="6"/>
      <c r="G35" s="6" t="n">
        <v>9</v>
      </c>
      <c r="H35" s="6" t="n">
        <v>1</v>
      </c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125</v>
      </c>
      <c r="B36" s="1" t="n">
        <v>43896</v>
      </c>
      <c r="C36" s="6" t="n">
        <v>10</v>
      </c>
      <c r="D36" s="6" t="n">
        <v>0</v>
      </c>
      <c r="E36" s="6"/>
      <c r="F36" s="6"/>
      <c r="G36" s="6" t="n">
        <v>10</v>
      </c>
      <c r="H36" s="6" t="n">
        <v>0</v>
      </c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125</v>
      </c>
      <c r="B37" s="1" t="n">
        <v>43897</v>
      </c>
      <c r="C37" s="8" t="n">
        <v>10</v>
      </c>
      <c r="D37" s="8" t="n">
        <v>0</v>
      </c>
      <c r="E37" s="8"/>
      <c r="F37" s="8"/>
      <c r="G37" s="8" t="n">
        <v>10</v>
      </c>
      <c r="H37" s="8" t="n">
        <v>0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125</v>
      </c>
      <c r="B38" s="1" t="n">
        <v>43898</v>
      </c>
      <c r="C38" s="6" t="n">
        <v>10</v>
      </c>
      <c r="D38" s="6" t="n">
        <v>0</v>
      </c>
      <c r="E38" s="6"/>
      <c r="F38" s="6"/>
      <c r="G38" s="6" t="n">
        <v>10</v>
      </c>
      <c r="H38" s="6" t="n">
        <v>0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125</v>
      </c>
      <c r="B39" s="1" t="n">
        <v>43899</v>
      </c>
      <c r="C39" s="6" t="n">
        <v>10</v>
      </c>
      <c r="D39" s="6" t="n">
        <v>0</v>
      </c>
      <c r="E39" s="6"/>
      <c r="F39" s="6"/>
      <c r="G39" s="6" t="n">
        <v>10</v>
      </c>
      <c r="H39" s="6" t="n">
        <v>0</v>
      </c>
      <c r="I39" s="6"/>
      <c r="J39" s="6"/>
      <c r="K39" s="6"/>
      <c r="L39" s="6"/>
      <c r="M39" s="6"/>
    </row>
    <row r="40" customFormat="false" ht="15.75" hidden="false" customHeight="false" outlineLevel="0" collapsed="false">
      <c r="A40" s="0" t="s">
        <v>125</v>
      </c>
      <c r="B40" s="1" t="n">
        <v>43900</v>
      </c>
      <c r="C40" s="6" t="n">
        <v>10</v>
      </c>
      <c r="D40" s="6" t="n">
        <v>0</v>
      </c>
      <c r="E40" s="6"/>
      <c r="F40" s="6"/>
      <c r="G40" s="6" t="n">
        <v>10</v>
      </c>
      <c r="H40" s="6" t="n">
        <v>0</v>
      </c>
      <c r="I40" s="6"/>
      <c r="J40" s="6"/>
      <c r="K40" s="6"/>
      <c r="L40" s="6"/>
      <c r="M40" s="6"/>
    </row>
    <row r="41" customFormat="false" ht="15.75" hidden="false" customHeight="false" outlineLevel="0" collapsed="false">
      <c r="A41" s="0" t="s">
        <v>125</v>
      </c>
      <c r="B41" s="1" t="n">
        <v>43901</v>
      </c>
      <c r="C41" s="6" t="n">
        <v>10</v>
      </c>
      <c r="D41" s="6" t="n">
        <v>0</v>
      </c>
      <c r="E41" s="6"/>
      <c r="F41" s="6"/>
      <c r="G41" s="6" t="n">
        <v>10</v>
      </c>
      <c r="H41" s="6" t="n">
        <v>0</v>
      </c>
      <c r="I41" s="6"/>
      <c r="J41" s="6"/>
      <c r="K41" s="6"/>
      <c r="L41" s="6"/>
      <c r="M41" s="6"/>
    </row>
    <row r="42" customFormat="false" ht="15.75" hidden="false" customHeight="false" outlineLevel="0" collapsed="false">
      <c r="A42" s="0" t="s">
        <v>125</v>
      </c>
      <c r="B42" s="1" t="n">
        <v>43902</v>
      </c>
      <c r="C42" s="6" t="n">
        <v>10</v>
      </c>
      <c r="D42" s="6" t="n">
        <v>0</v>
      </c>
      <c r="E42" s="6"/>
      <c r="F42" s="6"/>
      <c r="G42" s="6" t="n">
        <v>10</v>
      </c>
      <c r="H42" s="6" t="n">
        <v>0</v>
      </c>
      <c r="I42" s="6"/>
      <c r="J42" s="6"/>
      <c r="K42" s="6"/>
      <c r="L42" s="6"/>
      <c r="M42" s="6"/>
    </row>
    <row r="43" customFormat="false" ht="15.75" hidden="false" customHeight="false" outlineLevel="0" collapsed="false">
      <c r="A43" s="0" t="s">
        <v>125</v>
      </c>
      <c r="B43" s="1" t="n">
        <v>43903</v>
      </c>
      <c r="C43" s="6" t="n">
        <v>10</v>
      </c>
      <c r="D43" s="6" t="n">
        <v>0</v>
      </c>
      <c r="E43" s="6"/>
      <c r="F43" s="6"/>
      <c r="G43" s="6" t="n">
        <v>10</v>
      </c>
      <c r="H43" s="6" t="n">
        <v>0</v>
      </c>
      <c r="I43" s="6"/>
      <c r="J43" s="6"/>
      <c r="K43" s="6"/>
      <c r="L43" s="6"/>
      <c r="M43" s="6"/>
    </row>
    <row r="44" customFormat="false" ht="15.75" hidden="false" customHeight="false" outlineLevel="0" collapsed="false">
      <c r="A44" s="0" t="s">
        <v>125</v>
      </c>
      <c r="B44" s="1" t="n">
        <v>43904</v>
      </c>
      <c r="C44" s="6" t="n">
        <v>10</v>
      </c>
      <c r="D44" s="6" t="n">
        <v>0</v>
      </c>
      <c r="E44" s="6"/>
      <c r="F44" s="6"/>
      <c r="G44" s="6" t="n">
        <v>10</v>
      </c>
      <c r="H44" s="6" t="n">
        <v>0</v>
      </c>
      <c r="I44" s="6"/>
      <c r="J44" s="6"/>
      <c r="K44" s="6"/>
      <c r="L44" s="6"/>
      <c r="M44" s="6"/>
    </row>
    <row r="45" customFormat="false" ht="15.75" hidden="false" customHeight="false" outlineLevel="0" collapsed="false">
      <c r="A45" s="0" t="s">
        <v>125</v>
      </c>
      <c r="B45" s="1" t="n">
        <v>43905</v>
      </c>
      <c r="C45" s="6" t="n">
        <v>10</v>
      </c>
      <c r="D45" s="6" t="n">
        <v>0</v>
      </c>
      <c r="E45" s="6"/>
      <c r="F45" s="6"/>
      <c r="G45" s="6" t="n">
        <v>10</v>
      </c>
      <c r="H45" s="6" t="n">
        <v>0</v>
      </c>
      <c r="I45" s="6"/>
      <c r="J45" s="6"/>
      <c r="K45" s="6"/>
      <c r="L45" s="6"/>
      <c r="M45" s="6"/>
    </row>
    <row r="46" customFormat="false" ht="15.75" hidden="false" customHeight="false" outlineLevel="0" collapsed="false">
      <c r="A46" s="0" t="s">
        <v>125</v>
      </c>
      <c r="B46" s="1" t="n">
        <v>43906</v>
      </c>
      <c r="C46" s="6" t="n">
        <v>11</v>
      </c>
      <c r="D46" s="6" t="n">
        <v>1</v>
      </c>
      <c r="E46" s="6"/>
      <c r="F46" s="6"/>
      <c r="G46" s="6" t="n">
        <v>10</v>
      </c>
      <c r="H46" s="6" t="n">
        <v>1</v>
      </c>
      <c r="I46" s="6"/>
      <c r="J46" s="6"/>
      <c r="K46" s="6"/>
      <c r="L46" s="6"/>
      <c r="M46" s="6"/>
    </row>
    <row r="47" customFormat="false" ht="15.75" hidden="false" customHeight="false" outlineLevel="0" collapsed="false">
      <c r="A47" s="0" t="s">
        <v>125</v>
      </c>
      <c r="B47" s="1" t="n">
        <v>43907</v>
      </c>
      <c r="C47" s="6" t="n">
        <v>11</v>
      </c>
      <c r="D47" s="6" t="n">
        <v>0</v>
      </c>
      <c r="E47" s="6"/>
      <c r="F47" s="6"/>
      <c r="G47" s="6" t="n">
        <v>10</v>
      </c>
      <c r="H47" s="6" t="n">
        <v>1</v>
      </c>
      <c r="I47" s="6"/>
      <c r="J47" s="6"/>
      <c r="K47" s="6"/>
      <c r="L47" s="6"/>
      <c r="M47" s="6"/>
    </row>
    <row r="48" customFormat="false" ht="15.75" hidden="false" customHeight="false" outlineLevel="0" collapsed="false">
      <c r="A48" s="0" t="s">
        <v>125</v>
      </c>
      <c r="B48" s="1" t="n">
        <v>43908</v>
      </c>
      <c r="C48" s="6" t="n">
        <v>13</v>
      </c>
      <c r="D48" s="6" t="n">
        <v>2</v>
      </c>
      <c r="E48" s="6"/>
      <c r="F48" s="6"/>
      <c r="G48" s="6" t="n">
        <v>10</v>
      </c>
      <c r="H48" s="6" t="n">
        <v>3</v>
      </c>
      <c r="I48" s="6"/>
      <c r="J48" s="6"/>
      <c r="K48" s="6"/>
      <c r="L48" s="6"/>
      <c r="M48" s="6"/>
    </row>
    <row r="49" customFormat="false" ht="15.75" hidden="false" customHeight="false" outlineLevel="0" collapsed="false">
      <c r="A49" s="0" t="s">
        <v>125</v>
      </c>
      <c r="B49" s="1" t="n">
        <v>43909</v>
      </c>
      <c r="C49" s="6" t="n">
        <v>17</v>
      </c>
      <c r="D49" s="6" t="n">
        <v>4</v>
      </c>
      <c r="E49" s="6"/>
      <c r="F49" s="6"/>
      <c r="G49" s="6" t="n">
        <v>10</v>
      </c>
      <c r="H49" s="6" t="n">
        <v>7</v>
      </c>
      <c r="I49" s="6"/>
      <c r="J49" s="6" t="n">
        <v>26</v>
      </c>
      <c r="K49" s="6"/>
      <c r="L49" s="6"/>
      <c r="M49" s="6"/>
    </row>
    <row r="50" customFormat="false" ht="15.75" hidden="false" customHeight="false" outlineLevel="0" collapsed="false">
      <c r="A50" s="0" t="s">
        <v>125</v>
      </c>
      <c r="B50" s="1" t="n">
        <v>43910</v>
      </c>
      <c r="C50" s="6" t="n">
        <v>17</v>
      </c>
      <c r="D50" s="6" t="n">
        <v>0</v>
      </c>
      <c r="E50" s="6"/>
      <c r="F50" s="6"/>
      <c r="G50" s="6" t="n">
        <v>10</v>
      </c>
      <c r="H50" s="6" t="n">
        <v>7</v>
      </c>
      <c r="I50" s="6"/>
      <c r="J50" s="6" t="n">
        <v>26</v>
      </c>
      <c r="K50" s="6"/>
      <c r="L50" s="6"/>
      <c r="M50" s="6"/>
    </row>
    <row r="51" customFormat="false" ht="15.75" hidden="false" customHeight="false" outlineLevel="0" collapsed="false">
      <c r="A51" s="0" t="s">
        <v>125</v>
      </c>
      <c r="B51" s="1" t="n">
        <v>43911</v>
      </c>
      <c r="C51" s="6" t="n">
        <v>17</v>
      </c>
      <c r="D51" s="6" t="n">
        <v>0</v>
      </c>
      <c r="E51" s="6"/>
      <c r="F51" s="6"/>
      <c r="G51" s="6" t="n">
        <v>10</v>
      </c>
      <c r="H51" s="6" t="n">
        <v>7</v>
      </c>
      <c r="I51" s="6"/>
      <c r="J51" s="6" t="n">
        <v>26</v>
      </c>
      <c r="K51" s="6"/>
      <c r="L51" s="6"/>
      <c r="M51" s="6"/>
    </row>
    <row r="52" customFormat="false" ht="15.75" hidden="false" customHeight="false" outlineLevel="0" collapsed="false">
      <c r="A52" s="0" t="s">
        <v>125</v>
      </c>
      <c r="B52" s="1" t="n">
        <v>43912</v>
      </c>
      <c r="C52" s="6" t="n">
        <v>18</v>
      </c>
      <c r="D52" s="6" t="n">
        <v>1</v>
      </c>
      <c r="E52" s="6"/>
      <c r="F52" s="6"/>
      <c r="G52" s="6" t="n">
        <v>10</v>
      </c>
      <c r="H52" s="6" t="n">
        <v>8</v>
      </c>
      <c r="I52" s="6"/>
      <c r="J52" s="6" t="n">
        <v>28</v>
      </c>
      <c r="K52" s="6"/>
      <c r="L52" s="6"/>
      <c r="M52" s="6"/>
    </row>
    <row r="53" customFormat="false" ht="15.75" hidden="false" customHeight="false" outlineLevel="0" collapsed="false">
      <c r="A53" s="0" t="s">
        <v>125</v>
      </c>
      <c r="B53" s="1" t="n">
        <v>43913</v>
      </c>
      <c r="C53" s="6" t="n">
        <v>22</v>
      </c>
      <c r="D53" s="6" t="n">
        <v>4</v>
      </c>
      <c r="E53" s="6"/>
      <c r="F53" s="6"/>
      <c r="G53" s="6" t="n">
        <v>10</v>
      </c>
      <c r="H53" s="6" t="n">
        <v>12</v>
      </c>
      <c r="I53" s="6"/>
      <c r="J53" s="6" t="n">
        <v>34</v>
      </c>
      <c r="K53" s="6"/>
      <c r="L53" s="6"/>
      <c r="M53" s="6"/>
    </row>
    <row r="54" customFormat="false" ht="15.75" hidden="false" customHeight="false" outlineLevel="0" collapsed="false">
      <c r="A54" s="0" t="s">
        <v>125</v>
      </c>
      <c r="B54" s="1" t="n">
        <v>43914</v>
      </c>
      <c r="C54" s="6" t="n">
        <v>25</v>
      </c>
      <c r="D54" s="6" t="n">
        <v>3</v>
      </c>
      <c r="E54" s="6"/>
      <c r="F54" s="6"/>
      <c r="G54" s="6" t="n">
        <v>10</v>
      </c>
      <c r="H54" s="6" t="n">
        <v>15</v>
      </c>
      <c r="I54" s="6"/>
      <c r="J54" s="6" t="n">
        <v>39</v>
      </c>
      <c r="K54" s="6"/>
      <c r="L54" s="6"/>
      <c r="M54" s="6"/>
    </row>
    <row r="55" customFormat="false" ht="15.75" hidden="false" customHeight="false" outlineLevel="0" collapsed="false">
      <c r="A55" s="0" t="s">
        <v>125</v>
      </c>
      <c r="B55" s="1" t="n">
        <v>43915</v>
      </c>
      <c r="C55" s="7" t="n">
        <v>28</v>
      </c>
      <c r="D55" s="7" t="n">
        <v>3</v>
      </c>
      <c r="E55" s="7"/>
      <c r="F55" s="7"/>
      <c r="G55" s="7" t="n">
        <v>10</v>
      </c>
      <c r="H55" s="7" t="n">
        <v>18</v>
      </c>
      <c r="I55" s="7"/>
      <c r="J55" s="7" t="n">
        <v>43</v>
      </c>
      <c r="K55" s="7"/>
      <c r="L55" s="7"/>
      <c r="M55" s="7"/>
    </row>
    <row r="56" customFormat="false" ht="15.75" hidden="false" customHeight="false" outlineLevel="0" collapsed="false">
      <c r="A56" s="0" t="s">
        <v>125</v>
      </c>
      <c r="B56" s="1" t="n">
        <v>43916</v>
      </c>
      <c r="C56" s="7" t="n">
        <v>30</v>
      </c>
      <c r="D56" s="7" t="n">
        <v>2</v>
      </c>
      <c r="E56" s="7"/>
      <c r="F56" s="7"/>
      <c r="G56" s="7" t="n">
        <v>10</v>
      </c>
      <c r="H56" s="7" t="n">
        <v>20</v>
      </c>
      <c r="I56" s="7"/>
      <c r="J56" s="7" t="n">
        <v>46</v>
      </c>
      <c r="K56" s="7"/>
      <c r="L56" s="7"/>
      <c r="M56" s="7"/>
    </row>
    <row r="57" customFormat="false" ht="15.75" hidden="false" customHeight="false" outlineLevel="0" collapsed="false">
      <c r="A57" s="0" t="s">
        <v>125</v>
      </c>
      <c r="B57" s="1" t="n">
        <v>43917</v>
      </c>
      <c r="C57" s="7" t="n">
        <v>31</v>
      </c>
      <c r="D57" s="7" t="n">
        <v>1</v>
      </c>
      <c r="E57" s="7"/>
      <c r="F57" s="7"/>
      <c r="G57" s="7" t="n">
        <v>10</v>
      </c>
      <c r="H57" s="7" t="n">
        <v>21</v>
      </c>
      <c r="I57" s="7"/>
      <c r="J57" s="7" t="n">
        <v>48</v>
      </c>
      <c r="K57" s="7"/>
      <c r="M57" s="7"/>
    </row>
    <row r="58" customFormat="false" ht="15.75" hidden="false" customHeight="false" outlineLevel="0" collapsed="false">
      <c r="A58" s="0" t="s">
        <v>125</v>
      </c>
      <c r="B58" s="1" t="n">
        <v>43918</v>
      </c>
      <c r="C58" s="7" t="n">
        <v>34</v>
      </c>
      <c r="D58" s="7" t="n">
        <v>3</v>
      </c>
      <c r="E58" s="7"/>
      <c r="F58" s="7"/>
      <c r="G58" s="7" t="n">
        <v>10</v>
      </c>
      <c r="H58" s="7" t="n">
        <v>24</v>
      </c>
      <c r="I58" s="7"/>
      <c r="J58" s="7" t="n">
        <v>52</v>
      </c>
      <c r="K58" s="7"/>
      <c r="M58" s="7"/>
    </row>
    <row r="59" customFormat="false" ht="15.75" hidden="false" customHeight="false" outlineLevel="0" collapsed="false">
      <c r="A59" s="0" t="s">
        <v>125</v>
      </c>
      <c r="B59" s="1" t="n">
        <v>43919</v>
      </c>
      <c r="C59" s="7" t="n">
        <v>34</v>
      </c>
      <c r="D59" s="7" t="n">
        <v>0</v>
      </c>
      <c r="E59" s="7"/>
      <c r="F59" s="7"/>
      <c r="G59" s="7" t="n">
        <v>10</v>
      </c>
      <c r="H59" s="7" t="n">
        <v>24</v>
      </c>
      <c r="I59" s="7"/>
      <c r="J59" s="7" t="n">
        <v>52</v>
      </c>
      <c r="K59" s="7"/>
      <c r="M59" s="7"/>
    </row>
    <row r="60" customFormat="false" ht="15.75" hidden="false" customHeight="false" outlineLevel="0" collapsed="false">
      <c r="A60" s="0" t="s">
        <v>125</v>
      </c>
      <c r="B60" s="1" t="n">
        <v>43920</v>
      </c>
      <c r="C60" s="7" t="n">
        <v>37</v>
      </c>
      <c r="D60" s="7" t="n">
        <v>3</v>
      </c>
      <c r="E60" s="7"/>
      <c r="F60" s="7"/>
      <c r="G60" s="7" t="n">
        <v>10</v>
      </c>
      <c r="H60" s="7" t="n">
        <v>27</v>
      </c>
      <c r="I60" s="7"/>
      <c r="J60" s="7" t="n">
        <v>57</v>
      </c>
      <c r="K60" s="7"/>
      <c r="M60" s="7"/>
    </row>
    <row r="61" customFormat="false" ht="15.75" hidden="false" customHeight="false" outlineLevel="0" collapsed="false">
      <c r="A61" s="0" t="s">
        <v>125</v>
      </c>
      <c r="B61" s="1" t="n">
        <v>43921</v>
      </c>
      <c r="C61" s="7" t="n">
        <v>38</v>
      </c>
      <c r="D61" s="7" t="n">
        <v>1</v>
      </c>
      <c r="E61" s="7"/>
      <c r="F61" s="7"/>
      <c r="G61" s="7" t="n">
        <v>10</v>
      </c>
      <c r="H61" s="7" t="n">
        <v>28</v>
      </c>
      <c r="I61" s="7"/>
      <c r="J61" s="7" t="n">
        <v>59</v>
      </c>
      <c r="K61" s="7"/>
      <c r="M61" s="7"/>
    </row>
    <row r="62" customFormat="false" ht="15.75" hidden="false" customHeight="false" outlineLevel="0" collapsed="false">
      <c r="A62" s="0" t="s">
        <v>125</v>
      </c>
      <c r="B62" s="1" t="n">
        <v>43922</v>
      </c>
      <c r="C62" s="7" t="n">
        <v>41</v>
      </c>
      <c r="D62" s="7" t="n">
        <v>3</v>
      </c>
      <c r="E62" s="7"/>
      <c r="F62" s="7"/>
      <c r="G62" s="7" t="n">
        <v>10</v>
      </c>
      <c r="H62" s="7" t="n">
        <v>31</v>
      </c>
      <c r="I62" s="7"/>
      <c r="J62" s="7" t="n">
        <v>63</v>
      </c>
      <c r="K62" s="7"/>
      <c r="M62" s="7"/>
    </row>
    <row r="63" customFormat="false" ht="15.75" hidden="false" customHeight="false" outlineLevel="0" collapsed="false">
      <c r="A63" s="0" t="s">
        <v>125</v>
      </c>
      <c r="B63" s="1" t="n">
        <v>43923</v>
      </c>
      <c r="C63" s="7" t="n">
        <v>41</v>
      </c>
      <c r="D63" s="7" t="n">
        <v>0</v>
      </c>
      <c r="E63" s="7"/>
      <c r="F63" s="7"/>
      <c r="G63" s="7" t="n">
        <v>10</v>
      </c>
      <c r="H63" s="7" t="n">
        <v>31</v>
      </c>
      <c r="I63" s="7"/>
      <c r="J63" s="7" t="n">
        <v>63</v>
      </c>
      <c r="K63" s="7"/>
      <c r="M63" s="7"/>
    </row>
    <row r="64" customFormat="false" ht="15.75" hidden="false" customHeight="false" outlineLevel="0" collapsed="false">
      <c r="A64" s="0" t="s">
        <v>125</v>
      </c>
      <c r="B64" s="1" t="n">
        <v>43924</v>
      </c>
      <c r="C64" s="7" t="n">
        <v>41</v>
      </c>
      <c r="D64" s="7" t="n">
        <v>0</v>
      </c>
      <c r="E64" s="7"/>
      <c r="F64" s="7"/>
      <c r="G64" s="7" t="n">
        <v>10</v>
      </c>
      <c r="H64" s="7" t="n">
        <v>31</v>
      </c>
      <c r="I64" s="7"/>
      <c r="J64" s="7" t="n">
        <v>63</v>
      </c>
      <c r="K64" s="7"/>
      <c r="M64" s="7"/>
    </row>
    <row r="65" customFormat="false" ht="15.75" hidden="false" customHeight="false" outlineLevel="0" collapsed="false">
      <c r="A65" s="0" t="s">
        <v>125</v>
      </c>
      <c r="B65" s="1" t="n">
        <v>43925</v>
      </c>
      <c r="C65" s="7" t="n">
        <v>42</v>
      </c>
      <c r="D65" s="7" t="n">
        <v>1</v>
      </c>
      <c r="E65" s="7"/>
      <c r="F65" s="7"/>
      <c r="G65" s="7" t="n">
        <v>10</v>
      </c>
      <c r="H65" s="7" t="n">
        <v>32</v>
      </c>
      <c r="I65" s="7"/>
      <c r="J65" s="7" t="n">
        <v>65</v>
      </c>
      <c r="K65" s="7"/>
      <c r="M65" s="7"/>
    </row>
    <row r="66" customFormat="false" ht="15.75" hidden="false" customHeight="false" outlineLevel="0" collapsed="false">
      <c r="A66" s="0" t="s">
        <v>125</v>
      </c>
      <c r="B66" s="1" t="n">
        <v>43926</v>
      </c>
      <c r="C66" s="7" t="n">
        <v>43</v>
      </c>
      <c r="D66" s="7" t="n">
        <v>1</v>
      </c>
      <c r="E66" s="7"/>
      <c r="F66" s="7"/>
      <c r="G66" s="7" t="n">
        <v>10</v>
      </c>
      <c r="H66" s="7" t="n">
        <v>33</v>
      </c>
      <c r="I66" s="7"/>
      <c r="J66" s="7" t="n">
        <v>66</v>
      </c>
      <c r="K66" s="7"/>
      <c r="M66" s="7"/>
    </row>
    <row r="67" customFormat="false" ht="15.75" hidden="false" customHeight="false" outlineLevel="0" collapsed="false">
      <c r="A67" s="0" t="s">
        <v>125</v>
      </c>
      <c r="B67" s="1" t="n">
        <v>43927</v>
      </c>
      <c r="C67" s="7" t="n">
        <v>44</v>
      </c>
      <c r="D67" s="7" t="n">
        <v>1</v>
      </c>
      <c r="E67" s="7"/>
      <c r="F67" s="7"/>
      <c r="G67" s="7" t="n">
        <v>10</v>
      </c>
      <c r="H67" s="7" t="n">
        <v>34</v>
      </c>
      <c r="I67" s="7"/>
      <c r="J67" s="7" t="n">
        <v>68</v>
      </c>
      <c r="K67" s="7"/>
      <c r="L67" s="7"/>
      <c r="M67" s="7"/>
    </row>
    <row r="68" customFormat="false" ht="15.75" hidden="false" customHeight="false" outlineLevel="0" collapsed="false">
      <c r="A68" s="0" t="s">
        <v>125</v>
      </c>
      <c r="B68" s="1" t="n">
        <v>43928</v>
      </c>
      <c r="C68" s="12" t="n">
        <v>44</v>
      </c>
      <c r="D68" s="12" t="n">
        <v>0</v>
      </c>
      <c r="E68" s="12"/>
      <c r="F68" s="12"/>
      <c r="G68" s="12" t="n">
        <v>10</v>
      </c>
      <c r="H68" s="12" t="n">
        <v>34</v>
      </c>
      <c r="I68" s="12"/>
      <c r="J68" s="12" t="n">
        <v>68</v>
      </c>
      <c r="K68" s="12"/>
      <c r="L68" s="12"/>
      <c r="M68" s="12"/>
    </row>
    <row r="69" customFormat="false" ht="15.75" hidden="false" customHeight="false" outlineLevel="0" collapsed="false">
      <c r="A69" s="0" t="s">
        <v>125</v>
      </c>
      <c r="B69" s="1" t="n">
        <v>43929</v>
      </c>
      <c r="C69" s="14" t="n">
        <v>44</v>
      </c>
      <c r="D69" s="14" t="n">
        <v>0</v>
      </c>
      <c r="E69" s="14"/>
      <c r="F69" s="14"/>
      <c r="G69" s="14" t="n">
        <v>10</v>
      </c>
      <c r="H69" s="14" t="n">
        <v>34</v>
      </c>
      <c r="I69" s="14" t="n">
        <v>1</v>
      </c>
      <c r="J69" s="14" t="n">
        <v>68</v>
      </c>
      <c r="K69" s="14"/>
      <c r="L69" s="14"/>
      <c r="M69" s="14"/>
    </row>
    <row r="70" customFormat="false" ht="15.75" hidden="false" customHeight="false" outlineLevel="0" collapsed="false">
      <c r="A70" s="0" t="s">
        <v>125</v>
      </c>
      <c r="B70" s="1" t="n">
        <v>43930</v>
      </c>
      <c r="C70" s="14" t="n">
        <v>45</v>
      </c>
      <c r="D70" s="14" t="n">
        <v>1</v>
      </c>
      <c r="E70" s="14"/>
      <c r="F70" s="14"/>
      <c r="G70" s="14" t="n">
        <v>10</v>
      </c>
      <c r="H70" s="14" t="n">
        <v>35</v>
      </c>
      <c r="I70" s="14" t="n">
        <v>1</v>
      </c>
      <c r="J70" s="14" t="n">
        <v>69</v>
      </c>
      <c r="K70" s="14"/>
      <c r="L70" s="14"/>
      <c r="M70" s="14"/>
    </row>
    <row r="71" customFormat="false" ht="15.75" hidden="false" customHeight="false" outlineLevel="0" collapsed="false">
      <c r="A71" s="0" t="s">
        <v>125</v>
      </c>
      <c r="B71" s="1" t="n">
        <v>43931</v>
      </c>
      <c r="C71" s="14" t="n">
        <v>45</v>
      </c>
      <c r="D71" s="14" t="n">
        <v>0</v>
      </c>
      <c r="E71" s="14"/>
      <c r="F71" s="14"/>
      <c r="G71" s="14" t="n">
        <v>10</v>
      </c>
      <c r="H71" s="14" t="n">
        <v>35</v>
      </c>
      <c r="I71" s="14" t="n">
        <v>1</v>
      </c>
      <c r="J71" s="14" t="n">
        <v>69</v>
      </c>
      <c r="K71" s="14"/>
      <c r="L71" s="14"/>
      <c r="M71" s="14"/>
    </row>
    <row r="72" customFormat="false" ht="15.75" hidden="false" customHeight="false" outlineLevel="0" collapsed="false">
      <c r="A72" s="0" t="s">
        <v>125</v>
      </c>
      <c r="B72" s="1" t="n">
        <v>43932</v>
      </c>
      <c r="C72" s="14" t="n">
        <v>45</v>
      </c>
      <c r="D72" s="14" t="n">
        <v>0</v>
      </c>
      <c r="E72" s="14"/>
      <c r="F72" s="14"/>
      <c r="G72" s="14" t="n">
        <v>10</v>
      </c>
      <c r="H72" s="14" t="n">
        <v>35</v>
      </c>
      <c r="I72" s="14" t="n">
        <v>1</v>
      </c>
      <c r="J72" s="14" t="n">
        <v>69</v>
      </c>
      <c r="K72" s="14"/>
      <c r="L72" s="14"/>
      <c r="M72" s="14"/>
    </row>
    <row r="73" customFormat="false" ht="15.75" hidden="false" customHeight="false" outlineLevel="0" collapsed="false">
      <c r="A73" s="0" t="s">
        <v>125</v>
      </c>
      <c r="B73" s="1" t="n">
        <v>43933</v>
      </c>
      <c r="C73" s="14" t="n">
        <v>45</v>
      </c>
      <c r="D73" s="14" t="n">
        <v>0</v>
      </c>
      <c r="E73" s="14"/>
      <c r="F73" s="14"/>
      <c r="G73" s="14" t="n">
        <v>10</v>
      </c>
      <c r="H73" s="14" t="n">
        <v>35</v>
      </c>
      <c r="I73" s="14" t="n">
        <v>1</v>
      </c>
      <c r="J73" s="14" t="n">
        <v>69</v>
      </c>
      <c r="K73" s="14"/>
      <c r="L73" s="14"/>
      <c r="M73" s="14"/>
    </row>
    <row r="74" customFormat="false" ht="15.75" hidden="false" customHeight="false" outlineLevel="0" collapsed="false">
      <c r="A74" s="0" t="s">
        <v>125</v>
      </c>
      <c r="B74" s="1" t="n">
        <v>43934</v>
      </c>
      <c r="C74" s="14" t="n">
        <v>45</v>
      </c>
      <c r="D74" s="14" t="n">
        <v>0</v>
      </c>
      <c r="E74" s="14"/>
      <c r="F74" s="14"/>
      <c r="G74" s="14" t="n">
        <v>10</v>
      </c>
      <c r="H74" s="14" t="n">
        <v>35</v>
      </c>
      <c r="I74" s="14" t="n">
        <v>1</v>
      </c>
      <c r="J74" s="14" t="n">
        <v>69</v>
      </c>
      <c r="K74" s="14"/>
      <c r="L74" s="14"/>
      <c r="M74" s="14"/>
    </row>
    <row r="75" customFormat="false" ht="15.75" hidden="false" customHeight="false" outlineLevel="0" collapsed="false">
      <c r="A75" s="0" t="s">
        <v>125</v>
      </c>
      <c r="B75" s="1" t="n">
        <v>43935</v>
      </c>
      <c r="C75" s="14" t="n">
        <v>45</v>
      </c>
      <c r="D75" s="14" t="n">
        <v>0</v>
      </c>
      <c r="E75" s="14"/>
      <c r="F75" s="14"/>
      <c r="G75" s="14" t="n">
        <v>10</v>
      </c>
      <c r="H75" s="14" t="n">
        <v>35</v>
      </c>
      <c r="I75" s="14" t="n">
        <v>1</v>
      </c>
      <c r="J75" s="14" t="n">
        <v>69</v>
      </c>
      <c r="K75" s="14"/>
      <c r="L75" s="14"/>
      <c r="M75" s="14"/>
    </row>
    <row r="76" customFormat="false" ht="15.75" hidden="false" customHeight="false" outlineLevel="0" collapsed="false">
      <c r="A76" s="0" t="s">
        <v>125</v>
      </c>
      <c r="B76" s="1" t="n">
        <v>43936</v>
      </c>
      <c r="C76" s="14" t="n">
        <v>45</v>
      </c>
      <c r="D76" s="14" t="n">
        <v>0</v>
      </c>
      <c r="E76" s="14"/>
      <c r="F76" s="14"/>
      <c r="G76" s="14" t="n">
        <v>10</v>
      </c>
      <c r="H76" s="14" t="n">
        <v>35</v>
      </c>
      <c r="I76" s="14" t="n">
        <v>1</v>
      </c>
      <c r="J76" s="14" t="n">
        <v>69</v>
      </c>
      <c r="K76" s="14"/>
      <c r="L76" s="14"/>
      <c r="M76" s="14"/>
    </row>
    <row r="77" customFormat="false" ht="15.75" hidden="false" customHeight="false" outlineLevel="0" collapsed="false">
      <c r="A77" s="0" t="s">
        <v>125</v>
      </c>
      <c r="B77" s="1" t="n">
        <v>43937</v>
      </c>
      <c r="C77" s="14" t="n">
        <v>45</v>
      </c>
      <c r="D77" s="14" t="n">
        <v>0</v>
      </c>
      <c r="E77" s="14"/>
      <c r="F77" s="14"/>
      <c r="G77" s="14" t="n">
        <v>15</v>
      </c>
      <c r="H77" s="14" t="n">
        <v>30</v>
      </c>
      <c r="I77" s="14" t="n">
        <v>1</v>
      </c>
      <c r="J77" s="14" t="n">
        <v>69</v>
      </c>
      <c r="K77" s="14"/>
      <c r="L77" s="14"/>
      <c r="M77" s="14"/>
    </row>
    <row r="78" customFormat="false" ht="15.75" hidden="false" customHeight="false" outlineLevel="0" collapsed="false">
      <c r="A78" s="0" t="s">
        <v>125</v>
      </c>
      <c r="B78" s="1" t="n">
        <v>43938</v>
      </c>
      <c r="C78" s="14" t="n">
        <v>45</v>
      </c>
      <c r="D78" s="14" t="n">
        <v>0</v>
      </c>
      <c r="E78" s="14"/>
      <c r="F78" s="14"/>
      <c r="G78" s="14" t="n">
        <v>16</v>
      </c>
      <c r="H78" s="14" t="n">
        <v>29</v>
      </c>
      <c r="I78" s="14" t="n">
        <v>1</v>
      </c>
      <c r="J78" s="14" t="n">
        <v>69</v>
      </c>
      <c r="K78" s="14"/>
      <c r="L78" s="14"/>
      <c r="M78" s="14"/>
    </row>
    <row r="79" customFormat="false" ht="15.75" hidden="false" customHeight="false" outlineLevel="0" collapsed="false">
      <c r="A79" s="0" t="s">
        <v>125</v>
      </c>
      <c r="B79" s="1" t="n">
        <v>43939</v>
      </c>
      <c r="C79" s="14" t="n">
        <v>45</v>
      </c>
      <c r="D79" s="14" t="n">
        <v>0</v>
      </c>
      <c r="E79" s="14"/>
      <c r="F79" s="14"/>
      <c r="G79" s="14" t="n">
        <v>16</v>
      </c>
      <c r="H79" s="14" t="n">
        <v>29</v>
      </c>
      <c r="I79" s="14" t="n">
        <v>1</v>
      </c>
      <c r="J79" s="14" t="n">
        <v>69</v>
      </c>
      <c r="K79" s="14"/>
      <c r="L79" s="14"/>
      <c r="M79" s="14"/>
    </row>
    <row r="80" customFormat="false" ht="15.75" hidden="false" customHeight="false" outlineLevel="0" collapsed="false">
      <c r="A80" s="0" t="s">
        <v>125</v>
      </c>
      <c r="B80" s="1" t="n">
        <v>43940</v>
      </c>
      <c r="C80" s="6" t="n">
        <v>45</v>
      </c>
      <c r="D80" s="6" t="n">
        <v>0</v>
      </c>
      <c r="E80" s="6"/>
      <c r="F80" s="6"/>
      <c r="G80" s="6" t="n">
        <v>16</v>
      </c>
      <c r="H80" s="6" t="n">
        <v>29</v>
      </c>
      <c r="I80" s="6" t="n">
        <v>1</v>
      </c>
      <c r="J80" s="6" t="n">
        <v>69</v>
      </c>
      <c r="K80" s="6"/>
      <c r="L80" s="14"/>
      <c r="M80" s="14"/>
    </row>
    <row r="81" customFormat="false" ht="15.75" hidden="false" customHeight="false" outlineLevel="0" collapsed="false">
      <c r="A81" s="0" t="s">
        <v>125</v>
      </c>
      <c r="B81" s="1" t="n">
        <v>43941</v>
      </c>
      <c r="C81" s="14" t="n">
        <v>45</v>
      </c>
      <c r="D81" s="14"/>
      <c r="E81" s="14"/>
      <c r="F81" s="14"/>
      <c r="G81" s="14" t="n">
        <v>17</v>
      </c>
      <c r="H81" s="14" t="n">
        <v>28</v>
      </c>
      <c r="I81" s="14" t="n">
        <v>1</v>
      </c>
      <c r="J81" s="14" t="n">
        <v>69</v>
      </c>
      <c r="K81" s="14"/>
      <c r="L81" s="14"/>
      <c r="M81" s="14"/>
    </row>
    <row r="82" customFormat="false" ht="15.75" hidden="false" customHeight="false" outlineLevel="0" collapsed="false">
      <c r="A82" s="0" t="s">
        <v>125</v>
      </c>
      <c r="B82" s="1" t="n">
        <v>43942</v>
      </c>
      <c r="C82" s="6" t="n">
        <v>45</v>
      </c>
      <c r="D82" s="6"/>
      <c r="E82" s="6"/>
      <c r="F82" s="6"/>
      <c r="G82" s="6" t="n">
        <v>22</v>
      </c>
      <c r="H82" s="6" t="n">
        <v>23</v>
      </c>
      <c r="I82" s="6" t="n">
        <v>1</v>
      </c>
      <c r="J82" s="6" t="n">
        <v>69</v>
      </c>
      <c r="K82" s="6"/>
      <c r="L82" s="6"/>
      <c r="M82" s="6"/>
    </row>
    <row r="83" customFormat="false" ht="15.75" hidden="false" customHeight="false" outlineLevel="0" collapsed="false">
      <c r="A83" s="0" t="s">
        <v>125</v>
      </c>
      <c r="B83" s="1" t="n">
        <v>43943</v>
      </c>
      <c r="C83" s="6" t="n">
        <v>45</v>
      </c>
      <c r="D83" s="6"/>
      <c r="E83" s="6"/>
      <c r="F83" s="6"/>
      <c r="G83" s="6" t="n">
        <v>24</v>
      </c>
      <c r="H83" s="6" t="n">
        <v>21</v>
      </c>
      <c r="I83" s="6" t="n">
        <v>1</v>
      </c>
      <c r="J83" s="6" t="n">
        <v>69</v>
      </c>
      <c r="K83" s="6"/>
      <c r="L83" s="6"/>
      <c r="M83" s="6"/>
    </row>
    <row r="84" customFormat="false" ht="15.75" hidden="false" customHeight="false" outlineLevel="0" collapsed="false">
      <c r="A84" s="0" t="s">
        <v>125</v>
      </c>
      <c r="B84" s="1" t="n">
        <v>43944</v>
      </c>
      <c r="C84" s="6" t="n">
        <v>45</v>
      </c>
      <c r="D84" s="6"/>
      <c r="E84" s="6"/>
      <c r="F84" s="6"/>
      <c r="G84" s="6" t="n">
        <v>26</v>
      </c>
      <c r="H84" s="6" t="n">
        <v>19</v>
      </c>
      <c r="I84" s="6" t="n">
        <v>1</v>
      </c>
      <c r="J84" s="6" t="n">
        <v>69</v>
      </c>
      <c r="K84" s="6"/>
      <c r="L84" s="6"/>
      <c r="M84" s="6"/>
    </row>
    <row r="85" customFormat="false" ht="15.75" hidden="false" customHeight="false" outlineLevel="0" collapsed="false">
      <c r="A85" s="0" t="s">
        <v>125</v>
      </c>
      <c r="B85" s="1" t="n">
        <v>43945</v>
      </c>
      <c r="C85" s="6" t="n">
        <v>45</v>
      </c>
      <c r="D85" s="6"/>
      <c r="E85" s="6"/>
      <c r="F85" s="6"/>
      <c r="G85" s="6" t="n">
        <v>27</v>
      </c>
      <c r="H85" s="6" t="n">
        <v>18</v>
      </c>
      <c r="I85" s="6" t="n">
        <v>1</v>
      </c>
      <c r="J85" s="6" t="n">
        <v>69</v>
      </c>
      <c r="K85" s="6"/>
      <c r="L85" s="6"/>
      <c r="M85" s="6"/>
    </row>
    <row r="86" customFormat="false" ht="15.75" hidden="false" customHeight="false" outlineLevel="0" collapsed="false">
      <c r="A86" s="0" t="s">
        <v>125</v>
      </c>
      <c r="B86" s="1" t="n">
        <v>43946</v>
      </c>
      <c r="C86" s="6" t="n">
        <v>45</v>
      </c>
      <c r="D86" s="6"/>
      <c r="E86" s="6"/>
      <c r="F86" s="6"/>
      <c r="G86" s="6" t="n">
        <v>27</v>
      </c>
      <c r="H86" s="6" t="n">
        <v>18</v>
      </c>
      <c r="I86" s="6" t="n">
        <v>1</v>
      </c>
      <c r="J86" s="6" t="n">
        <v>69</v>
      </c>
      <c r="K86" s="6"/>
      <c r="L86" s="6"/>
      <c r="M86" s="6"/>
    </row>
    <row r="87" customFormat="false" ht="15.75" hidden="false" customHeight="false" outlineLevel="0" collapsed="false">
      <c r="A87" s="0" t="s">
        <v>125</v>
      </c>
      <c r="B87" s="1" t="n">
        <v>43947</v>
      </c>
      <c r="C87" s="6" t="n">
        <v>45</v>
      </c>
      <c r="D87" s="6"/>
      <c r="E87" s="6"/>
      <c r="F87" s="6"/>
      <c r="G87" s="6" t="n">
        <v>27</v>
      </c>
      <c r="H87" s="6" t="n">
        <v>18</v>
      </c>
      <c r="I87" s="6" t="n">
        <v>1</v>
      </c>
      <c r="J87" s="6" t="n">
        <v>69</v>
      </c>
      <c r="K87" s="6"/>
      <c r="L87" s="6"/>
      <c r="M87" s="6"/>
    </row>
    <row r="88" customFormat="false" ht="15.75" hidden="false" customHeight="false" outlineLevel="0" collapsed="false">
      <c r="A88" s="0" t="s">
        <v>125</v>
      </c>
      <c r="B88" s="1" t="n">
        <v>43948</v>
      </c>
      <c r="C88" s="6" t="n">
        <v>45</v>
      </c>
      <c r="D88" s="6"/>
      <c r="E88" s="6"/>
      <c r="F88" s="6"/>
      <c r="G88" s="6" t="n">
        <v>31</v>
      </c>
      <c r="H88" s="6" t="n">
        <v>14</v>
      </c>
      <c r="I88" s="6" t="n">
        <v>1</v>
      </c>
      <c r="J88" s="6" t="n">
        <v>69</v>
      </c>
      <c r="K88" s="6"/>
      <c r="L88" s="6"/>
      <c r="M88" s="6"/>
    </row>
    <row r="89" customFormat="false" ht="15.75" hidden="false" customHeight="false" outlineLevel="0" collapsed="false">
      <c r="A89" s="0" t="s">
        <v>125</v>
      </c>
      <c r="B89" s="1" t="n">
        <v>43949</v>
      </c>
      <c r="C89" s="6" t="n">
        <v>45</v>
      </c>
      <c r="D89" s="6"/>
      <c r="E89" s="6"/>
      <c r="F89" s="6"/>
      <c r="G89" s="6" t="n">
        <v>32</v>
      </c>
      <c r="H89" s="6" t="n">
        <v>13</v>
      </c>
      <c r="I89" s="6" t="n">
        <v>1</v>
      </c>
      <c r="J89" s="6" t="n">
        <v>69</v>
      </c>
      <c r="K89" s="6"/>
      <c r="L89" s="6"/>
      <c r="M89" s="6"/>
    </row>
    <row r="90" customFormat="false" ht="15.75" hidden="false" customHeight="false" outlineLevel="0" collapsed="false">
      <c r="A90" s="0" t="s">
        <v>125</v>
      </c>
      <c r="B90" s="1" t="n">
        <v>43950</v>
      </c>
      <c r="C90" s="6" t="n">
        <v>45</v>
      </c>
      <c r="D90" s="6"/>
      <c r="E90" s="6"/>
      <c r="F90" s="6"/>
      <c r="G90" s="6" t="n">
        <v>32</v>
      </c>
      <c r="H90" s="6" t="n">
        <v>13</v>
      </c>
      <c r="I90" s="6" t="n">
        <v>1</v>
      </c>
      <c r="J90" s="6" t="n">
        <v>69</v>
      </c>
      <c r="K90" s="6"/>
      <c r="L90" s="6"/>
      <c r="M90" s="6"/>
    </row>
    <row r="91" customFormat="false" ht="15.75" hidden="false" customHeight="false" outlineLevel="0" collapsed="false">
      <c r="A91" s="0" t="s">
        <v>125</v>
      </c>
      <c r="B91" s="1" t="n">
        <v>43951</v>
      </c>
      <c r="C91" s="6" t="n">
        <v>45</v>
      </c>
      <c r="D91" s="6"/>
      <c r="E91" s="6"/>
      <c r="F91" s="6"/>
      <c r="G91" s="6" t="n">
        <v>34</v>
      </c>
      <c r="H91" s="6" t="n">
        <v>11</v>
      </c>
      <c r="I91" s="6" t="n">
        <v>1</v>
      </c>
      <c r="J91" s="6" t="n">
        <v>69</v>
      </c>
      <c r="K91" s="6"/>
      <c r="L91" s="6"/>
      <c r="M91" s="6"/>
    </row>
    <row r="92" customFormat="false" ht="15.75" hidden="false" customHeight="false" outlineLevel="0" collapsed="false">
      <c r="A92" s="0" t="s">
        <v>125</v>
      </c>
      <c r="B92" s="1" t="n">
        <v>43952</v>
      </c>
      <c r="C92" s="6" t="n">
        <v>45</v>
      </c>
      <c r="D92" s="6"/>
      <c r="E92" s="6"/>
      <c r="F92" s="6"/>
      <c r="G92" s="6" t="n">
        <v>35</v>
      </c>
      <c r="H92" s="6" t="n">
        <v>10</v>
      </c>
      <c r="I92" s="6" t="n">
        <v>1</v>
      </c>
      <c r="J92" s="6" t="n">
        <v>69</v>
      </c>
      <c r="K92" s="6"/>
      <c r="L92" s="6"/>
      <c r="M92" s="6"/>
    </row>
    <row r="93" customFormat="false" ht="15.75" hidden="false" customHeight="false" outlineLevel="0" collapsed="false">
      <c r="A93" s="0" t="s">
        <v>125</v>
      </c>
      <c r="B93" s="1" t="n">
        <v>43953</v>
      </c>
      <c r="C93" s="6" t="n">
        <v>45</v>
      </c>
      <c r="D93" s="6"/>
      <c r="E93" s="6"/>
      <c r="F93" s="6"/>
      <c r="G93" s="6" t="n">
        <v>37</v>
      </c>
      <c r="H93" s="6" t="n">
        <v>8</v>
      </c>
      <c r="I93" s="6" t="n">
        <v>1</v>
      </c>
      <c r="J93" s="6" t="n">
        <v>69</v>
      </c>
      <c r="K93" s="6"/>
      <c r="L93" s="6"/>
      <c r="M93" s="6"/>
    </row>
    <row r="94" customFormat="false" ht="15.75" hidden="false" customHeight="false" outlineLevel="0" collapsed="false">
      <c r="A94" s="0" t="s">
        <v>125</v>
      </c>
      <c r="B94" s="1" t="n">
        <v>43954</v>
      </c>
      <c r="C94" s="6" t="n">
        <v>45</v>
      </c>
      <c r="D94" s="6"/>
      <c r="E94" s="6"/>
      <c r="F94" s="6"/>
      <c r="G94" s="6" t="n">
        <v>37</v>
      </c>
      <c r="H94" s="6" t="n">
        <v>8</v>
      </c>
      <c r="I94" s="6" t="n">
        <v>1</v>
      </c>
      <c r="J94" s="6" t="n">
        <v>69</v>
      </c>
      <c r="K94" s="6"/>
      <c r="L94" s="6"/>
      <c r="M94" s="6"/>
    </row>
    <row r="95" customFormat="false" ht="15.75" hidden="false" customHeight="false" outlineLevel="0" collapsed="false">
      <c r="A95" s="0" t="s">
        <v>125</v>
      </c>
      <c r="B95" s="1" t="n">
        <v>43955</v>
      </c>
      <c r="C95" s="49" t="n">
        <v>45</v>
      </c>
      <c r="D95" s="49"/>
      <c r="E95" s="49"/>
      <c r="F95" s="49"/>
      <c r="G95" s="49" t="n">
        <v>39</v>
      </c>
      <c r="H95" s="49" t="n">
        <v>6</v>
      </c>
      <c r="I95" s="49" t="n">
        <v>1</v>
      </c>
      <c r="J95" s="49" t="n">
        <v>69</v>
      </c>
      <c r="K95" s="6"/>
      <c r="L95" s="6"/>
      <c r="M95" s="6"/>
    </row>
    <row r="96" customFormat="false" ht="15.75" hidden="false" customHeight="false" outlineLevel="0" collapsed="false">
      <c r="A96" s="0" t="s">
        <v>125</v>
      </c>
      <c r="B96" s="1" t="n">
        <v>43956</v>
      </c>
      <c r="C96" s="6" t="n">
        <v>45</v>
      </c>
      <c r="D96" s="6"/>
      <c r="E96" s="6"/>
      <c r="F96" s="6"/>
      <c r="G96" s="6" t="n">
        <v>39</v>
      </c>
      <c r="H96" s="6" t="n">
        <v>6</v>
      </c>
      <c r="I96" s="6" t="n">
        <v>1</v>
      </c>
      <c r="J96" s="6" t="n">
        <v>69</v>
      </c>
      <c r="K96" s="6"/>
      <c r="L96" s="6"/>
      <c r="M96" s="6"/>
    </row>
    <row r="97" customFormat="false" ht="15.75" hidden="false" customHeight="false" outlineLevel="0" collapsed="false">
      <c r="A97" s="0" t="s">
        <v>125</v>
      </c>
      <c r="B97" s="1" t="n">
        <v>43957</v>
      </c>
      <c r="C97" s="6" t="n">
        <v>45</v>
      </c>
      <c r="D97" s="6"/>
      <c r="E97" s="6"/>
      <c r="F97" s="6"/>
      <c r="G97" s="6" t="n">
        <v>39</v>
      </c>
      <c r="H97" s="6" t="n">
        <v>6</v>
      </c>
      <c r="I97" s="6" t="n">
        <v>1</v>
      </c>
      <c r="J97" s="6" t="n">
        <v>69</v>
      </c>
      <c r="K97" s="6"/>
      <c r="L97" s="6"/>
      <c r="M97" s="6"/>
    </row>
    <row r="98" customFormat="false" ht="15.75" hidden="false" customHeight="false" outlineLevel="0" collapsed="false">
      <c r="A98" s="0" t="s">
        <v>125</v>
      </c>
      <c r="B98" s="1" t="n">
        <v>43958</v>
      </c>
      <c r="C98" s="6" t="n">
        <v>45</v>
      </c>
      <c r="D98" s="6"/>
      <c r="E98" s="6"/>
      <c r="F98" s="6"/>
      <c r="G98" s="6" t="n">
        <v>39</v>
      </c>
      <c r="H98" s="6" t="n">
        <v>6</v>
      </c>
      <c r="I98" s="6" t="n">
        <v>1</v>
      </c>
      <c r="J98" s="6" t="n">
        <v>69</v>
      </c>
      <c r="K98" s="6"/>
      <c r="L98" s="6"/>
      <c r="M98" s="6"/>
    </row>
    <row r="99" customFormat="false" ht="15.75" hidden="false" customHeight="false" outlineLevel="0" collapsed="false">
      <c r="A99" s="0" t="s">
        <v>125</v>
      </c>
      <c r="B99" s="1" t="n">
        <v>43959</v>
      </c>
      <c r="C99" s="6" t="n">
        <v>45</v>
      </c>
      <c r="D99" s="6"/>
      <c r="E99" s="6"/>
      <c r="F99" s="6"/>
      <c r="G99" s="6" t="n">
        <v>40</v>
      </c>
      <c r="H99" s="6" t="n">
        <v>5</v>
      </c>
      <c r="I99" s="6" t="n">
        <v>1</v>
      </c>
      <c r="J99" s="6" t="n">
        <v>69</v>
      </c>
      <c r="K99" s="6"/>
      <c r="L99" s="6"/>
      <c r="M99" s="6"/>
    </row>
    <row r="100" customFormat="false" ht="15.75" hidden="false" customHeight="false" outlineLevel="0" collapsed="false">
      <c r="A100" s="0" t="s">
        <v>125</v>
      </c>
      <c r="B100" s="1" t="n">
        <v>43960</v>
      </c>
      <c r="C100" s="6" t="n">
        <v>45</v>
      </c>
      <c r="D100" s="6"/>
      <c r="E100" s="6"/>
      <c r="F100" s="6"/>
      <c r="G100" s="6" t="n">
        <v>40</v>
      </c>
      <c r="H100" s="6" t="n">
        <v>5</v>
      </c>
      <c r="I100" s="6" t="n">
        <v>1</v>
      </c>
      <c r="J100" s="6" t="n">
        <v>69</v>
      </c>
      <c r="K100" s="6"/>
      <c r="L100" s="6"/>
      <c r="M100" s="6"/>
    </row>
    <row r="101" customFormat="false" ht="15.75" hidden="false" customHeight="false" outlineLevel="0" collapsed="false">
      <c r="A101" s="0" t="s">
        <v>125</v>
      </c>
      <c r="B101" s="1" t="n">
        <v>43961</v>
      </c>
      <c r="C101" s="6" t="n">
        <v>45</v>
      </c>
      <c r="D101" s="6"/>
      <c r="E101" s="6"/>
      <c r="F101" s="6"/>
      <c r="G101" s="6" t="n">
        <v>40</v>
      </c>
      <c r="H101" s="6" t="n">
        <v>5</v>
      </c>
      <c r="I101" s="6" t="n">
        <v>1</v>
      </c>
      <c r="J101" s="6" t="n">
        <v>69</v>
      </c>
      <c r="K101" s="6"/>
      <c r="L101" s="6"/>
      <c r="M101" s="6"/>
    </row>
    <row r="102" customFormat="false" ht="15.75" hidden="false" customHeight="false" outlineLevel="0" collapsed="false">
      <c r="A102" s="0" t="s">
        <v>125</v>
      </c>
      <c r="B102" s="1" t="n">
        <v>43962</v>
      </c>
      <c r="C102" s="6" t="n">
        <v>45</v>
      </c>
      <c r="D102" s="6"/>
      <c r="E102" s="6"/>
      <c r="F102" s="6"/>
      <c r="G102" s="6" t="n">
        <v>40</v>
      </c>
      <c r="H102" s="6" t="n">
        <v>5</v>
      </c>
      <c r="I102" s="6" t="n">
        <v>1</v>
      </c>
      <c r="J102" s="6" t="n">
        <v>69</v>
      </c>
      <c r="K102" s="6"/>
      <c r="L102" s="6"/>
      <c r="M102" s="6"/>
    </row>
    <row r="103" customFormat="false" ht="15.75" hidden="false" customHeight="false" outlineLevel="0" collapsed="false">
      <c r="A103" s="0" t="s">
        <v>125</v>
      </c>
      <c r="B103" s="1" t="n">
        <v>43963</v>
      </c>
      <c r="C103" s="6" t="n">
        <v>45</v>
      </c>
      <c r="D103" s="6"/>
      <c r="E103" s="6"/>
      <c r="F103" s="6"/>
      <c r="G103" s="6" t="n">
        <v>40</v>
      </c>
      <c r="H103" s="6" t="n">
        <v>5</v>
      </c>
      <c r="I103" s="6" t="n">
        <v>1</v>
      </c>
      <c r="J103" s="6" t="n">
        <v>69</v>
      </c>
      <c r="K103" s="6"/>
      <c r="L103" s="6"/>
      <c r="M103" s="6"/>
    </row>
    <row r="104" customFormat="false" ht="15.75" hidden="false" customHeight="false" outlineLevel="0" collapsed="false">
      <c r="A104" s="0" t="s">
        <v>125</v>
      </c>
      <c r="B104" s="1" t="n">
        <v>43964</v>
      </c>
      <c r="C104" s="6" t="n">
        <v>45</v>
      </c>
      <c r="D104" s="6"/>
      <c r="E104" s="6"/>
      <c r="F104" s="6"/>
      <c r="G104" s="6" t="n">
        <v>42</v>
      </c>
      <c r="H104" s="6" t="n">
        <v>3</v>
      </c>
      <c r="I104" s="6" t="n">
        <v>1</v>
      </c>
      <c r="J104" s="6" t="n">
        <v>69</v>
      </c>
      <c r="K104" s="6"/>
      <c r="L104" s="6"/>
      <c r="M104" s="6"/>
    </row>
    <row r="105" customFormat="false" ht="15.75" hidden="false" customHeight="false" outlineLevel="0" collapsed="false">
      <c r="A105" s="0" t="s">
        <v>125</v>
      </c>
      <c r="B105" s="1" t="n">
        <v>43965</v>
      </c>
      <c r="C105" s="49" t="n">
        <v>45</v>
      </c>
      <c r="D105" s="49"/>
      <c r="E105" s="49"/>
      <c r="F105" s="49"/>
      <c r="G105" s="49" t="n">
        <v>43</v>
      </c>
      <c r="H105" s="49" t="n">
        <v>2</v>
      </c>
      <c r="I105" s="49" t="n">
        <v>1</v>
      </c>
      <c r="J105" s="49" t="n">
        <v>69</v>
      </c>
      <c r="K105" s="6"/>
      <c r="L105" s="6"/>
      <c r="M105" s="6"/>
    </row>
    <row r="106" customFormat="false" ht="15.75" hidden="false" customHeight="false" outlineLevel="0" collapsed="false">
      <c r="A106" s="0" t="s">
        <v>125</v>
      </c>
      <c r="B106" s="1" t="n">
        <v>43966</v>
      </c>
      <c r="C106" s="6" t="n">
        <v>45</v>
      </c>
      <c r="D106" s="6"/>
      <c r="E106" s="6"/>
      <c r="F106" s="6"/>
      <c r="G106" s="6" t="n">
        <v>43</v>
      </c>
      <c r="H106" s="6" t="n">
        <v>2</v>
      </c>
      <c r="I106" s="6" t="n">
        <v>1</v>
      </c>
      <c r="J106" s="6" t="n">
        <v>69</v>
      </c>
      <c r="K106" s="6"/>
      <c r="L106" s="6"/>
      <c r="M106" s="6"/>
    </row>
    <row r="107" customFormat="false" ht="15.75" hidden="false" customHeight="false" outlineLevel="0" collapsed="false">
      <c r="A107" s="0" t="s">
        <v>125</v>
      </c>
      <c r="B107" s="1" t="n">
        <v>43967</v>
      </c>
      <c r="C107" s="6" t="n">
        <v>45</v>
      </c>
      <c r="D107" s="6"/>
      <c r="E107" s="6"/>
      <c r="F107" s="6"/>
      <c r="G107" s="6" t="n">
        <v>43</v>
      </c>
      <c r="H107" s="6" t="n">
        <v>2</v>
      </c>
      <c r="I107" s="6" t="n">
        <v>1</v>
      </c>
      <c r="J107" s="6" t="n">
        <v>69</v>
      </c>
      <c r="K107" s="6"/>
      <c r="L107" s="6"/>
      <c r="M107" s="6"/>
    </row>
    <row r="108" customFormat="false" ht="15.75" hidden="false" customHeight="false" outlineLevel="0" collapsed="false">
      <c r="A108" s="0" t="s">
        <v>125</v>
      </c>
      <c r="B108" s="1" t="n">
        <v>43968</v>
      </c>
      <c r="C108" s="6" t="n">
        <v>45</v>
      </c>
      <c r="D108" s="6"/>
      <c r="E108" s="6"/>
      <c r="F108" s="6"/>
      <c r="G108" s="6" t="n">
        <v>43</v>
      </c>
      <c r="H108" s="6" t="n">
        <v>2</v>
      </c>
      <c r="I108" s="6" t="n">
        <v>1</v>
      </c>
      <c r="J108" s="6" t="n">
        <v>69</v>
      </c>
      <c r="K108" s="6"/>
      <c r="L108" s="6"/>
      <c r="M108" s="6"/>
    </row>
    <row r="109" customFormat="false" ht="15.75" hidden="false" customHeight="false" outlineLevel="0" collapsed="false">
      <c r="A109" s="0" t="s">
        <v>125</v>
      </c>
      <c r="B109" s="1" t="n">
        <v>43969</v>
      </c>
      <c r="C109" s="6" t="n">
        <v>45</v>
      </c>
      <c r="D109" s="6"/>
      <c r="E109" s="6"/>
      <c r="F109" s="6"/>
      <c r="G109" s="6" t="n">
        <v>43</v>
      </c>
      <c r="H109" s="6" t="n">
        <v>2</v>
      </c>
      <c r="I109" s="6" t="n">
        <v>1</v>
      </c>
      <c r="J109" s="6" t="n">
        <v>69</v>
      </c>
      <c r="K109" s="6"/>
      <c r="L109" s="6"/>
      <c r="M109" s="6"/>
    </row>
    <row r="110" customFormat="false" ht="15.75" hidden="false" customHeight="false" outlineLevel="0" collapsed="false">
      <c r="A110" s="0" t="s">
        <v>125</v>
      </c>
      <c r="B110" s="1" t="n">
        <v>43970</v>
      </c>
      <c r="C110" s="6" t="n">
        <v>45</v>
      </c>
      <c r="D110" s="6"/>
      <c r="E110" s="6"/>
      <c r="F110" s="6"/>
      <c r="G110" s="6" t="n">
        <v>44</v>
      </c>
      <c r="H110" s="6" t="n">
        <v>1</v>
      </c>
      <c r="I110" s="6" t="n">
        <v>1</v>
      </c>
      <c r="J110" s="6" t="n">
        <v>69</v>
      </c>
      <c r="K110" s="6"/>
      <c r="L110" s="6"/>
      <c r="M110" s="6"/>
    </row>
    <row r="111" customFormat="false" ht="15.75" hidden="false" customHeight="false" outlineLevel="0" collapsed="false">
      <c r="A111" s="0" t="s">
        <v>125</v>
      </c>
      <c r="B111" s="1" t="n">
        <v>43971</v>
      </c>
      <c r="C111" s="6" t="n">
        <v>45</v>
      </c>
      <c r="D111" s="6"/>
      <c r="E111" s="6"/>
      <c r="F111" s="6"/>
      <c r="G111" s="6" t="n">
        <v>45</v>
      </c>
      <c r="H111" s="6" t="n">
        <v>0</v>
      </c>
      <c r="I111" s="6"/>
      <c r="J111" s="6" t="n">
        <v>69</v>
      </c>
      <c r="K111" s="6"/>
      <c r="L111" s="6"/>
      <c r="M111" s="6"/>
    </row>
    <row r="112" customFormat="false" ht="15.75" hidden="false" customHeight="false" outlineLevel="0" collapsed="false">
      <c r="A112" s="0" t="s">
        <v>125</v>
      </c>
      <c r="B112" s="1" t="n">
        <v>43972</v>
      </c>
      <c r="C112" s="6" t="n">
        <v>45</v>
      </c>
      <c r="D112" s="6"/>
      <c r="E112" s="6"/>
      <c r="F112" s="6"/>
      <c r="G112" s="6" t="n">
        <v>45</v>
      </c>
      <c r="H112" s="6" t="n">
        <v>0</v>
      </c>
      <c r="I112" s="6"/>
      <c r="J112" s="6" t="n">
        <v>69</v>
      </c>
      <c r="K112" s="6"/>
      <c r="L112" s="6"/>
      <c r="M112" s="6"/>
    </row>
    <row r="113" customFormat="false" ht="15.75" hidden="false" customHeight="false" outlineLevel="0" collapsed="false">
      <c r="A113" s="0" t="s">
        <v>125</v>
      </c>
      <c r="B113" s="1" t="n">
        <v>43973</v>
      </c>
      <c r="C113" s="6" t="n">
        <v>45</v>
      </c>
      <c r="D113" s="6"/>
      <c r="E113" s="6"/>
      <c r="F113" s="6"/>
      <c r="G113" s="6" t="n">
        <v>45</v>
      </c>
      <c r="H113" s="6" t="n">
        <v>0</v>
      </c>
      <c r="I113" s="6"/>
      <c r="J113" s="6" t="n">
        <v>69</v>
      </c>
      <c r="K113" s="6"/>
      <c r="L113" s="6"/>
      <c r="M113" s="6"/>
    </row>
    <row r="114" customFormat="false" ht="15.75" hidden="false" customHeight="false" outlineLevel="0" collapsed="false">
      <c r="A114" s="0" t="s">
        <v>125</v>
      </c>
      <c r="B114" s="1" t="n">
        <v>43974</v>
      </c>
      <c r="C114" s="6" t="n">
        <v>45</v>
      </c>
      <c r="D114" s="6"/>
      <c r="E114" s="6"/>
      <c r="F114" s="6"/>
      <c r="G114" s="6" t="n">
        <v>45</v>
      </c>
      <c r="H114" s="6" t="n">
        <v>0</v>
      </c>
      <c r="I114" s="6"/>
      <c r="J114" s="6" t="n">
        <v>69</v>
      </c>
      <c r="K114" s="6"/>
      <c r="L114" s="6"/>
      <c r="M114" s="6"/>
    </row>
    <row r="115" customFormat="false" ht="15.75" hidden="false" customHeight="false" outlineLevel="0" collapsed="false">
      <c r="A115" s="0" t="s">
        <v>125</v>
      </c>
      <c r="B115" s="1" t="n">
        <v>43975</v>
      </c>
      <c r="C115" s="6" t="n">
        <v>45</v>
      </c>
      <c r="D115" s="6"/>
      <c r="E115" s="6"/>
      <c r="F115" s="6"/>
      <c r="G115" s="6" t="n">
        <v>45</v>
      </c>
      <c r="H115" s="6" t="n">
        <v>0</v>
      </c>
      <c r="I115" s="6"/>
      <c r="J115" s="6" t="n">
        <v>69</v>
      </c>
      <c r="K115" s="6"/>
      <c r="L115" s="6"/>
      <c r="M115" s="6"/>
    </row>
    <row r="116" customFormat="false" ht="15.75" hidden="false" customHeight="false" outlineLevel="0" collapsed="false">
      <c r="A116" s="0" t="s">
        <v>125</v>
      </c>
      <c r="B116" s="1" t="n">
        <v>43976</v>
      </c>
      <c r="C116" s="6" t="n">
        <v>45</v>
      </c>
      <c r="D116" s="6"/>
      <c r="E116" s="6"/>
      <c r="F116" s="6"/>
      <c r="G116" s="6" t="n">
        <v>45</v>
      </c>
      <c r="H116" s="6" t="n">
        <v>0</v>
      </c>
      <c r="I116" s="6"/>
      <c r="J116" s="6" t="n">
        <v>69</v>
      </c>
      <c r="K116" s="6"/>
      <c r="L116" s="6"/>
      <c r="M116" s="6"/>
    </row>
    <row r="117" customFormat="false" ht="15.75" hidden="false" customHeight="false" outlineLevel="0" collapsed="false">
      <c r="A117" s="0" t="s">
        <v>125</v>
      </c>
      <c r="B117" s="1" t="n">
        <v>43977</v>
      </c>
      <c r="C117" s="6" t="n">
        <v>45</v>
      </c>
      <c r="D117" s="6"/>
      <c r="E117" s="6"/>
      <c r="F117" s="6"/>
      <c r="G117" s="6" t="n">
        <v>45</v>
      </c>
      <c r="H117" s="6" t="n">
        <v>0</v>
      </c>
      <c r="I117" s="6"/>
      <c r="J117" s="6" t="n">
        <v>69</v>
      </c>
      <c r="K117" s="6"/>
      <c r="L117" s="6"/>
      <c r="M117" s="6"/>
    </row>
    <row r="118" customFormat="false" ht="15.75" hidden="false" customHeight="false" outlineLevel="0" collapsed="false">
      <c r="A118" s="0" t="s">
        <v>125</v>
      </c>
      <c r="B118" s="1" t="n">
        <v>43978</v>
      </c>
      <c r="C118" s="6" t="n">
        <v>45</v>
      </c>
      <c r="D118" s="6"/>
      <c r="E118" s="6"/>
      <c r="F118" s="6"/>
      <c r="G118" s="6" t="n">
        <v>45</v>
      </c>
      <c r="H118" s="6" t="n">
        <v>0</v>
      </c>
      <c r="I118" s="6"/>
      <c r="J118" s="6" t="n">
        <v>69</v>
      </c>
      <c r="K118" s="6"/>
      <c r="L118" s="6"/>
      <c r="M118" s="6"/>
    </row>
    <row r="119" customFormat="false" ht="15.75" hidden="false" customHeight="false" outlineLevel="0" collapsed="false">
      <c r="A119" s="0" t="s">
        <v>125</v>
      </c>
      <c r="B119" s="1" t="n">
        <v>43979</v>
      </c>
      <c r="C119" s="6" t="n">
        <v>45</v>
      </c>
      <c r="D119" s="6"/>
      <c r="E119" s="6"/>
      <c r="F119" s="6"/>
      <c r="G119" s="6" t="n">
        <v>45</v>
      </c>
      <c r="H119" s="6" t="n">
        <v>0</v>
      </c>
      <c r="I119" s="6"/>
      <c r="J119" s="6" t="n">
        <v>69</v>
      </c>
      <c r="K119" s="6"/>
      <c r="L119" s="6"/>
      <c r="M119" s="6"/>
    </row>
    <row r="120" customFormat="false" ht="15.75" hidden="false" customHeight="false" outlineLevel="0" collapsed="false">
      <c r="A120" s="0" t="s">
        <v>125</v>
      </c>
      <c r="B120" s="1" t="n">
        <v>43980</v>
      </c>
      <c r="C120" s="6" t="n">
        <v>45</v>
      </c>
      <c r="D120" s="6"/>
      <c r="E120" s="6"/>
      <c r="F120" s="6"/>
      <c r="G120" s="6" t="n">
        <v>45</v>
      </c>
      <c r="H120" s="6" t="n">
        <v>0</v>
      </c>
      <c r="I120" s="6"/>
      <c r="J120" s="6" t="n">
        <v>69</v>
      </c>
      <c r="K120" s="6"/>
      <c r="L120" s="6"/>
      <c r="M120" s="6"/>
    </row>
    <row r="121" customFormat="false" ht="15.75" hidden="false" customHeight="false" outlineLevel="0" collapsed="false">
      <c r="A121" s="0" t="s">
        <v>125</v>
      </c>
      <c r="B121" s="1" t="n">
        <v>43981</v>
      </c>
      <c r="C121" s="6" t="n">
        <v>45</v>
      </c>
      <c r="D121" s="6"/>
      <c r="E121" s="6"/>
      <c r="F121" s="6"/>
      <c r="G121" s="6" t="n">
        <v>45</v>
      </c>
      <c r="H121" s="6" t="n">
        <v>0</v>
      </c>
      <c r="I121" s="6"/>
      <c r="J121" s="6" t="n">
        <v>69</v>
      </c>
      <c r="K121" s="6"/>
      <c r="L121" s="6"/>
      <c r="M121" s="6"/>
    </row>
    <row r="122" customFormat="false" ht="15.75" hidden="false" customHeight="false" outlineLevel="0" collapsed="false">
      <c r="A122" s="0" t="s">
        <v>125</v>
      </c>
      <c r="B122" s="1" t="n">
        <v>43982</v>
      </c>
      <c r="C122" s="6" t="n">
        <v>45</v>
      </c>
      <c r="D122" s="6"/>
      <c r="E122" s="6"/>
      <c r="F122" s="6"/>
      <c r="G122" s="6" t="n">
        <v>45</v>
      </c>
      <c r="H122" s="6" t="n">
        <v>0</v>
      </c>
      <c r="I122" s="6"/>
      <c r="J122" s="6" t="n">
        <v>69</v>
      </c>
      <c r="K122" s="6"/>
      <c r="L122" s="6"/>
      <c r="M122" s="6"/>
    </row>
    <row r="123" customFormat="false" ht="15.75" hidden="false" customHeight="false" outlineLevel="0" collapsed="false">
      <c r="A123" s="0" t="s">
        <v>125</v>
      </c>
      <c r="B123" s="1" t="n">
        <v>43983</v>
      </c>
      <c r="C123" s="6" t="n">
        <v>45</v>
      </c>
      <c r="D123" s="6"/>
      <c r="E123" s="6"/>
      <c r="F123" s="6"/>
      <c r="G123" s="6" t="n">
        <v>45</v>
      </c>
      <c r="H123" s="6" t="n">
        <v>0</v>
      </c>
      <c r="I123" s="6"/>
      <c r="J123" s="6" t="n">
        <v>69</v>
      </c>
      <c r="K123" s="6"/>
      <c r="L123" s="6"/>
      <c r="M123" s="6"/>
    </row>
    <row r="124" customFormat="false" ht="15.75" hidden="false" customHeight="false" outlineLevel="0" collapsed="false">
      <c r="A124" s="0" t="s">
        <v>125</v>
      </c>
      <c r="B124" s="1" t="n">
        <v>43984</v>
      </c>
      <c r="C124" s="6" t="n">
        <v>45</v>
      </c>
      <c r="D124" s="6"/>
      <c r="E124" s="6"/>
      <c r="F124" s="6"/>
      <c r="G124" s="6" t="n">
        <v>45</v>
      </c>
      <c r="H124" s="6" t="n">
        <v>0</v>
      </c>
      <c r="I124" s="6"/>
      <c r="J124" s="6" t="n">
        <v>69</v>
      </c>
      <c r="K124" s="6"/>
      <c r="L124" s="6"/>
      <c r="M124" s="6"/>
    </row>
    <row r="125" customFormat="false" ht="15.75" hidden="false" customHeight="false" outlineLevel="0" collapsed="false">
      <c r="A125" s="0" t="s">
        <v>125</v>
      </c>
      <c r="B125" s="1" t="n">
        <v>43985</v>
      </c>
      <c r="C125" s="6" t="n">
        <v>45</v>
      </c>
      <c r="D125" s="6"/>
      <c r="E125" s="6"/>
      <c r="F125" s="6"/>
      <c r="G125" s="6" t="n">
        <v>45</v>
      </c>
      <c r="H125" s="6" t="n">
        <v>0</v>
      </c>
      <c r="I125" s="6"/>
      <c r="J125" s="6" t="n">
        <v>69</v>
      </c>
      <c r="K125" s="6"/>
      <c r="L125" s="6"/>
      <c r="M125" s="6"/>
    </row>
    <row r="126" customFormat="false" ht="15.75" hidden="false" customHeight="false" outlineLevel="0" collapsed="false">
      <c r="A126" s="0" t="s">
        <v>125</v>
      </c>
      <c r="B126" s="1" t="n">
        <v>43986</v>
      </c>
      <c r="C126" s="6" t="n">
        <v>45</v>
      </c>
      <c r="D126" s="6"/>
      <c r="E126" s="6"/>
      <c r="F126" s="6"/>
      <c r="G126" s="6" t="n">
        <v>45</v>
      </c>
      <c r="H126" s="6" t="n">
        <v>0</v>
      </c>
      <c r="I126" s="6"/>
      <c r="J126" s="6" t="n">
        <v>69</v>
      </c>
      <c r="K126" s="6"/>
      <c r="L126" s="6"/>
      <c r="M126" s="6"/>
    </row>
    <row r="127" customFormat="false" ht="15.75" hidden="false" customHeight="false" outlineLevel="0" collapsed="false">
      <c r="A127" s="0" t="s">
        <v>125</v>
      </c>
      <c r="B127" s="1" t="n">
        <v>43987</v>
      </c>
      <c r="C127" s="6" t="n">
        <v>45</v>
      </c>
      <c r="D127" s="6"/>
      <c r="E127" s="6"/>
      <c r="F127" s="6"/>
      <c r="G127" s="6" t="n">
        <v>45</v>
      </c>
      <c r="H127" s="6" t="n">
        <v>0</v>
      </c>
      <c r="I127" s="6"/>
      <c r="J127" s="6" t="n">
        <v>69</v>
      </c>
      <c r="K127" s="6"/>
      <c r="L127" s="6"/>
      <c r="M127" s="6"/>
    </row>
    <row r="128" customFormat="false" ht="15.75" hidden="false" customHeight="false" outlineLevel="0" collapsed="false">
      <c r="A128" s="0" t="s">
        <v>125</v>
      </c>
      <c r="B128" s="1" t="n">
        <v>43988</v>
      </c>
      <c r="C128" s="6" t="n">
        <v>45</v>
      </c>
      <c r="D128" s="6"/>
      <c r="E128" s="6"/>
      <c r="F128" s="6"/>
      <c r="G128" s="6" t="n">
        <v>45</v>
      </c>
      <c r="H128" s="6" t="n">
        <v>0</v>
      </c>
      <c r="I128" s="6"/>
      <c r="J128" s="6" t="n">
        <v>69</v>
      </c>
      <c r="K128" s="6"/>
      <c r="L128" s="6"/>
      <c r="M128" s="6"/>
    </row>
    <row r="129" customFormat="false" ht="15.75" hidden="false" customHeight="false" outlineLevel="0" collapsed="false">
      <c r="A129" s="0" t="s">
        <v>125</v>
      </c>
      <c r="B129" s="1" t="n">
        <v>43989</v>
      </c>
      <c r="C129" s="6" t="n">
        <v>45</v>
      </c>
      <c r="D129" s="6"/>
      <c r="E129" s="6"/>
      <c r="F129" s="6"/>
      <c r="G129" s="6" t="n">
        <v>45</v>
      </c>
      <c r="H129" s="6" t="n">
        <v>0</v>
      </c>
      <c r="I129" s="6"/>
      <c r="J129" s="6" t="n">
        <v>69</v>
      </c>
      <c r="K129" s="6"/>
      <c r="L129" s="6"/>
      <c r="M129" s="6"/>
    </row>
    <row r="130" customFormat="false" ht="15.75" hidden="false" customHeight="false" outlineLevel="0" collapsed="false">
      <c r="A130" s="0" t="s">
        <v>125</v>
      </c>
      <c r="B130" s="1" t="n">
        <v>43990</v>
      </c>
      <c r="C130" s="16" t="n">
        <v>45</v>
      </c>
      <c r="D130" s="50"/>
      <c r="E130" s="50"/>
      <c r="F130" s="50"/>
      <c r="G130" s="50" t="n">
        <v>45</v>
      </c>
      <c r="H130" s="50" t="n">
        <v>0</v>
      </c>
      <c r="I130" s="50"/>
      <c r="J130" s="50" t="n">
        <v>69</v>
      </c>
      <c r="K130" s="6"/>
      <c r="L130" s="6"/>
      <c r="M130" s="6"/>
    </row>
    <row r="131" customFormat="false" ht="15.75" hidden="false" customHeight="false" outlineLevel="0" collapsed="false">
      <c r="A131" s="0" t="s">
        <v>125</v>
      </c>
      <c r="B131" s="1" t="n">
        <v>43991</v>
      </c>
      <c r="C131" s="6" t="n">
        <v>45</v>
      </c>
      <c r="D131" s="6"/>
      <c r="E131" s="6"/>
      <c r="F131" s="6"/>
      <c r="G131" s="6" t="n">
        <v>45</v>
      </c>
      <c r="H131" s="6" t="n">
        <v>0</v>
      </c>
      <c r="I131" s="6"/>
      <c r="J131" s="6" t="n">
        <v>69</v>
      </c>
      <c r="K131" s="6"/>
      <c r="L131" s="6"/>
      <c r="M131" s="6"/>
    </row>
    <row r="132" customFormat="false" ht="15.75" hidden="false" customHeight="false" outlineLevel="0" collapsed="false">
      <c r="A132" s="0" t="s">
        <v>125</v>
      </c>
      <c r="B132" s="1" t="n">
        <v>43992</v>
      </c>
      <c r="C132" s="6" t="n">
        <v>45</v>
      </c>
      <c r="D132" s="6"/>
      <c r="E132" s="6"/>
      <c r="F132" s="6"/>
      <c r="G132" s="6" t="n">
        <v>45</v>
      </c>
      <c r="H132" s="6" t="n">
        <v>0</v>
      </c>
      <c r="I132" s="6"/>
      <c r="J132" s="6" t="n">
        <v>69</v>
      </c>
      <c r="K132" s="6"/>
      <c r="L132" s="6"/>
      <c r="M132" s="6"/>
    </row>
    <row r="133" customFormat="false" ht="15.75" hidden="false" customHeight="false" outlineLevel="0" collapsed="false">
      <c r="A133" s="0" t="s">
        <v>125</v>
      </c>
      <c r="B133" s="1" t="n">
        <v>43993</v>
      </c>
      <c r="C133" s="6" t="n">
        <v>45</v>
      </c>
      <c r="D133" s="6"/>
      <c r="E133" s="6"/>
      <c r="F133" s="6"/>
      <c r="G133" s="6" t="n">
        <v>45</v>
      </c>
      <c r="H133" s="6" t="n">
        <v>0</v>
      </c>
      <c r="I133" s="6"/>
      <c r="J133" s="6" t="n">
        <v>69</v>
      </c>
      <c r="K133" s="6"/>
      <c r="L133" s="6"/>
      <c r="M133" s="6"/>
    </row>
    <row r="134" customFormat="false" ht="15.75" hidden="false" customHeight="false" outlineLevel="0" collapsed="false">
      <c r="A134" s="0" t="s">
        <v>125</v>
      </c>
      <c r="B134" s="1" t="n">
        <v>43994</v>
      </c>
      <c r="C134" s="6" t="n">
        <v>45</v>
      </c>
      <c r="D134" s="6"/>
      <c r="E134" s="6"/>
      <c r="F134" s="6"/>
      <c r="G134" s="6" t="n">
        <v>45</v>
      </c>
      <c r="H134" s="6" t="n">
        <v>0</v>
      </c>
      <c r="I134" s="6"/>
      <c r="J134" s="6" t="n">
        <v>69</v>
      </c>
      <c r="K134" s="6"/>
      <c r="L134" s="6"/>
      <c r="M134" s="6"/>
    </row>
    <row r="135" customFormat="false" ht="15.75" hidden="false" customHeight="false" outlineLevel="0" collapsed="false">
      <c r="A135" s="0" t="s">
        <v>125</v>
      </c>
      <c r="B135" s="1" t="n">
        <v>43995</v>
      </c>
      <c r="C135" s="6" t="n">
        <v>45</v>
      </c>
      <c r="D135" s="6"/>
      <c r="E135" s="6"/>
      <c r="F135" s="6"/>
      <c r="G135" s="6" t="n">
        <v>45</v>
      </c>
      <c r="H135" s="6" t="n">
        <v>0</v>
      </c>
      <c r="I135" s="6"/>
      <c r="J135" s="6" t="n">
        <v>69</v>
      </c>
      <c r="K135" s="6"/>
      <c r="L135" s="6"/>
      <c r="M135" s="6"/>
    </row>
    <row r="136" customFormat="false" ht="15.75" hidden="false" customHeight="false" outlineLevel="0" collapsed="false">
      <c r="A136" s="0" t="s">
        <v>125</v>
      </c>
      <c r="B136" s="1" t="n">
        <v>43996</v>
      </c>
      <c r="C136" s="6" t="n">
        <v>45</v>
      </c>
      <c r="D136" s="6"/>
      <c r="E136" s="6"/>
      <c r="F136" s="6"/>
      <c r="G136" s="6" t="n">
        <v>45</v>
      </c>
      <c r="H136" s="6" t="n">
        <v>0</v>
      </c>
      <c r="I136" s="6"/>
      <c r="J136" s="6" t="n">
        <v>69</v>
      </c>
      <c r="K136" s="6"/>
      <c r="L136" s="6"/>
      <c r="M136" s="6"/>
    </row>
    <row r="137" customFormat="false" ht="15.75" hidden="false" customHeight="false" outlineLevel="0" collapsed="false">
      <c r="A137" s="0" t="s">
        <v>125</v>
      </c>
      <c r="B137" s="1" t="n">
        <v>43997</v>
      </c>
      <c r="C137" s="6" t="n">
        <v>45</v>
      </c>
      <c r="D137" s="6"/>
      <c r="E137" s="6"/>
      <c r="F137" s="6"/>
      <c r="G137" s="6" t="n">
        <v>45</v>
      </c>
      <c r="H137" s="6" t="n">
        <v>0</v>
      </c>
      <c r="I137" s="6"/>
      <c r="J137" s="6" t="n">
        <v>69</v>
      </c>
      <c r="K137" s="6"/>
      <c r="L137" s="6"/>
      <c r="M137" s="6"/>
    </row>
    <row r="138" customFormat="false" ht="15.75" hidden="false" customHeight="false" outlineLevel="0" collapsed="false">
      <c r="A138" s="0" t="s">
        <v>125</v>
      </c>
      <c r="B138" s="1" t="n">
        <v>43998</v>
      </c>
      <c r="C138" s="6" t="n">
        <v>45</v>
      </c>
      <c r="D138" s="6"/>
      <c r="E138" s="6"/>
      <c r="F138" s="6"/>
      <c r="G138" s="6" t="n">
        <v>45</v>
      </c>
      <c r="H138" s="6" t="n">
        <v>0</v>
      </c>
      <c r="I138" s="6"/>
      <c r="J138" s="6" t="n">
        <v>69</v>
      </c>
      <c r="K138" s="6"/>
      <c r="L138" s="6"/>
      <c r="M138" s="6"/>
    </row>
    <row r="139" customFormat="false" ht="15.75" hidden="false" customHeight="false" outlineLevel="0" collapsed="false">
      <c r="A139" s="0" t="s">
        <v>125</v>
      </c>
      <c r="B139" s="1" t="n">
        <v>43999</v>
      </c>
      <c r="C139" s="6" t="n">
        <v>45</v>
      </c>
      <c r="D139" s="6"/>
      <c r="E139" s="6"/>
      <c r="F139" s="6"/>
      <c r="G139" s="6" t="n">
        <v>45</v>
      </c>
      <c r="H139" s="6" t="n">
        <v>0</v>
      </c>
      <c r="I139" s="6"/>
      <c r="J139" s="6" t="n">
        <v>69</v>
      </c>
      <c r="K139" s="6"/>
      <c r="L139" s="6"/>
      <c r="M139" s="6"/>
    </row>
    <row r="140" customFormat="false" ht="15.75" hidden="false" customHeight="false" outlineLevel="0" collapsed="false">
      <c r="A140" s="0" t="s">
        <v>125</v>
      </c>
      <c r="B140" s="1" t="n">
        <v>44000</v>
      </c>
      <c r="C140" s="6" t="n">
        <v>45</v>
      </c>
      <c r="D140" s="6"/>
      <c r="E140" s="6"/>
      <c r="F140" s="6"/>
      <c r="G140" s="6" t="n">
        <v>45</v>
      </c>
      <c r="H140" s="6" t="n">
        <v>0</v>
      </c>
      <c r="I140" s="6"/>
      <c r="J140" s="6" t="n">
        <v>69</v>
      </c>
      <c r="K140" s="6"/>
      <c r="L140" s="6"/>
      <c r="M140" s="6"/>
    </row>
    <row r="141" customFormat="false" ht="15.75" hidden="false" customHeight="false" outlineLevel="0" collapsed="false">
      <c r="A141" s="0" t="s">
        <v>125</v>
      </c>
      <c r="B141" s="1" t="n">
        <v>44001</v>
      </c>
      <c r="C141" s="16" t="n">
        <v>45</v>
      </c>
      <c r="D141" s="16"/>
      <c r="E141" s="16"/>
      <c r="F141" s="16"/>
      <c r="G141" s="16" t="n">
        <v>45</v>
      </c>
      <c r="H141" s="16" t="n">
        <v>0</v>
      </c>
      <c r="I141" s="16"/>
      <c r="J141" s="16" t="n">
        <v>69</v>
      </c>
      <c r="K141" s="16"/>
      <c r="L141" s="16"/>
      <c r="M141" s="16"/>
    </row>
    <row r="142" customFormat="false" ht="15.75" hidden="false" customHeight="false" outlineLevel="0" collapsed="false">
      <c r="A142" s="0" t="s">
        <v>125</v>
      </c>
      <c r="B142" s="1" t="n">
        <v>44002</v>
      </c>
      <c r="C142" s="6" t="n">
        <v>45</v>
      </c>
      <c r="D142" s="6"/>
      <c r="E142" s="6"/>
      <c r="F142" s="6"/>
      <c r="G142" s="6" t="n">
        <v>45</v>
      </c>
      <c r="H142" s="6" t="n">
        <v>0</v>
      </c>
      <c r="I142" s="6"/>
      <c r="J142" s="6" t="n">
        <v>69</v>
      </c>
      <c r="K142" s="6"/>
      <c r="L142" s="6"/>
      <c r="M142" s="6"/>
    </row>
    <row r="143" customFormat="false" ht="15.75" hidden="false" customHeight="false" outlineLevel="0" collapsed="false">
      <c r="A143" s="0" t="s">
        <v>125</v>
      </c>
      <c r="B143" s="1" t="n">
        <v>44003</v>
      </c>
      <c r="C143" s="6" t="n">
        <v>45</v>
      </c>
      <c r="D143" s="6"/>
      <c r="E143" s="6"/>
      <c r="F143" s="6"/>
      <c r="G143" s="6" t="n">
        <v>45</v>
      </c>
      <c r="H143" s="6" t="n">
        <v>0</v>
      </c>
      <c r="I143" s="6"/>
      <c r="J143" s="6" t="n">
        <v>69</v>
      </c>
      <c r="K143" s="6"/>
      <c r="L143" s="6"/>
      <c r="M143" s="6"/>
    </row>
    <row r="144" customFormat="false" ht="15.75" hidden="false" customHeight="false" outlineLevel="0" collapsed="false">
      <c r="A144" s="0" t="s">
        <v>125</v>
      </c>
      <c r="B144" s="1" t="n">
        <v>44004</v>
      </c>
      <c r="C144" s="16" t="n">
        <v>45</v>
      </c>
      <c r="D144" s="16"/>
      <c r="E144" s="16"/>
      <c r="F144" s="16"/>
      <c r="G144" s="16" t="n">
        <v>45</v>
      </c>
      <c r="H144" s="16" t="n">
        <v>0</v>
      </c>
      <c r="I144" s="16"/>
      <c r="J144" s="16" t="n">
        <v>69</v>
      </c>
      <c r="K144" s="16"/>
      <c r="L144" s="16"/>
      <c r="M144" s="16"/>
    </row>
    <row r="145" customFormat="false" ht="15.75" hidden="false" customHeight="false" outlineLevel="0" collapsed="false">
      <c r="A145" s="0" t="s">
        <v>125</v>
      </c>
      <c r="B145" s="1" t="n">
        <v>44005</v>
      </c>
      <c r="C145" s="6" t="n">
        <v>45</v>
      </c>
      <c r="D145" s="6"/>
      <c r="E145" s="6"/>
      <c r="F145" s="6"/>
      <c r="G145" s="6" t="n">
        <v>45</v>
      </c>
      <c r="H145" s="6" t="n">
        <v>0</v>
      </c>
      <c r="I145" s="6"/>
      <c r="J145" s="6" t="n">
        <v>69</v>
      </c>
      <c r="K145" s="6"/>
      <c r="L145" s="6"/>
      <c r="M145" s="6"/>
    </row>
    <row r="146" customFormat="false" ht="15.75" hidden="false" customHeight="false" outlineLevel="0" collapsed="false">
      <c r="A146" s="0" t="s">
        <v>125</v>
      </c>
      <c r="B146" s="1" t="n">
        <v>44006</v>
      </c>
      <c r="C146" s="16" t="n">
        <v>45</v>
      </c>
      <c r="D146" s="16"/>
      <c r="E146" s="16"/>
      <c r="F146" s="16"/>
      <c r="G146" s="16" t="n">
        <v>45</v>
      </c>
      <c r="H146" s="16" t="n">
        <v>0</v>
      </c>
      <c r="I146" s="16"/>
      <c r="J146" s="16" t="n">
        <v>69</v>
      </c>
      <c r="K146" s="16"/>
      <c r="L146" s="16"/>
      <c r="M146" s="16"/>
    </row>
    <row r="147" customFormat="false" ht="15.75" hidden="false" customHeight="false" outlineLevel="0" collapsed="false">
      <c r="A147" s="0" t="s">
        <v>125</v>
      </c>
      <c r="B147" s="1" t="n">
        <v>44007</v>
      </c>
      <c r="C147" s="6" t="n">
        <v>45</v>
      </c>
      <c r="D147" s="6"/>
      <c r="E147" s="6"/>
      <c r="F147" s="6"/>
      <c r="G147" s="6" t="n">
        <v>45</v>
      </c>
      <c r="H147" s="6" t="n">
        <v>0</v>
      </c>
      <c r="I147" s="6"/>
      <c r="J147" s="6" t="n">
        <v>69</v>
      </c>
      <c r="K147" s="6"/>
      <c r="L147" s="6"/>
      <c r="M147" s="6"/>
    </row>
    <row r="148" customFormat="false" ht="15.75" hidden="false" customHeight="false" outlineLevel="0" collapsed="false">
      <c r="A148" s="0" t="s">
        <v>125</v>
      </c>
      <c r="B148" s="1" t="n">
        <v>44008</v>
      </c>
      <c r="C148" s="6" t="n">
        <v>45</v>
      </c>
      <c r="D148" s="6"/>
      <c r="E148" s="6"/>
      <c r="F148" s="6"/>
      <c r="G148" s="6" t="n">
        <v>45</v>
      </c>
      <c r="H148" s="6" t="n">
        <v>0</v>
      </c>
      <c r="I148" s="6"/>
      <c r="J148" s="6" t="n">
        <v>69</v>
      </c>
      <c r="K148" s="6"/>
      <c r="L148" s="6"/>
      <c r="M148" s="6"/>
    </row>
    <row r="149" customFormat="false" ht="15.75" hidden="false" customHeight="false" outlineLevel="0" collapsed="false">
      <c r="A149" s="0" t="s">
        <v>125</v>
      </c>
      <c r="B149" s="1" t="n">
        <v>44009</v>
      </c>
      <c r="C149" s="6" t="n">
        <v>45</v>
      </c>
      <c r="D149" s="6"/>
      <c r="E149" s="6"/>
      <c r="F149" s="6"/>
      <c r="G149" s="6" t="n">
        <v>45</v>
      </c>
      <c r="H149" s="6" t="n">
        <v>0</v>
      </c>
      <c r="I149" s="6"/>
      <c r="J149" s="6" t="n">
        <v>69</v>
      </c>
      <c r="K149" s="6"/>
      <c r="L149" s="6"/>
      <c r="M149" s="6"/>
    </row>
    <row r="150" customFormat="false" ht="15.75" hidden="false" customHeight="false" outlineLevel="0" collapsed="false">
      <c r="A150" s="0" t="s">
        <v>125</v>
      </c>
      <c r="B150" s="1" t="n">
        <v>44010</v>
      </c>
      <c r="C150" s="6" t="n">
        <v>46</v>
      </c>
      <c r="D150" s="6" t="n">
        <v>1</v>
      </c>
      <c r="E150" s="6"/>
      <c r="F150" s="6"/>
      <c r="G150" s="6" t="n">
        <v>45</v>
      </c>
      <c r="H150" s="6" t="n">
        <v>1</v>
      </c>
      <c r="I150" s="6"/>
      <c r="J150" s="6" t="n">
        <v>71</v>
      </c>
      <c r="K150" s="6"/>
      <c r="L150" s="6"/>
      <c r="M150" s="6"/>
    </row>
    <row r="151" customFormat="false" ht="15.75" hidden="false" customHeight="false" outlineLevel="0" collapsed="false">
      <c r="A151" s="0" t="s">
        <v>125</v>
      </c>
      <c r="B151" s="1" t="n">
        <v>44011</v>
      </c>
      <c r="C151" s="6" t="n">
        <v>46</v>
      </c>
      <c r="D151" s="6"/>
      <c r="E151" s="6"/>
      <c r="F151" s="6"/>
      <c r="G151" s="6" t="n">
        <v>45</v>
      </c>
      <c r="H151" s="6" t="n">
        <v>1</v>
      </c>
      <c r="I151" s="6"/>
      <c r="J151" s="6" t="n">
        <v>71</v>
      </c>
      <c r="K151" s="6"/>
      <c r="L151" s="6"/>
      <c r="M151" s="6"/>
    </row>
    <row r="152" customFormat="false" ht="15.75" hidden="false" customHeight="false" outlineLevel="0" collapsed="false">
      <c r="A152" s="0" t="s">
        <v>125</v>
      </c>
      <c r="B152" s="1" t="n">
        <v>44012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75" hidden="false" customHeight="false" outlineLevel="0" collapsed="false">
      <c r="A153" s="0" t="s">
        <v>125</v>
      </c>
      <c r="B153" s="1" t="n">
        <v>44013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75" hidden="false" customHeight="false" outlineLevel="0" collapsed="false">
      <c r="A154" s="0" t="s">
        <v>125</v>
      </c>
      <c r="B154" s="1" t="n">
        <v>44014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75" hidden="false" customHeight="false" outlineLevel="0" collapsed="false">
      <c r="A155" s="0" t="s">
        <v>125</v>
      </c>
      <c r="B155" s="1" t="n">
        <v>44015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75" hidden="false" customHeight="false" outlineLevel="0" collapsed="false">
      <c r="A156" s="0" t="s">
        <v>125</v>
      </c>
      <c r="B156" s="1" t="n">
        <v>44016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75" hidden="false" customHeight="false" outlineLevel="0" collapsed="false">
      <c r="A157" s="0" t="s">
        <v>125</v>
      </c>
      <c r="B157" s="1" t="n">
        <v>44017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75" hidden="false" customHeight="false" outlineLevel="0" collapsed="false">
      <c r="A158" s="0" t="s">
        <v>125</v>
      </c>
      <c r="B158" s="1" t="n">
        <v>44018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75" hidden="false" customHeight="false" outlineLevel="0" collapsed="false">
      <c r="A159" s="0" t="s">
        <v>125</v>
      </c>
      <c r="B159" s="1" t="n">
        <v>44019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customFormat="false" ht="13.5" hidden="false" customHeight="false" outlineLevel="0" collapsed="false">
      <c r="A160" s="0" t="s">
        <v>125</v>
      </c>
      <c r="B160" s="1" t="n">
        <v>44020</v>
      </c>
    </row>
    <row r="161" customFormat="false" ht="13.5" hidden="false" customHeight="false" outlineLevel="0" collapsed="false">
      <c r="A161" s="0" t="s">
        <v>125</v>
      </c>
      <c r="B161" s="1" t="n">
        <v>44021</v>
      </c>
    </row>
    <row r="162" customFormat="false" ht="13.5" hidden="false" customHeight="false" outlineLevel="0" collapsed="false">
      <c r="A162" s="0" t="s">
        <v>125</v>
      </c>
      <c r="B162" s="1" t="n">
        <v>44022</v>
      </c>
    </row>
    <row r="163" customFormat="false" ht="13.5" hidden="false" customHeight="false" outlineLevel="0" collapsed="false">
      <c r="A163" s="0" t="s">
        <v>125</v>
      </c>
      <c r="B163" s="1" t="n">
        <v>44023</v>
      </c>
    </row>
    <row r="164" customFormat="false" ht="13.5" hidden="false" customHeight="false" outlineLevel="0" collapsed="false">
      <c r="A164" s="0" t="s">
        <v>125</v>
      </c>
      <c r="B164" s="1" t="n">
        <v>44024</v>
      </c>
    </row>
    <row r="165" customFormat="false" ht="13.5" hidden="false" customHeight="false" outlineLevel="0" collapsed="false">
      <c r="A165" s="0" t="s">
        <v>125</v>
      </c>
      <c r="B165" s="1" t="n">
        <v>44025</v>
      </c>
    </row>
    <row r="166" customFormat="false" ht="13.5" hidden="false" customHeight="false" outlineLevel="0" collapsed="false">
      <c r="A166" s="0" t="s">
        <v>125</v>
      </c>
      <c r="B166" s="1" t="n">
        <v>44026</v>
      </c>
    </row>
    <row r="167" customFormat="false" ht="13.5" hidden="false" customHeight="false" outlineLevel="0" collapsed="false">
      <c r="A167" s="0" t="s">
        <v>125</v>
      </c>
      <c r="B167" s="1" t="n">
        <v>44027</v>
      </c>
    </row>
    <row r="168" customFormat="false" ht="13.5" hidden="false" customHeight="false" outlineLevel="0" collapsed="false">
      <c r="A168" s="0" t="s">
        <v>125</v>
      </c>
      <c r="B168" s="1" t="n">
        <v>44028</v>
      </c>
    </row>
    <row r="169" customFormat="false" ht="13.5" hidden="false" customHeight="false" outlineLevel="0" collapsed="false">
      <c r="A169" s="0" t="s">
        <v>125</v>
      </c>
      <c r="B169" s="1" t="n">
        <v>44029</v>
      </c>
    </row>
    <row r="170" customFormat="false" ht="13.5" hidden="false" customHeight="false" outlineLevel="0" collapsed="false">
      <c r="A170" s="0" t="s">
        <v>125</v>
      </c>
      <c r="B170" s="1" t="n">
        <v>44030</v>
      </c>
    </row>
    <row r="171" customFormat="false" ht="13.5" hidden="false" customHeight="false" outlineLevel="0" collapsed="false">
      <c r="A171" s="0" t="s">
        <v>125</v>
      </c>
      <c r="B171" s="1" t="n">
        <v>44031</v>
      </c>
    </row>
    <row r="172" customFormat="false" ht="13.5" hidden="false" customHeight="false" outlineLevel="0" collapsed="false">
      <c r="A172" s="0" t="s">
        <v>125</v>
      </c>
      <c r="B172" s="1" t="n">
        <v>44032</v>
      </c>
    </row>
    <row r="173" customFormat="false" ht="13.5" hidden="false" customHeight="false" outlineLevel="0" collapsed="false">
      <c r="A173" s="0" t="s">
        <v>125</v>
      </c>
      <c r="B173" s="1" t="n">
        <v>44033</v>
      </c>
    </row>
    <row r="174" customFormat="false" ht="13.5" hidden="false" customHeight="false" outlineLevel="0" collapsed="false">
      <c r="A174" s="0" t="s">
        <v>125</v>
      </c>
      <c r="B174" s="1" t="n">
        <v>44034</v>
      </c>
    </row>
    <row r="175" customFormat="false" ht="13.5" hidden="false" customHeight="false" outlineLevel="0" collapsed="false">
      <c r="A175" s="0" t="s">
        <v>125</v>
      </c>
      <c r="B175" s="1" t="n">
        <v>44035</v>
      </c>
    </row>
    <row r="176" customFormat="false" ht="13.5" hidden="false" customHeight="false" outlineLevel="0" collapsed="false">
      <c r="A176" s="0" t="s">
        <v>125</v>
      </c>
      <c r="B176" s="1" t="n">
        <v>44036</v>
      </c>
    </row>
    <row r="177" customFormat="false" ht="13.5" hidden="false" customHeight="false" outlineLevel="0" collapsed="false">
      <c r="A177" s="0" t="s">
        <v>125</v>
      </c>
      <c r="B177" s="1" t="n">
        <v>44037</v>
      </c>
    </row>
    <row r="178" customFormat="false" ht="13.5" hidden="false" customHeight="false" outlineLevel="0" collapsed="false">
      <c r="A178" s="0" t="s">
        <v>125</v>
      </c>
      <c r="B178" s="1" t="n">
        <v>44038</v>
      </c>
    </row>
    <row r="179" customFormat="false" ht="13.5" hidden="false" customHeight="false" outlineLevel="0" collapsed="false">
      <c r="A179" s="0" t="s">
        <v>125</v>
      </c>
      <c r="B179" s="1" t="n">
        <v>44039</v>
      </c>
    </row>
    <row r="180" customFormat="false" ht="13.5" hidden="false" customHeight="false" outlineLevel="0" collapsed="false">
      <c r="A180" s="0" t="s">
        <v>125</v>
      </c>
      <c r="B180" s="1" t="n">
        <v>44040</v>
      </c>
    </row>
    <row r="181" customFormat="false" ht="13.5" hidden="false" customHeight="false" outlineLevel="0" collapsed="false">
      <c r="A181" s="0" t="s">
        <v>125</v>
      </c>
      <c r="B181" s="1" t="n">
        <v>44041</v>
      </c>
    </row>
    <row r="182" customFormat="false" ht="13.5" hidden="false" customHeight="false" outlineLevel="0" collapsed="false">
      <c r="A182" s="0" t="s">
        <v>125</v>
      </c>
      <c r="B182" s="1" t="n">
        <v>44042</v>
      </c>
    </row>
    <row r="183" customFormat="false" ht="13.5" hidden="false" customHeight="false" outlineLevel="0" collapsed="false">
      <c r="A183" s="0" t="s">
        <v>125</v>
      </c>
      <c r="B183" s="1" t="n">
        <v>44043</v>
      </c>
    </row>
    <row r="184" customFormat="false" ht="13.5" hidden="false" customHeight="false" outlineLevel="0" collapsed="false">
      <c r="A184" s="0" t="s">
        <v>125</v>
      </c>
      <c r="B184" s="1" t="n">
        <v>44044</v>
      </c>
    </row>
    <row r="185" customFormat="false" ht="13.5" hidden="false" customHeight="false" outlineLevel="0" collapsed="false">
      <c r="A185" s="0" t="s">
        <v>125</v>
      </c>
      <c r="B185" s="1" t="n">
        <v>44045</v>
      </c>
    </row>
    <row r="186" customFormat="false" ht="13.5" hidden="false" customHeight="false" outlineLevel="0" collapsed="false">
      <c r="A186" s="0" t="s">
        <v>125</v>
      </c>
      <c r="B186" s="1" t="n">
        <v>44046</v>
      </c>
    </row>
    <row r="187" customFormat="false" ht="13.5" hidden="false" customHeight="false" outlineLevel="0" collapsed="false">
      <c r="A187" s="0" t="s">
        <v>125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87"/>
  <sheetViews>
    <sheetView showFormulas="false" showGridLines="true" showRowColHeaders="true" showZeros="true" rightToLeft="false" tabSelected="false" showOutlineSymbols="true" defaultGridColor="true" view="normal" topLeftCell="A126" colorId="64" zoomScale="100" zoomScaleNormal="100" zoomScalePageLayoutView="100" workbookViewId="0">
      <selection pane="topLeft" activeCell="I160" activeCellId="0" sqref="I160"/>
    </sheetView>
  </sheetViews>
  <sheetFormatPr defaultColWidth="8.72265625" defaultRowHeight="13.5" zeroHeight="false" outlineLevelRow="0" outlineLevelCol="0"/>
  <cols>
    <col collapsed="false" customWidth="true" hidden="false" outlineLevel="0" max="1" min="1" style="0" width="10.63"/>
    <col collapsed="false" customWidth="false" hidden="false" outlineLevel="0" max="2" min="2" style="1" width="8.73"/>
    <col collapsed="false" customWidth="true" hidden="false" outlineLevel="0" max="13" min="3" style="2" width="9.76"/>
  </cols>
  <sheetData>
    <row r="1" customFormat="false" ht="34" hidden="false" customHeight="tru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customFormat="false" ht="15.75" hidden="false" customHeight="false" outlineLevel="0" collapsed="false">
      <c r="A2" s="0" t="s">
        <v>126</v>
      </c>
      <c r="B2" s="1" t="n">
        <v>43862</v>
      </c>
      <c r="C2" s="6" t="n">
        <v>10</v>
      </c>
      <c r="D2" s="6"/>
      <c r="E2" s="6" t="n">
        <v>0</v>
      </c>
      <c r="F2" s="6"/>
      <c r="G2" s="6" t="n">
        <v>0</v>
      </c>
      <c r="H2" s="6" t="n">
        <v>10</v>
      </c>
      <c r="I2" s="6"/>
      <c r="J2" s="6"/>
      <c r="K2" s="6"/>
      <c r="L2" s="6"/>
      <c r="M2" s="6"/>
    </row>
    <row r="3" customFormat="false" ht="15.75" hidden="false" customHeight="false" outlineLevel="0" collapsed="false">
      <c r="A3" s="0" t="s">
        <v>126</v>
      </c>
      <c r="B3" s="1" t="n">
        <v>43863</v>
      </c>
      <c r="C3" s="6" t="n">
        <v>10</v>
      </c>
      <c r="D3" s="6" t="n">
        <v>0</v>
      </c>
      <c r="E3" s="6" t="n">
        <v>0</v>
      </c>
      <c r="F3" s="6"/>
      <c r="G3" s="6" t="n">
        <v>0</v>
      </c>
      <c r="H3" s="6" t="n">
        <v>10</v>
      </c>
      <c r="I3" s="6"/>
      <c r="J3" s="6"/>
      <c r="K3" s="6"/>
      <c r="L3" s="6"/>
      <c r="M3" s="6"/>
    </row>
    <row r="4" customFormat="false" ht="15.75" hidden="false" customHeight="false" outlineLevel="0" collapsed="false">
      <c r="A4" s="0" t="s">
        <v>126</v>
      </c>
      <c r="B4" s="1" t="n">
        <v>43864</v>
      </c>
      <c r="C4" s="6" t="n">
        <v>10</v>
      </c>
      <c r="D4" s="6" t="n">
        <v>0</v>
      </c>
      <c r="E4" s="6" t="n">
        <v>0</v>
      </c>
      <c r="F4" s="6"/>
      <c r="G4" s="6" t="n">
        <v>0</v>
      </c>
      <c r="H4" s="6" t="n">
        <v>10</v>
      </c>
      <c r="I4" s="6"/>
      <c r="J4" s="6"/>
      <c r="K4" s="6"/>
      <c r="L4" s="6"/>
      <c r="M4" s="6"/>
    </row>
    <row r="5" customFormat="false" ht="15.75" hidden="false" customHeight="false" outlineLevel="0" collapsed="false">
      <c r="A5" s="0" t="s">
        <v>126</v>
      </c>
      <c r="B5" s="1" t="n">
        <v>43865</v>
      </c>
      <c r="C5" s="6" t="n">
        <v>11</v>
      </c>
      <c r="D5" s="6" t="n">
        <v>1</v>
      </c>
      <c r="E5" s="6" t="n">
        <v>0</v>
      </c>
      <c r="F5" s="6"/>
      <c r="G5" s="6" t="n">
        <v>0</v>
      </c>
      <c r="H5" s="6" t="n">
        <v>11</v>
      </c>
      <c r="I5" s="6"/>
      <c r="J5" s="6"/>
      <c r="K5" s="6"/>
      <c r="L5" s="6"/>
      <c r="M5" s="6"/>
    </row>
    <row r="6" customFormat="false" ht="15.75" hidden="false" customHeight="false" outlineLevel="0" collapsed="false">
      <c r="A6" s="0" t="s">
        <v>126</v>
      </c>
      <c r="B6" s="1" t="n">
        <v>43866</v>
      </c>
      <c r="C6" s="6" t="n">
        <v>11</v>
      </c>
      <c r="D6" s="6" t="n">
        <v>0</v>
      </c>
      <c r="E6" s="6" t="n">
        <v>0</v>
      </c>
      <c r="F6" s="6"/>
      <c r="G6" s="6" t="n">
        <v>0</v>
      </c>
      <c r="H6" s="6" t="n">
        <v>11</v>
      </c>
      <c r="I6" s="6"/>
      <c r="J6" s="6"/>
      <c r="K6" s="6"/>
      <c r="L6" s="6"/>
      <c r="M6" s="6"/>
    </row>
    <row r="7" customFormat="false" ht="15.75" hidden="false" customHeight="false" outlineLevel="0" collapsed="false">
      <c r="A7" s="0" t="s">
        <v>126</v>
      </c>
      <c r="B7" s="1" t="n">
        <v>43867</v>
      </c>
      <c r="C7" s="6" t="n">
        <v>16</v>
      </c>
      <c r="D7" s="6" t="n">
        <v>5</v>
      </c>
      <c r="E7" s="6" t="n">
        <v>0</v>
      </c>
      <c r="F7" s="6"/>
      <c r="G7" s="6" t="n">
        <v>1</v>
      </c>
      <c r="H7" s="6" t="n">
        <v>15</v>
      </c>
      <c r="I7" s="6"/>
      <c r="J7" s="6"/>
      <c r="K7" s="6"/>
      <c r="L7" s="6"/>
      <c r="M7" s="6"/>
    </row>
    <row r="8" customFormat="false" ht="15.75" hidden="false" customHeight="false" outlineLevel="0" collapsed="false">
      <c r="A8" s="0" t="s">
        <v>126</v>
      </c>
      <c r="B8" s="1" t="n">
        <v>43868</v>
      </c>
      <c r="C8" s="6" t="n">
        <v>16</v>
      </c>
      <c r="D8" s="6" t="n">
        <v>0</v>
      </c>
      <c r="E8" s="6" t="n">
        <v>0</v>
      </c>
      <c r="F8" s="6"/>
      <c r="G8" s="6" t="n">
        <v>1</v>
      </c>
      <c r="H8" s="6" t="n">
        <v>15</v>
      </c>
      <c r="I8" s="6"/>
      <c r="J8" s="6"/>
      <c r="K8" s="6"/>
      <c r="L8" s="6"/>
      <c r="M8" s="6"/>
    </row>
    <row r="9" customFormat="false" ht="15.75" hidden="false" customHeight="false" outlineLevel="0" collapsed="false">
      <c r="A9" s="0" t="s">
        <v>126</v>
      </c>
      <c r="B9" s="1" t="n">
        <v>43869</v>
      </c>
      <c r="C9" s="6" t="n">
        <v>17</v>
      </c>
      <c r="D9" s="6" t="n">
        <v>1</v>
      </c>
      <c r="E9" s="6" t="n">
        <v>0</v>
      </c>
      <c r="F9" s="6"/>
      <c r="G9" s="6" t="n">
        <v>1</v>
      </c>
      <c r="H9" s="6" t="n">
        <v>16</v>
      </c>
      <c r="I9" s="6"/>
      <c r="J9" s="6"/>
      <c r="K9" s="6"/>
      <c r="L9" s="6"/>
      <c r="M9" s="6"/>
    </row>
    <row r="10" customFormat="false" ht="15.75" hidden="false" customHeight="false" outlineLevel="0" collapsed="false">
      <c r="A10" s="0" t="s">
        <v>126</v>
      </c>
      <c r="B10" s="1" t="n">
        <v>43870</v>
      </c>
      <c r="C10" s="6" t="n">
        <v>18</v>
      </c>
      <c r="D10" s="6" t="n">
        <v>1</v>
      </c>
      <c r="E10" s="6" t="n">
        <v>0</v>
      </c>
      <c r="F10" s="6"/>
      <c r="G10" s="6" t="n">
        <v>1</v>
      </c>
      <c r="H10" s="6" t="n">
        <v>17</v>
      </c>
      <c r="I10" s="6"/>
      <c r="J10" s="6"/>
      <c r="K10" s="6"/>
      <c r="L10" s="6"/>
      <c r="M10" s="6"/>
    </row>
    <row r="11" customFormat="false" ht="15.75" hidden="false" customHeight="false" outlineLevel="0" collapsed="false">
      <c r="A11" s="0" t="s">
        <v>126</v>
      </c>
      <c r="B11" s="1" t="n">
        <v>43871</v>
      </c>
      <c r="C11" s="6" t="n">
        <v>18</v>
      </c>
      <c r="D11" s="6" t="n">
        <v>0</v>
      </c>
      <c r="E11" s="6" t="n">
        <v>0</v>
      </c>
      <c r="F11" s="6"/>
      <c r="G11" s="6" t="n">
        <v>1</v>
      </c>
      <c r="H11" s="6" t="n">
        <v>17</v>
      </c>
      <c r="I11" s="6"/>
      <c r="J11" s="6"/>
      <c r="K11" s="6"/>
      <c r="L11" s="6"/>
      <c r="M11" s="6"/>
    </row>
    <row r="12" customFormat="false" ht="15.75" hidden="false" customHeight="false" outlineLevel="0" collapsed="false">
      <c r="A12" s="0" t="s">
        <v>126</v>
      </c>
      <c r="B12" s="1" t="n">
        <v>43872</v>
      </c>
      <c r="C12" s="6" t="n">
        <v>18</v>
      </c>
      <c r="D12" s="6" t="n">
        <v>0</v>
      </c>
      <c r="E12" s="6" t="n">
        <v>0</v>
      </c>
      <c r="F12" s="6"/>
      <c r="G12" s="6" t="n">
        <v>1</v>
      </c>
      <c r="H12" s="6" t="n">
        <v>17</v>
      </c>
      <c r="I12" s="6"/>
      <c r="J12" s="6"/>
      <c r="K12" s="6"/>
      <c r="L12" s="6"/>
      <c r="M12" s="6"/>
    </row>
    <row r="13" customFormat="false" ht="15.75" hidden="false" customHeight="false" outlineLevel="0" collapsed="false">
      <c r="A13" s="0" t="s">
        <v>126</v>
      </c>
      <c r="B13" s="1" t="n">
        <v>43873</v>
      </c>
      <c r="C13" s="6" t="n">
        <v>18</v>
      </c>
      <c r="D13" s="6" t="n">
        <v>0</v>
      </c>
      <c r="E13" s="6" t="n">
        <v>0</v>
      </c>
      <c r="F13" s="6"/>
      <c r="G13" s="6" t="n">
        <v>1</v>
      </c>
      <c r="H13" s="6" t="n">
        <v>17</v>
      </c>
      <c r="I13" s="6"/>
      <c r="J13" s="6"/>
      <c r="K13" s="6"/>
      <c r="L13" s="6"/>
      <c r="M13" s="6"/>
    </row>
    <row r="14" customFormat="false" ht="15.75" hidden="false" customHeight="false" outlineLevel="0" collapsed="false">
      <c r="A14" s="0" t="s">
        <v>126</v>
      </c>
      <c r="B14" s="1" t="n">
        <v>43874</v>
      </c>
      <c r="C14" s="6" t="n">
        <v>18</v>
      </c>
      <c r="D14" s="6" t="n">
        <v>0</v>
      </c>
      <c r="E14" s="6" t="n">
        <v>0</v>
      </c>
      <c r="F14" s="6"/>
      <c r="G14" s="6" t="n">
        <v>1</v>
      </c>
      <c r="H14" s="6" t="n">
        <v>17</v>
      </c>
      <c r="I14" s="6"/>
      <c r="J14" s="6"/>
      <c r="K14" s="6"/>
      <c r="L14" s="6"/>
      <c r="M14" s="6"/>
    </row>
    <row r="15" customFormat="false" ht="15.75" hidden="false" customHeight="false" outlineLevel="0" collapsed="false">
      <c r="A15" s="0" t="s">
        <v>126</v>
      </c>
      <c r="B15" s="1" t="n">
        <v>43875</v>
      </c>
      <c r="C15" s="6" t="n">
        <v>18</v>
      </c>
      <c r="D15" s="6" t="n">
        <v>0</v>
      </c>
      <c r="E15" s="6" t="n">
        <v>0</v>
      </c>
      <c r="F15" s="6"/>
      <c r="G15" s="6" t="n">
        <v>1</v>
      </c>
      <c r="H15" s="6" t="n">
        <v>17</v>
      </c>
      <c r="I15" s="6"/>
      <c r="J15" s="6"/>
      <c r="K15" s="6"/>
      <c r="L15" s="6"/>
      <c r="M15" s="6"/>
    </row>
    <row r="16" customFormat="false" ht="15.75" hidden="false" customHeight="false" outlineLevel="0" collapsed="false">
      <c r="A16" s="0" t="s">
        <v>126</v>
      </c>
      <c r="B16" s="1" t="n">
        <v>43876</v>
      </c>
      <c r="C16" s="6" t="n">
        <v>18</v>
      </c>
      <c r="D16" s="6" t="n">
        <v>0</v>
      </c>
      <c r="E16" s="6" t="n">
        <v>0</v>
      </c>
      <c r="F16" s="6"/>
      <c r="G16" s="6" t="n">
        <v>2</v>
      </c>
      <c r="H16" s="6" t="n">
        <v>16</v>
      </c>
      <c r="I16" s="6"/>
      <c r="J16" s="6"/>
      <c r="K16" s="6"/>
      <c r="L16" s="6"/>
      <c r="M16" s="6"/>
    </row>
    <row r="17" customFormat="false" ht="15.75" hidden="false" customHeight="false" outlineLevel="0" collapsed="false">
      <c r="A17" s="0" t="s">
        <v>126</v>
      </c>
      <c r="B17" s="1" t="n">
        <v>43877</v>
      </c>
      <c r="C17" s="6" t="n">
        <v>20</v>
      </c>
      <c r="D17" s="6" t="n">
        <v>2</v>
      </c>
      <c r="E17" s="6" t="n">
        <v>1</v>
      </c>
      <c r="F17" s="6"/>
      <c r="G17" s="6" t="n">
        <v>2</v>
      </c>
      <c r="H17" s="6" t="n">
        <v>17</v>
      </c>
      <c r="I17" s="6"/>
      <c r="J17" s="6"/>
      <c r="K17" s="6"/>
      <c r="L17" s="6"/>
      <c r="M17" s="6"/>
    </row>
    <row r="18" customFormat="false" ht="15.75" hidden="false" customHeight="false" outlineLevel="0" collapsed="false">
      <c r="A18" s="0" t="s">
        <v>126</v>
      </c>
      <c r="B18" s="1" t="n">
        <v>43878</v>
      </c>
      <c r="C18" s="6" t="n">
        <v>22</v>
      </c>
      <c r="D18" s="6" t="n">
        <v>2</v>
      </c>
      <c r="E18" s="6" t="n">
        <v>1</v>
      </c>
      <c r="F18" s="6"/>
      <c r="G18" s="6" t="n">
        <v>2</v>
      </c>
      <c r="H18" s="6" t="n">
        <v>19</v>
      </c>
      <c r="I18" s="6"/>
      <c r="J18" s="6"/>
      <c r="K18" s="6"/>
      <c r="L18" s="6"/>
      <c r="M18" s="6"/>
    </row>
    <row r="19" customFormat="false" ht="15.75" hidden="false" customHeight="false" outlineLevel="0" collapsed="false">
      <c r="A19" s="0" t="s">
        <v>126</v>
      </c>
      <c r="B19" s="1" t="n">
        <v>43879</v>
      </c>
      <c r="C19" s="6" t="n">
        <v>22</v>
      </c>
      <c r="D19" s="6" t="n">
        <v>0</v>
      </c>
      <c r="E19" s="6" t="n">
        <v>1</v>
      </c>
      <c r="F19" s="6"/>
      <c r="G19" s="6" t="n">
        <v>2</v>
      </c>
      <c r="H19" s="6" t="n">
        <v>19</v>
      </c>
      <c r="I19" s="6"/>
      <c r="J19" s="6"/>
      <c r="K19" s="6"/>
      <c r="L19" s="6"/>
      <c r="M19" s="6"/>
    </row>
    <row r="20" customFormat="false" ht="15.75" hidden="false" customHeight="false" outlineLevel="0" collapsed="false">
      <c r="A20" s="0" t="s">
        <v>126</v>
      </c>
      <c r="B20" s="1" t="n">
        <v>43880</v>
      </c>
      <c r="C20" s="6" t="n">
        <v>24</v>
      </c>
      <c r="D20" s="6" t="n">
        <v>2</v>
      </c>
      <c r="E20" s="6" t="n">
        <v>1</v>
      </c>
      <c r="F20" s="6"/>
      <c r="G20" s="6" t="n">
        <v>2</v>
      </c>
      <c r="H20" s="6" t="n">
        <v>21</v>
      </c>
      <c r="I20" s="6"/>
      <c r="J20" s="6"/>
      <c r="K20" s="6"/>
      <c r="L20" s="6"/>
      <c r="M20" s="6"/>
    </row>
    <row r="21" customFormat="false" ht="15.75" hidden="false" customHeight="false" outlineLevel="0" collapsed="false">
      <c r="A21" s="0" t="s">
        <v>126</v>
      </c>
      <c r="B21" s="1" t="n">
        <v>43881</v>
      </c>
      <c r="C21" s="6" t="n">
        <v>24</v>
      </c>
      <c r="D21" s="6" t="n">
        <v>0</v>
      </c>
      <c r="E21" s="6" t="n">
        <v>1</v>
      </c>
      <c r="F21" s="6"/>
      <c r="G21" s="6" t="n">
        <v>2</v>
      </c>
      <c r="H21" s="6" t="n">
        <v>21</v>
      </c>
      <c r="I21" s="6"/>
      <c r="J21" s="6"/>
      <c r="K21" s="6"/>
      <c r="L21" s="6"/>
      <c r="M21" s="6"/>
    </row>
    <row r="22" customFormat="false" ht="15.75" hidden="false" customHeight="false" outlineLevel="0" collapsed="false">
      <c r="A22" s="0" t="s">
        <v>126</v>
      </c>
      <c r="B22" s="1" t="n">
        <v>43882</v>
      </c>
      <c r="C22" s="6" t="n">
        <v>26</v>
      </c>
      <c r="D22" s="6" t="n">
        <v>2</v>
      </c>
      <c r="E22" s="6" t="n">
        <v>1</v>
      </c>
      <c r="F22" s="6"/>
      <c r="G22" s="6" t="n">
        <v>2</v>
      </c>
      <c r="H22" s="6" t="n">
        <v>23</v>
      </c>
      <c r="I22" s="6"/>
      <c r="J22" s="6"/>
      <c r="K22" s="6"/>
      <c r="L22" s="6"/>
      <c r="M22" s="6"/>
    </row>
    <row r="23" customFormat="false" ht="15.75" hidden="false" customHeight="false" outlineLevel="0" collapsed="false">
      <c r="A23" s="0" t="s">
        <v>126</v>
      </c>
      <c r="B23" s="1" t="n">
        <v>43883</v>
      </c>
      <c r="C23" s="6" t="n">
        <v>26</v>
      </c>
      <c r="D23" s="6" t="n">
        <v>0</v>
      </c>
      <c r="E23" s="6" t="n">
        <v>1</v>
      </c>
      <c r="F23" s="6"/>
      <c r="G23" s="6" t="n">
        <v>2</v>
      </c>
      <c r="H23" s="6" t="n">
        <v>23</v>
      </c>
      <c r="I23" s="6"/>
      <c r="J23" s="6"/>
      <c r="K23" s="6"/>
      <c r="L23" s="6"/>
      <c r="M23" s="6"/>
    </row>
    <row r="24" customFormat="false" ht="15.75" hidden="false" customHeight="false" outlineLevel="0" collapsed="false">
      <c r="A24" s="0" t="s">
        <v>126</v>
      </c>
      <c r="B24" s="1" t="n">
        <v>43884</v>
      </c>
      <c r="C24" s="6" t="n">
        <v>28</v>
      </c>
      <c r="D24" s="6" t="n">
        <v>2</v>
      </c>
      <c r="E24" s="6" t="n">
        <v>1</v>
      </c>
      <c r="F24" s="6"/>
      <c r="G24" s="6" t="n">
        <v>5</v>
      </c>
      <c r="H24" s="6" t="n">
        <v>22</v>
      </c>
      <c r="I24" s="6"/>
      <c r="J24" s="6"/>
      <c r="K24" s="6"/>
      <c r="L24" s="6"/>
      <c r="M24" s="6"/>
    </row>
    <row r="25" customFormat="false" ht="15.75" hidden="false" customHeight="false" outlineLevel="0" collapsed="false">
      <c r="A25" s="0" t="s">
        <v>126</v>
      </c>
      <c r="B25" s="1" t="n">
        <v>43885</v>
      </c>
      <c r="C25" s="6" t="n">
        <v>30</v>
      </c>
      <c r="D25" s="6" t="n">
        <v>2</v>
      </c>
      <c r="E25" s="6" t="n">
        <v>1</v>
      </c>
      <c r="F25" s="6"/>
      <c r="G25" s="6" t="n">
        <v>5</v>
      </c>
      <c r="H25" s="6" t="n">
        <v>24</v>
      </c>
      <c r="I25" s="6"/>
      <c r="J25" s="6"/>
      <c r="K25" s="6"/>
      <c r="L25" s="6"/>
      <c r="M25" s="6"/>
    </row>
    <row r="26" customFormat="false" ht="15.75" hidden="false" customHeight="false" outlineLevel="0" collapsed="false">
      <c r="A26" s="0" t="s">
        <v>126</v>
      </c>
      <c r="B26" s="1" t="n">
        <v>43886</v>
      </c>
      <c r="C26" s="6" t="n">
        <v>31</v>
      </c>
      <c r="D26" s="6" t="n">
        <v>1</v>
      </c>
      <c r="E26" s="6" t="n">
        <v>1</v>
      </c>
      <c r="F26" s="6"/>
      <c r="G26" s="6" t="n">
        <v>5</v>
      </c>
      <c r="H26" s="6" t="n">
        <v>25</v>
      </c>
      <c r="I26" s="6"/>
      <c r="J26" s="6"/>
      <c r="K26" s="6"/>
      <c r="L26" s="6"/>
      <c r="M26" s="6"/>
    </row>
    <row r="27" customFormat="false" ht="15.75" hidden="false" customHeight="false" outlineLevel="0" collapsed="false">
      <c r="A27" s="0" t="s">
        <v>126</v>
      </c>
      <c r="B27" s="1" t="n">
        <v>43887</v>
      </c>
      <c r="C27" s="6" t="n">
        <v>32</v>
      </c>
      <c r="D27" s="6" t="n">
        <v>1</v>
      </c>
      <c r="E27" s="6" t="n">
        <v>1</v>
      </c>
      <c r="F27" s="6"/>
      <c r="G27" s="6" t="n">
        <v>5</v>
      </c>
      <c r="H27" s="6" t="n">
        <v>26</v>
      </c>
      <c r="I27" s="6"/>
      <c r="J27" s="6"/>
      <c r="K27" s="6"/>
      <c r="L27" s="6"/>
      <c r="M27" s="6"/>
    </row>
    <row r="28" customFormat="false" ht="15.75" hidden="false" customHeight="false" outlineLevel="0" collapsed="false">
      <c r="A28" s="0" t="s">
        <v>126</v>
      </c>
      <c r="B28" s="1" t="n">
        <v>43888</v>
      </c>
      <c r="C28" s="6" t="n">
        <v>32</v>
      </c>
      <c r="D28" s="6" t="n">
        <v>0</v>
      </c>
      <c r="E28" s="6" t="n">
        <v>1</v>
      </c>
      <c r="F28" s="6"/>
      <c r="G28" s="6" t="n">
        <v>6</v>
      </c>
      <c r="H28" s="6" t="n">
        <v>25</v>
      </c>
      <c r="I28" s="6"/>
      <c r="J28" s="6"/>
      <c r="K28" s="6"/>
      <c r="L28" s="6"/>
      <c r="M28" s="6"/>
    </row>
    <row r="29" customFormat="false" ht="15.75" hidden="false" customHeight="false" outlineLevel="0" collapsed="false">
      <c r="A29" s="0" t="s">
        <v>126</v>
      </c>
      <c r="B29" s="1" t="n">
        <v>43889</v>
      </c>
      <c r="C29" s="6" t="n">
        <v>34</v>
      </c>
      <c r="D29" s="6" t="n">
        <v>2</v>
      </c>
      <c r="E29" s="6" t="n">
        <v>1</v>
      </c>
      <c r="F29" s="6"/>
      <c r="G29" s="6" t="n">
        <v>9</v>
      </c>
      <c r="H29" s="6" t="n">
        <v>24</v>
      </c>
      <c r="I29" s="6"/>
      <c r="J29" s="6"/>
      <c r="K29" s="6"/>
      <c r="L29" s="6"/>
      <c r="M29" s="6"/>
    </row>
    <row r="30" customFormat="false" ht="15.75" hidden="false" customHeight="false" outlineLevel="0" collapsed="false">
      <c r="A30" s="0" t="s">
        <v>126</v>
      </c>
      <c r="B30" s="1" t="n">
        <v>43890</v>
      </c>
      <c r="C30" s="6" t="n">
        <v>39</v>
      </c>
      <c r="D30" s="6" t="n">
        <v>5</v>
      </c>
      <c r="E30" s="6" t="n">
        <v>1</v>
      </c>
      <c r="F30" s="6"/>
      <c r="G30" s="6" t="n">
        <v>9</v>
      </c>
      <c r="H30" s="6" t="n">
        <v>29</v>
      </c>
      <c r="I30" s="6"/>
      <c r="J30" s="6"/>
      <c r="K30" s="6"/>
      <c r="L30" s="6"/>
      <c r="M30" s="6"/>
    </row>
    <row r="31" customFormat="false" ht="15.75" hidden="false" customHeight="false" outlineLevel="0" collapsed="false">
      <c r="A31" s="0" t="s">
        <v>126</v>
      </c>
      <c r="B31" s="1" t="n">
        <v>43891</v>
      </c>
      <c r="C31" s="6" t="n">
        <v>40</v>
      </c>
      <c r="D31" s="6" t="n">
        <v>1</v>
      </c>
      <c r="E31" s="6" t="n">
        <v>1</v>
      </c>
      <c r="F31" s="6"/>
      <c r="G31" s="6" t="n">
        <v>12</v>
      </c>
      <c r="H31" s="6" t="n">
        <v>27</v>
      </c>
      <c r="I31" s="6"/>
      <c r="J31" s="6"/>
      <c r="K31" s="6"/>
      <c r="L31" s="6"/>
      <c r="M31" s="6"/>
    </row>
    <row r="32" customFormat="false" ht="15.75" hidden="false" customHeight="false" outlineLevel="0" collapsed="false">
      <c r="A32" s="0" t="s">
        <v>126</v>
      </c>
      <c r="B32" s="1" t="n">
        <v>43892</v>
      </c>
      <c r="C32" s="6" t="n">
        <v>41</v>
      </c>
      <c r="D32" s="6" t="n">
        <v>1</v>
      </c>
      <c r="E32" s="6" t="n">
        <v>1</v>
      </c>
      <c r="F32" s="6"/>
      <c r="G32" s="6" t="n">
        <v>12</v>
      </c>
      <c r="H32" s="6" t="n">
        <v>28</v>
      </c>
      <c r="I32" s="6"/>
      <c r="J32" s="6"/>
      <c r="K32" s="6"/>
      <c r="L32" s="6"/>
      <c r="M32" s="6"/>
    </row>
    <row r="33" customFormat="false" ht="15.75" hidden="false" customHeight="false" outlineLevel="0" collapsed="false">
      <c r="A33" s="0" t="s">
        <v>126</v>
      </c>
      <c r="B33" s="1" t="n">
        <v>43893</v>
      </c>
      <c r="C33" s="6" t="n">
        <v>42</v>
      </c>
      <c r="D33" s="6" t="n">
        <v>1</v>
      </c>
      <c r="E33" s="6" t="n">
        <v>1</v>
      </c>
      <c r="F33" s="6"/>
      <c r="G33" s="6" t="n">
        <v>12</v>
      </c>
      <c r="H33" s="6" t="n">
        <v>29</v>
      </c>
      <c r="I33" s="6"/>
      <c r="J33" s="6"/>
      <c r="K33" s="6"/>
      <c r="L33" s="6"/>
      <c r="M33" s="6"/>
    </row>
    <row r="34" customFormat="false" ht="15.75" hidden="false" customHeight="false" outlineLevel="0" collapsed="false">
      <c r="A34" s="0" t="s">
        <v>126</v>
      </c>
      <c r="B34" s="1" t="n">
        <v>43894</v>
      </c>
      <c r="C34" s="6" t="n">
        <v>42</v>
      </c>
      <c r="D34" s="6" t="n">
        <v>0</v>
      </c>
      <c r="E34" s="6" t="n">
        <v>1</v>
      </c>
      <c r="F34" s="6"/>
      <c r="G34" s="6" t="n">
        <v>12</v>
      </c>
      <c r="H34" s="6" t="n">
        <v>29</v>
      </c>
      <c r="I34" s="6"/>
      <c r="J34" s="6"/>
      <c r="K34" s="6"/>
      <c r="L34" s="6"/>
      <c r="M34" s="6"/>
    </row>
    <row r="35" customFormat="false" ht="15.75" hidden="false" customHeight="false" outlineLevel="0" collapsed="false">
      <c r="A35" s="0" t="s">
        <v>126</v>
      </c>
      <c r="B35" s="1" t="n">
        <v>43895</v>
      </c>
      <c r="C35" s="6" t="n">
        <v>44</v>
      </c>
      <c r="D35" s="6" t="n">
        <v>2</v>
      </c>
      <c r="E35" s="6" t="n">
        <v>1</v>
      </c>
      <c r="F35" s="6"/>
      <c r="G35" s="6" t="n">
        <v>12</v>
      </c>
      <c r="H35" s="6" t="n">
        <v>31</v>
      </c>
      <c r="I35" s="6"/>
      <c r="J35" s="6"/>
      <c r="K35" s="6"/>
      <c r="L35" s="6"/>
      <c r="M35" s="6"/>
    </row>
    <row r="36" customFormat="false" ht="15.75" hidden="false" customHeight="false" outlineLevel="0" collapsed="false">
      <c r="A36" s="0" t="s">
        <v>126</v>
      </c>
      <c r="B36" s="1" t="n">
        <v>43896</v>
      </c>
      <c r="C36" s="6" t="n">
        <v>45</v>
      </c>
      <c r="D36" s="6" t="n">
        <v>1</v>
      </c>
      <c r="E36" s="6" t="n">
        <v>1</v>
      </c>
      <c r="F36" s="6"/>
      <c r="G36" s="6" t="n">
        <v>12</v>
      </c>
      <c r="H36" s="6" t="n">
        <v>32</v>
      </c>
      <c r="I36" s="6"/>
      <c r="J36" s="6"/>
      <c r="K36" s="6"/>
      <c r="L36" s="6"/>
      <c r="M36" s="6"/>
    </row>
    <row r="37" customFormat="false" ht="15.75" hidden="false" customHeight="false" outlineLevel="0" collapsed="false">
      <c r="A37" s="0" t="s">
        <v>126</v>
      </c>
      <c r="B37" s="1" t="n">
        <v>43897</v>
      </c>
      <c r="C37" s="8" t="n">
        <v>45</v>
      </c>
      <c r="D37" s="8" t="n">
        <v>0</v>
      </c>
      <c r="E37" s="8" t="n">
        <v>1</v>
      </c>
      <c r="F37" s="8"/>
      <c r="G37" s="8" t="n">
        <v>13</v>
      </c>
      <c r="H37" s="8" t="n">
        <v>31</v>
      </c>
      <c r="I37" s="8"/>
      <c r="J37" s="8"/>
      <c r="K37" s="8"/>
      <c r="L37" s="8"/>
      <c r="M37" s="8"/>
    </row>
    <row r="38" customFormat="false" ht="15.75" hidden="false" customHeight="false" outlineLevel="0" collapsed="false">
      <c r="A38" s="0" t="s">
        <v>126</v>
      </c>
      <c r="B38" s="1" t="n">
        <v>43898</v>
      </c>
      <c r="C38" s="6" t="n">
        <v>45</v>
      </c>
      <c r="D38" s="6" t="n">
        <v>0</v>
      </c>
      <c r="E38" s="6" t="n">
        <v>1</v>
      </c>
      <c r="F38" s="6"/>
      <c r="G38" s="6" t="n">
        <v>15</v>
      </c>
      <c r="H38" s="6" t="n">
        <v>29</v>
      </c>
      <c r="I38" s="6"/>
      <c r="J38" s="6"/>
      <c r="K38" s="6"/>
      <c r="L38" s="6"/>
      <c r="M38" s="6"/>
    </row>
    <row r="39" customFormat="false" ht="15.75" hidden="false" customHeight="false" outlineLevel="0" collapsed="false">
      <c r="A39" s="0" t="s">
        <v>126</v>
      </c>
      <c r="B39" s="1" t="n">
        <v>43899</v>
      </c>
      <c r="C39" s="6" t="n">
        <v>45</v>
      </c>
      <c r="D39" s="6" t="n">
        <v>0</v>
      </c>
      <c r="E39" s="6" t="n">
        <v>1</v>
      </c>
      <c r="F39" s="6"/>
      <c r="G39" s="6" t="n">
        <v>15</v>
      </c>
      <c r="H39" s="6" t="n">
        <v>29</v>
      </c>
      <c r="I39" s="6"/>
      <c r="J39" s="6" t="n">
        <v>1.9</v>
      </c>
      <c r="K39" s="6"/>
      <c r="L39" s="6"/>
      <c r="M39" s="6"/>
    </row>
    <row r="40" customFormat="false" ht="15.75" hidden="false" customHeight="false" outlineLevel="0" collapsed="false">
      <c r="A40" s="0" t="s">
        <v>126</v>
      </c>
      <c r="B40" s="1" t="n">
        <v>43900</v>
      </c>
      <c r="C40" s="6" t="n">
        <v>45</v>
      </c>
      <c r="D40" s="6" t="n">
        <v>0</v>
      </c>
      <c r="E40" s="6" t="n">
        <v>1</v>
      </c>
      <c r="F40" s="6"/>
      <c r="G40" s="6" t="n">
        <v>15</v>
      </c>
      <c r="H40" s="6" t="n">
        <v>29</v>
      </c>
      <c r="I40" s="6"/>
      <c r="J40" s="6" t="n">
        <v>1.9</v>
      </c>
      <c r="K40" s="6"/>
      <c r="L40" s="6"/>
      <c r="M40" s="6"/>
    </row>
    <row r="41" customFormat="false" ht="15.75" hidden="false" customHeight="false" outlineLevel="0" collapsed="false">
      <c r="A41" s="0" t="s">
        <v>126</v>
      </c>
      <c r="B41" s="1" t="n">
        <v>43901</v>
      </c>
      <c r="C41" s="6" t="n">
        <v>47</v>
      </c>
      <c r="D41" s="6" t="n">
        <v>2</v>
      </c>
      <c r="E41" s="6" t="n">
        <v>1</v>
      </c>
      <c r="F41" s="6"/>
      <c r="G41" s="6" t="n">
        <v>17</v>
      </c>
      <c r="H41" s="6" t="n">
        <v>29</v>
      </c>
      <c r="I41" s="6"/>
      <c r="J41" s="6" t="n">
        <v>2</v>
      </c>
      <c r="K41" s="6"/>
      <c r="L41" s="6"/>
      <c r="M41" s="6"/>
    </row>
    <row r="42" customFormat="false" ht="15.75" hidden="false" customHeight="false" outlineLevel="0" collapsed="false">
      <c r="A42" s="0" t="s">
        <v>126</v>
      </c>
      <c r="B42" s="1" t="n">
        <v>43902</v>
      </c>
      <c r="C42" s="6" t="n">
        <v>48</v>
      </c>
      <c r="D42" s="6" t="n">
        <v>1</v>
      </c>
      <c r="E42" s="6" t="n">
        <v>1</v>
      </c>
      <c r="F42" s="6"/>
      <c r="G42" s="6" t="n">
        <v>17</v>
      </c>
      <c r="H42" s="6" t="n">
        <v>30</v>
      </c>
      <c r="I42" s="6"/>
      <c r="J42" s="6" t="n">
        <v>2</v>
      </c>
      <c r="K42" s="6"/>
      <c r="L42" s="6"/>
      <c r="M42" s="6"/>
    </row>
    <row r="43" customFormat="false" ht="15.75" hidden="false" customHeight="false" outlineLevel="0" collapsed="false">
      <c r="A43" s="0" t="s">
        <v>126</v>
      </c>
      <c r="B43" s="1" t="n">
        <v>43903</v>
      </c>
      <c r="C43" s="6" t="n">
        <v>49</v>
      </c>
      <c r="D43" s="6" t="n">
        <v>1</v>
      </c>
      <c r="E43" s="6" t="n">
        <v>1</v>
      </c>
      <c r="F43" s="6"/>
      <c r="G43" s="6" t="n">
        <v>20</v>
      </c>
      <c r="H43" s="6" t="n">
        <v>28</v>
      </c>
      <c r="I43" s="6"/>
      <c r="J43" s="6" t="n">
        <v>2.1</v>
      </c>
      <c r="K43" s="6"/>
      <c r="L43" s="6"/>
      <c r="M43" s="6"/>
    </row>
    <row r="44" customFormat="false" ht="15.75" hidden="false" customHeight="false" outlineLevel="0" collapsed="false">
      <c r="A44" s="0" t="s">
        <v>126</v>
      </c>
      <c r="B44" s="1" t="n">
        <v>43904</v>
      </c>
      <c r="C44" s="6" t="n">
        <v>50</v>
      </c>
      <c r="D44" s="6" t="n">
        <v>1</v>
      </c>
      <c r="E44" s="6" t="n">
        <v>1</v>
      </c>
      <c r="F44" s="6"/>
      <c r="G44" s="6" t="n">
        <v>20</v>
      </c>
      <c r="H44" s="6" t="n">
        <v>29</v>
      </c>
      <c r="I44" s="6"/>
      <c r="J44" s="6" t="n">
        <v>2.1</v>
      </c>
      <c r="K44" s="6"/>
      <c r="L44" s="6"/>
      <c r="M44" s="6"/>
    </row>
    <row r="45" customFormat="false" ht="15.75" hidden="false" customHeight="false" outlineLevel="0" collapsed="false">
      <c r="A45" s="0" t="s">
        <v>126</v>
      </c>
      <c r="B45" s="1" t="n">
        <v>43905</v>
      </c>
      <c r="C45" s="6" t="n">
        <v>53</v>
      </c>
      <c r="D45" s="6" t="n">
        <v>3</v>
      </c>
      <c r="E45" s="6" t="n">
        <v>1</v>
      </c>
      <c r="F45" s="6"/>
      <c r="G45" s="6" t="n">
        <v>20</v>
      </c>
      <c r="H45" s="6" t="n">
        <v>32</v>
      </c>
      <c r="I45" s="6"/>
      <c r="J45" s="6" t="n">
        <v>2.2</v>
      </c>
      <c r="K45" s="6"/>
      <c r="L45" s="6"/>
      <c r="M45" s="6"/>
    </row>
    <row r="46" customFormat="false" ht="15.75" hidden="false" customHeight="false" outlineLevel="0" collapsed="false">
      <c r="A46" s="0" t="s">
        <v>126</v>
      </c>
      <c r="B46" s="1" t="n">
        <v>43906</v>
      </c>
      <c r="C46" s="6" t="n">
        <v>59</v>
      </c>
      <c r="D46" s="6" t="n">
        <v>6</v>
      </c>
      <c r="E46" s="6" t="n">
        <v>1</v>
      </c>
      <c r="F46" s="6"/>
      <c r="G46" s="6" t="n">
        <v>20</v>
      </c>
      <c r="H46" s="6" t="n">
        <v>38</v>
      </c>
      <c r="I46" s="6"/>
      <c r="J46" s="6" t="n">
        <v>2.5</v>
      </c>
      <c r="K46" s="6"/>
      <c r="L46" s="6"/>
      <c r="M46" s="6"/>
    </row>
    <row r="47" customFormat="false" ht="15.75" hidden="false" customHeight="false" outlineLevel="0" collapsed="false">
      <c r="A47" s="0" t="s">
        <v>126</v>
      </c>
      <c r="B47" s="1" t="n">
        <v>43907</v>
      </c>
      <c r="C47" s="6" t="n">
        <v>67</v>
      </c>
      <c r="D47" s="6" t="n">
        <v>8</v>
      </c>
      <c r="E47" s="6" t="n">
        <v>1</v>
      </c>
      <c r="F47" s="6"/>
      <c r="G47" s="6" t="n">
        <v>20</v>
      </c>
      <c r="H47" s="6" t="n">
        <v>46</v>
      </c>
      <c r="I47" s="6"/>
      <c r="J47" s="6" t="n">
        <v>2.8</v>
      </c>
      <c r="K47" s="6"/>
      <c r="L47" s="6"/>
      <c r="M47" s="6"/>
    </row>
    <row r="48" customFormat="false" ht="15.75" hidden="false" customHeight="false" outlineLevel="0" collapsed="false">
      <c r="A48" s="0" t="s">
        <v>126</v>
      </c>
      <c r="B48" s="1" t="n">
        <v>43908</v>
      </c>
      <c r="C48" s="6" t="n">
        <v>77</v>
      </c>
      <c r="D48" s="6" t="n">
        <v>10</v>
      </c>
      <c r="E48" s="6" t="n">
        <v>1</v>
      </c>
      <c r="F48" s="6"/>
      <c r="G48" s="6" t="n">
        <v>20</v>
      </c>
      <c r="H48" s="6" t="n">
        <v>56</v>
      </c>
      <c r="I48" s="6"/>
      <c r="J48" s="6" t="n">
        <v>3.2</v>
      </c>
      <c r="K48" s="6"/>
      <c r="L48" s="6"/>
      <c r="M48" s="6"/>
    </row>
    <row r="49" customFormat="false" ht="15.75" hidden="false" customHeight="false" outlineLevel="0" collapsed="false">
      <c r="A49" s="0" t="s">
        <v>126</v>
      </c>
      <c r="B49" s="1" t="n">
        <v>43909</v>
      </c>
      <c r="C49" s="6" t="n">
        <v>100</v>
      </c>
      <c r="D49" s="6" t="n">
        <v>23</v>
      </c>
      <c r="E49" s="6" t="n">
        <v>1</v>
      </c>
      <c r="F49" s="6"/>
      <c r="G49" s="6" t="n">
        <v>20</v>
      </c>
      <c r="H49" s="6" t="n">
        <v>79</v>
      </c>
      <c r="I49" s="6"/>
      <c r="J49" s="6" t="n">
        <v>4</v>
      </c>
      <c r="K49" s="6"/>
      <c r="L49" s="6"/>
      <c r="M49" s="6"/>
    </row>
    <row r="50" customFormat="false" ht="15.75" hidden="false" customHeight="false" outlineLevel="0" collapsed="false">
      <c r="A50" s="0" t="s">
        <v>126</v>
      </c>
      <c r="B50" s="1" t="n">
        <v>43910</v>
      </c>
      <c r="C50" s="6" t="n">
        <v>108</v>
      </c>
      <c r="D50" s="6" t="n">
        <v>8</v>
      </c>
      <c r="E50" s="6" t="n">
        <v>1</v>
      </c>
      <c r="F50" s="6"/>
      <c r="G50" s="6" t="n">
        <v>26</v>
      </c>
      <c r="H50" s="6" t="n">
        <v>81</v>
      </c>
      <c r="I50" s="6"/>
      <c r="J50" s="6" t="n">
        <v>5</v>
      </c>
      <c r="K50" s="6"/>
      <c r="L50" s="6"/>
      <c r="M50" s="6"/>
    </row>
    <row r="51" customFormat="false" ht="15.75" hidden="false" customHeight="false" outlineLevel="0" collapsed="false">
      <c r="A51" s="0" t="s">
        <v>126</v>
      </c>
      <c r="B51" s="1" t="n">
        <v>43911</v>
      </c>
      <c r="C51" s="6" t="n">
        <v>153</v>
      </c>
      <c r="D51" s="6" t="n">
        <v>45</v>
      </c>
      <c r="E51" s="6" t="n">
        <v>2</v>
      </c>
      <c r="F51" s="6" t="n">
        <v>1</v>
      </c>
      <c r="G51" s="6" t="n">
        <v>28</v>
      </c>
      <c r="H51" s="6" t="n">
        <v>123</v>
      </c>
      <c r="I51" s="6"/>
      <c r="J51" s="6" t="n">
        <v>6</v>
      </c>
      <c r="K51" s="6"/>
      <c r="L51" s="6"/>
      <c r="M51" s="6"/>
    </row>
    <row r="52" customFormat="false" ht="15.75" hidden="false" customHeight="false" outlineLevel="0" collapsed="false">
      <c r="A52" s="0" t="s">
        <v>126</v>
      </c>
      <c r="B52" s="1" t="n">
        <v>43912</v>
      </c>
      <c r="C52" s="6" t="n">
        <v>153</v>
      </c>
      <c r="D52" s="6" t="n">
        <v>0</v>
      </c>
      <c r="E52" s="6" t="n">
        <v>2</v>
      </c>
      <c r="F52" s="6"/>
      <c r="G52" s="6" t="n">
        <v>28</v>
      </c>
      <c r="H52" s="6" t="n">
        <v>123</v>
      </c>
      <c r="I52" s="6"/>
      <c r="J52" s="6" t="n">
        <v>6</v>
      </c>
      <c r="K52" s="6"/>
      <c r="L52" s="6"/>
      <c r="M52" s="6"/>
    </row>
    <row r="53" customFormat="false" ht="15.75" hidden="false" customHeight="false" outlineLevel="0" collapsed="false">
      <c r="A53" s="0" t="s">
        <v>126</v>
      </c>
      <c r="B53" s="1" t="n">
        <v>43913</v>
      </c>
      <c r="C53" s="6" t="n">
        <v>169</v>
      </c>
      <c r="D53" s="6" t="n">
        <v>16</v>
      </c>
      <c r="E53" s="6" t="n">
        <v>2</v>
      </c>
      <c r="F53" s="6"/>
      <c r="G53" s="6" t="n">
        <v>28</v>
      </c>
      <c r="H53" s="6" t="n">
        <v>139</v>
      </c>
      <c r="I53" s="6"/>
      <c r="J53" s="6" t="n">
        <v>7</v>
      </c>
      <c r="K53" s="6"/>
      <c r="L53" s="6"/>
      <c r="M53" s="6"/>
    </row>
    <row r="54" customFormat="false" ht="15.75" hidden="false" customHeight="false" outlineLevel="0" collapsed="false">
      <c r="A54" s="0" t="s">
        <v>126</v>
      </c>
      <c r="B54" s="1" t="n">
        <v>43914</v>
      </c>
      <c r="C54" s="6" t="n">
        <v>195</v>
      </c>
      <c r="D54" s="6" t="n">
        <v>26</v>
      </c>
      <c r="E54" s="6" t="n">
        <v>2</v>
      </c>
      <c r="F54" s="6"/>
      <c r="G54" s="6" t="n">
        <v>28</v>
      </c>
      <c r="H54" s="6" t="n">
        <v>165</v>
      </c>
      <c r="I54" s="6"/>
      <c r="J54" s="6" t="n">
        <v>8</v>
      </c>
      <c r="K54" s="6"/>
      <c r="L54" s="6"/>
      <c r="M54" s="6"/>
    </row>
    <row r="55" customFormat="false" ht="15.75" hidden="false" customHeight="false" outlineLevel="0" collapsed="false">
      <c r="A55" s="0" t="s">
        <v>126</v>
      </c>
      <c r="B55" s="1" t="n">
        <v>43915</v>
      </c>
      <c r="C55" s="7" t="n">
        <v>216</v>
      </c>
      <c r="D55" s="7" t="n">
        <v>21</v>
      </c>
      <c r="E55" s="7" t="n">
        <v>2</v>
      </c>
      <c r="F55" s="7"/>
      <c r="G55" s="7" t="n">
        <v>29</v>
      </c>
      <c r="H55" s="7" t="n">
        <v>185</v>
      </c>
      <c r="I55" s="7"/>
      <c r="J55" s="7" t="n">
        <v>9</v>
      </c>
      <c r="K55" s="7" t="n">
        <v>0.08</v>
      </c>
      <c r="L55" s="7"/>
      <c r="M55" s="7"/>
    </row>
    <row r="56" customFormat="false" ht="15.75" hidden="false" customHeight="false" outlineLevel="0" collapsed="false">
      <c r="A56" s="0" t="s">
        <v>126</v>
      </c>
      <c r="B56" s="1" t="n">
        <v>43916</v>
      </c>
      <c r="C56" s="7" t="n">
        <v>235</v>
      </c>
      <c r="D56" s="7" t="n">
        <v>19</v>
      </c>
      <c r="E56" s="7" t="n">
        <v>2</v>
      </c>
      <c r="F56" s="7"/>
      <c r="G56" s="7" t="n">
        <v>29</v>
      </c>
      <c r="H56" s="7" t="n">
        <v>204</v>
      </c>
      <c r="I56" s="7"/>
      <c r="J56" s="7" t="n">
        <v>10</v>
      </c>
      <c r="K56" s="7" t="n">
        <v>0.08</v>
      </c>
      <c r="L56" s="7"/>
      <c r="M56" s="7"/>
    </row>
    <row r="57" customFormat="false" ht="15.75" hidden="false" customHeight="false" outlineLevel="0" collapsed="false">
      <c r="A57" s="0" t="s">
        <v>126</v>
      </c>
      <c r="B57" s="1" t="n">
        <v>43917</v>
      </c>
      <c r="C57" s="7" t="n">
        <v>252</v>
      </c>
      <c r="D57" s="7" t="n">
        <v>17</v>
      </c>
      <c r="E57" s="7" t="n">
        <v>2</v>
      </c>
      <c r="F57" s="7"/>
      <c r="G57" s="7" t="n">
        <v>29</v>
      </c>
      <c r="H57" s="7" t="n">
        <v>221</v>
      </c>
      <c r="I57" s="7"/>
      <c r="J57" s="7" t="n">
        <v>11</v>
      </c>
      <c r="K57" s="7" t="n">
        <v>0.08</v>
      </c>
      <c r="L57" s="7"/>
      <c r="M57" s="7"/>
    </row>
    <row r="58" customFormat="false" ht="15.75" hidden="false" customHeight="false" outlineLevel="0" collapsed="false">
      <c r="A58" s="0" t="s">
        <v>126</v>
      </c>
      <c r="B58" s="1" t="n">
        <v>43918</v>
      </c>
      <c r="C58" s="7" t="n">
        <v>267</v>
      </c>
      <c r="D58" s="7" t="n">
        <v>15</v>
      </c>
      <c r="E58" s="7" t="n">
        <v>2</v>
      </c>
      <c r="F58" s="7"/>
      <c r="G58" s="7" t="n">
        <v>30</v>
      </c>
      <c r="H58" s="7" t="n">
        <v>235</v>
      </c>
      <c r="I58" s="7"/>
      <c r="J58" s="7" t="n">
        <v>11</v>
      </c>
      <c r="K58" s="7" t="n">
        <v>0.08</v>
      </c>
      <c r="L58" s="7"/>
      <c r="M58" s="7"/>
    </row>
    <row r="59" customFormat="false" ht="15.75" hidden="false" customHeight="false" outlineLevel="0" collapsed="false">
      <c r="A59" s="0" t="s">
        <v>126</v>
      </c>
      <c r="B59" s="1" t="n">
        <v>43919</v>
      </c>
      <c r="C59" s="7" t="n">
        <v>283</v>
      </c>
      <c r="D59" s="7" t="n">
        <v>16</v>
      </c>
      <c r="E59" s="7" t="n">
        <v>2</v>
      </c>
      <c r="F59" s="7"/>
      <c r="G59" s="7" t="n">
        <v>30</v>
      </c>
      <c r="H59" s="7" t="n">
        <v>251</v>
      </c>
      <c r="I59" s="7"/>
      <c r="J59" s="7" t="n">
        <v>12</v>
      </c>
      <c r="K59" s="7" t="n">
        <v>0.08</v>
      </c>
      <c r="L59" s="7"/>
      <c r="M59" s="7"/>
    </row>
    <row r="60" customFormat="false" ht="15.75" hidden="false" customHeight="false" outlineLevel="0" collapsed="false">
      <c r="A60" s="0" t="s">
        <v>126</v>
      </c>
      <c r="B60" s="1" t="n">
        <v>43920</v>
      </c>
      <c r="C60" s="7" t="n">
        <v>298</v>
      </c>
      <c r="D60" s="7" t="n">
        <v>15</v>
      </c>
      <c r="E60" s="7" t="n">
        <v>2</v>
      </c>
      <c r="F60" s="7"/>
      <c r="G60" s="7" t="n">
        <v>39</v>
      </c>
      <c r="H60" s="7" t="n">
        <v>257</v>
      </c>
      <c r="I60" s="7"/>
      <c r="J60" s="7" t="n">
        <v>13</v>
      </c>
      <c r="K60" s="7" t="n">
        <v>0.08</v>
      </c>
      <c r="L60" s="7"/>
      <c r="M60" s="7"/>
    </row>
    <row r="61" customFormat="false" ht="15.75" hidden="false" customHeight="false" outlineLevel="0" collapsed="false">
      <c r="A61" s="0" t="s">
        <v>126</v>
      </c>
      <c r="B61" s="1" t="n">
        <v>43921</v>
      </c>
      <c r="C61" s="7" t="n">
        <v>306</v>
      </c>
      <c r="D61" s="7" t="n">
        <v>8</v>
      </c>
      <c r="E61" s="7" t="n">
        <v>5</v>
      </c>
      <c r="F61" s="7" t="n">
        <v>3</v>
      </c>
      <c r="G61" s="7" t="n">
        <v>39</v>
      </c>
      <c r="H61" s="7" t="n">
        <v>262</v>
      </c>
      <c r="I61" s="7"/>
      <c r="J61" s="7" t="n">
        <v>13</v>
      </c>
      <c r="K61" s="7" t="n">
        <v>0.2</v>
      </c>
      <c r="L61" s="7"/>
      <c r="M61" s="7"/>
    </row>
    <row r="62" customFormat="false" ht="15.75" hidden="false" customHeight="false" outlineLevel="0" collapsed="false">
      <c r="A62" s="0" t="s">
        <v>126</v>
      </c>
      <c r="B62" s="1" t="n">
        <v>43922</v>
      </c>
      <c r="C62" s="7" t="n">
        <v>322</v>
      </c>
      <c r="D62" s="7" t="n">
        <v>16</v>
      </c>
      <c r="E62" s="7" t="n">
        <v>5</v>
      </c>
      <c r="F62" s="7"/>
      <c r="G62" s="7" t="n">
        <v>39</v>
      </c>
      <c r="H62" s="7" t="n">
        <v>278</v>
      </c>
      <c r="I62" s="7"/>
      <c r="J62" s="7" t="n">
        <v>14</v>
      </c>
      <c r="K62" s="7" t="n">
        <v>0.2</v>
      </c>
      <c r="L62" s="7"/>
      <c r="M62" s="7"/>
    </row>
    <row r="63" customFormat="false" ht="15.75" hidden="false" customHeight="false" outlineLevel="0" collapsed="false">
      <c r="A63" s="0" t="s">
        <v>126</v>
      </c>
      <c r="B63" s="1" t="n">
        <v>43923</v>
      </c>
      <c r="C63" s="7" t="n">
        <v>329</v>
      </c>
      <c r="D63" s="7" t="n">
        <v>7</v>
      </c>
      <c r="E63" s="7" t="n">
        <v>5</v>
      </c>
      <c r="F63" s="7"/>
      <c r="G63" s="7" t="n">
        <v>45</v>
      </c>
      <c r="H63" s="7" t="n">
        <v>279</v>
      </c>
      <c r="I63" s="7"/>
      <c r="J63" s="7" t="n">
        <v>14</v>
      </c>
      <c r="K63" s="7" t="n">
        <v>0.2</v>
      </c>
      <c r="L63" s="7"/>
      <c r="M63" s="7"/>
    </row>
    <row r="64" customFormat="false" ht="15.75" hidden="false" customHeight="false" outlineLevel="0" collapsed="false">
      <c r="A64" s="0" t="s">
        <v>126</v>
      </c>
      <c r="B64" s="1" t="n">
        <v>43924</v>
      </c>
      <c r="C64" s="7" t="n">
        <v>339</v>
      </c>
      <c r="D64" s="7" t="n">
        <v>10</v>
      </c>
      <c r="E64" s="7" t="n">
        <v>5</v>
      </c>
      <c r="F64" s="7"/>
      <c r="G64" s="7" t="n">
        <v>50</v>
      </c>
      <c r="H64" s="7" t="n">
        <v>284</v>
      </c>
      <c r="I64" s="7"/>
      <c r="J64" s="7" t="n">
        <v>14</v>
      </c>
      <c r="K64" s="7" t="n">
        <v>0.2</v>
      </c>
      <c r="L64" s="7"/>
      <c r="M64" s="7"/>
    </row>
    <row r="65" customFormat="false" ht="15.75" hidden="false" customHeight="false" outlineLevel="0" collapsed="false">
      <c r="A65" s="0" t="s">
        <v>126</v>
      </c>
      <c r="B65" s="1" t="n">
        <v>43925</v>
      </c>
      <c r="C65" s="7" t="n">
        <v>348</v>
      </c>
      <c r="D65" s="7" t="n">
        <v>9</v>
      </c>
      <c r="E65" s="7" t="n">
        <v>5</v>
      </c>
      <c r="F65" s="7"/>
      <c r="G65" s="7" t="n">
        <v>50</v>
      </c>
      <c r="H65" s="7" t="n">
        <v>293</v>
      </c>
      <c r="I65" s="7"/>
      <c r="J65" s="7" t="n">
        <v>15</v>
      </c>
      <c r="K65" s="7" t="n">
        <v>0.2</v>
      </c>
      <c r="L65" s="7"/>
      <c r="M65" s="7"/>
    </row>
    <row r="66" customFormat="false" ht="15.75" hidden="false" customHeight="false" outlineLevel="0" collapsed="false">
      <c r="A66" s="0" t="s">
        <v>126</v>
      </c>
      <c r="B66" s="1" t="n">
        <v>43926</v>
      </c>
      <c r="C66" s="7" t="n">
        <v>355</v>
      </c>
      <c r="D66" s="7" t="n">
        <v>7</v>
      </c>
      <c r="E66" s="7" t="n">
        <v>5</v>
      </c>
      <c r="F66" s="7"/>
      <c r="G66" s="7" t="n">
        <v>50</v>
      </c>
      <c r="H66" s="7" t="n">
        <v>300</v>
      </c>
      <c r="I66" s="7"/>
      <c r="J66" s="7" t="n">
        <v>15</v>
      </c>
      <c r="K66" s="7" t="n">
        <v>0.2</v>
      </c>
      <c r="L66" s="7" t="n">
        <v>35442</v>
      </c>
      <c r="M66" s="6" t="n">
        <v>1488</v>
      </c>
    </row>
    <row r="67" customFormat="false" ht="15.75" hidden="false" customHeight="false" outlineLevel="0" collapsed="false">
      <c r="A67" s="0" t="s">
        <v>126</v>
      </c>
      <c r="B67" s="1" t="n">
        <v>43927</v>
      </c>
      <c r="C67" s="7" t="n">
        <v>363</v>
      </c>
      <c r="D67" s="7" t="n">
        <v>8</v>
      </c>
      <c r="E67" s="7" t="n">
        <v>5</v>
      </c>
      <c r="F67" s="7"/>
      <c r="G67" s="7" t="n">
        <v>54</v>
      </c>
      <c r="H67" s="7" t="n">
        <v>304</v>
      </c>
      <c r="I67" s="7"/>
      <c r="J67" s="7" t="n">
        <v>15</v>
      </c>
      <c r="K67" s="7" t="n">
        <v>0.2</v>
      </c>
      <c r="L67" s="7" t="n">
        <v>37219</v>
      </c>
      <c r="M67" s="6" t="n">
        <v>1563</v>
      </c>
    </row>
    <row r="68" customFormat="false" ht="15.75" hidden="false" customHeight="false" outlineLevel="0" collapsed="false">
      <c r="A68" s="0" t="s">
        <v>126</v>
      </c>
      <c r="B68" s="1" t="n">
        <v>43928</v>
      </c>
      <c r="C68" s="12" t="n">
        <v>373</v>
      </c>
      <c r="D68" s="12" t="n">
        <v>10</v>
      </c>
      <c r="E68" s="12" t="n">
        <v>5</v>
      </c>
      <c r="F68" s="12"/>
      <c r="G68" s="12" t="n">
        <v>57</v>
      </c>
      <c r="H68" s="12" t="n">
        <v>311</v>
      </c>
      <c r="I68" s="12"/>
      <c r="J68" s="12" t="n">
        <v>16</v>
      </c>
      <c r="K68" s="12" t="n">
        <v>0.2</v>
      </c>
      <c r="L68" s="12" t="n">
        <v>37219</v>
      </c>
      <c r="M68" s="6" t="n">
        <v>1563</v>
      </c>
    </row>
    <row r="69" customFormat="false" ht="15.75" hidden="false" customHeight="false" outlineLevel="0" collapsed="false">
      <c r="A69" s="0" t="s">
        <v>126</v>
      </c>
      <c r="B69" s="1" t="n">
        <v>43929</v>
      </c>
      <c r="C69" s="14" t="n">
        <v>376</v>
      </c>
      <c r="D69" s="14" t="n">
        <v>3</v>
      </c>
      <c r="E69" s="14" t="n">
        <v>5</v>
      </c>
      <c r="F69" s="14"/>
      <c r="G69" s="14" t="n">
        <v>61</v>
      </c>
      <c r="H69" s="14" t="n">
        <v>310</v>
      </c>
      <c r="I69" s="14"/>
      <c r="J69" s="14" t="n">
        <v>16</v>
      </c>
      <c r="K69" s="14" t="n">
        <v>0.2</v>
      </c>
      <c r="L69" s="14" t="n">
        <v>40702</v>
      </c>
      <c r="M69" s="6" t="n">
        <v>1709</v>
      </c>
    </row>
    <row r="70" customFormat="false" ht="15.75" hidden="false" customHeight="false" outlineLevel="0" collapsed="false">
      <c r="A70" s="0" t="s">
        <v>126</v>
      </c>
      <c r="B70" s="1" t="n">
        <v>43930</v>
      </c>
      <c r="C70" s="14" t="n">
        <v>379</v>
      </c>
      <c r="D70" s="14" t="n">
        <v>3</v>
      </c>
      <c r="E70" s="14" t="n">
        <v>5</v>
      </c>
      <c r="F70" s="14"/>
      <c r="G70" s="14" t="n">
        <v>67</v>
      </c>
      <c r="H70" s="14" t="n">
        <v>307</v>
      </c>
      <c r="I70" s="14"/>
      <c r="J70" s="14" t="n">
        <v>16</v>
      </c>
      <c r="K70" s="14" t="n">
        <v>0.2</v>
      </c>
      <c r="L70" s="14" t="n">
        <v>40702</v>
      </c>
      <c r="M70" s="6" t="n">
        <v>1709</v>
      </c>
    </row>
    <row r="71" customFormat="false" ht="15.75" hidden="false" customHeight="false" outlineLevel="0" collapsed="false">
      <c r="A71" s="0" t="s">
        <v>126</v>
      </c>
      <c r="B71" s="1" t="n">
        <v>43931</v>
      </c>
      <c r="C71" s="14" t="n">
        <v>380</v>
      </c>
      <c r="D71" s="14" t="n">
        <v>1</v>
      </c>
      <c r="E71" s="14" t="n">
        <v>5</v>
      </c>
      <c r="F71" s="14"/>
      <c r="G71" s="14" t="n">
        <v>80</v>
      </c>
      <c r="H71" s="14" t="n">
        <v>295</v>
      </c>
      <c r="I71" s="14"/>
      <c r="J71" s="14" t="n">
        <v>16</v>
      </c>
      <c r="K71" s="14" t="n">
        <v>0.2</v>
      </c>
      <c r="L71" s="14" t="n">
        <v>42315</v>
      </c>
      <c r="M71" s="6" t="n">
        <v>1777</v>
      </c>
    </row>
    <row r="72" customFormat="false" ht="15.75" hidden="false" customHeight="false" outlineLevel="0" collapsed="false">
      <c r="A72" s="0" t="s">
        <v>126</v>
      </c>
      <c r="B72" s="1" t="n">
        <v>43932</v>
      </c>
      <c r="C72" s="14" t="n">
        <v>382</v>
      </c>
      <c r="D72" s="14" t="n">
        <v>2</v>
      </c>
      <c r="E72" s="14" t="n">
        <v>6</v>
      </c>
      <c r="F72" s="14" t="n">
        <v>1</v>
      </c>
      <c r="G72" s="14" t="n">
        <v>91</v>
      </c>
      <c r="H72" s="14" t="n">
        <v>285</v>
      </c>
      <c r="I72" s="14"/>
      <c r="J72" s="14" t="n">
        <v>16</v>
      </c>
      <c r="K72" s="14" t="n">
        <v>0.3</v>
      </c>
      <c r="L72" s="14" t="n">
        <v>43886</v>
      </c>
      <c r="M72" s="6" t="n">
        <v>1843</v>
      </c>
    </row>
    <row r="73" customFormat="false" ht="15.75" hidden="false" customHeight="false" outlineLevel="0" collapsed="false">
      <c r="A73" s="0" t="s">
        <v>126</v>
      </c>
      <c r="B73" s="1" t="n">
        <v>43933</v>
      </c>
      <c r="C73" s="14" t="n">
        <v>385</v>
      </c>
      <c r="D73" s="14" t="n">
        <v>3</v>
      </c>
      <c r="E73" s="14" t="n">
        <v>6</v>
      </c>
      <c r="F73" s="14"/>
      <c r="G73" s="14" t="n">
        <v>99</v>
      </c>
      <c r="H73" s="14" t="n">
        <v>280</v>
      </c>
      <c r="I73" s="14"/>
      <c r="J73" s="14" t="n">
        <v>16</v>
      </c>
      <c r="K73" s="14" t="n">
        <v>0.3</v>
      </c>
      <c r="L73" s="14" t="n">
        <v>45436</v>
      </c>
      <c r="M73" s="6" t="n">
        <v>1908</v>
      </c>
    </row>
    <row r="74" customFormat="false" ht="15.75" hidden="false" customHeight="false" outlineLevel="0" collapsed="false">
      <c r="A74" s="0" t="s">
        <v>126</v>
      </c>
      <c r="B74" s="1" t="n">
        <v>43934</v>
      </c>
      <c r="C74" s="14" t="n">
        <v>388</v>
      </c>
      <c r="D74" s="14" t="n">
        <v>3</v>
      </c>
      <c r="E74" s="14" t="n">
        <v>6</v>
      </c>
      <c r="F74" s="14"/>
      <c r="G74" s="14" t="n">
        <v>109</v>
      </c>
      <c r="H74" s="14" t="n">
        <v>273</v>
      </c>
      <c r="I74" s="14"/>
      <c r="J74" s="14" t="n">
        <v>16</v>
      </c>
      <c r="K74" s="14" t="n">
        <v>0.3</v>
      </c>
      <c r="L74" s="14" t="n">
        <v>46547</v>
      </c>
      <c r="M74" s="6" t="n">
        <v>1954</v>
      </c>
    </row>
    <row r="75" customFormat="false" ht="15.75" hidden="false" customHeight="false" outlineLevel="0" collapsed="false">
      <c r="A75" s="0" t="s">
        <v>126</v>
      </c>
      <c r="B75" s="1" t="n">
        <v>43935</v>
      </c>
      <c r="C75" s="14" t="n">
        <v>393</v>
      </c>
      <c r="D75" s="14" t="n">
        <v>5</v>
      </c>
      <c r="E75" s="14" t="n">
        <v>6</v>
      </c>
      <c r="F75" s="14"/>
      <c r="G75" s="14" t="n">
        <v>114</v>
      </c>
      <c r="H75" s="14" t="n">
        <v>273</v>
      </c>
      <c r="I75" s="14"/>
      <c r="J75" s="14" t="n">
        <v>17</v>
      </c>
      <c r="K75" s="14" t="n">
        <v>0.3</v>
      </c>
      <c r="L75" s="14" t="n">
        <v>47215</v>
      </c>
      <c r="M75" s="6" t="n">
        <v>1982</v>
      </c>
    </row>
    <row r="76" customFormat="false" ht="15.75" hidden="false" customHeight="false" outlineLevel="0" collapsed="false">
      <c r="A76" s="0" t="s">
        <v>126</v>
      </c>
      <c r="B76" s="1" t="n">
        <v>43936</v>
      </c>
      <c r="C76" s="14" t="n">
        <v>393</v>
      </c>
      <c r="D76" s="14" t="n">
        <v>0</v>
      </c>
      <c r="E76" s="14" t="n">
        <v>6</v>
      </c>
      <c r="F76" s="14"/>
      <c r="G76" s="14" t="n">
        <v>124</v>
      </c>
      <c r="H76" s="14" t="n">
        <v>263</v>
      </c>
      <c r="I76" s="14"/>
      <c r="J76" s="14" t="n">
        <v>17</v>
      </c>
      <c r="K76" s="14" t="n">
        <v>0.3</v>
      </c>
      <c r="L76" s="14" t="n">
        <v>48549</v>
      </c>
      <c r="M76" s="6" t="n">
        <v>2038</v>
      </c>
    </row>
    <row r="77" customFormat="false" ht="15.75" hidden="false" customHeight="false" outlineLevel="0" collapsed="false">
      <c r="A77" s="0" t="s">
        <v>126</v>
      </c>
      <c r="B77" s="1" t="n">
        <v>43937</v>
      </c>
      <c r="C77" s="14" t="n">
        <v>395</v>
      </c>
      <c r="D77" s="14" t="n">
        <v>2</v>
      </c>
      <c r="E77" s="14" t="n">
        <v>6</v>
      </c>
      <c r="F77" s="14"/>
      <c r="G77" s="14" t="n">
        <v>137</v>
      </c>
      <c r="H77" s="14" t="n">
        <v>252</v>
      </c>
      <c r="I77" s="14"/>
      <c r="J77" s="14" t="n">
        <v>17</v>
      </c>
      <c r="K77" s="14" t="n">
        <v>0.3</v>
      </c>
      <c r="L77" s="14" t="n">
        <v>49748</v>
      </c>
      <c r="M77" s="6" t="n">
        <v>2089</v>
      </c>
    </row>
    <row r="78" customFormat="false" ht="15.75" hidden="false" customHeight="false" outlineLevel="0" collapsed="false">
      <c r="A78" s="0" t="s">
        <v>126</v>
      </c>
      <c r="B78" s="1" t="n">
        <v>43938</v>
      </c>
      <c r="C78" s="14" t="n">
        <v>395</v>
      </c>
      <c r="D78" s="14"/>
      <c r="E78" s="14" t="n">
        <v>6</v>
      </c>
      <c r="F78" s="14"/>
      <c r="G78" s="14" t="n">
        <v>155</v>
      </c>
      <c r="H78" s="14" t="n">
        <v>234</v>
      </c>
      <c r="I78" s="14"/>
      <c r="J78" s="14" t="n">
        <v>17</v>
      </c>
      <c r="K78" s="14" t="n">
        <v>0.3</v>
      </c>
      <c r="L78" s="14" t="n">
        <v>50703</v>
      </c>
      <c r="M78" s="6" t="n">
        <v>2129</v>
      </c>
    </row>
    <row r="79" customFormat="false" ht="15.75" hidden="false" customHeight="false" outlineLevel="0" collapsed="false">
      <c r="A79" s="0" t="s">
        <v>126</v>
      </c>
      <c r="B79" s="1" t="n">
        <v>43939</v>
      </c>
      <c r="C79" s="14" t="n">
        <v>395</v>
      </c>
      <c r="D79" s="14"/>
      <c r="E79" s="14" t="n">
        <v>6</v>
      </c>
      <c r="F79" s="14"/>
      <c r="G79" s="14" t="n">
        <v>166</v>
      </c>
      <c r="H79" s="14" t="n">
        <v>223</v>
      </c>
      <c r="I79" s="14"/>
      <c r="J79" s="14" t="n">
        <v>17</v>
      </c>
      <c r="K79" s="14" t="n">
        <v>0.3</v>
      </c>
      <c r="L79" s="14" t="n">
        <v>51603</v>
      </c>
      <c r="M79" s="6" t="n">
        <v>2167</v>
      </c>
    </row>
    <row r="80" customFormat="false" ht="15.75" hidden="false" customHeight="false" outlineLevel="0" collapsed="false">
      <c r="A80" s="0" t="s">
        <v>126</v>
      </c>
      <c r="B80" s="1" t="n">
        <v>43940</v>
      </c>
      <c r="C80" s="6" t="n">
        <v>398</v>
      </c>
      <c r="D80" s="6" t="n">
        <v>3</v>
      </c>
      <c r="E80" s="6" t="n">
        <v>6</v>
      </c>
      <c r="F80" s="6"/>
      <c r="G80" s="6" t="n">
        <v>178</v>
      </c>
      <c r="H80" s="6" t="n">
        <v>214</v>
      </c>
      <c r="I80" s="6"/>
      <c r="J80" s="6" t="n">
        <v>17</v>
      </c>
      <c r="K80" s="6" t="n">
        <v>0.3</v>
      </c>
      <c r="L80" s="7" t="n">
        <v>52445</v>
      </c>
      <c r="M80" s="6" t="n">
        <v>2202</v>
      </c>
    </row>
    <row r="81" customFormat="false" ht="15.75" hidden="false" customHeight="false" outlineLevel="0" collapsed="false">
      <c r="A81" s="0" t="s">
        <v>126</v>
      </c>
      <c r="B81" s="1" t="n">
        <v>43941</v>
      </c>
      <c r="C81" s="14" t="n">
        <v>420</v>
      </c>
      <c r="D81" s="14" t="n">
        <v>22</v>
      </c>
      <c r="E81" s="14" t="n">
        <v>6</v>
      </c>
      <c r="F81" s="14"/>
      <c r="G81" s="14" t="n">
        <v>189</v>
      </c>
      <c r="H81" s="14" t="n">
        <v>225</v>
      </c>
      <c r="I81" s="14"/>
      <c r="J81" s="14" t="n">
        <v>18</v>
      </c>
      <c r="K81" s="14" t="n">
        <v>0.3</v>
      </c>
      <c r="L81" s="14" t="n">
        <v>53005</v>
      </c>
      <c r="M81" s="6" t="n">
        <v>2226</v>
      </c>
    </row>
    <row r="82" customFormat="false" ht="15.75" hidden="false" customHeight="false" outlineLevel="0" collapsed="false">
      <c r="A82" s="0" t="s">
        <v>126</v>
      </c>
      <c r="B82" s="1" t="n">
        <v>43942</v>
      </c>
      <c r="C82" s="6" t="n">
        <v>422</v>
      </c>
      <c r="D82" s="6" t="n">
        <v>2</v>
      </c>
      <c r="E82" s="6" t="n">
        <v>6</v>
      </c>
      <c r="F82" s="6"/>
      <c r="G82" s="6" t="n">
        <v>203</v>
      </c>
      <c r="H82" s="6" t="n">
        <v>213</v>
      </c>
      <c r="I82" s="6"/>
      <c r="J82" s="6" t="n">
        <v>18</v>
      </c>
      <c r="K82" s="6" t="n">
        <v>0.3</v>
      </c>
      <c r="L82" s="6" t="n">
        <v>53632</v>
      </c>
      <c r="M82" s="6" t="n">
        <v>2252</v>
      </c>
    </row>
    <row r="83" customFormat="false" ht="15.75" hidden="false" customHeight="false" outlineLevel="0" collapsed="false">
      <c r="A83" s="0" t="s">
        <v>126</v>
      </c>
      <c r="B83" s="1" t="n">
        <v>43943</v>
      </c>
      <c r="C83" s="6" t="n">
        <v>425</v>
      </c>
      <c r="D83" s="6" t="n">
        <v>3</v>
      </c>
      <c r="E83" s="6" t="n">
        <v>6</v>
      </c>
      <c r="F83" s="6"/>
      <c r="G83" s="6" t="n">
        <v>217</v>
      </c>
      <c r="H83" s="6" t="n">
        <v>202</v>
      </c>
      <c r="I83" s="6"/>
      <c r="J83" s="6" t="n">
        <v>18</v>
      </c>
      <c r="K83" s="6" t="n">
        <v>0.3</v>
      </c>
      <c r="L83" s="6" t="n">
        <v>55476</v>
      </c>
      <c r="M83" s="6" t="n">
        <v>2329</v>
      </c>
    </row>
    <row r="84" customFormat="false" ht="15.75" hidden="false" customHeight="false" outlineLevel="0" collapsed="false">
      <c r="A84" s="0" t="s">
        <v>126</v>
      </c>
      <c r="B84" s="1" t="n">
        <v>43944</v>
      </c>
      <c r="C84" s="6" t="n">
        <v>426</v>
      </c>
      <c r="D84" s="6" t="n">
        <v>1</v>
      </c>
      <c r="E84" s="6" t="n">
        <v>6</v>
      </c>
      <c r="F84" s="6"/>
      <c r="G84" s="6" t="n">
        <v>236</v>
      </c>
      <c r="H84" s="6" t="n">
        <v>184</v>
      </c>
      <c r="I84" s="6"/>
      <c r="J84" s="6" t="n">
        <v>18</v>
      </c>
      <c r="K84" s="6" t="n">
        <v>0.3</v>
      </c>
      <c r="L84" s="6" t="n">
        <v>56853</v>
      </c>
      <c r="M84" s="6" t="n">
        <v>2387</v>
      </c>
    </row>
    <row r="85" customFormat="false" ht="15.75" hidden="false" customHeight="false" outlineLevel="0" collapsed="false">
      <c r="A85" s="0" t="s">
        <v>126</v>
      </c>
      <c r="B85" s="1" t="n">
        <v>43945</v>
      </c>
      <c r="C85" s="6" t="n">
        <v>427</v>
      </c>
      <c r="D85" s="6" t="n">
        <v>1</v>
      </c>
      <c r="E85" s="6" t="n">
        <v>6</v>
      </c>
      <c r="F85" s="6"/>
      <c r="G85" s="6" t="n">
        <v>253</v>
      </c>
      <c r="H85" s="6" t="n">
        <v>168</v>
      </c>
      <c r="I85" s="6"/>
      <c r="J85" s="6" t="n">
        <v>18</v>
      </c>
      <c r="K85" s="6" t="n">
        <v>0.3</v>
      </c>
      <c r="L85" s="6" t="n">
        <v>58003</v>
      </c>
      <c r="M85" s="6" t="n">
        <v>2435</v>
      </c>
    </row>
    <row r="86" customFormat="false" ht="15.75" hidden="false" customHeight="false" outlineLevel="0" collapsed="false">
      <c r="A86" s="0" t="s">
        <v>126</v>
      </c>
      <c r="B86" s="1" t="n">
        <v>43946</v>
      </c>
      <c r="C86" s="6" t="n">
        <v>428</v>
      </c>
      <c r="D86" s="6" t="n">
        <v>1</v>
      </c>
      <c r="E86" s="6" t="n">
        <v>6</v>
      </c>
      <c r="F86" s="6"/>
      <c r="G86" s="6" t="n">
        <v>264</v>
      </c>
      <c r="H86" s="6" t="n">
        <v>158</v>
      </c>
      <c r="I86" s="6"/>
      <c r="J86" s="6" t="n">
        <v>18</v>
      </c>
      <c r="K86" s="6" t="n">
        <v>0.3</v>
      </c>
      <c r="L86" s="6" t="n">
        <v>59026</v>
      </c>
      <c r="M86" s="6" t="n">
        <v>2478</v>
      </c>
    </row>
    <row r="87" customFormat="false" ht="15.75" hidden="false" customHeight="false" outlineLevel="0" collapsed="false">
      <c r="A87" s="0" t="s">
        <v>126</v>
      </c>
      <c r="B87" s="1" t="n">
        <v>43947</v>
      </c>
      <c r="C87" s="6" t="n">
        <v>429</v>
      </c>
      <c r="D87" s="6" t="n">
        <v>1</v>
      </c>
      <c r="E87" s="6" t="n">
        <v>6</v>
      </c>
      <c r="F87" s="6"/>
      <c r="G87" s="6" t="n">
        <v>275</v>
      </c>
      <c r="H87" s="6" t="n">
        <v>148</v>
      </c>
      <c r="I87" s="6"/>
      <c r="J87" s="6" t="n">
        <v>18</v>
      </c>
      <c r="K87" s="6" t="n">
        <v>0.3</v>
      </c>
      <c r="L87" s="6" t="n">
        <v>59840</v>
      </c>
      <c r="M87" s="6" t="n">
        <v>2513</v>
      </c>
    </row>
    <row r="88" customFormat="false" ht="15.75" hidden="false" customHeight="false" outlineLevel="0" collapsed="false">
      <c r="A88" s="0" t="s">
        <v>126</v>
      </c>
      <c r="B88" s="1" t="n">
        <v>43948</v>
      </c>
      <c r="C88" s="6" t="n">
        <v>429</v>
      </c>
      <c r="D88" s="6"/>
      <c r="E88" s="6" t="n">
        <v>6</v>
      </c>
      <c r="F88" s="6"/>
      <c r="G88" s="6" t="n">
        <v>281</v>
      </c>
      <c r="H88" s="6" t="n">
        <v>142</v>
      </c>
      <c r="I88" s="6"/>
      <c r="J88" s="6" t="n">
        <v>18</v>
      </c>
      <c r="K88" s="6" t="n">
        <v>0.3</v>
      </c>
      <c r="L88" s="6" t="n">
        <v>60459</v>
      </c>
      <c r="M88" s="6" t="n">
        <v>2539</v>
      </c>
    </row>
    <row r="89" customFormat="false" ht="15.75" hidden="false" customHeight="false" outlineLevel="0" collapsed="false">
      <c r="A89" s="0" t="s">
        <v>126</v>
      </c>
      <c r="B89" s="1" t="n">
        <v>43949</v>
      </c>
      <c r="C89" s="6" t="n">
        <v>429</v>
      </c>
      <c r="D89" s="6"/>
      <c r="E89" s="6" t="n">
        <v>6</v>
      </c>
      <c r="F89" s="6"/>
      <c r="G89" s="6" t="n">
        <v>290</v>
      </c>
      <c r="H89" s="6" t="n">
        <v>133</v>
      </c>
      <c r="I89" s="6"/>
      <c r="J89" s="6" t="n">
        <v>18</v>
      </c>
      <c r="K89" s="6" t="n">
        <v>0.3</v>
      </c>
      <c r="L89" s="6" t="n">
        <v>60956</v>
      </c>
      <c r="M89" s="6" t="n">
        <v>2559</v>
      </c>
    </row>
    <row r="90" customFormat="false" ht="15.75" hidden="false" customHeight="false" outlineLevel="0" collapsed="false">
      <c r="A90" s="0" t="s">
        <v>126</v>
      </c>
      <c r="B90" s="1" t="n">
        <v>43950</v>
      </c>
      <c r="C90" s="6" t="n">
        <v>429</v>
      </c>
      <c r="D90" s="6"/>
      <c r="E90" s="6" t="n">
        <v>6</v>
      </c>
      <c r="F90" s="6"/>
      <c r="G90" s="6" t="n">
        <v>307</v>
      </c>
      <c r="H90" s="6" t="n">
        <v>116</v>
      </c>
      <c r="I90" s="6"/>
      <c r="J90" s="6" t="n">
        <v>18</v>
      </c>
      <c r="K90" s="6" t="n">
        <v>0.3</v>
      </c>
      <c r="L90" s="6" t="n">
        <v>61684</v>
      </c>
      <c r="M90" s="6" t="n">
        <v>2590</v>
      </c>
    </row>
    <row r="91" customFormat="false" ht="15.75" hidden="false" customHeight="false" outlineLevel="0" collapsed="false">
      <c r="A91" s="0" t="s">
        <v>126</v>
      </c>
      <c r="B91" s="1" t="n">
        <v>43951</v>
      </c>
      <c r="C91" s="6" t="n">
        <v>429</v>
      </c>
      <c r="D91" s="6"/>
      <c r="E91" s="6" t="n">
        <v>6</v>
      </c>
      <c r="F91" s="6"/>
      <c r="G91" s="6" t="n">
        <v>311</v>
      </c>
      <c r="H91" s="6" t="n">
        <v>112</v>
      </c>
      <c r="I91" s="6"/>
      <c r="J91" s="6" t="n">
        <v>18</v>
      </c>
      <c r="K91" s="6" t="n">
        <v>0.3</v>
      </c>
      <c r="L91" s="6" t="n">
        <v>62368</v>
      </c>
      <c r="M91" s="6" t="n">
        <v>2619</v>
      </c>
    </row>
    <row r="92" customFormat="false" ht="15.75" hidden="false" customHeight="false" outlineLevel="0" collapsed="false">
      <c r="A92" s="0" t="s">
        <v>126</v>
      </c>
      <c r="B92" s="1" t="n">
        <v>43952</v>
      </c>
      <c r="C92" s="6" t="n">
        <v>429</v>
      </c>
      <c r="D92" s="6"/>
      <c r="E92" s="6" t="n">
        <v>6</v>
      </c>
      <c r="F92" s="6"/>
      <c r="G92" s="6" t="n">
        <v>322</v>
      </c>
      <c r="H92" s="6" t="n">
        <v>101</v>
      </c>
      <c r="I92" s="6"/>
      <c r="J92" s="6" t="n">
        <v>18</v>
      </c>
      <c r="K92" s="6" t="n">
        <v>0.3</v>
      </c>
      <c r="L92" s="7" t="n">
        <v>62844</v>
      </c>
      <c r="M92" s="6" t="n">
        <v>2639</v>
      </c>
    </row>
    <row r="93" customFormat="false" ht="15.75" hidden="false" customHeight="false" outlineLevel="0" collapsed="false">
      <c r="A93" s="0" t="s">
        <v>126</v>
      </c>
      <c r="B93" s="1" t="n">
        <v>43953</v>
      </c>
      <c r="C93" s="6" t="n">
        <v>429</v>
      </c>
      <c r="D93" s="6"/>
      <c r="E93" s="6" t="n">
        <v>6</v>
      </c>
      <c r="F93" s="6"/>
      <c r="G93" s="6" t="n">
        <v>324</v>
      </c>
      <c r="H93" s="6" t="n">
        <v>99</v>
      </c>
      <c r="I93" s="6"/>
      <c r="J93" s="6" t="n">
        <v>18</v>
      </c>
      <c r="K93" s="6" t="n">
        <v>0.3</v>
      </c>
      <c r="L93" s="7" t="n">
        <v>63340</v>
      </c>
      <c r="M93" s="6" t="n">
        <v>2659</v>
      </c>
    </row>
    <row r="94" customFormat="false" ht="15.75" hidden="false" customHeight="false" outlineLevel="0" collapsed="false">
      <c r="A94" s="0" t="s">
        <v>126</v>
      </c>
      <c r="B94" s="1" t="n">
        <v>43954</v>
      </c>
      <c r="C94" s="6" t="n">
        <v>432</v>
      </c>
      <c r="D94" s="6" t="n">
        <v>3</v>
      </c>
      <c r="E94" s="6" t="n">
        <v>6</v>
      </c>
      <c r="F94" s="6"/>
      <c r="G94" s="6" t="n">
        <v>324</v>
      </c>
      <c r="H94" s="6" t="n">
        <v>102</v>
      </c>
      <c r="I94" s="6"/>
      <c r="J94" s="6" t="n">
        <v>18</v>
      </c>
      <c r="K94" s="6" t="n">
        <v>0.3</v>
      </c>
      <c r="L94" s="6" t="n">
        <v>63713</v>
      </c>
      <c r="M94" s="6" t="n">
        <v>2675</v>
      </c>
    </row>
    <row r="95" customFormat="false" ht="15.75" hidden="false" customHeight="false" outlineLevel="0" collapsed="false">
      <c r="A95" s="0" t="s">
        <v>126</v>
      </c>
      <c r="B95" s="1" t="n">
        <v>43955</v>
      </c>
      <c r="C95" s="51" t="n">
        <v>432</v>
      </c>
      <c r="D95" s="51"/>
      <c r="E95" s="51" t="n">
        <v>6</v>
      </c>
      <c r="F95" s="51"/>
      <c r="G95" s="51" t="n">
        <v>332</v>
      </c>
      <c r="H95" s="51" t="n">
        <v>94</v>
      </c>
      <c r="I95" s="51"/>
      <c r="J95" s="51" t="n">
        <v>18</v>
      </c>
      <c r="K95" s="51" t="n">
        <v>0.3</v>
      </c>
      <c r="L95" s="52" t="n">
        <v>64094</v>
      </c>
      <c r="M95" s="6" t="n">
        <v>2691</v>
      </c>
    </row>
    <row r="96" customFormat="false" ht="15.75" hidden="false" customHeight="false" outlineLevel="0" collapsed="false">
      <c r="A96" s="0" t="s">
        <v>126</v>
      </c>
      <c r="B96" s="1" t="n">
        <v>43956</v>
      </c>
      <c r="C96" s="6" t="n">
        <v>438</v>
      </c>
      <c r="D96" s="6" t="n">
        <v>6</v>
      </c>
      <c r="E96" s="6" t="n">
        <v>6</v>
      </c>
      <c r="F96" s="6"/>
      <c r="G96" s="6" t="n">
        <v>334</v>
      </c>
      <c r="H96" s="6" t="n">
        <v>98</v>
      </c>
      <c r="I96" s="6"/>
      <c r="J96" s="6" t="n">
        <v>18</v>
      </c>
      <c r="K96" s="6" t="n">
        <v>0.3</v>
      </c>
      <c r="L96" s="6" t="n">
        <v>64436</v>
      </c>
      <c r="M96" s="6" t="n">
        <v>2705</v>
      </c>
    </row>
    <row r="97" customFormat="false" ht="15.75" hidden="false" customHeight="false" outlineLevel="0" collapsed="false">
      <c r="A97" s="0" t="s">
        <v>126</v>
      </c>
      <c r="B97" s="1" t="n">
        <v>43957</v>
      </c>
      <c r="C97" s="6" t="n">
        <v>438</v>
      </c>
      <c r="D97" s="6"/>
      <c r="E97" s="6" t="n">
        <v>6</v>
      </c>
      <c r="F97" s="6"/>
      <c r="G97" s="6" t="n">
        <v>334</v>
      </c>
      <c r="H97" s="6" t="n">
        <v>98</v>
      </c>
      <c r="I97" s="6"/>
      <c r="J97" s="6" t="n">
        <v>18</v>
      </c>
      <c r="K97" s="6" t="n">
        <v>0.3</v>
      </c>
      <c r="L97" s="6" t="n">
        <v>64958</v>
      </c>
      <c r="M97" s="6" t="n">
        <v>2727</v>
      </c>
    </row>
    <row r="98" customFormat="false" ht="15.75" hidden="false" customHeight="false" outlineLevel="0" collapsed="false">
      <c r="A98" s="0" t="s">
        <v>126</v>
      </c>
      <c r="B98" s="1" t="n">
        <v>43958</v>
      </c>
      <c r="C98" s="6" t="n">
        <v>439</v>
      </c>
      <c r="D98" s="6" t="n">
        <v>1</v>
      </c>
      <c r="E98" s="6" t="n">
        <v>6</v>
      </c>
      <c r="F98" s="6"/>
      <c r="G98" s="6" t="n">
        <v>339</v>
      </c>
      <c r="H98" s="6" t="n">
        <v>94</v>
      </c>
      <c r="I98" s="6"/>
      <c r="J98" s="6" t="n">
        <v>18</v>
      </c>
      <c r="K98" s="6" t="n">
        <v>0.3</v>
      </c>
      <c r="L98" s="6" t="n">
        <v>65589</v>
      </c>
      <c r="M98" s="6" t="n">
        <v>2754</v>
      </c>
    </row>
    <row r="99" customFormat="false" ht="15.75" hidden="false" customHeight="false" outlineLevel="0" collapsed="false">
      <c r="A99" s="0" t="s">
        <v>126</v>
      </c>
      <c r="B99" s="1" t="n">
        <v>43959</v>
      </c>
      <c r="C99" s="6" t="n">
        <v>440</v>
      </c>
      <c r="D99" s="6" t="n">
        <v>1</v>
      </c>
      <c r="E99" s="6" t="n">
        <v>6</v>
      </c>
      <c r="F99" s="6"/>
      <c r="G99" s="6" t="n">
        <v>347</v>
      </c>
      <c r="H99" s="6" t="n">
        <v>87</v>
      </c>
      <c r="I99" s="6"/>
      <c r="J99" s="6" t="n">
        <v>18</v>
      </c>
      <c r="K99" s="6" t="n">
        <v>0.3</v>
      </c>
      <c r="L99" s="6" t="n">
        <v>66046</v>
      </c>
      <c r="M99" s="6" t="n">
        <v>2773</v>
      </c>
    </row>
    <row r="100" customFormat="false" ht="15.75" hidden="false" customHeight="false" outlineLevel="0" collapsed="false">
      <c r="A100" s="0" t="s">
        <v>126</v>
      </c>
      <c r="B100" s="1" t="n">
        <v>43960</v>
      </c>
      <c r="C100" s="6" t="n">
        <v>440</v>
      </c>
      <c r="D100" s="6"/>
      <c r="E100" s="6" t="n">
        <v>6</v>
      </c>
      <c r="F100" s="6"/>
      <c r="G100" s="6" t="n">
        <v>355</v>
      </c>
      <c r="H100" s="6" t="n">
        <v>79</v>
      </c>
      <c r="I100" s="6"/>
      <c r="J100" s="6" t="n">
        <v>18</v>
      </c>
      <c r="K100" s="6" t="n">
        <v>0.3</v>
      </c>
      <c r="L100" s="6" t="n">
        <v>66460</v>
      </c>
      <c r="M100" s="6" t="n">
        <v>2790</v>
      </c>
    </row>
    <row r="101" customFormat="false" ht="15.75" hidden="false" customHeight="false" outlineLevel="0" collapsed="false">
      <c r="A101" s="0" t="s">
        <v>126</v>
      </c>
      <c r="B101" s="1" t="n">
        <v>43961</v>
      </c>
      <c r="C101" s="6" t="n">
        <v>440</v>
      </c>
      <c r="D101" s="6"/>
      <c r="E101" s="6" t="n">
        <v>6</v>
      </c>
      <c r="F101" s="6"/>
      <c r="G101" s="6" t="n">
        <v>361</v>
      </c>
      <c r="H101" s="6" t="n">
        <v>73</v>
      </c>
      <c r="I101" s="6"/>
      <c r="J101" s="6" t="n">
        <v>18</v>
      </c>
      <c r="K101" s="6" t="n">
        <v>0.3</v>
      </c>
      <c r="L101" s="6" t="n">
        <v>66861</v>
      </c>
      <c r="M101" s="6" t="n">
        <v>2807</v>
      </c>
    </row>
    <row r="102" customFormat="false" ht="15.75" hidden="false" customHeight="false" outlineLevel="0" collapsed="false">
      <c r="A102" s="0" t="s">
        <v>126</v>
      </c>
      <c r="B102" s="1" t="n">
        <v>43962</v>
      </c>
      <c r="C102" s="6" t="n">
        <v>440</v>
      </c>
      <c r="D102" s="6"/>
      <c r="E102" s="6" t="n">
        <v>6</v>
      </c>
      <c r="F102" s="6"/>
      <c r="G102" s="6" t="n">
        <v>366</v>
      </c>
      <c r="H102" s="6" t="n">
        <v>68</v>
      </c>
      <c r="I102" s="6"/>
      <c r="J102" s="6" t="n">
        <v>18</v>
      </c>
      <c r="K102" s="6" t="n">
        <v>0.3</v>
      </c>
      <c r="L102" s="6" t="n">
        <v>67133</v>
      </c>
      <c r="M102" s="6" t="n">
        <v>2819</v>
      </c>
    </row>
    <row r="103" customFormat="false" ht="15.75" hidden="false" customHeight="false" outlineLevel="0" collapsed="false">
      <c r="A103" s="0" t="s">
        <v>126</v>
      </c>
      <c r="B103" s="1" t="n">
        <v>43963</v>
      </c>
      <c r="C103" s="6" t="n">
        <v>440</v>
      </c>
      <c r="D103" s="6"/>
      <c r="E103" s="6" t="n">
        <v>7</v>
      </c>
      <c r="F103" s="6" t="n">
        <v>1</v>
      </c>
      <c r="G103" s="6" t="n">
        <v>368</v>
      </c>
      <c r="H103" s="6" t="n">
        <v>65</v>
      </c>
      <c r="I103" s="6"/>
      <c r="J103" s="6" t="n">
        <v>18</v>
      </c>
      <c r="K103" s="6" t="n">
        <v>0.3</v>
      </c>
      <c r="L103" s="6" t="n">
        <v>67400</v>
      </c>
      <c r="M103" s="6" t="n">
        <v>2830</v>
      </c>
    </row>
    <row r="104" customFormat="false" ht="15.75" hidden="false" customHeight="false" outlineLevel="0" collapsed="false">
      <c r="A104" s="0" t="s">
        <v>126</v>
      </c>
      <c r="B104" s="1" t="n">
        <v>43964</v>
      </c>
      <c r="C104" s="6" t="n">
        <v>440</v>
      </c>
      <c r="D104" s="6"/>
      <c r="E104" s="6" t="n">
        <v>7</v>
      </c>
      <c r="F104" s="6"/>
      <c r="G104" s="6" t="n">
        <v>372</v>
      </c>
      <c r="H104" s="6" t="n">
        <v>61</v>
      </c>
      <c r="I104" s="6"/>
      <c r="J104" s="6" t="n">
        <v>18</v>
      </c>
      <c r="K104" s="6" t="n">
        <v>0.3</v>
      </c>
      <c r="L104" s="6" t="n">
        <v>68107</v>
      </c>
      <c r="M104" s="6" t="n">
        <v>2860</v>
      </c>
    </row>
    <row r="105" customFormat="false" ht="15.75" hidden="false" customHeight="false" outlineLevel="0" collapsed="false">
      <c r="A105" s="0" t="s">
        <v>126</v>
      </c>
      <c r="B105" s="1" t="n">
        <v>43965</v>
      </c>
      <c r="C105" s="49" t="n">
        <v>440</v>
      </c>
      <c r="D105" s="49"/>
      <c r="E105" s="49" t="n">
        <v>7</v>
      </c>
      <c r="F105" s="49"/>
      <c r="G105" s="49" t="n">
        <v>375</v>
      </c>
      <c r="H105" s="49" t="n">
        <v>58</v>
      </c>
      <c r="I105" s="49"/>
      <c r="J105" s="49" t="n">
        <v>18</v>
      </c>
      <c r="K105" s="49" t="n">
        <v>0.3</v>
      </c>
      <c r="L105" s="20" t="n">
        <v>68107</v>
      </c>
      <c r="M105" s="6" t="n">
        <v>2860</v>
      </c>
    </row>
    <row r="106" customFormat="false" ht="15.75" hidden="false" customHeight="false" outlineLevel="0" collapsed="false">
      <c r="A106" s="0" t="s">
        <v>126</v>
      </c>
      <c r="B106" s="1" t="n">
        <v>43966</v>
      </c>
      <c r="C106" s="6" t="n">
        <v>440</v>
      </c>
      <c r="D106" s="6"/>
      <c r="E106" s="6" t="n">
        <v>7</v>
      </c>
      <c r="F106" s="6"/>
      <c r="G106" s="6" t="n">
        <v>383</v>
      </c>
      <c r="H106" s="6" t="n">
        <v>50</v>
      </c>
      <c r="I106" s="6"/>
      <c r="J106" s="6" t="n">
        <v>18</v>
      </c>
      <c r="K106" s="6" t="n">
        <v>0.3</v>
      </c>
      <c r="L106" s="6" t="n">
        <v>68335</v>
      </c>
      <c r="M106" s="6" t="n">
        <v>2869</v>
      </c>
    </row>
    <row r="107" customFormat="false" ht="15.75" hidden="false" customHeight="false" outlineLevel="0" collapsed="false">
      <c r="A107" s="0" t="s">
        <v>126</v>
      </c>
      <c r="B107" s="1" t="n">
        <v>43967</v>
      </c>
      <c r="C107" s="6" t="n">
        <v>440</v>
      </c>
      <c r="D107" s="6"/>
      <c r="E107" s="6" t="n">
        <v>7</v>
      </c>
      <c r="F107" s="6"/>
      <c r="G107" s="6" t="n">
        <v>387</v>
      </c>
      <c r="H107" s="6" t="n">
        <v>46</v>
      </c>
      <c r="I107" s="6"/>
      <c r="J107" s="6" t="n">
        <v>18</v>
      </c>
      <c r="K107" s="6" t="n">
        <v>0.3</v>
      </c>
      <c r="L107" s="6" t="n">
        <v>68659</v>
      </c>
      <c r="M107" s="6" t="n">
        <v>2883</v>
      </c>
    </row>
    <row r="108" customFormat="false" ht="15.75" hidden="false" customHeight="false" outlineLevel="0" collapsed="false">
      <c r="A108" s="0" t="s">
        <v>126</v>
      </c>
      <c r="B108" s="1" t="n">
        <v>43968</v>
      </c>
      <c r="C108" s="6" t="n">
        <v>440</v>
      </c>
      <c r="D108" s="6"/>
      <c r="E108" s="6" t="n">
        <v>7</v>
      </c>
      <c r="F108" s="6"/>
      <c r="G108" s="6" t="n">
        <v>389</v>
      </c>
      <c r="H108" s="6" t="n">
        <v>44</v>
      </c>
      <c r="I108" s="6"/>
      <c r="J108" s="6" t="n">
        <v>18</v>
      </c>
      <c r="K108" s="6" t="n">
        <v>0.3</v>
      </c>
      <c r="L108" s="6" t="n">
        <v>68988</v>
      </c>
      <c r="M108" s="6" t="n">
        <v>2897</v>
      </c>
    </row>
    <row r="109" customFormat="false" ht="15.75" hidden="false" customHeight="false" outlineLevel="0" collapsed="false">
      <c r="A109" s="0" t="s">
        <v>126</v>
      </c>
      <c r="B109" s="1" t="n">
        <v>43969</v>
      </c>
      <c r="C109" s="6" t="n">
        <v>440</v>
      </c>
      <c r="D109" s="6"/>
      <c r="E109" s="6" t="n">
        <v>7</v>
      </c>
      <c r="F109" s="6"/>
      <c r="G109" s="6" t="n">
        <v>395</v>
      </c>
      <c r="H109" s="6" t="n">
        <v>38</v>
      </c>
      <c r="I109" s="6"/>
      <c r="J109" s="6" t="n">
        <v>18</v>
      </c>
      <c r="K109" s="6" t="n">
        <v>0.3</v>
      </c>
      <c r="L109" s="6" t="n">
        <v>69206</v>
      </c>
      <c r="M109" s="6" t="n">
        <v>2906</v>
      </c>
    </row>
    <row r="110" customFormat="false" ht="15.75" hidden="false" customHeight="false" outlineLevel="0" collapsed="false">
      <c r="A110" s="0" t="s">
        <v>126</v>
      </c>
      <c r="B110" s="1" t="n">
        <v>43970</v>
      </c>
      <c r="C110" s="6" t="n">
        <v>440</v>
      </c>
      <c r="D110" s="6"/>
      <c r="E110" s="6" t="n">
        <v>7</v>
      </c>
      <c r="F110" s="6"/>
      <c r="G110" s="6" t="n">
        <v>398</v>
      </c>
      <c r="H110" s="6" t="n">
        <v>35</v>
      </c>
      <c r="I110" s="6"/>
      <c r="J110" s="6" t="n">
        <v>18</v>
      </c>
      <c r="K110" s="6" t="n">
        <v>0.3</v>
      </c>
      <c r="L110" s="6" t="n">
        <v>69395</v>
      </c>
      <c r="M110" s="6" t="n">
        <v>2914</v>
      </c>
    </row>
    <row r="111" customFormat="false" ht="15.75" hidden="false" customHeight="false" outlineLevel="0" collapsed="false">
      <c r="A111" s="0" t="s">
        <v>126</v>
      </c>
      <c r="B111" s="1" t="n">
        <v>43971</v>
      </c>
      <c r="C111" s="6" t="n">
        <v>440</v>
      </c>
      <c r="D111" s="6"/>
      <c r="E111" s="6" t="n">
        <v>7</v>
      </c>
      <c r="F111" s="6"/>
      <c r="G111" s="6" t="n">
        <v>401</v>
      </c>
      <c r="H111" s="6" t="n">
        <v>32</v>
      </c>
      <c r="I111" s="6"/>
      <c r="J111" s="6" t="n">
        <v>18</v>
      </c>
      <c r="K111" s="6" t="n">
        <v>0.3</v>
      </c>
      <c r="L111" s="6" t="n">
        <v>69395</v>
      </c>
      <c r="M111" s="6" t="n">
        <v>2914</v>
      </c>
    </row>
    <row r="112" customFormat="false" ht="15.75" hidden="false" customHeight="false" outlineLevel="0" collapsed="false">
      <c r="A112" s="0" t="s">
        <v>126</v>
      </c>
      <c r="B112" s="1" t="n">
        <v>43972</v>
      </c>
      <c r="C112" s="6" t="n">
        <v>440</v>
      </c>
      <c r="D112" s="6"/>
      <c r="E112" s="6" t="n">
        <v>7</v>
      </c>
      <c r="F112" s="6"/>
      <c r="G112" s="6" t="n">
        <v>402</v>
      </c>
      <c r="H112" s="6" t="n">
        <v>31</v>
      </c>
      <c r="I112" s="6"/>
      <c r="J112" s="6" t="n">
        <v>18</v>
      </c>
      <c r="K112" s="6" t="n">
        <v>0.3</v>
      </c>
      <c r="L112" s="6" t="n">
        <v>69876</v>
      </c>
      <c r="M112" s="6" t="n">
        <v>2934</v>
      </c>
    </row>
    <row r="113" customFormat="false" ht="15.75" hidden="false" customHeight="false" outlineLevel="0" collapsed="false">
      <c r="A113" s="0" t="s">
        <v>126</v>
      </c>
      <c r="B113" s="1" t="n">
        <v>43973</v>
      </c>
      <c r="C113" s="6" t="n">
        <v>441</v>
      </c>
      <c r="D113" s="6" t="n">
        <v>1</v>
      </c>
      <c r="E113" s="6" t="n">
        <v>7</v>
      </c>
      <c r="F113" s="6"/>
      <c r="G113" s="6" t="n">
        <v>407</v>
      </c>
      <c r="H113" s="6" t="n">
        <v>27</v>
      </c>
      <c r="I113" s="6"/>
      <c r="J113" s="6" t="n">
        <v>19</v>
      </c>
      <c r="K113" s="6" t="n">
        <v>0.3</v>
      </c>
      <c r="L113" s="6" t="n">
        <v>70100</v>
      </c>
      <c r="M113" s="6" t="n">
        <v>2944</v>
      </c>
    </row>
    <row r="114" customFormat="false" ht="15.75" hidden="false" customHeight="false" outlineLevel="0" collapsed="false">
      <c r="A114" s="0" t="s">
        <v>126</v>
      </c>
      <c r="B114" s="1" t="n">
        <v>43974</v>
      </c>
      <c r="C114" s="6" t="n">
        <v>441</v>
      </c>
      <c r="D114" s="6"/>
      <c r="E114" s="6" t="n">
        <v>7</v>
      </c>
      <c r="F114" s="6"/>
      <c r="G114" s="6" t="n">
        <v>408</v>
      </c>
      <c r="H114" s="6" t="n">
        <v>26</v>
      </c>
      <c r="I114" s="6"/>
      <c r="J114" s="6" t="n">
        <v>19</v>
      </c>
      <c r="K114" s="6" t="n">
        <v>0.3</v>
      </c>
      <c r="L114" s="6" t="n">
        <v>70338</v>
      </c>
      <c r="M114" s="6" t="n">
        <v>2954</v>
      </c>
    </row>
    <row r="115" customFormat="false" ht="15.75" hidden="false" customHeight="false" outlineLevel="0" collapsed="false">
      <c r="A115" s="0" t="s">
        <v>126</v>
      </c>
      <c r="B115" s="1" t="n">
        <v>43975</v>
      </c>
      <c r="C115" s="6" t="n">
        <v>441</v>
      </c>
      <c r="D115" s="6"/>
      <c r="E115" s="6" t="n">
        <v>7</v>
      </c>
      <c r="F115" s="6"/>
      <c r="G115" s="6" t="n">
        <v>411</v>
      </c>
      <c r="H115" s="6" t="n">
        <v>23</v>
      </c>
      <c r="I115" s="6"/>
      <c r="J115" s="6" t="n">
        <v>19</v>
      </c>
      <c r="K115" s="6" t="n">
        <v>0.3</v>
      </c>
      <c r="L115" s="6" t="n">
        <v>70526</v>
      </c>
      <c r="M115" s="6" t="n">
        <v>2962</v>
      </c>
    </row>
    <row r="116" customFormat="false" ht="15.75" hidden="false" customHeight="false" outlineLevel="0" collapsed="false">
      <c r="A116" s="0" t="s">
        <v>126</v>
      </c>
      <c r="B116" s="1" t="n">
        <v>43976</v>
      </c>
      <c r="C116" s="6" t="n">
        <v>441</v>
      </c>
      <c r="D116" s="6"/>
      <c r="E116" s="6" t="n">
        <v>7</v>
      </c>
      <c r="F116" s="6"/>
      <c r="G116" s="6" t="n">
        <v>414</v>
      </c>
      <c r="H116" s="6" t="n">
        <v>20</v>
      </c>
      <c r="I116" s="6"/>
      <c r="J116" s="6" t="n">
        <v>19</v>
      </c>
      <c r="K116" s="6" t="n">
        <v>0.3</v>
      </c>
      <c r="L116" s="6" t="n">
        <v>70697</v>
      </c>
      <c r="M116" s="6" t="n">
        <v>2969</v>
      </c>
    </row>
    <row r="117" customFormat="false" ht="15.75" hidden="false" customHeight="false" outlineLevel="0" collapsed="false">
      <c r="A117" s="0" t="s">
        <v>126</v>
      </c>
      <c r="B117" s="1" t="n">
        <v>43977</v>
      </c>
      <c r="C117" s="6" t="n">
        <v>441</v>
      </c>
      <c r="D117" s="6"/>
      <c r="E117" s="6" t="n">
        <v>7</v>
      </c>
      <c r="F117" s="6"/>
      <c r="G117" s="6" t="n">
        <v>415</v>
      </c>
      <c r="H117" s="6" t="n">
        <v>19</v>
      </c>
      <c r="I117" s="6"/>
      <c r="J117" s="6" t="n">
        <v>19</v>
      </c>
      <c r="K117" s="6" t="n">
        <v>0.3</v>
      </c>
      <c r="L117" s="6" t="n">
        <v>70880</v>
      </c>
      <c r="M117" s="6" t="n">
        <v>2977</v>
      </c>
    </row>
    <row r="118" customFormat="false" ht="15.75" hidden="false" customHeight="false" outlineLevel="0" collapsed="false">
      <c r="A118" s="0" t="s">
        <v>126</v>
      </c>
      <c r="B118" s="1" t="n">
        <v>43978</v>
      </c>
      <c r="C118" s="6" t="n">
        <v>441</v>
      </c>
      <c r="D118" s="6"/>
      <c r="E118" s="6" t="n">
        <v>7</v>
      </c>
      <c r="F118" s="6"/>
      <c r="G118" s="6" t="n">
        <v>416</v>
      </c>
      <c r="H118" s="6" t="n">
        <v>18</v>
      </c>
      <c r="I118" s="6"/>
      <c r="J118" s="6" t="n">
        <v>19</v>
      </c>
      <c r="K118" s="6" t="n">
        <v>0.3</v>
      </c>
      <c r="L118" s="6" t="n">
        <v>71101</v>
      </c>
      <c r="M118" s="6" t="n">
        <v>2986</v>
      </c>
    </row>
    <row r="119" customFormat="false" ht="15.75" hidden="false" customHeight="false" outlineLevel="0" collapsed="false">
      <c r="A119" s="0" t="s">
        <v>126</v>
      </c>
      <c r="B119" s="1" t="n">
        <v>43979</v>
      </c>
      <c r="C119" s="6" t="n">
        <v>441</v>
      </c>
      <c r="D119" s="6"/>
      <c r="E119" s="6" t="n">
        <v>7</v>
      </c>
      <c r="F119" s="6"/>
      <c r="G119" s="6" t="n">
        <v>419</v>
      </c>
      <c r="H119" s="6" t="n">
        <v>15</v>
      </c>
      <c r="I119" s="6"/>
      <c r="J119" s="6" t="n">
        <v>19</v>
      </c>
      <c r="K119" s="6" t="n">
        <v>0.3</v>
      </c>
      <c r="L119" s="7" t="n">
        <v>71405</v>
      </c>
      <c r="M119" s="7" t="n">
        <v>2999</v>
      </c>
    </row>
    <row r="120" customFormat="false" ht="15.75" hidden="false" customHeight="false" outlineLevel="0" collapsed="false">
      <c r="A120" s="0" t="s">
        <v>126</v>
      </c>
      <c r="B120" s="1" t="n">
        <v>43980</v>
      </c>
      <c r="C120" s="6" t="n">
        <v>441</v>
      </c>
      <c r="D120" s="6"/>
      <c r="E120" s="6" t="n">
        <v>7</v>
      </c>
      <c r="F120" s="6"/>
      <c r="G120" s="6" t="n">
        <v>420</v>
      </c>
      <c r="H120" s="6" t="n">
        <v>14</v>
      </c>
      <c r="I120" s="6"/>
      <c r="J120" s="6" t="n">
        <v>19</v>
      </c>
      <c r="K120" s="6" t="n">
        <v>0.3</v>
      </c>
      <c r="L120" s="6" t="n">
        <v>71581</v>
      </c>
      <c r="M120" s="6" t="n">
        <v>3006</v>
      </c>
    </row>
    <row r="121" customFormat="false" ht="15.75" hidden="false" customHeight="false" outlineLevel="0" collapsed="false">
      <c r="A121" s="0" t="s">
        <v>126</v>
      </c>
      <c r="B121" s="1" t="n">
        <v>43981</v>
      </c>
      <c r="C121" s="6" t="n">
        <v>442</v>
      </c>
      <c r="D121" s="6" t="n">
        <v>1</v>
      </c>
      <c r="E121" s="6" t="n">
        <v>7</v>
      </c>
      <c r="F121" s="6"/>
      <c r="G121" s="6" t="n">
        <v>420</v>
      </c>
      <c r="H121" s="6" t="n">
        <v>15</v>
      </c>
      <c r="I121" s="6"/>
      <c r="J121" s="6" t="n">
        <v>19</v>
      </c>
      <c r="K121" s="6" t="n">
        <v>0.3</v>
      </c>
      <c r="L121" s="6" t="n">
        <v>71750</v>
      </c>
      <c r="M121" s="6" t="n">
        <v>3013</v>
      </c>
    </row>
    <row r="122" customFormat="false" ht="15.75" hidden="false" customHeight="false" outlineLevel="0" collapsed="false">
      <c r="A122" s="0" t="s">
        <v>126</v>
      </c>
      <c r="B122" s="1" t="n">
        <v>43982</v>
      </c>
      <c r="C122" s="2" t="n">
        <v>442</v>
      </c>
      <c r="E122" s="2" t="n">
        <v>7</v>
      </c>
      <c r="G122" s="2" t="n">
        <v>421</v>
      </c>
      <c r="H122" s="2" t="n">
        <v>14</v>
      </c>
      <c r="J122" s="2" t="n">
        <v>19</v>
      </c>
      <c r="K122" s="6" t="n">
        <v>0.3</v>
      </c>
      <c r="L122" s="6" t="n">
        <v>71909</v>
      </c>
      <c r="M122" s="6" t="n">
        <v>3020</v>
      </c>
    </row>
    <row r="123" customFormat="false" ht="15.75" hidden="false" customHeight="false" outlineLevel="0" collapsed="false">
      <c r="A123" s="0" t="s">
        <v>126</v>
      </c>
      <c r="B123" s="1" t="n">
        <v>43983</v>
      </c>
      <c r="C123" s="6" t="n">
        <v>442</v>
      </c>
      <c r="D123" s="6"/>
      <c r="E123" s="6" t="n">
        <v>7</v>
      </c>
      <c r="F123" s="6"/>
      <c r="G123" s="6" t="n">
        <v>423</v>
      </c>
      <c r="H123" s="6" t="n">
        <v>12</v>
      </c>
      <c r="I123" s="6"/>
      <c r="J123" s="6" t="n">
        <v>19</v>
      </c>
      <c r="K123" s="6" t="n">
        <v>0.3</v>
      </c>
      <c r="L123" s="6" t="n">
        <v>72082</v>
      </c>
      <c r="M123" s="6" t="n">
        <v>3027</v>
      </c>
    </row>
    <row r="124" customFormat="false" ht="15.75" hidden="false" customHeight="false" outlineLevel="0" collapsed="false">
      <c r="A124" s="0" t="s">
        <v>126</v>
      </c>
      <c r="B124" s="1" t="n">
        <v>43984</v>
      </c>
      <c r="C124" s="6" t="n">
        <v>443</v>
      </c>
      <c r="D124" s="6" t="n">
        <v>1</v>
      </c>
      <c r="E124" s="6" t="n">
        <v>7</v>
      </c>
      <c r="F124" s="6"/>
      <c r="G124" s="6" t="n">
        <v>427</v>
      </c>
      <c r="H124" s="6" t="n">
        <v>9</v>
      </c>
      <c r="I124" s="6"/>
      <c r="J124" s="6" t="n">
        <v>19</v>
      </c>
      <c r="K124" s="6" t="n">
        <v>0.3</v>
      </c>
      <c r="L124" s="6" t="n">
        <v>72319</v>
      </c>
      <c r="M124" s="6" t="n">
        <v>3037</v>
      </c>
    </row>
    <row r="125" customFormat="false" ht="15.75" hidden="false" customHeight="false" outlineLevel="0" collapsed="false">
      <c r="A125" s="0" t="s">
        <v>126</v>
      </c>
      <c r="B125" s="1" t="n">
        <v>43985</v>
      </c>
      <c r="C125" s="6" t="n">
        <v>443</v>
      </c>
      <c r="D125" s="6"/>
      <c r="E125" s="6" t="n">
        <v>7</v>
      </c>
      <c r="F125" s="6"/>
      <c r="G125" s="6" t="n">
        <v>427</v>
      </c>
      <c r="H125" s="6" t="n">
        <v>9</v>
      </c>
      <c r="I125" s="6"/>
      <c r="J125" s="6" t="n">
        <v>19</v>
      </c>
      <c r="K125" s="6" t="n">
        <v>0.3</v>
      </c>
      <c r="L125" s="6" t="n">
        <v>72507</v>
      </c>
      <c r="M125" s="6" t="n">
        <v>3045</v>
      </c>
    </row>
    <row r="126" customFormat="false" ht="15.75" hidden="false" customHeight="false" outlineLevel="0" collapsed="false">
      <c r="A126" s="0" t="s">
        <v>126</v>
      </c>
      <c r="B126" s="1" t="n">
        <v>43986</v>
      </c>
      <c r="C126" s="6" t="n">
        <v>443</v>
      </c>
      <c r="D126" s="6"/>
      <c r="E126" s="6" t="n">
        <v>7</v>
      </c>
      <c r="F126" s="6"/>
      <c r="G126" s="6" t="n">
        <v>428</v>
      </c>
      <c r="H126" s="6" t="n">
        <v>8</v>
      </c>
      <c r="I126" s="6"/>
      <c r="J126" s="6" t="n">
        <v>19</v>
      </c>
      <c r="K126" s="6" t="n">
        <v>0.3</v>
      </c>
      <c r="L126" s="6" t="n">
        <v>72683</v>
      </c>
      <c r="M126" s="6" t="n">
        <v>3052</v>
      </c>
    </row>
    <row r="127" customFormat="false" ht="15.75" hidden="false" customHeight="false" outlineLevel="0" collapsed="false">
      <c r="A127" s="0" t="s">
        <v>126</v>
      </c>
      <c r="B127" s="1" t="n">
        <v>43987</v>
      </c>
      <c r="C127" s="6" t="n">
        <v>443</v>
      </c>
      <c r="D127" s="6"/>
      <c r="E127" s="6" t="n">
        <v>7</v>
      </c>
      <c r="F127" s="6"/>
      <c r="G127" s="6" t="n">
        <v>428</v>
      </c>
      <c r="H127" s="6" t="n">
        <v>8</v>
      </c>
      <c r="I127" s="6"/>
      <c r="J127" s="6" t="n">
        <v>19</v>
      </c>
      <c r="K127" s="6" t="n">
        <v>0.3</v>
      </c>
      <c r="L127" s="6" t="n">
        <v>72683</v>
      </c>
      <c r="M127" s="6" t="n">
        <v>3052</v>
      </c>
    </row>
    <row r="128" customFormat="false" ht="15.75" hidden="false" customHeight="false" outlineLevel="0" collapsed="false">
      <c r="A128" s="0" t="s">
        <v>126</v>
      </c>
      <c r="B128" s="1" t="n">
        <v>43988</v>
      </c>
      <c r="C128" s="6" t="n">
        <v>443</v>
      </c>
      <c r="D128" s="6"/>
      <c r="E128" s="6" t="n">
        <v>7</v>
      </c>
      <c r="F128" s="6"/>
      <c r="G128" s="6" t="n">
        <v>429</v>
      </c>
      <c r="H128" s="6" t="n">
        <v>7</v>
      </c>
      <c r="I128" s="6"/>
      <c r="J128" s="6" t="n">
        <v>19</v>
      </c>
      <c r="K128" s="6" t="n">
        <v>0.3</v>
      </c>
      <c r="L128" s="6" t="n">
        <v>73040</v>
      </c>
      <c r="M128" s="6" t="n">
        <v>3067</v>
      </c>
    </row>
    <row r="129" customFormat="false" ht="15.75" hidden="false" customHeight="false" outlineLevel="0" collapsed="false">
      <c r="A129" s="0" t="s">
        <v>126</v>
      </c>
      <c r="B129" s="1" t="n">
        <v>43989</v>
      </c>
      <c r="C129" s="6" t="n">
        <v>443</v>
      </c>
      <c r="D129" s="6"/>
      <c r="E129" s="6" t="n">
        <v>7</v>
      </c>
      <c r="F129" s="6"/>
      <c r="G129" s="6" t="n">
        <v>429</v>
      </c>
      <c r="H129" s="6" t="n">
        <v>7</v>
      </c>
      <c r="I129" s="6"/>
      <c r="J129" s="6" t="n">
        <v>19</v>
      </c>
      <c r="K129" s="6" t="n">
        <v>0.3</v>
      </c>
      <c r="L129" s="6" t="n">
        <v>73225</v>
      </c>
      <c r="M129" s="6" t="n">
        <v>3075</v>
      </c>
    </row>
    <row r="130" customFormat="false" ht="15.75" hidden="false" customHeight="false" outlineLevel="0" collapsed="false">
      <c r="A130" s="0" t="s">
        <v>126</v>
      </c>
      <c r="B130" s="1" t="n">
        <v>43990</v>
      </c>
      <c r="C130" s="6" t="n">
        <v>443</v>
      </c>
      <c r="D130" s="6"/>
      <c r="E130" s="6" t="n">
        <v>7</v>
      </c>
      <c r="F130" s="6"/>
      <c r="G130" s="6" t="n">
        <v>430</v>
      </c>
      <c r="H130" s="6" t="n">
        <v>6</v>
      </c>
      <c r="I130" s="6"/>
      <c r="J130" s="6" t="n">
        <v>19</v>
      </c>
      <c r="K130" s="6" t="n">
        <v>0.3</v>
      </c>
      <c r="L130" s="6" t="n">
        <v>73359</v>
      </c>
      <c r="M130" s="6" t="n">
        <v>3080</v>
      </c>
    </row>
    <row r="131" customFormat="false" ht="15.75" hidden="false" customHeight="false" outlineLevel="0" collapsed="false">
      <c r="A131" s="0" t="s">
        <v>126</v>
      </c>
      <c r="B131" s="1" t="n">
        <v>43991</v>
      </c>
      <c r="C131" s="6" t="n">
        <v>443</v>
      </c>
      <c r="D131" s="6"/>
      <c r="E131" s="6" t="n">
        <v>7</v>
      </c>
      <c r="F131" s="6"/>
      <c r="G131" s="6" t="n">
        <v>430</v>
      </c>
      <c r="H131" s="6" t="n">
        <v>6</v>
      </c>
      <c r="I131" s="6"/>
      <c r="J131" s="6" t="n">
        <v>19</v>
      </c>
      <c r="K131" s="6" t="n">
        <v>0.3</v>
      </c>
      <c r="L131" s="6" t="n">
        <v>73471</v>
      </c>
      <c r="M131" s="6" t="n">
        <v>3085</v>
      </c>
    </row>
    <row r="132" customFormat="false" ht="15.75" hidden="false" customHeight="false" outlineLevel="0" collapsed="false">
      <c r="A132" s="0" t="s">
        <v>126</v>
      </c>
      <c r="B132" s="1" t="n">
        <v>43992</v>
      </c>
      <c r="C132" s="6" t="n">
        <v>443</v>
      </c>
      <c r="D132" s="6"/>
      <c r="E132" s="6" t="n">
        <v>7</v>
      </c>
      <c r="F132" s="6"/>
      <c r="G132" s="6" t="n">
        <v>430</v>
      </c>
      <c r="H132" s="6" t="n">
        <v>6</v>
      </c>
      <c r="I132" s="6"/>
      <c r="J132" s="6" t="n">
        <v>19</v>
      </c>
      <c r="K132" s="6" t="n">
        <v>0.3</v>
      </c>
      <c r="L132" s="6" t="n">
        <v>73601</v>
      </c>
      <c r="M132" s="6" t="n">
        <v>3091</v>
      </c>
    </row>
    <row r="133" customFormat="false" ht="15.75" hidden="false" customHeight="false" outlineLevel="0" collapsed="false">
      <c r="A133" s="0" t="s">
        <v>126</v>
      </c>
      <c r="B133" s="1" t="n">
        <v>43993</v>
      </c>
      <c r="C133" s="6" t="n">
        <v>443</v>
      </c>
      <c r="D133" s="6"/>
      <c r="E133" s="6" t="n">
        <v>7</v>
      </c>
      <c r="F133" s="6"/>
      <c r="G133" s="6" t="n">
        <v>431</v>
      </c>
      <c r="H133" s="6" t="n">
        <v>5</v>
      </c>
      <c r="I133" s="6"/>
      <c r="J133" s="6" t="n">
        <v>19</v>
      </c>
      <c r="K133" s="6" t="n">
        <v>0.3</v>
      </c>
      <c r="L133" s="6" t="n">
        <v>73751</v>
      </c>
      <c r="M133" s="6" t="n">
        <v>3097</v>
      </c>
    </row>
    <row r="134" customFormat="false" ht="15.75" hidden="false" customHeight="false" outlineLevel="0" collapsed="false">
      <c r="A134" s="0" t="s">
        <v>126</v>
      </c>
      <c r="B134" s="1" t="n">
        <v>43994</v>
      </c>
      <c r="C134" s="6" t="n">
        <v>443</v>
      </c>
      <c r="D134" s="6"/>
      <c r="E134" s="6" t="n">
        <v>7</v>
      </c>
      <c r="F134" s="6"/>
      <c r="G134" s="6" t="n">
        <v>431</v>
      </c>
      <c r="H134" s="6" t="n">
        <v>5</v>
      </c>
      <c r="I134" s="6"/>
      <c r="J134" s="6" t="n">
        <v>19</v>
      </c>
      <c r="K134" s="6" t="n">
        <v>0.3</v>
      </c>
      <c r="L134" s="6" t="n">
        <v>73751</v>
      </c>
      <c r="M134" s="6" t="n">
        <v>3097</v>
      </c>
    </row>
    <row r="135" customFormat="false" ht="15.75" hidden="false" customHeight="false" outlineLevel="0" collapsed="false">
      <c r="A135" s="0" t="s">
        <v>126</v>
      </c>
      <c r="B135" s="1" t="n">
        <v>43995</v>
      </c>
      <c r="C135" s="6" t="n">
        <v>443</v>
      </c>
      <c r="D135" s="6"/>
      <c r="E135" s="6" t="n">
        <v>7</v>
      </c>
      <c r="F135" s="6"/>
      <c r="G135" s="6" t="n">
        <v>431</v>
      </c>
      <c r="H135" s="6" t="n">
        <v>5</v>
      </c>
      <c r="I135" s="6"/>
      <c r="J135" s="6" t="n">
        <v>19</v>
      </c>
      <c r="K135" s="6" t="n">
        <v>0.3</v>
      </c>
      <c r="L135" s="6" t="n">
        <v>73751</v>
      </c>
      <c r="M135" s="6" t="n">
        <v>3097</v>
      </c>
    </row>
    <row r="136" customFormat="false" ht="15.75" hidden="false" customHeight="false" outlineLevel="0" collapsed="false">
      <c r="A136" s="0" t="s">
        <v>126</v>
      </c>
      <c r="B136" s="1" t="n">
        <v>43996</v>
      </c>
      <c r="C136" s="6" t="n">
        <v>443</v>
      </c>
      <c r="D136" s="6"/>
      <c r="E136" s="6" t="n">
        <v>7</v>
      </c>
      <c r="F136" s="6"/>
      <c r="G136" s="6" t="n">
        <v>431</v>
      </c>
      <c r="H136" s="6" t="n">
        <v>5</v>
      </c>
      <c r="I136" s="6"/>
      <c r="J136" s="6" t="n">
        <v>19</v>
      </c>
      <c r="K136" s="6" t="n">
        <v>0.3</v>
      </c>
      <c r="L136" s="6" t="n">
        <v>73751</v>
      </c>
      <c r="M136" s="6" t="n">
        <v>3097</v>
      </c>
    </row>
    <row r="137" customFormat="false" ht="15.75" hidden="false" customHeight="false" outlineLevel="0" collapsed="false">
      <c r="A137" s="0" t="s">
        <v>126</v>
      </c>
      <c r="B137" s="1" t="n">
        <v>43997</v>
      </c>
      <c r="C137" s="6" t="n">
        <v>443</v>
      </c>
      <c r="D137" s="6"/>
      <c r="E137" s="6" t="n">
        <v>7</v>
      </c>
      <c r="F137" s="6"/>
      <c r="G137" s="6" t="n">
        <v>431</v>
      </c>
      <c r="H137" s="6" t="n">
        <v>5</v>
      </c>
      <c r="I137" s="6"/>
      <c r="J137" s="6" t="n">
        <v>19</v>
      </c>
      <c r="K137" s="6" t="n">
        <v>0.3</v>
      </c>
      <c r="L137" s="6" t="n">
        <v>73751</v>
      </c>
      <c r="M137" s="6" t="n">
        <v>3097</v>
      </c>
    </row>
    <row r="138" customFormat="false" ht="15.75" hidden="false" customHeight="false" outlineLevel="0" collapsed="false">
      <c r="A138" s="0" t="s">
        <v>126</v>
      </c>
      <c r="B138" s="1" t="n">
        <v>43998</v>
      </c>
      <c r="C138" s="6" t="n">
        <v>445</v>
      </c>
      <c r="D138" s="6" t="n">
        <v>2</v>
      </c>
      <c r="E138" s="6" t="n">
        <v>7</v>
      </c>
      <c r="F138" s="6"/>
      <c r="G138" s="6" t="n">
        <v>433</v>
      </c>
      <c r="H138" s="6" t="n">
        <v>5</v>
      </c>
      <c r="I138" s="6"/>
      <c r="J138" s="6" t="n">
        <v>19</v>
      </c>
      <c r="K138" s="6" t="n">
        <v>0.3</v>
      </c>
      <c r="L138" s="6" t="n">
        <v>74409</v>
      </c>
      <c r="M138" s="6" t="n">
        <v>3124</v>
      </c>
    </row>
    <row r="139" customFormat="false" ht="15.75" hidden="false" customHeight="false" outlineLevel="0" collapsed="false">
      <c r="A139" s="0" t="s">
        <v>126</v>
      </c>
      <c r="B139" s="1" t="n">
        <v>43999</v>
      </c>
      <c r="C139" s="6" t="n">
        <v>445</v>
      </c>
      <c r="D139" s="6"/>
      <c r="E139" s="6" t="n">
        <v>7</v>
      </c>
      <c r="F139" s="6"/>
      <c r="G139" s="6" t="n">
        <v>433</v>
      </c>
      <c r="H139" s="6" t="n">
        <v>5</v>
      </c>
      <c r="I139" s="6"/>
      <c r="J139" s="6" t="n">
        <v>19</v>
      </c>
      <c r="K139" s="6" t="n">
        <v>0.3</v>
      </c>
      <c r="L139" s="6" t="n">
        <v>74409</v>
      </c>
      <c r="M139" s="6" t="n">
        <v>3124</v>
      </c>
    </row>
    <row r="140" customFormat="false" ht="15.75" hidden="false" customHeight="false" outlineLevel="0" collapsed="false">
      <c r="A140" s="0" t="s">
        <v>126</v>
      </c>
      <c r="B140" s="1" t="n">
        <v>44000</v>
      </c>
      <c r="C140" s="6" t="n">
        <v>445</v>
      </c>
      <c r="D140" s="6"/>
      <c r="E140" s="6" t="n">
        <v>7</v>
      </c>
      <c r="F140" s="6"/>
      <c r="G140" s="6" t="n">
        <v>434</v>
      </c>
      <c r="H140" s="6" t="n">
        <v>4</v>
      </c>
      <c r="I140" s="6"/>
      <c r="J140" s="6" t="n">
        <v>19</v>
      </c>
      <c r="K140" s="6" t="n">
        <v>0.3</v>
      </c>
      <c r="L140" s="6" t="n">
        <v>74699</v>
      </c>
      <c r="M140" s="6" t="n">
        <v>3137</v>
      </c>
    </row>
    <row r="141" customFormat="false" ht="15.75" hidden="false" customHeight="false" outlineLevel="0" collapsed="false">
      <c r="A141" s="0" t="s">
        <v>126</v>
      </c>
      <c r="B141" s="1" t="n">
        <v>44001</v>
      </c>
      <c r="C141" s="16" t="n">
        <v>446</v>
      </c>
      <c r="D141" s="16" t="n">
        <v>1</v>
      </c>
      <c r="E141" s="16" t="n">
        <v>7</v>
      </c>
      <c r="F141" s="16"/>
      <c r="G141" s="16" t="n">
        <v>434</v>
      </c>
      <c r="H141" s="16" t="n">
        <v>5</v>
      </c>
      <c r="I141" s="16"/>
      <c r="J141" s="16" t="n">
        <v>19</v>
      </c>
      <c r="K141" s="16" t="n">
        <v>0.3</v>
      </c>
      <c r="L141" s="16" t="n">
        <v>74699</v>
      </c>
      <c r="M141" s="16" t="n">
        <v>3137</v>
      </c>
    </row>
    <row r="142" customFormat="false" ht="15.75" hidden="false" customHeight="false" outlineLevel="0" collapsed="false">
      <c r="A142" s="0" t="s">
        <v>126</v>
      </c>
      <c r="B142" s="1" t="n">
        <v>44002</v>
      </c>
      <c r="C142" s="6" t="n">
        <v>446</v>
      </c>
      <c r="D142" s="6"/>
      <c r="E142" s="6" t="n">
        <v>7</v>
      </c>
      <c r="F142" s="6"/>
      <c r="G142" s="6" t="n">
        <v>434</v>
      </c>
      <c r="H142" s="6" t="n">
        <v>5</v>
      </c>
      <c r="I142" s="6"/>
      <c r="J142" s="6" t="n">
        <v>19</v>
      </c>
      <c r="K142" s="6" t="n">
        <v>0.3</v>
      </c>
      <c r="L142" s="6" t="n">
        <v>74699</v>
      </c>
      <c r="M142" s="6" t="n">
        <v>3137</v>
      </c>
    </row>
    <row r="143" customFormat="false" ht="15.75" hidden="false" customHeight="false" outlineLevel="0" collapsed="false">
      <c r="A143" s="0" t="s">
        <v>126</v>
      </c>
      <c r="B143" s="1" t="n">
        <v>44003</v>
      </c>
      <c r="C143" s="6" t="n">
        <v>446</v>
      </c>
      <c r="D143" s="6"/>
      <c r="E143" s="6" t="n">
        <v>7</v>
      </c>
      <c r="F143" s="6"/>
      <c r="G143" s="6" t="n">
        <v>434</v>
      </c>
      <c r="H143" s="6" t="n">
        <v>5</v>
      </c>
      <c r="I143" s="6"/>
      <c r="J143" s="6" t="n">
        <v>19</v>
      </c>
      <c r="K143" s="6" t="n">
        <v>0.3</v>
      </c>
      <c r="L143" s="6" t="n">
        <v>74699</v>
      </c>
      <c r="M143" s="6" t="n">
        <v>3137</v>
      </c>
    </row>
    <row r="144" customFormat="false" ht="15.75" hidden="false" customHeight="false" outlineLevel="0" collapsed="false">
      <c r="A144" s="0" t="s">
        <v>126</v>
      </c>
      <c r="B144" s="1" t="n">
        <v>44004</v>
      </c>
      <c r="C144" s="16" t="n">
        <v>446</v>
      </c>
      <c r="D144" s="16"/>
      <c r="E144" s="16" t="n">
        <v>7</v>
      </c>
      <c r="F144" s="16"/>
      <c r="G144" s="16" t="n">
        <v>434</v>
      </c>
      <c r="H144" s="16" t="n">
        <v>5</v>
      </c>
      <c r="I144" s="16"/>
      <c r="J144" s="16" t="n">
        <v>19</v>
      </c>
      <c r="K144" s="16" t="n">
        <v>0.3</v>
      </c>
      <c r="L144" s="16" t="n">
        <v>74699</v>
      </c>
      <c r="M144" s="16" t="n">
        <v>3137</v>
      </c>
    </row>
    <row r="145" customFormat="false" ht="15.75" hidden="false" customHeight="false" outlineLevel="0" collapsed="false">
      <c r="A145" s="0" t="s">
        <v>126</v>
      </c>
      <c r="B145" s="1" t="n">
        <v>44005</v>
      </c>
      <c r="C145" s="6" t="n">
        <v>446</v>
      </c>
      <c r="D145" s="6"/>
      <c r="E145" s="6" t="n">
        <v>7</v>
      </c>
      <c r="F145" s="6"/>
      <c r="G145" s="6" t="n">
        <v>435</v>
      </c>
      <c r="H145" s="6" t="n">
        <v>4</v>
      </c>
      <c r="I145" s="6"/>
      <c r="J145" s="6" t="n">
        <v>19</v>
      </c>
      <c r="K145" s="6" t="n">
        <v>0.3</v>
      </c>
      <c r="L145" s="6" t="n">
        <v>75359</v>
      </c>
      <c r="M145" s="6" t="n">
        <v>3164</v>
      </c>
    </row>
    <row r="146" customFormat="false" ht="15.75" hidden="false" customHeight="false" outlineLevel="0" collapsed="false">
      <c r="A146" s="0" t="s">
        <v>126</v>
      </c>
      <c r="B146" s="1" t="n">
        <v>44006</v>
      </c>
      <c r="C146" s="16" t="n">
        <v>446</v>
      </c>
      <c r="D146" s="16"/>
      <c r="E146" s="16" t="n">
        <v>7</v>
      </c>
      <c r="F146" s="16"/>
      <c r="G146" s="16" t="n">
        <v>435</v>
      </c>
      <c r="H146" s="16" t="n">
        <v>4</v>
      </c>
      <c r="I146" s="16"/>
      <c r="J146" s="16" t="n">
        <v>19</v>
      </c>
      <c r="K146" s="16" t="n">
        <v>0.3</v>
      </c>
      <c r="L146" s="16" t="n">
        <v>75359</v>
      </c>
      <c r="M146" s="16" t="n">
        <v>3164</v>
      </c>
    </row>
    <row r="147" customFormat="false" ht="15.75" hidden="false" customHeight="false" outlineLevel="0" collapsed="false">
      <c r="A147" s="0" t="s">
        <v>126</v>
      </c>
      <c r="B147" s="1" t="n">
        <v>44007</v>
      </c>
      <c r="C147" s="6" t="n">
        <v>446</v>
      </c>
      <c r="D147" s="6"/>
      <c r="E147" s="6" t="n">
        <v>7</v>
      </c>
      <c r="F147" s="6"/>
      <c r="G147" s="6" t="n">
        <v>435</v>
      </c>
      <c r="H147" s="6" t="n">
        <v>4</v>
      </c>
      <c r="I147" s="6"/>
      <c r="J147" s="6" t="n">
        <v>19</v>
      </c>
      <c r="K147" s="6" t="n">
        <v>0.3</v>
      </c>
      <c r="L147" s="6" t="n">
        <v>75359</v>
      </c>
      <c r="M147" s="6" t="n">
        <v>3164</v>
      </c>
    </row>
    <row r="148" customFormat="false" ht="15.75" hidden="false" customHeight="false" outlineLevel="0" collapsed="false">
      <c r="A148" s="0" t="s">
        <v>126</v>
      </c>
      <c r="B148" s="1" t="n">
        <v>44008</v>
      </c>
      <c r="C148" s="6" t="n">
        <v>447</v>
      </c>
      <c r="D148" s="6" t="n">
        <v>1</v>
      </c>
      <c r="E148" s="6" t="n">
        <v>7</v>
      </c>
      <c r="F148" s="6"/>
      <c r="G148" s="6" t="n">
        <v>435</v>
      </c>
      <c r="H148" s="6" t="n">
        <v>5</v>
      </c>
      <c r="I148" s="6"/>
      <c r="J148" s="6" t="n">
        <v>19</v>
      </c>
      <c r="K148" s="6" t="n">
        <v>0.3</v>
      </c>
      <c r="L148" s="6" t="n">
        <v>75815</v>
      </c>
      <c r="M148" s="6" t="n">
        <v>3183</v>
      </c>
    </row>
    <row r="149" customFormat="false" ht="15.75" hidden="false" customHeight="false" outlineLevel="0" collapsed="false">
      <c r="A149" s="0" t="s">
        <v>126</v>
      </c>
      <c r="B149" s="1" t="n">
        <v>44009</v>
      </c>
      <c r="C149" s="6" t="n">
        <v>447</v>
      </c>
      <c r="D149" s="6"/>
      <c r="E149" s="6" t="n">
        <v>7</v>
      </c>
      <c r="F149" s="6"/>
      <c r="G149" s="6" t="n">
        <v>435</v>
      </c>
      <c r="H149" s="6" t="n">
        <v>5</v>
      </c>
      <c r="I149" s="6"/>
      <c r="J149" s="6" t="n">
        <v>19</v>
      </c>
      <c r="K149" s="6" t="n">
        <v>0.3</v>
      </c>
      <c r="L149" s="6" t="n">
        <v>76032</v>
      </c>
      <c r="M149" s="6" t="n">
        <v>3192</v>
      </c>
    </row>
    <row r="150" customFormat="false" ht="15.75" hidden="false" customHeight="false" outlineLevel="0" collapsed="false">
      <c r="A150" s="0" t="s">
        <v>126</v>
      </c>
      <c r="B150" s="1" t="n">
        <v>44010</v>
      </c>
      <c r="C150" s="6" t="n">
        <v>447</v>
      </c>
      <c r="D150" s="6"/>
      <c r="E150" s="6" t="n">
        <v>7</v>
      </c>
      <c r="F150" s="6"/>
      <c r="G150" s="6" t="n">
        <v>435</v>
      </c>
      <c r="H150" s="6" t="n">
        <v>5</v>
      </c>
      <c r="I150" s="6"/>
      <c r="J150" s="6" t="n">
        <v>19</v>
      </c>
      <c r="K150" s="6" t="n">
        <v>0.3</v>
      </c>
      <c r="L150" s="7" t="n">
        <v>76209</v>
      </c>
      <c r="M150" s="7" t="n">
        <v>3200</v>
      </c>
    </row>
    <row r="151" customFormat="false" ht="15.75" hidden="false" customHeight="false" outlineLevel="0" collapsed="false">
      <c r="A151" s="0" t="s">
        <v>126</v>
      </c>
      <c r="B151" s="1" t="n">
        <v>44011</v>
      </c>
      <c r="C151" s="6" t="n">
        <v>447</v>
      </c>
      <c r="D151" s="6"/>
      <c r="E151" s="6" t="n">
        <v>7</v>
      </c>
      <c r="F151" s="6"/>
      <c r="G151" s="6" t="n">
        <v>435</v>
      </c>
      <c r="H151" s="6" t="n">
        <v>5</v>
      </c>
      <c r="I151" s="6"/>
      <c r="J151" s="6" t="n">
        <v>19</v>
      </c>
      <c r="K151" s="6" t="n">
        <v>0.3</v>
      </c>
      <c r="L151" s="6" t="n">
        <v>76209</v>
      </c>
      <c r="M151" s="6" t="n">
        <v>3200</v>
      </c>
    </row>
    <row r="152" customFormat="false" ht="15.75" hidden="false" customHeight="false" outlineLevel="0" collapsed="false">
      <c r="A152" s="0" t="s">
        <v>126</v>
      </c>
      <c r="B152" s="1" t="n">
        <v>44012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</row>
    <row r="153" customFormat="false" ht="15.75" hidden="false" customHeight="false" outlineLevel="0" collapsed="false">
      <c r="A153" s="0" t="s">
        <v>126</v>
      </c>
      <c r="B153" s="1" t="n">
        <v>44013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customFormat="false" ht="15.75" hidden="false" customHeight="false" outlineLevel="0" collapsed="false">
      <c r="A154" s="0" t="s">
        <v>126</v>
      </c>
      <c r="B154" s="1" t="n">
        <v>44014</v>
      </c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</row>
    <row r="155" customFormat="false" ht="15.75" hidden="false" customHeight="false" outlineLevel="0" collapsed="false">
      <c r="A155" s="0" t="s">
        <v>126</v>
      </c>
      <c r="B155" s="1" t="n">
        <v>44015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</row>
    <row r="156" customFormat="false" ht="15.75" hidden="false" customHeight="false" outlineLevel="0" collapsed="false">
      <c r="A156" s="0" t="s">
        <v>126</v>
      </c>
      <c r="B156" s="1" t="n">
        <v>44016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customFormat="false" ht="15.75" hidden="false" customHeight="false" outlineLevel="0" collapsed="false">
      <c r="A157" s="0" t="s">
        <v>126</v>
      </c>
      <c r="B157" s="1" t="n">
        <v>44017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</row>
    <row r="158" customFormat="false" ht="15.75" hidden="false" customHeight="false" outlineLevel="0" collapsed="false">
      <c r="A158" s="0" t="s">
        <v>126</v>
      </c>
      <c r="B158" s="1" t="n">
        <v>44018</v>
      </c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</row>
    <row r="159" customFormat="false" ht="15.75" hidden="false" customHeight="false" outlineLevel="0" collapsed="false">
      <c r="A159" s="0" t="s">
        <v>126</v>
      </c>
      <c r="B159" s="1" t="n">
        <v>44019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</row>
    <row r="160" customFormat="false" ht="13.5" hidden="false" customHeight="false" outlineLevel="0" collapsed="false">
      <c r="A160" s="0" t="s">
        <v>126</v>
      </c>
      <c r="B160" s="1" t="n">
        <v>44020</v>
      </c>
    </row>
    <row r="161" customFormat="false" ht="13.5" hidden="false" customHeight="false" outlineLevel="0" collapsed="false">
      <c r="A161" s="0" t="s">
        <v>126</v>
      </c>
      <c r="B161" s="1" t="n">
        <v>44021</v>
      </c>
    </row>
    <row r="162" customFormat="false" ht="13.5" hidden="false" customHeight="false" outlineLevel="0" collapsed="false">
      <c r="A162" s="0" t="s">
        <v>126</v>
      </c>
      <c r="B162" s="1" t="n">
        <v>44022</v>
      </c>
    </row>
    <row r="163" customFormat="false" ht="13.5" hidden="false" customHeight="false" outlineLevel="0" collapsed="false">
      <c r="A163" s="0" t="s">
        <v>126</v>
      </c>
      <c r="B163" s="1" t="n">
        <v>44023</v>
      </c>
    </row>
    <row r="164" customFormat="false" ht="13.5" hidden="false" customHeight="false" outlineLevel="0" collapsed="false">
      <c r="A164" s="0" t="s">
        <v>126</v>
      </c>
      <c r="B164" s="1" t="n">
        <v>44024</v>
      </c>
    </row>
    <row r="165" customFormat="false" ht="13.5" hidden="false" customHeight="false" outlineLevel="0" collapsed="false">
      <c r="A165" s="0" t="s">
        <v>126</v>
      </c>
      <c r="B165" s="1" t="n">
        <v>44025</v>
      </c>
    </row>
    <row r="166" customFormat="false" ht="13.5" hidden="false" customHeight="false" outlineLevel="0" collapsed="false">
      <c r="A166" s="0" t="s">
        <v>126</v>
      </c>
      <c r="B166" s="1" t="n">
        <v>44026</v>
      </c>
    </row>
    <row r="167" customFormat="false" ht="13.5" hidden="false" customHeight="false" outlineLevel="0" collapsed="false">
      <c r="A167" s="0" t="s">
        <v>126</v>
      </c>
      <c r="B167" s="1" t="n">
        <v>44027</v>
      </c>
    </row>
    <row r="168" customFormat="false" ht="13.5" hidden="false" customHeight="false" outlineLevel="0" collapsed="false">
      <c r="A168" s="0" t="s">
        <v>126</v>
      </c>
      <c r="B168" s="1" t="n">
        <v>44028</v>
      </c>
    </row>
    <row r="169" customFormat="false" ht="13.5" hidden="false" customHeight="false" outlineLevel="0" collapsed="false">
      <c r="A169" s="0" t="s">
        <v>126</v>
      </c>
      <c r="B169" s="1" t="n">
        <v>44029</v>
      </c>
    </row>
    <row r="170" customFormat="false" ht="13.5" hidden="false" customHeight="false" outlineLevel="0" collapsed="false">
      <c r="A170" s="0" t="s">
        <v>126</v>
      </c>
      <c r="B170" s="1" t="n">
        <v>44030</v>
      </c>
    </row>
    <row r="171" customFormat="false" ht="13.5" hidden="false" customHeight="false" outlineLevel="0" collapsed="false">
      <c r="A171" s="0" t="s">
        <v>126</v>
      </c>
      <c r="B171" s="1" t="n">
        <v>44031</v>
      </c>
    </row>
    <row r="172" customFormat="false" ht="13.5" hidden="false" customHeight="false" outlineLevel="0" collapsed="false">
      <c r="A172" s="0" t="s">
        <v>126</v>
      </c>
      <c r="B172" s="1" t="n">
        <v>44032</v>
      </c>
    </row>
    <row r="173" customFormat="false" ht="13.5" hidden="false" customHeight="false" outlineLevel="0" collapsed="false">
      <c r="A173" s="0" t="s">
        <v>126</v>
      </c>
      <c r="B173" s="1" t="n">
        <v>44033</v>
      </c>
    </row>
    <row r="174" customFormat="false" ht="13.5" hidden="false" customHeight="false" outlineLevel="0" collapsed="false">
      <c r="A174" s="0" t="s">
        <v>126</v>
      </c>
      <c r="B174" s="1" t="n">
        <v>44034</v>
      </c>
    </row>
    <row r="175" customFormat="false" ht="13.5" hidden="false" customHeight="false" outlineLevel="0" collapsed="false">
      <c r="A175" s="0" t="s">
        <v>126</v>
      </c>
      <c r="B175" s="1" t="n">
        <v>44035</v>
      </c>
    </row>
    <row r="176" customFormat="false" ht="13.5" hidden="false" customHeight="false" outlineLevel="0" collapsed="false">
      <c r="A176" s="0" t="s">
        <v>126</v>
      </c>
      <c r="B176" s="1" t="n">
        <v>44036</v>
      </c>
    </row>
    <row r="177" customFormat="false" ht="13.5" hidden="false" customHeight="false" outlineLevel="0" collapsed="false">
      <c r="A177" s="0" t="s">
        <v>126</v>
      </c>
      <c r="B177" s="1" t="n">
        <v>44037</v>
      </c>
    </row>
    <row r="178" customFormat="false" ht="13.5" hidden="false" customHeight="false" outlineLevel="0" collapsed="false">
      <c r="A178" s="0" t="s">
        <v>126</v>
      </c>
      <c r="B178" s="1" t="n">
        <v>44038</v>
      </c>
    </row>
    <row r="179" customFormat="false" ht="13.5" hidden="false" customHeight="false" outlineLevel="0" collapsed="false">
      <c r="A179" s="0" t="s">
        <v>126</v>
      </c>
      <c r="B179" s="1" t="n">
        <v>44039</v>
      </c>
    </row>
    <row r="180" customFormat="false" ht="13.5" hidden="false" customHeight="false" outlineLevel="0" collapsed="false">
      <c r="A180" s="0" t="s">
        <v>126</v>
      </c>
      <c r="B180" s="1" t="n">
        <v>44040</v>
      </c>
    </row>
    <row r="181" customFormat="false" ht="13.5" hidden="false" customHeight="false" outlineLevel="0" collapsed="false">
      <c r="A181" s="0" t="s">
        <v>126</v>
      </c>
      <c r="B181" s="1" t="n">
        <v>44041</v>
      </c>
    </row>
    <row r="182" customFormat="false" ht="13.5" hidden="false" customHeight="false" outlineLevel="0" collapsed="false">
      <c r="A182" s="0" t="s">
        <v>126</v>
      </c>
      <c r="B182" s="1" t="n">
        <v>44042</v>
      </c>
    </row>
    <row r="183" customFormat="false" ht="13.5" hidden="false" customHeight="false" outlineLevel="0" collapsed="false">
      <c r="A183" s="0" t="s">
        <v>126</v>
      </c>
      <c r="B183" s="1" t="n">
        <v>44043</v>
      </c>
    </row>
    <row r="184" customFormat="false" ht="13.5" hidden="false" customHeight="false" outlineLevel="0" collapsed="false">
      <c r="A184" s="0" t="s">
        <v>126</v>
      </c>
      <c r="B184" s="1" t="n">
        <v>44044</v>
      </c>
    </row>
    <row r="185" customFormat="false" ht="13.5" hidden="false" customHeight="false" outlineLevel="0" collapsed="false">
      <c r="A185" s="0" t="s">
        <v>126</v>
      </c>
      <c r="B185" s="1" t="n">
        <v>44045</v>
      </c>
    </row>
    <row r="186" customFormat="false" ht="13.5" hidden="false" customHeight="false" outlineLevel="0" collapsed="false">
      <c r="A186" s="0" t="s">
        <v>126</v>
      </c>
      <c r="B186" s="1" t="n">
        <v>44046</v>
      </c>
    </row>
    <row r="187" customFormat="false" ht="13.5" hidden="false" customHeight="false" outlineLevel="0" collapsed="false">
      <c r="A187" s="0" t="s">
        <v>126</v>
      </c>
      <c r="B187" s="1" t="n">
        <v>44047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2020-04-14T13:11:00Z</dcterms:created>
  <dc:creator>admin</dc:creator>
  <dc:description/>
  <dc:language>en-US</dc:language>
  <cp:lastModifiedBy/>
  <dcterms:modified xsi:type="dcterms:W3CDTF">2021-01-02T15:12:18Z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